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Default Extension="emf" ContentType="image/x-em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chartsheets/sheet1.xml" ContentType="application/vnd.openxmlformats-officedocument.spreadsheetml.chart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203"/>
  <workbookPr/>
  <mc:AlternateContent xmlns:mc="http://schemas.openxmlformats.org/markup-compatibility/2006">
    <mc:Choice Requires="x15">
      <x15ac:absPath xmlns:x15ac="http://schemas.microsoft.com/office/spreadsheetml/2010/11/ac" url="/Users/isidrohernandezrodriguez/Documents/AAA/INVESTIGACIÓN/TESIS/DOCTORADO/DOCUMENTOS/VERSIÓN UB 2015-2016/DEFINITIVA 2018/"/>
    </mc:Choice>
  </mc:AlternateContent>
  <workbookProtection workbookPassword="FB16" lockStructure="1"/>
  <bookViews>
    <workbookView xWindow="3460" yWindow="12000" windowWidth="27360" windowHeight="15880" tabRatio="500"/>
  </bookViews>
  <sheets>
    <sheet name="Hoja1" sheetId="1" r:id="rId1"/>
    <sheet name="INGRESOS 1824-1825" sheetId="2" r:id="rId2"/>
    <sheet name="INGRESOS 1826-1827" sheetId="3" r:id="rId3"/>
    <sheet name="INGRESOS 1831-1832" sheetId="4" r:id="rId4"/>
    <sheet name="INGRESOS 1832 A 1833" sheetId="5" r:id="rId5"/>
    <sheet name="INGRESOS 1833 - 1834" sheetId="6" r:id="rId6"/>
    <sheet name="INGRESOS 1810 -1836" sheetId="7" r:id="rId7"/>
    <sheet name="INGRESOS 1836-1837" sheetId="8" r:id="rId8"/>
    <sheet name="GASTO DE HACIENDA 1824-1825" sheetId="9" r:id="rId9"/>
    <sheet name="PRESUPUESTO GASTOS 1826" sheetId="10" r:id="rId10"/>
    <sheet name="GASTO EN 1827" sheetId="11" r:id="rId11"/>
    <sheet name="1834" sheetId="12" r:id="rId12"/>
    <sheet name="Gastos de 1833" sheetId="13" r:id="rId13"/>
    <sheet name="GATOS 1834-1835" sheetId="14" r:id="rId14"/>
    <sheet name="GASTO 1835-1836" sheetId="15" r:id="rId15"/>
    <sheet name="GASTO 1836-1837" sheetId="16" r:id="rId16"/>
    <sheet name="I-G PROVINCIAS 1836-1837" sheetId="17" r:id="rId17"/>
    <sheet name="GASTO 1838-1839" sheetId="18" r:id="rId18"/>
    <sheet name="1841 Hacienda" sheetId="19" r:id="rId19"/>
    <sheet name="1843 Hacienda" sheetId="20" r:id="rId20"/>
    <sheet name="1845 Hacienda" sheetId="21" r:id="rId21"/>
    <sheet name="1846 Hacienda" sheetId="22" r:id="rId22"/>
    <sheet name="1849 Hacienda" sheetId="23" r:id="rId23"/>
    <sheet name="1852 HACIENDA" sheetId="24" r:id="rId24"/>
    <sheet name="1853 Hacienda" sheetId="25" r:id="rId25"/>
    <sheet name="1858 Hacienda" sheetId="26" r:id="rId26"/>
    <sheet name="1861 Hacienda" sheetId="27" r:id="rId27"/>
    <sheet name="1869 Hacienda" sheetId="28" r:id="rId28"/>
    <sheet name="1870 Tesoro" sheetId="29" r:id="rId29"/>
    <sheet name="1870 Hacienda" sheetId="30" r:id="rId30"/>
    <sheet name="1872 Hacienda" sheetId="31" r:id="rId31"/>
    <sheet name="1873 Hacienda" sheetId="32" r:id="rId32"/>
    <sheet name="Gráfico2" sheetId="33" r:id="rId33"/>
    <sheet name="1874 Hacienda" sheetId="34" r:id="rId34"/>
    <sheet name="1875 Hacienda" sheetId="35" r:id="rId35"/>
    <sheet name="1875 Tesoro" sheetId="36" r:id="rId36"/>
    <sheet name="1876 Hacienda" sheetId="37" r:id="rId37"/>
    <sheet name="1877 Hacienda" sheetId="38" r:id="rId38"/>
    <sheet name="1877 Tesoro" sheetId="39" r:id="rId39"/>
    <sheet name="1878 Hacienda" sheetId="40" r:id="rId40"/>
    <sheet name="1878 Tesoro" sheetId="41" r:id="rId41"/>
    <sheet name="1879 Tesoro" sheetId="42" r:id="rId42"/>
    <sheet name="1879 Hacienda" sheetId="43" r:id="rId43"/>
    <sheet name="1880 Tesoro" sheetId="44" r:id="rId44"/>
    <sheet name="1880 Hacienda" sheetId="45" r:id="rId45"/>
    <sheet name="1881 Hacienda" sheetId="46" r:id="rId46"/>
    <sheet name="1881 Tesoro" sheetId="47" r:id="rId47"/>
    <sheet name="1882 Hacienda" sheetId="48" r:id="rId48"/>
    <sheet name="1882 Tesoro" sheetId="49" r:id="rId49"/>
    <sheet name="1883 Hacienda" sheetId="50" r:id="rId50"/>
    <sheet name="1885 Hacienda" sheetId="51" r:id="rId51"/>
    <sheet name="1888 Hacienda" sheetId="52" r:id="rId52"/>
    <sheet name="1890 Hacienda" sheetId="53" r:id="rId53"/>
    <sheet name="1892 Hacienda" sheetId="54" r:id="rId54"/>
    <sheet name="1894 Hacienda" sheetId="55" r:id="rId55"/>
    <sheet name="1896 Tesoro" sheetId="56" r:id="rId56"/>
    <sheet name="1896 Hacienda" sheetId="57" r:id="rId57"/>
    <sheet name="1898 Hacienda" sheetId="58" r:id="rId58"/>
    <sheet name="1904 Hacienda" sheetId="59" r:id="rId59"/>
    <sheet name="1904 Tesoro" sheetId="60" r:id="rId60"/>
    <sheet name="1910 Hacienda" sheetId="61" r:id="rId61"/>
    <sheet name="1910 Tesoro" sheetId="62" r:id="rId62"/>
    <sheet name="1911 Hacienda" sheetId="63" r:id="rId63"/>
    <sheet name="1912A Hacienda" sheetId="64" r:id="rId64"/>
    <sheet name="1912 Hacienda" sheetId="65" r:id="rId65"/>
    <sheet name="1912 Tesoro" sheetId="66" r:id="rId66"/>
    <sheet name="1913 HACIENDA" sheetId="67" r:id="rId67"/>
    <sheet name="1913 Tesoro" sheetId="68" r:id="rId68"/>
    <sheet name="1914 Hacienda" sheetId="69" r:id="rId69"/>
    <sheet name="1914 Tesoro" sheetId="70" r:id="rId70"/>
    <sheet name="1915 Hacienda" sheetId="71" r:id="rId71"/>
    <sheet name="1915 Tesoro" sheetId="72" r:id="rId72"/>
    <sheet name="Ingresos Tesoro" sheetId="73" r:id="rId73"/>
    <sheet name="Gastos Tesoro" sheetId="74" r:id="rId74"/>
    <sheet name="Ingresos Hacienda" sheetId="75" r:id="rId75"/>
    <sheet name="Ingresos Hacienda.0" sheetId="76" r:id="rId76"/>
    <sheet name="Gastos Hacienda" sheetId="77" r:id="rId77"/>
  </sheets>
  <definedNames>
    <definedName name="Z_75C75CB6_18AF_7246_9B9E_5D2CFE62C0B4_.wvu.Cols" localSheetId="67" hidden="1">'1913 Tesoro'!$B:$C,'1913 Tesoro'!$E:$I</definedName>
    <definedName name="Z_75C75CB6_18AF_7246_9B9E_5D2CFE62C0B4_.wvu.Cols" localSheetId="71" hidden="1">'1915 Tesoro'!$B:$E,'1915 Tesoro'!$G:$I</definedName>
    <definedName name="Z_75C75CB6_18AF_7246_9B9E_5D2CFE62C0B4_.wvu.Cols" localSheetId="6" hidden="1">'INGRESOS 1810 -1836'!$B:$H</definedName>
    <definedName name="Z_75C75CB6_18AF_7246_9B9E_5D2CFE62C0B4_.wvu.Cols" localSheetId="3" hidden="1">'INGRESOS 1831-1832'!$B:$E</definedName>
    <definedName name="Z_75C75CB6_18AF_7246_9B9E_5D2CFE62C0B4_.wvu.Cols" localSheetId="7" hidden="1">'INGRESOS 1836-1837'!$B:$C</definedName>
  </definedName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DD4" i="77" l="1"/>
  <c r="DD8" i="77"/>
  <c r="DD13" i="77"/>
  <c r="DD15" i="77"/>
  <c r="DD16" i="77"/>
  <c r="DD31" i="77"/>
  <c r="DD32" i="77"/>
  <c r="DD33" i="77"/>
  <c r="DD34" i="77"/>
  <c r="DD35" i="77"/>
  <c r="DD36" i="77"/>
  <c r="DD37" i="77"/>
  <c r="DD38" i="77"/>
  <c r="DD43" i="77"/>
  <c r="CF6" i="77"/>
  <c r="CF8" i="77"/>
  <c r="CF9" i="77"/>
  <c r="CF11" i="77"/>
  <c r="CF30" i="77"/>
  <c r="CF43" i="77"/>
  <c r="BT17" i="77"/>
  <c r="BT19" i="77"/>
  <c r="BT25" i="77"/>
  <c r="BT26" i="77"/>
  <c r="BT27" i="77"/>
  <c r="BT28" i="77"/>
  <c r="BT29" i="77"/>
  <c r="BT43" i="77"/>
  <c r="AL6" i="77"/>
  <c r="AL8" i="77"/>
  <c r="AL9" i="77"/>
  <c r="AL13" i="77"/>
  <c r="AL14" i="77"/>
  <c r="AL15" i="77"/>
  <c r="AL16" i="77"/>
  <c r="AL17" i="77"/>
  <c r="AL20" i="77"/>
  <c r="AL43" i="77"/>
  <c r="AK6" i="77"/>
  <c r="AK8" i="77"/>
  <c r="AK9" i="77"/>
  <c r="AK13" i="77"/>
  <c r="AK14" i="77"/>
  <c r="AK15" i="77"/>
  <c r="AK16" i="77"/>
  <c r="AK17" i="77"/>
  <c r="AK20" i="77"/>
  <c r="AK43" i="77"/>
  <c r="AH6" i="77"/>
  <c r="AH8" i="77"/>
  <c r="AH9" i="77"/>
  <c r="AH13" i="77"/>
  <c r="AH14" i="77"/>
  <c r="AH15" i="77"/>
  <c r="AH16" i="77"/>
  <c r="AH17" i="77"/>
  <c r="AH43" i="77"/>
  <c r="AG6" i="77"/>
  <c r="AG8" i="77"/>
  <c r="AG9" i="77"/>
  <c r="AG13" i="77"/>
  <c r="AG14" i="77"/>
  <c r="AG15" i="77"/>
  <c r="AG16" i="77"/>
  <c r="AG17" i="77"/>
  <c r="AG43" i="77"/>
  <c r="AF6" i="77"/>
  <c r="AF8" i="77"/>
  <c r="AF9" i="77"/>
  <c r="AF13" i="77"/>
  <c r="AF14" i="77"/>
  <c r="AF15" i="77"/>
  <c r="AF16" i="77"/>
  <c r="AF17" i="77"/>
  <c r="AF21" i="77"/>
  <c r="AF43" i="77"/>
  <c r="AE6" i="77"/>
  <c r="AE8" i="77"/>
  <c r="AE9" i="77"/>
  <c r="AE13" i="77"/>
  <c r="AE14" i="77"/>
  <c r="AE15" i="77"/>
  <c r="AE16" i="77"/>
  <c r="AE17" i="77"/>
  <c r="AE21" i="77"/>
  <c r="AE43" i="77"/>
  <c r="AD6" i="77"/>
  <c r="AD8" i="77"/>
  <c r="AD9" i="77"/>
  <c r="AD13" i="77"/>
  <c r="AD14" i="77"/>
  <c r="AD15" i="77"/>
  <c r="AD16" i="77"/>
  <c r="AD17" i="77"/>
  <c r="AD43" i="77"/>
  <c r="AC6" i="77"/>
  <c r="AC8" i="77"/>
  <c r="AC9" i="77"/>
  <c r="AC13" i="77"/>
  <c r="AC14" i="77"/>
  <c r="AC15" i="77"/>
  <c r="AC16" i="77"/>
  <c r="AC17" i="77"/>
  <c r="AC43" i="77"/>
  <c r="AB6" i="77"/>
  <c r="AB8" i="77"/>
  <c r="AB9" i="77"/>
  <c r="AB10" i="77"/>
  <c r="AB13" i="77"/>
  <c r="AB14" i="77"/>
  <c r="AB15" i="77"/>
  <c r="AB16" i="77"/>
  <c r="AB17" i="77"/>
  <c r="AB43" i="77"/>
  <c r="AA6" i="77"/>
  <c r="AA8" i="77"/>
  <c r="AA9" i="77"/>
  <c r="AA10" i="77"/>
  <c r="AA13" i="77"/>
  <c r="AA14" i="77"/>
  <c r="AA15" i="77"/>
  <c r="AA16" i="77"/>
  <c r="AA17" i="77"/>
  <c r="AA43" i="77"/>
  <c r="Z7" i="77"/>
  <c r="Z8" i="77"/>
  <c r="Z9" i="77"/>
  <c r="Z10" i="77"/>
  <c r="Z13" i="77"/>
  <c r="Z14" i="77"/>
  <c r="Z15" i="77"/>
  <c r="Z16" i="77"/>
  <c r="Z17" i="77"/>
  <c r="Z18" i="77"/>
  <c r="Z19" i="77"/>
  <c r="Z20" i="77"/>
  <c r="Z21" i="77"/>
  <c r="Z43" i="77"/>
  <c r="Y6" i="77"/>
  <c r="Y7" i="77"/>
  <c r="Y8" i="77"/>
  <c r="Y9" i="77"/>
  <c r="Y10" i="77"/>
  <c r="Y13" i="77"/>
  <c r="Y14" i="77"/>
  <c r="Y15" i="77"/>
  <c r="Y16" i="77"/>
  <c r="Y17" i="77"/>
  <c r="Y18" i="77"/>
  <c r="Y19" i="77"/>
  <c r="Y20" i="77"/>
  <c r="Y21" i="77"/>
  <c r="Y43" i="77"/>
  <c r="X6" i="77"/>
  <c r="X7" i="77"/>
  <c r="X8" i="77"/>
  <c r="X9" i="77"/>
  <c r="X10" i="77"/>
  <c r="X13" i="77"/>
  <c r="X14" i="77"/>
  <c r="X15" i="77"/>
  <c r="X16" i="77"/>
  <c r="X17" i="77"/>
  <c r="X18" i="77"/>
  <c r="X19" i="77"/>
  <c r="X20" i="77"/>
  <c r="X22" i="77"/>
  <c r="X43" i="77"/>
  <c r="W6" i="77"/>
  <c r="W7" i="77"/>
  <c r="W8" i="77"/>
  <c r="W9" i="77"/>
  <c r="W10" i="77"/>
  <c r="W13" i="77"/>
  <c r="W14" i="77"/>
  <c r="W15" i="77"/>
  <c r="W16" i="77"/>
  <c r="W17" i="77"/>
  <c r="W18" i="77"/>
  <c r="W19" i="77"/>
  <c r="W20" i="77"/>
  <c r="W22" i="77"/>
  <c r="W43" i="77"/>
  <c r="V6" i="77"/>
  <c r="V7" i="77"/>
  <c r="V8" i="77"/>
  <c r="V9" i="77"/>
  <c r="V10" i="77"/>
  <c r="V13" i="77"/>
  <c r="V14" i="77"/>
  <c r="V15" i="77"/>
  <c r="V16" i="77"/>
  <c r="V17" i="77"/>
  <c r="V18" i="77"/>
  <c r="V19" i="77"/>
  <c r="V20" i="77"/>
  <c r="V43" i="77"/>
  <c r="U6" i="77"/>
  <c r="U7" i="77"/>
  <c r="U8" i="77"/>
  <c r="U9" i="77"/>
  <c r="U10" i="77"/>
  <c r="U13" i="77"/>
  <c r="U14" i="77"/>
  <c r="U15" i="77"/>
  <c r="U16" i="77"/>
  <c r="U17" i="77"/>
  <c r="U18" i="77"/>
  <c r="U19" i="77"/>
  <c r="U20" i="77"/>
  <c r="U43" i="77"/>
  <c r="T6" i="77"/>
  <c r="T7" i="77"/>
  <c r="T8" i="77"/>
  <c r="T9" i="77"/>
  <c r="T10" i="77"/>
  <c r="T13" i="77"/>
  <c r="T14" i="77"/>
  <c r="T15" i="77"/>
  <c r="T16" i="77"/>
  <c r="T17" i="77"/>
  <c r="T18" i="77"/>
  <c r="T19" i="77"/>
  <c r="T20" i="77"/>
  <c r="T43" i="77"/>
  <c r="S6" i="77"/>
  <c r="S7" i="77"/>
  <c r="S8" i="77"/>
  <c r="S9" i="77"/>
  <c r="S10" i="77"/>
  <c r="S13" i="77"/>
  <c r="S14" i="77"/>
  <c r="S15" i="77"/>
  <c r="S16" i="77"/>
  <c r="S17" i="77"/>
  <c r="S18" i="77"/>
  <c r="S19" i="77"/>
  <c r="S20" i="77"/>
  <c r="S43" i="77"/>
  <c r="R6" i="77"/>
  <c r="R7" i="77"/>
  <c r="R8" i="77"/>
  <c r="R9" i="77"/>
  <c r="R10" i="77"/>
  <c r="R13" i="77"/>
  <c r="R14" i="77"/>
  <c r="R15" i="77"/>
  <c r="R16" i="77"/>
  <c r="R17" i="77"/>
  <c r="R18" i="77"/>
  <c r="R19" i="77"/>
  <c r="R20" i="77"/>
  <c r="R43" i="77"/>
  <c r="Q6" i="77"/>
  <c r="Q7" i="77"/>
  <c r="Q8" i="77"/>
  <c r="Q9" i="77"/>
  <c r="Q10" i="77"/>
  <c r="Q13" i="77"/>
  <c r="Q14" i="77"/>
  <c r="Q15" i="77"/>
  <c r="Q16" i="77"/>
  <c r="Q17" i="77"/>
  <c r="Q18" i="77"/>
  <c r="Q19" i="77"/>
  <c r="Q20" i="77"/>
  <c r="Q43" i="77"/>
  <c r="DD42" i="77"/>
  <c r="CF42" i="77"/>
  <c r="BT42" i="77"/>
  <c r="AL42" i="77"/>
  <c r="AK42" i="77"/>
  <c r="AJ42" i="77"/>
  <c r="AI42" i="77"/>
  <c r="AH42" i="77"/>
  <c r="AG42" i="77"/>
  <c r="AF42" i="77"/>
  <c r="AE42" i="77"/>
  <c r="AD42" i="77"/>
  <c r="AC42" i="77"/>
  <c r="AB42" i="77"/>
  <c r="AA42" i="77"/>
  <c r="Z42" i="77"/>
  <c r="Y42" i="77"/>
  <c r="X42" i="77"/>
  <c r="W42" i="77"/>
  <c r="V42" i="77"/>
  <c r="U42" i="77"/>
  <c r="T42" i="77"/>
  <c r="S42" i="77"/>
  <c r="R42" i="77"/>
  <c r="Q42" i="77"/>
  <c r="O42" i="77"/>
  <c r="N42" i="77"/>
  <c r="J42" i="77"/>
  <c r="I42" i="77"/>
  <c r="H42" i="77"/>
  <c r="G42" i="77"/>
  <c r="F42" i="77"/>
  <c r="E42" i="77"/>
  <c r="G113" i="20"/>
  <c r="D42" i="77"/>
  <c r="C42" i="77"/>
  <c r="B42" i="77"/>
  <c r="A38" i="77"/>
  <c r="A37" i="77"/>
  <c r="A36" i="77"/>
  <c r="A35" i="77"/>
  <c r="A34" i="77"/>
  <c r="A33" i="77"/>
  <c r="A32" i="77"/>
  <c r="A31" i="77"/>
  <c r="A30" i="77"/>
  <c r="A29" i="77"/>
  <c r="A28" i="77"/>
  <c r="A27" i="77"/>
  <c r="A26" i="77"/>
  <c r="A25" i="77"/>
  <c r="AH24" i="77"/>
  <c r="AG24" i="77"/>
  <c r="AF24" i="77"/>
  <c r="AE24" i="77"/>
  <c r="AD24" i="77"/>
  <c r="AC24" i="77"/>
  <c r="AB24" i="77"/>
  <c r="AA24" i="77"/>
  <c r="Z24" i="77"/>
  <c r="Y24" i="77"/>
  <c r="J23" i="77"/>
  <c r="I23" i="77"/>
  <c r="H23" i="77"/>
  <c r="A22" i="77"/>
  <c r="A21" i="77"/>
  <c r="A20" i="77"/>
  <c r="A19" i="77"/>
  <c r="A18" i="77"/>
  <c r="A17" i="77"/>
  <c r="A16" i="77"/>
  <c r="A15" i="77"/>
  <c r="A14" i="77"/>
  <c r="A13" i="77"/>
  <c r="J12" i="77"/>
  <c r="I12" i="77"/>
  <c r="H12" i="77"/>
  <c r="J11" i="77"/>
  <c r="I11" i="77"/>
  <c r="H11" i="77"/>
  <c r="A10" i="77"/>
  <c r="J9" i="77"/>
  <c r="I9" i="77"/>
  <c r="H9" i="77"/>
  <c r="J8" i="77"/>
  <c r="I8" i="77"/>
  <c r="H8" i="77"/>
  <c r="J7" i="77"/>
  <c r="I7" i="77"/>
  <c r="H7" i="77"/>
  <c r="J6" i="77"/>
  <c r="I6" i="77"/>
  <c r="H6" i="77"/>
  <c r="J5" i="77"/>
  <c r="I5" i="77"/>
  <c r="H5" i="77"/>
  <c r="J4" i="77"/>
  <c r="I4" i="77"/>
  <c r="H4" i="77"/>
  <c r="GL3" i="77"/>
  <c r="GK3" i="77"/>
  <c r="G2" i="77"/>
  <c r="F2" i="77"/>
  <c r="E2" i="77"/>
  <c r="D110" i="20"/>
  <c r="D2" i="77"/>
  <c r="C2" i="77"/>
  <c r="B2" i="77"/>
  <c r="HU4" i="76"/>
  <c r="HU5" i="76"/>
  <c r="HU6" i="76"/>
  <c r="HU7" i="76"/>
  <c r="HU9" i="76"/>
  <c r="HU17" i="76"/>
  <c r="HU18" i="76"/>
  <c r="HU19" i="76"/>
  <c r="HU34" i="76"/>
  <c r="HU35" i="76"/>
  <c r="HU36" i="76"/>
  <c r="HU39" i="76"/>
  <c r="HU42" i="76"/>
  <c r="HU44" i="76"/>
  <c r="HU45" i="76"/>
  <c r="HU46" i="76"/>
  <c r="HU47" i="76"/>
  <c r="HU53" i="76"/>
  <c r="HU55" i="76"/>
  <c r="HU68" i="76"/>
  <c r="HU88" i="76"/>
  <c r="HU90" i="76"/>
  <c r="HU91" i="76"/>
  <c r="HU96" i="76"/>
  <c r="HU97" i="76"/>
  <c r="HU98" i="76"/>
  <c r="HU99" i="76"/>
  <c r="HU130" i="76"/>
  <c r="HT4" i="76"/>
  <c r="HT5" i="76"/>
  <c r="HT6" i="76"/>
  <c r="HT7" i="76"/>
  <c r="HT9" i="76"/>
  <c r="HT17" i="76"/>
  <c r="HT18" i="76"/>
  <c r="HT19" i="76"/>
  <c r="HT34" i="76"/>
  <c r="HT35" i="76"/>
  <c r="HT36" i="76"/>
  <c r="HT39" i="76"/>
  <c r="HT42" i="76"/>
  <c r="HT44" i="76"/>
  <c r="HT45" i="76"/>
  <c r="HT46" i="76"/>
  <c r="HT47" i="76"/>
  <c r="HT53" i="76"/>
  <c r="HT55" i="76"/>
  <c r="HT68" i="76"/>
  <c r="HT88" i="76"/>
  <c r="HT90" i="76"/>
  <c r="HT91" i="76"/>
  <c r="HT96" i="76"/>
  <c r="HT97" i="76"/>
  <c r="HT98" i="76"/>
  <c r="HT99" i="76"/>
  <c r="HT130" i="76"/>
  <c r="HQ2" i="76"/>
  <c r="HQ3" i="76"/>
  <c r="HQ9" i="76"/>
  <c r="HQ17" i="76"/>
  <c r="HQ18" i="76"/>
  <c r="HQ19" i="76"/>
  <c r="HQ34" i="76"/>
  <c r="HQ35" i="76"/>
  <c r="HQ36" i="76"/>
  <c r="HQ43" i="76"/>
  <c r="HQ46" i="76"/>
  <c r="HQ47" i="76"/>
  <c r="HQ53" i="76"/>
  <c r="HQ55" i="76"/>
  <c r="HQ68" i="76"/>
  <c r="HQ88" i="76"/>
  <c r="HQ90" i="76"/>
  <c r="HQ91" i="76"/>
  <c r="HQ93" i="76"/>
  <c r="HQ94" i="76"/>
  <c r="HQ95" i="76"/>
  <c r="HQ130" i="76"/>
  <c r="HP2" i="76"/>
  <c r="HP3" i="76"/>
  <c r="HP9" i="76"/>
  <c r="HP17" i="76"/>
  <c r="HP18" i="76"/>
  <c r="HP19" i="76"/>
  <c r="HP34" i="76"/>
  <c r="HP35" i="76"/>
  <c r="HP36" i="76"/>
  <c r="HP39" i="76"/>
  <c r="HP43" i="76"/>
  <c r="HP46" i="76"/>
  <c r="HP47" i="76"/>
  <c r="HP53" i="76"/>
  <c r="HP55" i="76"/>
  <c r="HP68" i="76"/>
  <c r="HP88" i="76"/>
  <c r="HP90" i="76"/>
  <c r="HP91" i="76"/>
  <c r="HP93" i="76"/>
  <c r="HP94" i="76"/>
  <c r="HP95" i="76"/>
  <c r="HP130" i="76"/>
  <c r="HM7" i="76"/>
  <c r="HM8" i="76"/>
  <c r="HM9" i="76"/>
  <c r="HM17" i="76"/>
  <c r="HM18" i="76"/>
  <c r="HM19" i="76"/>
  <c r="HM34" i="76"/>
  <c r="HM35" i="76"/>
  <c r="HM36" i="76"/>
  <c r="HM38" i="76"/>
  <c r="HM39" i="76"/>
  <c r="HM42" i="76"/>
  <c r="HM43" i="76"/>
  <c r="HM46" i="76"/>
  <c r="HM47" i="76"/>
  <c r="HM53" i="76"/>
  <c r="HM55" i="76"/>
  <c r="HM60" i="76"/>
  <c r="HM68" i="76"/>
  <c r="HM88" i="76"/>
  <c r="HM89" i="76"/>
  <c r="HM90" i="76"/>
  <c r="HM91" i="76"/>
  <c r="HM92" i="76"/>
  <c r="HM130" i="76"/>
  <c r="HL2" i="76"/>
  <c r="HL7" i="76"/>
  <c r="HL8" i="76"/>
  <c r="HL9" i="76"/>
  <c r="HL17" i="76"/>
  <c r="HL18" i="76"/>
  <c r="HL19" i="76"/>
  <c r="HL34" i="76"/>
  <c r="HL35" i="76"/>
  <c r="HL36" i="76"/>
  <c r="HL38" i="76"/>
  <c r="HL39" i="76"/>
  <c r="HL42" i="76"/>
  <c r="HL43" i="76"/>
  <c r="HL46" i="76"/>
  <c r="HL47" i="76"/>
  <c r="HL53" i="76"/>
  <c r="HL55" i="76"/>
  <c r="HL60" i="76"/>
  <c r="HL68" i="76"/>
  <c r="HL88" i="76"/>
  <c r="HL89" i="76"/>
  <c r="HL90" i="76"/>
  <c r="HL91" i="76"/>
  <c r="HL92" i="76"/>
  <c r="HL130" i="76"/>
  <c r="HK2" i="76"/>
  <c r="HK9" i="76"/>
  <c r="HK10" i="76"/>
  <c r="HK12" i="76"/>
  <c r="HK17" i="76"/>
  <c r="HK18" i="76"/>
  <c r="HK19" i="76"/>
  <c r="HK34" i="76"/>
  <c r="HK35" i="76"/>
  <c r="HK36" i="76"/>
  <c r="HK38" i="76"/>
  <c r="HK42" i="76"/>
  <c r="HK43" i="76"/>
  <c r="HK46" i="76"/>
  <c r="HK47" i="76"/>
  <c r="HK50" i="76"/>
  <c r="HK51" i="76"/>
  <c r="HK52" i="76"/>
  <c r="HK54" i="76"/>
  <c r="HK58" i="76"/>
  <c r="HK60" i="76"/>
  <c r="HK68" i="76"/>
  <c r="HK69" i="76"/>
  <c r="HK73" i="76"/>
  <c r="HK81" i="76"/>
  <c r="HK86" i="76"/>
  <c r="HK87" i="76"/>
  <c r="HK88" i="76"/>
  <c r="HK130" i="76"/>
  <c r="HJ2" i="76"/>
  <c r="HJ9" i="76"/>
  <c r="HJ10" i="76"/>
  <c r="HJ12" i="76"/>
  <c r="HJ17" i="76"/>
  <c r="HJ18" i="76"/>
  <c r="HJ19" i="76"/>
  <c r="HJ34" i="76"/>
  <c r="HJ35" i="76"/>
  <c r="HJ36" i="76"/>
  <c r="HJ38" i="76"/>
  <c r="HJ42" i="76"/>
  <c r="HJ43" i="76"/>
  <c r="HJ46" i="76"/>
  <c r="HJ47" i="76"/>
  <c r="HJ50" i="76"/>
  <c r="HJ51" i="76"/>
  <c r="HJ52" i="76"/>
  <c r="HJ54" i="76"/>
  <c r="HJ58" i="76"/>
  <c r="HJ60" i="76"/>
  <c r="HJ68" i="76"/>
  <c r="HJ69" i="76"/>
  <c r="HJ73" i="76"/>
  <c r="HJ81" i="76"/>
  <c r="HJ86" i="76"/>
  <c r="HJ87" i="76"/>
  <c r="HJ88" i="76"/>
  <c r="HJ130" i="76"/>
  <c r="HI2" i="76"/>
  <c r="HI9" i="76"/>
  <c r="HI10" i="76"/>
  <c r="HI16" i="76"/>
  <c r="HI19" i="76"/>
  <c r="HI34" i="76"/>
  <c r="HI35" i="76"/>
  <c r="HI36" i="76"/>
  <c r="HI37" i="76"/>
  <c r="HI42" i="76"/>
  <c r="HI43" i="76"/>
  <c r="HI46" i="76"/>
  <c r="HI47" i="76"/>
  <c r="HI49" i="76"/>
  <c r="HI52" i="76"/>
  <c r="HI54" i="76"/>
  <c r="HI56" i="76"/>
  <c r="HI57" i="76"/>
  <c r="HI60" i="76"/>
  <c r="HI68" i="76"/>
  <c r="HI69" i="76"/>
  <c r="HI70" i="76"/>
  <c r="HI72" i="76"/>
  <c r="HI73" i="76"/>
  <c r="HI74" i="76"/>
  <c r="HI77" i="76"/>
  <c r="HI78" i="76"/>
  <c r="HI79" i="76"/>
  <c r="HI80" i="76"/>
  <c r="HI82" i="76"/>
  <c r="HI83" i="76"/>
  <c r="HI84" i="76"/>
  <c r="HI85" i="76"/>
  <c r="HI130" i="76"/>
  <c r="HH2" i="76"/>
  <c r="HH9" i="76"/>
  <c r="HH10" i="76"/>
  <c r="HH16" i="76"/>
  <c r="HH19" i="76"/>
  <c r="HH34" i="76"/>
  <c r="HH35" i="76"/>
  <c r="HH36" i="76"/>
  <c r="HH37" i="76"/>
  <c r="HH42" i="76"/>
  <c r="HH43" i="76"/>
  <c r="HH46" i="76"/>
  <c r="HH47" i="76"/>
  <c r="HH49" i="76"/>
  <c r="HH52" i="76"/>
  <c r="HH54" i="76"/>
  <c r="HH56" i="76"/>
  <c r="HH57" i="76"/>
  <c r="HH59" i="76"/>
  <c r="HH60" i="76"/>
  <c r="HH68" i="76"/>
  <c r="HH69" i="76"/>
  <c r="HH70" i="76"/>
  <c r="HH72" i="76"/>
  <c r="HH73" i="76"/>
  <c r="HH74" i="76"/>
  <c r="HH77" i="76"/>
  <c r="HH78" i="76"/>
  <c r="HH79" i="76"/>
  <c r="HH80" i="76"/>
  <c r="HH82" i="76"/>
  <c r="HH83" i="76"/>
  <c r="HH84" i="76"/>
  <c r="HH85" i="76"/>
  <c r="HH130" i="76"/>
  <c r="HG2" i="76"/>
  <c r="HG9" i="76"/>
  <c r="HG16" i="76"/>
  <c r="HG19" i="76"/>
  <c r="HG34" i="76"/>
  <c r="HG35" i="76"/>
  <c r="HG36" i="76"/>
  <c r="HG42" i="76"/>
  <c r="HG43" i="76"/>
  <c r="HG46" i="76"/>
  <c r="HG47" i="76"/>
  <c r="HG49" i="76"/>
  <c r="HG52" i="76"/>
  <c r="HG54" i="76"/>
  <c r="HG56" i="76"/>
  <c r="HG57" i="76"/>
  <c r="HG59" i="76"/>
  <c r="HG60" i="76"/>
  <c r="HG68" i="76"/>
  <c r="HG69" i="76"/>
  <c r="HG70" i="76"/>
  <c r="HG71" i="76"/>
  <c r="HG130" i="76"/>
  <c r="HF2" i="76"/>
  <c r="HF9" i="76"/>
  <c r="HF16" i="76"/>
  <c r="HF19" i="76"/>
  <c r="HF34" i="76"/>
  <c r="HF35" i="76"/>
  <c r="HF36" i="76"/>
  <c r="HF42" i="76"/>
  <c r="HF43" i="76"/>
  <c r="HF46" i="76"/>
  <c r="HF47" i="76"/>
  <c r="HF49" i="76"/>
  <c r="HF52" i="76"/>
  <c r="HF54" i="76"/>
  <c r="HF56" i="76"/>
  <c r="HF57" i="76"/>
  <c r="HF59" i="76"/>
  <c r="HF60" i="76"/>
  <c r="HF68" i="76"/>
  <c r="HF69" i="76"/>
  <c r="HF70" i="76"/>
  <c r="HF71" i="76"/>
  <c r="HF130" i="76"/>
  <c r="HE2" i="76"/>
  <c r="HE9" i="76"/>
  <c r="HE16" i="76"/>
  <c r="HE19" i="76"/>
  <c r="HE34" i="76"/>
  <c r="HE35" i="76"/>
  <c r="HE36" i="76"/>
  <c r="HE42" i="76"/>
  <c r="HE43" i="76"/>
  <c r="HE46" i="76"/>
  <c r="HE47" i="76"/>
  <c r="HE49" i="76"/>
  <c r="HE52" i="76"/>
  <c r="HE54" i="76"/>
  <c r="HE56" i="76"/>
  <c r="HE57" i="76"/>
  <c r="HE59" i="76"/>
  <c r="HE60" i="76"/>
  <c r="HE68" i="76"/>
  <c r="HE69" i="76"/>
  <c r="HE130" i="76"/>
  <c r="HD2" i="76"/>
  <c r="HD9" i="76"/>
  <c r="HD16" i="76"/>
  <c r="HD19" i="76"/>
  <c r="HD34" i="76"/>
  <c r="HD35" i="76"/>
  <c r="HD36" i="76"/>
  <c r="HD42" i="76"/>
  <c r="HD43" i="76"/>
  <c r="HD46" i="76"/>
  <c r="HD47" i="76"/>
  <c r="HD49" i="76"/>
  <c r="HD52" i="76"/>
  <c r="HD54" i="76"/>
  <c r="HD56" i="76"/>
  <c r="HD57" i="76"/>
  <c r="HD59" i="76"/>
  <c r="HD60" i="76"/>
  <c r="HD68" i="76"/>
  <c r="HD69" i="76"/>
  <c r="HD130" i="76"/>
  <c r="HC2" i="76"/>
  <c r="HC9" i="76"/>
  <c r="HC16" i="76"/>
  <c r="HC19" i="76"/>
  <c r="HC34" i="76"/>
  <c r="HC35" i="76"/>
  <c r="HC36" i="76"/>
  <c r="HC37" i="76"/>
  <c r="HC38" i="76"/>
  <c r="HC42" i="76"/>
  <c r="HC43" i="76"/>
  <c r="HC46" i="76"/>
  <c r="HC47" i="76"/>
  <c r="HC48" i="76"/>
  <c r="HC52" i="76"/>
  <c r="HC54" i="76"/>
  <c r="HC56" i="76"/>
  <c r="HC57" i="76"/>
  <c r="HC130" i="76"/>
  <c r="HB2" i="76"/>
  <c r="HB9" i="76"/>
  <c r="HB16" i="76"/>
  <c r="HB19" i="76"/>
  <c r="HB34" i="76"/>
  <c r="HB35" i="76"/>
  <c r="HB36" i="76"/>
  <c r="HB37" i="76"/>
  <c r="HB38" i="76"/>
  <c r="HB42" i="76"/>
  <c r="HB43" i="76"/>
  <c r="HB46" i="76"/>
  <c r="HB47" i="76"/>
  <c r="HB48" i="76"/>
  <c r="HB52" i="76"/>
  <c r="HB54" i="76"/>
  <c r="HB56" i="76"/>
  <c r="HB57" i="76"/>
  <c r="HB130" i="76"/>
  <c r="GF2" i="76"/>
  <c r="GF130" i="76"/>
  <c r="GE2" i="76"/>
  <c r="GE9" i="76"/>
  <c r="GE16" i="76"/>
  <c r="GE19" i="76"/>
  <c r="GE34" i="76"/>
  <c r="GE36" i="76"/>
  <c r="GE41" i="76"/>
  <c r="GE42" i="76"/>
  <c r="GE46" i="76"/>
  <c r="GE47" i="76"/>
  <c r="GE52" i="76"/>
  <c r="GE54" i="76"/>
  <c r="GE66" i="76"/>
  <c r="GE76" i="76"/>
  <c r="GE122" i="76"/>
  <c r="GE124" i="76"/>
  <c r="GE125" i="76"/>
  <c r="GE126" i="76"/>
  <c r="GE127" i="76"/>
  <c r="GE130" i="76"/>
  <c r="GD2" i="76"/>
  <c r="GD9" i="76"/>
  <c r="GD16" i="76"/>
  <c r="GD19" i="76"/>
  <c r="GD34" i="76"/>
  <c r="GD35" i="76"/>
  <c r="GD36" i="76"/>
  <c r="GD40" i="76"/>
  <c r="GD41" i="76"/>
  <c r="GD42" i="76"/>
  <c r="GD43" i="76"/>
  <c r="GD46" i="76"/>
  <c r="GD47" i="76"/>
  <c r="GD52" i="76"/>
  <c r="GD54" i="76"/>
  <c r="GD57" i="76"/>
  <c r="GD62" i="76"/>
  <c r="GD66" i="76"/>
  <c r="GD76" i="76"/>
  <c r="GD122" i="76"/>
  <c r="GD124" i="76"/>
  <c r="GD125" i="76"/>
  <c r="GD126" i="76"/>
  <c r="GD127" i="76"/>
  <c r="GD128" i="76"/>
  <c r="GD130" i="76"/>
  <c r="GC2" i="76"/>
  <c r="GC9" i="76"/>
  <c r="GC34" i="76"/>
  <c r="GC130" i="76"/>
  <c r="GB2" i="76"/>
  <c r="GB9" i="76"/>
  <c r="GB16" i="76"/>
  <c r="GB19" i="76"/>
  <c r="GB34" i="76"/>
  <c r="GB36" i="76"/>
  <c r="GB42" i="76"/>
  <c r="GB46" i="76"/>
  <c r="GB47" i="76"/>
  <c r="GB52" i="76"/>
  <c r="GB57" i="76"/>
  <c r="GB76" i="76"/>
  <c r="GB122" i="76"/>
  <c r="GB124" i="76"/>
  <c r="GB126" i="76"/>
  <c r="GB127" i="76"/>
  <c r="GB130" i="76"/>
  <c r="GA2" i="76"/>
  <c r="GA9" i="76"/>
  <c r="GA16" i="76"/>
  <c r="GA19" i="76"/>
  <c r="GA34" i="76"/>
  <c r="GA35" i="76"/>
  <c r="GA36" i="76"/>
  <c r="GA40" i="76"/>
  <c r="GA41" i="76"/>
  <c r="GA42" i="76"/>
  <c r="GA43" i="76"/>
  <c r="GA46" i="76"/>
  <c r="GA47" i="76"/>
  <c r="GA52" i="76"/>
  <c r="GA57" i="76"/>
  <c r="GA62" i="76"/>
  <c r="GA76" i="76"/>
  <c r="GA122" i="76"/>
  <c r="GA124" i="76"/>
  <c r="GA125" i="76"/>
  <c r="GA126" i="76"/>
  <c r="GA127" i="76"/>
  <c r="GA128" i="76"/>
  <c r="GA130" i="76"/>
  <c r="FZ52" i="76"/>
  <c r="FZ130" i="76"/>
  <c r="FY2" i="76"/>
  <c r="FY9" i="76"/>
  <c r="FY16" i="76"/>
  <c r="FY34" i="76"/>
  <c r="FY36" i="76"/>
  <c r="FY41" i="76"/>
  <c r="FY42" i="76"/>
  <c r="FY46" i="76"/>
  <c r="FY47" i="76"/>
  <c r="FY52" i="76"/>
  <c r="FY57" i="76"/>
  <c r="FY66" i="76"/>
  <c r="FY76" i="76"/>
  <c r="FY122" i="76"/>
  <c r="FY124" i="76"/>
  <c r="FY125" i="76"/>
  <c r="FY127" i="76"/>
  <c r="FY128" i="76"/>
  <c r="FY130" i="76"/>
  <c r="FX2" i="76"/>
  <c r="FX9" i="76"/>
  <c r="FX16" i="76"/>
  <c r="FX19" i="76"/>
  <c r="FX34" i="76"/>
  <c r="FX35" i="76"/>
  <c r="FX36" i="76"/>
  <c r="FX40" i="76"/>
  <c r="FX41" i="76"/>
  <c r="FX42" i="76"/>
  <c r="FX43" i="76"/>
  <c r="FX46" i="76"/>
  <c r="FX47" i="76"/>
  <c r="FX52" i="76"/>
  <c r="FX57" i="76"/>
  <c r="FX62" i="76"/>
  <c r="FX66" i="76"/>
  <c r="FX76" i="76"/>
  <c r="FX122" i="76"/>
  <c r="FX124" i="76"/>
  <c r="FX125" i="76"/>
  <c r="FX126" i="76"/>
  <c r="FX127" i="76"/>
  <c r="FX128" i="76"/>
  <c r="FX130" i="76"/>
  <c r="FW2" i="76"/>
  <c r="FW130" i="76"/>
  <c r="FV2" i="76"/>
  <c r="FV9" i="76"/>
  <c r="FV16" i="76"/>
  <c r="FV19" i="76"/>
  <c r="FV34" i="76"/>
  <c r="FV36" i="76"/>
  <c r="FV41" i="76"/>
  <c r="FV42" i="76"/>
  <c r="FV46" i="76"/>
  <c r="FV47" i="76"/>
  <c r="FV52" i="76"/>
  <c r="FV57" i="76"/>
  <c r="FV76" i="76"/>
  <c r="FV124" i="76"/>
  <c r="FV125" i="76"/>
  <c r="FV128" i="76"/>
  <c r="FV130" i="76"/>
  <c r="FU2" i="76"/>
  <c r="FU9" i="76"/>
  <c r="FU16" i="76"/>
  <c r="FU19" i="76"/>
  <c r="FU34" i="76"/>
  <c r="FU35" i="76"/>
  <c r="FU36" i="76"/>
  <c r="FU40" i="76"/>
  <c r="FU41" i="76"/>
  <c r="FU42" i="76"/>
  <c r="FU43" i="76"/>
  <c r="FU46" i="76"/>
  <c r="FU47" i="76"/>
  <c r="FU52" i="76"/>
  <c r="FU57" i="76"/>
  <c r="FU61" i="76"/>
  <c r="FU76" i="76"/>
  <c r="FU122" i="76"/>
  <c r="FU124" i="76"/>
  <c r="FU125" i="76"/>
  <c r="FU127" i="76"/>
  <c r="FU128" i="76"/>
  <c r="FU130" i="76"/>
  <c r="FT2" i="76"/>
  <c r="FT9" i="76"/>
  <c r="FT42" i="76"/>
  <c r="FT64" i="76"/>
  <c r="FT128" i="76"/>
  <c r="FT130" i="76"/>
  <c r="FS2" i="76"/>
  <c r="FS9" i="76"/>
  <c r="FS16" i="76"/>
  <c r="FS19" i="76"/>
  <c r="FS34" i="76"/>
  <c r="FS36" i="76"/>
  <c r="FS41" i="76"/>
  <c r="FS42" i="76"/>
  <c r="FS47" i="76"/>
  <c r="FS52" i="76"/>
  <c r="FS64" i="76"/>
  <c r="FS75" i="76"/>
  <c r="FS76" i="76"/>
  <c r="FS122" i="76"/>
  <c r="FS124" i="76"/>
  <c r="FS125" i="76"/>
  <c r="FS127" i="76"/>
  <c r="FS128" i="76"/>
  <c r="FS130" i="76"/>
  <c r="FR2" i="76"/>
  <c r="FR9" i="76"/>
  <c r="FR16" i="76"/>
  <c r="FR19" i="76"/>
  <c r="FR34" i="76"/>
  <c r="FR35" i="76"/>
  <c r="FR36" i="76"/>
  <c r="FR40" i="76"/>
  <c r="FR41" i="76"/>
  <c r="FR42" i="76"/>
  <c r="FR43" i="76"/>
  <c r="FR46" i="76"/>
  <c r="FR47" i="76"/>
  <c r="FR52" i="76"/>
  <c r="FR57" i="76"/>
  <c r="FR61" i="76"/>
  <c r="FR64" i="76"/>
  <c r="FR75" i="76"/>
  <c r="FR76" i="76"/>
  <c r="FR122" i="76"/>
  <c r="FR123" i="76"/>
  <c r="FR124" i="76"/>
  <c r="FR125" i="76"/>
  <c r="FR126" i="76"/>
  <c r="FR127" i="76"/>
  <c r="FR128" i="76"/>
  <c r="FR130" i="76"/>
  <c r="FQ9" i="76"/>
  <c r="FQ42" i="76"/>
  <c r="FQ61" i="76"/>
  <c r="FQ64" i="76"/>
  <c r="FQ75" i="76"/>
  <c r="FQ130" i="76"/>
  <c r="FP2" i="76"/>
  <c r="FP9" i="76"/>
  <c r="FP16" i="76"/>
  <c r="FP19" i="76"/>
  <c r="FP34" i="76"/>
  <c r="FP36" i="76"/>
  <c r="FP41" i="76"/>
  <c r="FP42" i="76"/>
  <c r="FP46" i="76"/>
  <c r="FP47" i="76"/>
  <c r="FP57" i="76"/>
  <c r="FP64" i="76"/>
  <c r="FP75" i="76"/>
  <c r="FP76" i="76"/>
  <c r="FP122" i="76"/>
  <c r="FP124" i="76"/>
  <c r="FP130" i="76"/>
  <c r="FO2" i="76"/>
  <c r="FO9" i="76"/>
  <c r="FO16" i="76"/>
  <c r="FO19" i="76"/>
  <c r="FO34" i="76"/>
  <c r="FO35" i="76"/>
  <c r="FO36" i="76"/>
  <c r="FO40" i="76"/>
  <c r="FO41" i="76"/>
  <c r="FO42" i="76"/>
  <c r="FO43" i="76"/>
  <c r="FO46" i="76"/>
  <c r="FO47" i="76"/>
  <c r="FO57" i="76"/>
  <c r="FO61" i="76"/>
  <c r="FO64" i="76"/>
  <c r="FO75" i="76"/>
  <c r="FO76" i="76"/>
  <c r="FO122" i="76"/>
  <c r="FO123" i="76"/>
  <c r="FO124" i="76"/>
  <c r="FO125" i="76"/>
  <c r="FO130" i="76"/>
  <c r="FN16" i="76"/>
  <c r="FN64" i="76"/>
  <c r="FN130" i="76"/>
  <c r="FM2" i="76"/>
  <c r="FM9" i="76"/>
  <c r="FM16" i="76"/>
  <c r="FM34" i="76"/>
  <c r="FM35" i="76"/>
  <c r="FM36" i="76"/>
  <c r="FM42" i="76"/>
  <c r="FM47" i="76"/>
  <c r="FM64" i="76"/>
  <c r="FM75" i="76"/>
  <c r="FM76" i="76"/>
  <c r="FM122" i="76"/>
  <c r="FM130" i="76"/>
  <c r="FL2" i="76"/>
  <c r="FL9" i="76"/>
  <c r="FL16" i="76"/>
  <c r="FL19" i="76"/>
  <c r="FL34" i="76"/>
  <c r="FL35" i="76"/>
  <c r="FL36" i="76"/>
  <c r="FL40" i="76"/>
  <c r="FL41" i="76"/>
  <c r="FL42" i="76"/>
  <c r="FL47" i="76"/>
  <c r="FL57" i="76"/>
  <c r="FL61" i="76"/>
  <c r="FL64" i="76"/>
  <c r="FL75" i="76"/>
  <c r="FL76" i="76"/>
  <c r="FL122" i="76"/>
  <c r="FL123" i="76"/>
  <c r="FL124" i="76"/>
  <c r="FL130" i="76"/>
  <c r="FH64" i="76"/>
  <c r="FH130" i="76"/>
  <c r="FG2" i="76"/>
  <c r="FG10" i="76"/>
  <c r="FG16" i="76"/>
  <c r="FG17" i="76"/>
  <c r="FG19" i="76"/>
  <c r="FG36" i="76"/>
  <c r="FG41" i="76"/>
  <c r="FG42" i="76"/>
  <c r="FG47" i="76"/>
  <c r="FG57" i="76"/>
  <c r="FG64" i="76"/>
  <c r="FG65" i="76"/>
  <c r="FG75" i="76"/>
  <c r="FG122" i="76"/>
  <c r="FG130" i="76"/>
  <c r="FF2" i="76"/>
  <c r="FF9" i="76"/>
  <c r="FF10" i="76"/>
  <c r="FF11" i="76"/>
  <c r="FF16" i="76"/>
  <c r="FF17" i="76"/>
  <c r="FF18" i="76"/>
  <c r="FF19" i="76"/>
  <c r="FF34" i="76"/>
  <c r="FF35" i="76"/>
  <c r="FF36" i="76"/>
  <c r="FF40" i="76"/>
  <c r="FF41" i="76"/>
  <c r="FF42" i="76"/>
  <c r="FF47" i="76"/>
  <c r="FF57" i="76"/>
  <c r="FF61" i="76"/>
  <c r="FF64" i="76"/>
  <c r="FF65" i="76"/>
  <c r="FF75" i="76"/>
  <c r="FF121" i="76"/>
  <c r="FF122" i="76"/>
  <c r="FF130" i="76"/>
  <c r="FE2" i="76"/>
  <c r="FE10" i="76"/>
  <c r="FE16" i="76"/>
  <c r="FE64" i="76"/>
  <c r="FE130" i="76"/>
  <c r="FD2" i="76"/>
  <c r="FD10" i="76"/>
  <c r="FD16" i="76"/>
  <c r="FD19" i="76"/>
  <c r="FD36" i="76"/>
  <c r="FD41" i="76"/>
  <c r="FD42" i="76"/>
  <c r="FD47" i="76"/>
  <c r="FD57" i="76"/>
  <c r="FD64" i="76"/>
  <c r="FD75" i="76"/>
  <c r="FD130" i="76"/>
  <c r="FC2" i="76"/>
  <c r="FC9" i="76"/>
  <c r="FC10" i="76"/>
  <c r="FC11" i="76"/>
  <c r="FC16" i="76"/>
  <c r="FC19" i="76"/>
  <c r="FC34" i="76"/>
  <c r="FC35" i="76"/>
  <c r="FC36" i="76"/>
  <c r="FC40" i="76"/>
  <c r="FC41" i="76"/>
  <c r="FC42" i="76"/>
  <c r="FC46" i="76"/>
  <c r="FC47" i="76"/>
  <c r="FC57" i="76"/>
  <c r="FC61" i="76"/>
  <c r="FC64" i="76"/>
  <c r="FC65" i="76"/>
  <c r="FC75" i="76"/>
  <c r="FC120" i="76"/>
  <c r="FC121" i="76"/>
  <c r="FC130" i="76"/>
  <c r="EJ2" i="76"/>
  <c r="EJ16" i="76"/>
  <c r="EJ130" i="76"/>
  <c r="EI2" i="76"/>
  <c r="EI10" i="76"/>
  <c r="EI16" i="76"/>
  <c r="EI130" i="76"/>
  <c r="EH2" i="76"/>
  <c r="EH9" i="76"/>
  <c r="EH10" i="76"/>
  <c r="EH16" i="76"/>
  <c r="EH42" i="76"/>
  <c r="EH67" i="76"/>
  <c r="EH118" i="76"/>
  <c r="EH130" i="76"/>
  <c r="EG2" i="76"/>
  <c r="EG42" i="76"/>
  <c r="EG46" i="76"/>
  <c r="EG61" i="76"/>
  <c r="EG63" i="76"/>
  <c r="EG116" i="76"/>
  <c r="EG119" i="76"/>
  <c r="EG130" i="76"/>
  <c r="EF2" i="76"/>
  <c r="EF9" i="76"/>
  <c r="EF10" i="76"/>
  <c r="EF16" i="76"/>
  <c r="EF34" i="76"/>
  <c r="EF42" i="76"/>
  <c r="EF46" i="76"/>
  <c r="EF61" i="76"/>
  <c r="EF63" i="76"/>
  <c r="EF75" i="76"/>
  <c r="EF116" i="76"/>
  <c r="EF118" i="76"/>
  <c r="EF119" i="76"/>
  <c r="EF130" i="76"/>
  <c r="EE2" i="76"/>
  <c r="EE9" i="76"/>
  <c r="EE10" i="76"/>
  <c r="EE16" i="76"/>
  <c r="EE26" i="76"/>
  <c r="EE34" i="76"/>
  <c r="EE42" i="76"/>
  <c r="EE46" i="76"/>
  <c r="EE61" i="76"/>
  <c r="EE63" i="76"/>
  <c r="EE75" i="76"/>
  <c r="EE116" i="76"/>
  <c r="EE118" i="76"/>
  <c r="EE119" i="76"/>
  <c r="EE130" i="76"/>
  <c r="ED26" i="76"/>
  <c r="ED42" i="76"/>
  <c r="ED74" i="76"/>
  <c r="ED130" i="76"/>
  <c r="EC2" i="76"/>
  <c r="EC9" i="76"/>
  <c r="EC10" i="76"/>
  <c r="EC16" i="76"/>
  <c r="EC26" i="76"/>
  <c r="EC34" i="76"/>
  <c r="EC42" i="76"/>
  <c r="EC46" i="76"/>
  <c r="EC61" i="76"/>
  <c r="EC63" i="76"/>
  <c r="EC74" i="76"/>
  <c r="EC75" i="76"/>
  <c r="EC116" i="76"/>
  <c r="EC130" i="76"/>
  <c r="EB2" i="76"/>
  <c r="EB9" i="76"/>
  <c r="EB10" i="76"/>
  <c r="EB16" i="76"/>
  <c r="EB26" i="76"/>
  <c r="EB34" i="76"/>
  <c r="EB42" i="76"/>
  <c r="EB46" i="76"/>
  <c r="EB61" i="76"/>
  <c r="EB63" i="76"/>
  <c r="EB74" i="76"/>
  <c r="EB75" i="76"/>
  <c r="EB116" i="76"/>
  <c r="EB130" i="76"/>
  <c r="EA2" i="76"/>
  <c r="EA9" i="76"/>
  <c r="EA16" i="76"/>
  <c r="EA34" i="76"/>
  <c r="EA42" i="76"/>
  <c r="EA130" i="76"/>
  <c r="DZ2" i="76"/>
  <c r="DZ9" i="76"/>
  <c r="DZ10" i="76"/>
  <c r="DZ16" i="76"/>
  <c r="DZ34" i="76"/>
  <c r="DZ42" i="76"/>
  <c r="DZ46" i="76"/>
  <c r="DZ75" i="76"/>
  <c r="DZ130" i="76"/>
  <c r="DY2" i="76"/>
  <c r="DY9" i="76"/>
  <c r="DY10" i="76"/>
  <c r="DY16" i="76"/>
  <c r="DY34" i="76"/>
  <c r="DY42" i="76"/>
  <c r="DY46" i="76"/>
  <c r="DY61" i="76"/>
  <c r="DY63" i="76"/>
  <c r="DY75" i="76"/>
  <c r="DY116" i="76"/>
  <c r="DY130" i="76"/>
  <c r="DJ2" i="76"/>
  <c r="DJ7" i="76"/>
  <c r="DJ9" i="76"/>
  <c r="DJ10" i="76"/>
  <c r="DJ16" i="76"/>
  <c r="DJ34" i="76"/>
  <c r="DJ46" i="76"/>
  <c r="DJ61" i="76"/>
  <c r="DJ95" i="76"/>
  <c r="DJ130" i="76"/>
  <c r="DC2" i="76"/>
  <c r="DC7" i="76"/>
  <c r="DC9" i="76"/>
  <c r="DC10" i="76"/>
  <c r="DC16" i="76"/>
  <c r="DC34" i="76"/>
  <c r="DC46" i="76"/>
  <c r="DC95" i="76"/>
  <c r="DC115" i="76"/>
  <c r="DC116" i="76"/>
  <c r="DC117" i="76"/>
  <c r="DC130" i="76"/>
  <c r="DB2" i="76"/>
  <c r="DB7" i="76"/>
  <c r="DB9" i="76"/>
  <c r="DB10" i="76"/>
  <c r="DB16" i="76"/>
  <c r="DB26" i="76"/>
  <c r="DB34" i="76"/>
  <c r="DB46" i="76"/>
  <c r="DB95" i="76"/>
  <c r="DB115" i="76"/>
  <c r="DB116" i="76"/>
  <c r="DB117" i="76"/>
  <c r="DB130" i="76"/>
  <c r="DA2" i="76"/>
  <c r="DA7" i="76"/>
  <c r="DA9" i="76"/>
  <c r="DA10" i="76"/>
  <c r="DA16" i="76"/>
  <c r="DA26" i="76"/>
  <c r="DA34" i="76"/>
  <c r="DA46" i="76"/>
  <c r="DA61" i="76"/>
  <c r="DA95" i="76"/>
  <c r="DA115" i="76"/>
  <c r="DA116" i="76"/>
  <c r="DA117" i="76"/>
  <c r="DA130" i="76"/>
  <c r="CZ130" i="76"/>
  <c r="CY130" i="76"/>
  <c r="CX2" i="76"/>
  <c r="CX7" i="76"/>
  <c r="CX9" i="76"/>
  <c r="CX10" i="76"/>
  <c r="CX16" i="76"/>
  <c r="CX46" i="76"/>
  <c r="CX61" i="76"/>
  <c r="CX115" i="76"/>
  <c r="CX130" i="76"/>
  <c r="CU2" i="76"/>
  <c r="CU7" i="76"/>
  <c r="CU9" i="76"/>
  <c r="CU10" i="76"/>
  <c r="CU16" i="76"/>
  <c r="CU46" i="76"/>
  <c r="CU60" i="76"/>
  <c r="CU115" i="76"/>
  <c r="CU130" i="76"/>
  <c r="CR2" i="76"/>
  <c r="CR7" i="76"/>
  <c r="CR9" i="76"/>
  <c r="CR10" i="76"/>
  <c r="CR16" i="76"/>
  <c r="CR46" i="76"/>
  <c r="CR60" i="76"/>
  <c r="CR115" i="76"/>
  <c r="CR130" i="76"/>
  <c r="CO2" i="76"/>
  <c r="CO7" i="76"/>
  <c r="CO9" i="76"/>
  <c r="CO10" i="76"/>
  <c r="CO16" i="76"/>
  <c r="CO46" i="76"/>
  <c r="CO60" i="76"/>
  <c r="CO115" i="76"/>
  <c r="CO130" i="76"/>
  <c r="CL2" i="76"/>
  <c r="CL7" i="76"/>
  <c r="CL9" i="76"/>
  <c r="CL10" i="76"/>
  <c r="CL16" i="76"/>
  <c r="CL46" i="76"/>
  <c r="CL60" i="76"/>
  <c r="CL115" i="76"/>
  <c r="CL130" i="76"/>
  <c r="CI2" i="76"/>
  <c r="CI7" i="76"/>
  <c r="CI9" i="76"/>
  <c r="CI10" i="76"/>
  <c r="CI16" i="76"/>
  <c r="CI46" i="76"/>
  <c r="CI60" i="76"/>
  <c r="CI115" i="76"/>
  <c r="CI130" i="76"/>
  <c r="BS2" i="76"/>
  <c r="BS7" i="76"/>
  <c r="BS9" i="76"/>
  <c r="BS10" i="76"/>
  <c r="BS13" i="76"/>
  <c r="BS16" i="76"/>
  <c r="BS19" i="76"/>
  <c r="BS46" i="76"/>
  <c r="BS61" i="76"/>
  <c r="BS130" i="76"/>
  <c r="BR2" i="76"/>
  <c r="BR7" i="76"/>
  <c r="BR9" i="76"/>
  <c r="BR10" i="76"/>
  <c r="BR13" i="76"/>
  <c r="BR16" i="76"/>
  <c r="BR19" i="76"/>
  <c r="BR46" i="76"/>
  <c r="BR61" i="76"/>
  <c r="BR130" i="76"/>
  <c r="BQ2" i="76"/>
  <c r="BQ7" i="76"/>
  <c r="BQ9" i="76"/>
  <c r="BQ10" i="76"/>
  <c r="BQ13" i="76"/>
  <c r="BQ16" i="76"/>
  <c r="BQ19" i="76"/>
  <c r="BQ46" i="76"/>
  <c r="BQ61" i="76"/>
  <c r="BQ130" i="76"/>
  <c r="BN2" i="76"/>
  <c r="E1125" i="26"/>
  <c r="BN9" i="76"/>
  <c r="BN10" i="76"/>
  <c r="BN16" i="76"/>
  <c r="E1126" i="26"/>
  <c r="BN19" i="76"/>
  <c r="BN46" i="76"/>
  <c r="BN100" i="76"/>
  <c r="BN103" i="76"/>
  <c r="BN104" i="76"/>
  <c r="BN106" i="76"/>
  <c r="BN111" i="76"/>
  <c r="BN112" i="76"/>
  <c r="BN130" i="76"/>
  <c r="BM2" i="76"/>
  <c r="D1125" i="26"/>
  <c r="BM9" i="76"/>
  <c r="BM10" i="76"/>
  <c r="BM16" i="76"/>
  <c r="D1126" i="26"/>
  <c r="BM19" i="76"/>
  <c r="BM46" i="76"/>
  <c r="BM100" i="76"/>
  <c r="BM103" i="76"/>
  <c r="BM104" i="76"/>
  <c r="BM106" i="76"/>
  <c r="BM111" i="76"/>
  <c r="BM112" i="76"/>
  <c r="BM130" i="76"/>
  <c r="BL2" i="76"/>
  <c r="BL9" i="76"/>
  <c r="BL10" i="76"/>
  <c r="BL16" i="76"/>
  <c r="BL19" i="76"/>
  <c r="BL46" i="76"/>
  <c r="BL77" i="76"/>
  <c r="BL100" i="76"/>
  <c r="BL103" i="76"/>
  <c r="BL104" i="76"/>
  <c r="BL106" i="76"/>
  <c r="BL109" i="76"/>
  <c r="BL111" i="76"/>
  <c r="BL130" i="76"/>
  <c r="BK2" i="76"/>
  <c r="BK9" i="76"/>
  <c r="BK10" i="76"/>
  <c r="BK16" i="76"/>
  <c r="BK19" i="76"/>
  <c r="BK46" i="76"/>
  <c r="BK77" i="76"/>
  <c r="BK100" i="76"/>
  <c r="BK103" i="76"/>
  <c r="BK104" i="76"/>
  <c r="BK106" i="76"/>
  <c r="BK109" i="76"/>
  <c r="BK111" i="76"/>
  <c r="BK113" i="76"/>
  <c r="BK114" i="76"/>
  <c r="BK130" i="76"/>
  <c r="BJ2" i="76"/>
  <c r="BJ9" i="76"/>
  <c r="BJ10" i="76"/>
  <c r="BJ16" i="76"/>
  <c r="BJ19" i="76"/>
  <c r="BJ26" i="76"/>
  <c r="BJ27" i="76"/>
  <c r="BJ28" i="76"/>
  <c r="BJ46" i="76"/>
  <c r="BJ77" i="76"/>
  <c r="BJ100" i="76"/>
  <c r="BJ101" i="76"/>
  <c r="BJ103" i="76"/>
  <c r="BJ104" i="76"/>
  <c r="BJ106" i="76"/>
  <c r="BJ109" i="76"/>
  <c r="BJ111" i="76"/>
  <c r="BJ130" i="76"/>
  <c r="BI2" i="76"/>
  <c r="BI9" i="76"/>
  <c r="BI10" i="76"/>
  <c r="BI16" i="76"/>
  <c r="BI19" i="76"/>
  <c r="BI26" i="76"/>
  <c r="BI27" i="76"/>
  <c r="BI28" i="76"/>
  <c r="BI46" i="76"/>
  <c r="BI77" i="76"/>
  <c r="BI100" i="76"/>
  <c r="BI101" i="76"/>
  <c r="BI103" i="76"/>
  <c r="BI104" i="76"/>
  <c r="BI106" i="76"/>
  <c r="BI109" i="76"/>
  <c r="BI111" i="76"/>
  <c r="BI113" i="76"/>
  <c r="BI130" i="76"/>
  <c r="BH2" i="76"/>
  <c r="BH9" i="76"/>
  <c r="BH10" i="76"/>
  <c r="BH16" i="76"/>
  <c r="BH19" i="76"/>
  <c r="BH27" i="76"/>
  <c r="BH28" i="76"/>
  <c r="BH46" i="76"/>
  <c r="BH77" i="76"/>
  <c r="BH100" i="76"/>
  <c r="BH101" i="76"/>
  <c r="BH103" i="76"/>
  <c r="BH104" i="76"/>
  <c r="BH106" i="76"/>
  <c r="BH109" i="76"/>
  <c r="BH111" i="76"/>
  <c r="BH112" i="76"/>
  <c r="BH130" i="76"/>
  <c r="BG2" i="76"/>
  <c r="BG9" i="76"/>
  <c r="BG10" i="76"/>
  <c r="BG16" i="76"/>
  <c r="BG19" i="76"/>
  <c r="BG26" i="76"/>
  <c r="BG27" i="76"/>
  <c r="BG28" i="76"/>
  <c r="BG46" i="76"/>
  <c r="BG77" i="76"/>
  <c r="BG100" i="76"/>
  <c r="BG101" i="76"/>
  <c r="BG103" i="76"/>
  <c r="BG104" i="76"/>
  <c r="BG106" i="76"/>
  <c r="BG109" i="76"/>
  <c r="BG111" i="76"/>
  <c r="BG112" i="76"/>
  <c r="BG130" i="76"/>
  <c r="BF2" i="76"/>
  <c r="BF9" i="76"/>
  <c r="BF10" i="76"/>
  <c r="BF16" i="76"/>
  <c r="BF27" i="76"/>
  <c r="BF28" i="76"/>
  <c r="BF46" i="76"/>
  <c r="BF77" i="76"/>
  <c r="BF100" i="76"/>
  <c r="BF101" i="76"/>
  <c r="BF103" i="76"/>
  <c r="BF104" i="76"/>
  <c r="BF109" i="76"/>
  <c r="BF111" i="76"/>
  <c r="BF112" i="76"/>
  <c r="BF130" i="76"/>
  <c r="BE2" i="76"/>
  <c r="BE9" i="76"/>
  <c r="BE10" i="76"/>
  <c r="BE16" i="76"/>
  <c r="BE19" i="76"/>
  <c r="BE27" i="76"/>
  <c r="BE28" i="76"/>
  <c r="BE37" i="76"/>
  <c r="BE46" i="76"/>
  <c r="BE77" i="76"/>
  <c r="BE100" i="76"/>
  <c r="BE101" i="76"/>
  <c r="BE103" i="76"/>
  <c r="BE104" i="76"/>
  <c r="BE109" i="76"/>
  <c r="BE111" i="76"/>
  <c r="BE112" i="76"/>
  <c r="BE130" i="76"/>
  <c r="BD2" i="76"/>
  <c r="BD9" i="76"/>
  <c r="BD10" i="76"/>
  <c r="BD12" i="76"/>
  <c r="BD15" i="76"/>
  <c r="BD16" i="76"/>
  <c r="BD19" i="76"/>
  <c r="BD20" i="76"/>
  <c r="BD21" i="76"/>
  <c r="BD22" i="76"/>
  <c r="BD26" i="76"/>
  <c r="BD27" i="76"/>
  <c r="BD28" i="76"/>
  <c r="BD77" i="76"/>
  <c r="BD100" i="76"/>
  <c r="BD101" i="76"/>
  <c r="BD103" i="76"/>
  <c r="BD104" i="76"/>
  <c r="BD106" i="76"/>
  <c r="BD109" i="76"/>
  <c r="BD110" i="76"/>
  <c r="BD111" i="76"/>
  <c r="BD130" i="76"/>
  <c r="BC2" i="76"/>
  <c r="BC9" i="76"/>
  <c r="BC10" i="76"/>
  <c r="BC12" i="76"/>
  <c r="BC15" i="76"/>
  <c r="BC16" i="76"/>
  <c r="BC19" i="76"/>
  <c r="BC20" i="76"/>
  <c r="BC21" i="76"/>
  <c r="BC22" i="76"/>
  <c r="BC26" i="76"/>
  <c r="BC27" i="76"/>
  <c r="BC28" i="76"/>
  <c r="BC77" i="76"/>
  <c r="BC100" i="76"/>
  <c r="BC101" i="76"/>
  <c r="BC103" i="76"/>
  <c r="BC104" i="76"/>
  <c r="BC106" i="76"/>
  <c r="BC109" i="76"/>
  <c r="BC110" i="76"/>
  <c r="BC111" i="76"/>
  <c r="BC130" i="76"/>
  <c r="BB2" i="76"/>
  <c r="BB9" i="76"/>
  <c r="BB10" i="76"/>
  <c r="BB12" i="76"/>
  <c r="BB15" i="76"/>
  <c r="BB16" i="76"/>
  <c r="BB19" i="76"/>
  <c r="BB20" i="76"/>
  <c r="BB21" i="76"/>
  <c r="BB22" i="76"/>
  <c r="BB23" i="76"/>
  <c r="BB25" i="76"/>
  <c r="BB26" i="76"/>
  <c r="BB27" i="76"/>
  <c r="BB46" i="76"/>
  <c r="BB77" i="76"/>
  <c r="BB100" i="76"/>
  <c r="BB101" i="76"/>
  <c r="BB102" i="76"/>
  <c r="BB103" i="76"/>
  <c r="BB105" i="76"/>
  <c r="BB106" i="76"/>
  <c r="BB130" i="76"/>
  <c r="BA2" i="76"/>
  <c r="BA9" i="76"/>
  <c r="BA10" i="76"/>
  <c r="BA12" i="76"/>
  <c r="BA15" i="76"/>
  <c r="BA16" i="76"/>
  <c r="BA19" i="76"/>
  <c r="BA20" i="76"/>
  <c r="BA21" i="76"/>
  <c r="BA22" i="76"/>
  <c r="BA23" i="76"/>
  <c r="BA25" i="76"/>
  <c r="BA26" i="76"/>
  <c r="BA27" i="76"/>
  <c r="BA46" i="76"/>
  <c r="BA77" i="76"/>
  <c r="BA100" i="76"/>
  <c r="BA101" i="76"/>
  <c r="BA102" i="76"/>
  <c r="BA103" i="76"/>
  <c r="BA105" i="76"/>
  <c r="BA106" i="76"/>
  <c r="BA130" i="76"/>
  <c r="AZ2" i="76"/>
  <c r="AZ9" i="76"/>
  <c r="AZ10" i="76"/>
  <c r="AZ12" i="76"/>
  <c r="AZ15" i="76"/>
  <c r="AZ16" i="76"/>
  <c r="AZ19" i="76"/>
  <c r="AZ20" i="76"/>
  <c r="AZ21" i="76"/>
  <c r="AZ22" i="76"/>
  <c r="AZ25" i="76"/>
  <c r="AZ26" i="76"/>
  <c r="AZ27" i="76"/>
  <c r="AZ77" i="76"/>
  <c r="AZ100" i="76"/>
  <c r="AZ101" i="76"/>
  <c r="AZ102" i="76"/>
  <c r="AZ103" i="76"/>
  <c r="AZ105" i="76"/>
  <c r="AZ106" i="76"/>
  <c r="AZ130" i="76"/>
  <c r="AY2" i="76"/>
  <c r="AY9" i="76"/>
  <c r="AY10" i="76"/>
  <c r="AY12" i="76"/>
  <c r="AY15" i="76"/>
  <c r="AY16" i="76"/>
  <c r="AY19" i="76"/>
  <c r="AY20" i="76"/>
  <c r="AY21" i="76"/>
  <c r="AY22" i="76"/>
  <c r="AY25" i="76"/>
  <c r="AY26" i="76"/>
  <c r="AY27" i="76"/>
  <c r="AY77" i="76"/>
  <c r="AY100" i="76"/>
  <c r="AY101" i="76"/>
  <c r="AY102" i="76"/>
  <c r="AY103" i="76"/>
  <c r="AY105" i="76"/>
  <c r="AY106" i="76"/>
  <c r="AY107" i="76"/>
  <c r="AY130" i="76"/>
  <c r="AX2" i="76"/>
  <c r="AX9" i="76"/>
  <c r="AX10" i="76"/>
  <c r="AX12" i="76"/>
  <c r="AX15" i="76"/>
  <c r="AX16" i="76"/>
  <c r="AX19" i="76"/>
  <c r="AX20" i="76"/>
  <c r="AX21" i="76"/>
  <c r="AX22" i="76"/>
  <c r="AX23" i="76"/>
  <c r="AX25" i="76"/>
  <c r="AX26" i="76"/>
  <c r="AX27" i="76"/>
  <c r="AX77" i="76"/>
  <c r="AX100" i="76"/>
  <c r="AX101" i="76"/>
  <c r="AX102" i="76"/>
  <c r="AX103" i="76"/>
  <c r="AX105" i="76"/>
  <c r="AX106" i="76"/>
  <c r="AX107" i="76"/>
  <c r="AX108" i="76"/>
  <c r="AX130" i="76"/>
  <c r="AW2" i="76"/>
  <c r="AW9" i="76"/>
  <c r="AW10" i="76"/>
  <c r="AW12" i="76"/>
  <c r="AW15" i="76"/>
  <c r="AW16" i="76"/>
  <c r="AW19" i="76"/>
  <c r="AW20" i="76"/>
  <c r="AW21" i="76"/>
  <c r="AW22" i="76"/>
  <c r="AW23" i="76"/>
  <c r="AW25" i="76"/>
  <c r="AW26" i="76"/>
  <c r="AW27" i="76"/>
  <c r="AW77" i="76"/>
  <c r="AW100" i="76"/>
  <c r="AW101" i="76"/>
  <c r="AW102" i="76"/>
  <c r="AW103" i="76"/>
  <c r="AW105" i="76"/>
  <c r="AW106" i="76"/>
  <c r="AW107" i="76"/>
  <c r="AW108" i="76"/>
  <c r="AW130" i="76"/>
  <c r="AQ2" i="76"/>
  <c r="AQ9" i="76"/>
  <c r="AQ10" i="76"/>
  <c r="AQ12" i="76"/>
  <c r="AQ15" i="76"/>
  <c r="AQ16" i="76"/>
  <c r="AQ19" i="76"/>
  <c r="AQ20" i="76"/>
  <c r="AQ21" i="76"/>
  <c r="AQ22" i="76"/>
  <c r="AQ23" i="76"/>
  <c r="AQ24" i="76"/>
  <c r="AQ27" i="76"/>
  <c r="AQ28" i="76"/>
  <c r="AQ31" i="76"/>
  <c r="AQ33" i="76"/>
  <c r="AQ130" i="76"/>
  <c r="AP2" i="76"/>
  <c r="AP9" i="76"/>
  <c r="AP10" i="76"/>
  <c r="AP12" i="76"/>
  <c r="AP15" i="76"/>
  <c r="AP16" i="76"/>
  <c r="AP19" i="76"/>
  <c r="AP20" i="76"/>
  <c r="AP21" i="76"/>
  <c r="AP22" i="76"/>
  <c r="AP23" i="76"/>
  <c r="AP24" i="76"/>
  <c r="AP27" i="76"/>
  <c r="AP28" i="76"/>
  <c r="AP31" i="76"/>
  <c r="AP33" i="76"/>
  <c r="AP130" i="76"/>
  <c r="AO2" i="76"/>
  <c r="AO9" i="76"/>
  <c r="AO10" i="76"/>
  <c r="AO12" i="76"/>
  <c r="AO15" i="76"/>
  <c r="AO16" i="76"/>
  <c r="AO19" i="76"/>
  <c r="AO20" i="76"/>
  <c r="AO21" i="76"/>
  <c r="AO22" i="76"/>
  <c r="AO23" i="76"/>
  <c r="AO24" i="76"/>
  <c r="AO27" i="76"/>
  <c r="AO28" i="76"/>
  <c r="AO31" i="76"/>
  <c r="AO33" i="76"/>
  <c r="AO130" i="76"/>
  <c r="AN20" i="76"/>
  <c r="AN24" i="76"/>
  <c r="AN130" i="76"/>
  <c r="AM20" i="76"/>
  <c r="AM24" i="76"/>
  <c r="AM130" i="76"/>
  <c r="AL20" i="76"/>
  <c r="AL24" i="76"/>
  <c r="AL130" i="76"/>
  <c r="AK10" i="76"/>
  <c r="AK12" i="76"/>
  <c r="AK32" i="76"/>
  <c r="AK130" i="76"/>
  <c r="AJ130" i="76"/>
  <c r="AI130" i="76"/>
  <c r="HU129" i="76"/>
  <c r="HT129" i="76"/>
  <c r="HS129" i="76"/>
  <c r="HR129" i="76"/>
  <c r="HQ129" i="76"/>
  <c r="HP129" i="76"/>
  <c r="HO129" i="76"/>
  <c r="HN129" i="76"/>
  <c r="HM129" i="76"/>
  <c r="HL129" i="76"/>
  <c r="HK129" i="76"/>
  <c r="HJ129" i="76"/>
  <c r="HI129" i="76"/>
  <c r="HH129" i="76"/>
  <c r="HG129" i="76"/>
  <c r="HF129" i="76"/>
  <c r="HE129" i="76"/>
  <c r="HD129" i="76"/>
  <c r="HC129" i="76"/>
  <c r="HB129" i="76"/>
  <c r="GF129" i="76"/>
  <c r="GE129" i="76"/>
  <c r="GD129" i="76"/>
  <c r="GC129" i="76"/>
  <c r="GB129" i="76"/>
  <c r="GA129" i="76"/>
  <c r="FZ129" i="76"/>
  <c r="FY129" i="76"/>
  <c r="FX129" i="76"/>
  <c r="FW129" i="76"/>
  <c r="FV129" i="76"/>
  <c r="FU129" i="76"/>
  <c r="FT129" i="76"/>
  <c r="FS129" i="76"/>
  <c r="FR129" i="76"/>
  <c r="FP129" i="76"/>
  <c r="FO129" i="76"/>
  <c r="FM129" i="76"/>
  <c r="FL129" i="76"/>
  <c r="FH129" i="76"/>
  <c r="FG129" i="76"/>
  <c r="FF129" i="76"/>
  <c r="FE129" i="76"/>
  <c r="FD129" i="76"/>
  <c r="FC129" i="76"/>
  <c r="EJ129" i="76"/>
  <c r="EI129" i="76"/>
  <c r="EH129" i="76"/>
  <c r="EG129" i="76"/>
  <c r="EF129" i="76"/>
  <c r="EE129" i="76"/>
  <c r="ED129" i="76"/>
  <c r="EC129" i="76"/>
  <c r="EB129" i="76"/>
  <c r="EA129" i="76"/>
  <c r="DZ129" i="76"/>
  <c r="DY129" i="76"/>
  <c r="DW129" i="76"/>
  <c r="DV129" i="76"/>
  <c r="DJ129" i="76"/>
  <c r="DC129" i="76"/>
  <c r="DB129" i="76"/>
  <c r="DA129" i="76"/>
  <c r="CX129" i="76"/>
  <c r="CU129" i="76"/>
  <c r="CR129" i="76"/>
  <c r="CO129" i="76"/>
  <c r="CL129" i="76"/>
  <c r="CI129" i="76"/>
  <c r="BS129" i="76"/>
  <c r="BR129" i="76"/>
  <c r="BQ129" i="76"/>
  <c r="BP129" i="76"/>
  <c r="BO129" i="76"/>
  <c r="BN129" i="76"/>
  <c r="BM129" i="76"/>
  <c r="BL129" i="76"/>
  <c r="BK129" i="76"/>
  <c r="BJ129" i="76"/>
  <c r="BI129" i="76"/>
  <c r="BH129" i="76"/>
  <c r="BG129" i="76"/>
  <c r="BF129" i="76"/>
  <c r="BE129" i="76"/>
  <c r="BD129" i="76"/>
  <c r="BC129" i="76"/>
  <c r="BB129" i="76"/>
  <c r="BA129" i="76"/>
  <c r="AZ129" i="76"/>
  <c r="AY129" i="76"/>
  <c r="AX129" i="76"/>
  <c r="AW129" i="76"/>
  <c r="AV129" i="76"/>
  <c r="AU129" i="76"/>
  <c r="AQ129" i="76"/>
  <c r="AP129" i="76"/>
  <c r="AO129" i="76"/>
  <c r="AK129" i="76"/>
  <c r="A128" i="76"/>
  <c r="A127" i="76"/>
  <c r="A126" i="76"/>
  <c r="A125" i="76"/>
  <c r="A124" i="76"/>
  <c r="A123" i="76"/>
  <c r="A119" i="76"/>
  <c r="EU118" i="76"/>
  <c r="ET118" i="76"/>
  <c r="ER118" i="76"/>
  <c r="EQ118" i="76"/>
  <c r="EN118" i="76"/>
  <c r="A118" i="76"/>
  <c r="A117" i="76"/>
  <c r="A116" i="76"/>
  <c r="A115" i="76"/>
  <c r="BL114" i="76"/>
  <c r="A114" i="76"/>
  <c r="BL113" i="76"/>
  <c r="BJ113" i="76"/>
  <c r="A113" i="76"/>
  <c r="A112" i="76"/>
  <c r="A111" i="76"/>
  <c r="A110" i="76"/>
  <c r="A109" i="76"/>
  <c r="A108" i="76"/>
  <c r="AZ107" i="76"/>
  <c r="A107" i="76"/>
  <c r="A106" i="76"/>
  <c r="A105" i="76"/>
  <c r="A103" i="76"/>
  <c r="A102" i="76"/>
  <c r="A101" i="76"/>
  <c r="A100" i="76"/>
  <c r="A76" i="76"/>
  <c r="HO68" i="76"/>
  <c r="HN68" i="76"/>
  <c r="A67" i="76"/>
  <c r="A62" i="76"/>
  <c r="FA57" i="76"/>
  <c r="EZ57" i="76"/>
  <c r="EX57" i="76"/>
  <c r="EW57" i="76"/>
  <c r="HO34" i="76"/>
  <c r="HN34" i="76"/>
  <c r="DW34" i="76"/>
  <c r="DV34" i="76"/>
  <c r="A26" i="76"/>
  <c r="A25" i="76"/>
  <c r="AH21" i="76"/>
  <c r="AK19" i="76"/>
  <c r="AH19" i="76"/>
  <c r="EZ18" i="76"/>
  <c r="EX18" i="76"/>
  <c r="EW18" i="76"/>
  <c r="FA17" i="76"/>
  <c r="EZ17" i="76"/>
  <c r="EX17" i="76"/>
  <c r="EW17" i="76"/>
  <c r="GW16" i="76"/>
  <c r="GV16" i="76"/>
  <c r="GT16" i="76"/>
  <c r="GS16" i="76"/>
  <c r="GQ16" i="76"/>
  <c r="GP16" i="76"/>
  <c r="GN16" i="76"/>
  <c r="GM16" i="76"/>
  <c r="GK16" i="76"/>
  <c r="GJ16" i="76"/>
  <c r="GH16" i="76"/>
  <c r="GG16" i="76"/>
  <c r="FK16" i="76"/>
  <c r="FJ16" i="76"/>
  <c r="FI16" i="76"/>
  <c r="EV16" i="76"/>
  <c r="EU16" i="76"/>
  <c r="ET16" i="76"/>
  <c r="ES16" i="76"/>
  <c r="ER16" i="76"/>
  <c r="EQ16" i="76"/>
  <c r="DV16" i="76"/>
  <c r="DQ16" i="76"/>
  <c r="DP16" i="76"/>
  <c r="CF16" i="76"/>
  <c r="AK16" i="76"/>
  <c r="Y16" i="76"/>
  <c r="E16" i="76"/>
  <c r="B16" i="76"/>
  <c r="AK15" i="76"/>
  <c r="A13" i="76"/>
  <c r="AE10" i="76"/>
  <c r="HO9" i="76"/>
  <c r="HN9" i="76"/>
  <c r="P9" i="76"/>
  <c r="HS4" i="76"/>
  <c r="HR4" i="76"/>
  <c r="HU2" i="76"/>
  <c r="HT2" i="76"/>
  <c r="HS2" i="76"/>
  <c r="HR2" i="76"/>
  <c r="HO2" i="76"/>
  <c r="HN2" i="76"/>
  <c r="HM2" i="76"/>
  <c r="GX2" i="76"/>
  <c r="GW2" i="76"/>
  <c r="Q16" i="59"/>
  <c r="GV2" i="76"/>
  <c r="GU2" i="76"/>
  <c r="GT2" i="76"/>
  <c r="N16" i="59"/>
  <c r="GS2" i="76"/>
  <c r="GR2" i="76"/>
  <c r="GQ2" i="76"/>
  <c r="GP2" i="76"/>
  <c r="GO2" i="76"/>
  <c r="GN2" i="76"/>
  <c r="GM2" i="76"/>
  <c r="GL2" i="76"/>
  <c r="GK2" i="76"/>
  <c r="GJ2" i="76"/>
  <c r="GI2" i="76"/>
  <c r="GH2" i="76"/>
  <c r="GG2" i="76"/>
  <c r="FI2" i="76"/>
  <c r="FB2" i="76"/>
  <c r="FA2" i="76"/>
  <c r="EZ2" i="76"/>
  <c r="EY2" i="76"/>
  <c r="EX2" i="76"/>
  <c r="EW2" i="76"/>
  <c r="EV2" i="76"/>
  <c r="EU2" i="76"/>
  <c r="ET2" i="76"/>
  <c r="ER2" i="76"/>
  <c r="EQ2" i="76"/>
  <c r="EN2" i="76"/>
  <c r="DW2" i="76"/>
  <c r="DV2" i="76"/>
  <c r="DS2" i="76"/>
  <c r="DR2" i="76"/>
  <c r="DQ2" i="76"/>
  <c r="DP2" i="76"/>
  <c r="V6" i="38"/>
  <c r="DO2" i="76"/>
  <c r="DN2" i="76"/>
  <c r="DM2" i="76"/>
  <c r="DI2" i="76"/>
  <c r="DH2" i="76"/>
  <c r="DG2" i="76"/>
  <c r="DE2" i="76"/>
  <c r="DD2" i="76"/>
  <c r="CF2" i="76"/>
  <c r="CC2" i="76"/>
  <c r="BO2" i="76"/>
  <c r="AR2" i="76"/>
  <c r="E2" i="76"/>
  <c r="B2" i="76"/>
  <c r="HU4" i="75"/>
  <c r="HU5" i="75"/>
  <c r="HU6" i="75"/>
  <c r="HU7" i="75"/>
  <c r="HU9" i="75"/>
  <c r="HU17" i="75"/>
  <c r="HU18" i="75"/>
  <c r="HU19" i="75"/>
  <c r="HU34" i="75"/>
  <c r="HU35" i="75"/>
  <c r="HU36" i="75"/>
  <c r="HU39" i="75"/>
  <c r="HU42" i="75"/>
  <c r="HU44" i="75"/>
  <c r="HU45" i="75"/>
  <c r="HU46" i="75"/>
  <c r="HU47" i="75"/>
  <c r="HU53" i="75"/>
  <c r="HU55" i="75"/>
  <c r="HU68" i="75"/>
  <c r="HU88" i="75"/>
  <c r="HU90" i="75"/>
  <c r="HU91" i="75"/>
  <c r="HU96" i="75"/>
  <c r="HU97" i="75"/>
  <c r="HU98" i="75"/>
  <c r="HU99" i="75"/>
  <c r="HU130" i="75"/>
  <c r="HT4" i="75"/>
  <c r="HT5" i="75"/>
  <c r="HT6" i="75"/>
  <c r="HT7" i="75"/>
  <c r="HT9" i="75"/>
  <c r="HT17" i="75"/>
  <c r="HT18" i="75"/>
  <c r="HT19" i="75"/>
  <c r="HT34" i="75"/>
  <c r="HT35" i="75"/>
  <c r="HT36" i="75"/>
  <c r="HT39" i="75"/>
  <c r="HT42" i="75"/>
  <c r="HT44" i="75"/>
  <c r="HT45" i="75"/>
  <c r="HT46" i="75"/>
  <c r="HT47" i="75"/>
  <c r="HT53" i="75"/>
  <c r="HT55" i="75"/>
  <c r="HT68" i="75"/>
  <c r="HT88" i="75"/>
  <c r="HT90" i="75"/>
  <c r="HT91" i="75"/>
  <c r="HT96" i="75"/>
  <c r="HT97" i="75"/>
  <c r="HT98" i="75"/>
  <c r="HT99" i="75"/>
  <c r="HT130" i="75"/>
  <c r="HQ2" i="75"/>
  <c r="HQ3" i="75"/>
  <c r="HQ9" i="75"/>
  <c r="HQ17" i="75"/>
  <c r="HQ18" i="75"/>
  <c r="HQ19" i="75"/>
  <c r="HQ34" i="75"/>
  <c r="HQ35" i="75"/>
  <c r="HQ36" i="75"/>
  <c r="HQ43" i="75"/>
  <c r="HQ46" i="75"/>
  <c r="HQ47" i="75"/>
  <c r="HQ53" i="75"/>
  <c r="HQ55" i="75"/>
  <c r="HQ68" i="75"/>
  <c r="HQ88" i="75"/>
  <c r="HQ90" i="75"/>
  <c r="HQ91" i="75"/>
  <c r="HQ93" i="75"/>
  <c r="HQ94" i="75"/>
  <c r="HQ95" i="75"/>
  <c r="HQ130" i="75"/>
  <c r="HP2" i="75"/>
  <c r="HP3" i="75"/>
  <c r="HP9" i="75"/>
  <c r="HP17" i="75"/>
  <c r="HP18" i="75"/>
  <c r="HP19" i="75"/>
  <c r="HP34" i="75"/>
  <c r="HP35" i="75"/>
  <c r="HP36" i="75"/>
  <c r="HP39" i="75"/>
  <c r="HP43" i="75"/>
  <c r="HP46" i="75"/>
  <c r="HP47" i="75"/>
  <c r="HP53" i="75"/>
  <c r="HP55" i="75"/>
  <c r="HP68" i="75"/>
  <c r="HP88" i="75"/>
  <c r="HP90" i="75"/>
  <c r="HP91" i="75"/>
  <c r="HP93" i="75"/>
  <c r="HP94" i="75"/>
  <c r="HP95" i="75"/>
  <c r="HP130" i="75"/>
  <c r="HM7" i="75"/>
  <c r="HM8" i="75"/>
  <c r="HM9" i="75"/>
  <c r="HM17" i="75"/>
  <c r="HM18" i="75"/>
  <c r="HM19" i="75"/>
  <c r="HM34" i="75"/>
  <c r="HM35" i="75"/>
  <c r="HM36" i="75"/>
  <c r="HM38" i="75"/>
  <c r="HM39" i="75"/>
  <c r="HM42" i="75"/>
  <c r="HM43" i="75"/>
  <c r="HM46" i="75"/>
  <c r="HM47" i="75"/>
  <c r="HM53" i="75"/>
  <c r="HM55" i="75"/>
  <c r="HM60" i="75"/>
  <c r="HM68" i="75"/>
  <c r="HM88" i="75"/>
  <c r="HM89" i="75"/>
  <c r="HM90" i="75"/>
  <c r="HM91" i="75"/>
  <c r="HM92" i="75"/>
  <c r="HM130" i="75"/>
  <c r="HL2" i="75"/>
  <c r="HL7" i="75"/>
  <c r="HL8" i="75"/>
  <c r="HL9" i="75"/>
  <c r="HL17" i="75"/>
  <c r="HL18" i="75"/>
  <c r="HL19" i="75"/>
  <c r="HL34" i="75"/>
  <c r="HL35" i="75"/>
  <c r="HL36" i="75"/>
  <c r="HL38" i="75"/>
  <c r="HL39" i="75"/>
  <c r="HL42" i="75"/>
  <c r="HL43" i="75"/>
  <c r="HL46" i="75"/>
  <c r="HL47" i="75"/>
  <c r="HL53" i="75"/>
  <c r="HL55" i="75"/>
  <c r="HL60" i="75"/>
  <c r="HL68" i="75"/>
  <c r="HL88" i="75"/>
  <c r="HL89" i="75"/>
  <c r="HL90" i="75"/>
  <c r="HL91" i="75"/>
  <c r="HL92" i="75"/>
  <c r="HL130" i="75"/>
  <c r="HK2" i="75"/>
  <c r="HK9" i="75"/>
  <c r="HK10" i="75"/>
  <c r="HK12" i="75"/>
  <c r="HK17" i="75"/>
  <c r="HK18" i="75"/>
  <c r="HK19" i="75"/>
  <c r="HK34" i="75"/>
  <c r="HK35" i="75"/>
  <c r="HK36" i="75"/>
  <c r="HK38" i="75"/>
  <c r="HK42" i="75"/>
  <c r="HK43" i="75"/>
  <c r="HK46" i="75"/>
  <c r="HK47" i="75"/>
  <c r="HK50" i="75"/>
  <c r="HK51" i="75"/>
  <c r="HK52" i="75"/>
  <c r="HK54" i="75"/>
  <c r="HK58" i="75"/>
  <c r="HK60" i="75"/>
  <c r="HK68" i="75"/>
  <c r="HK69" i="75"/>
  <c r="HK73" i="75"/>
  <c r="HK81" i="75"/>
  <c r="HK86" i="75"/>
  <c r="HK87" i="75"/>
  <c r="HK88" i="75"/>
  <c r="HK130" i="75"/>
  <c r="HJ2" i="75"/>
  <c r="HJ9" i="75"/>
  <c r="HJ10" i="75"/>
  <c r="HJ12" i="75"/>
  <c r="HJ17" i="75"/>
  <c r="HJ18" i="75"/>
  <c r="HJ19" i="75"/>
  <c r="HJ34" i="75"/>
  <c r="HJ35" i="75"/>
  <c r="HJ36" i="75"/>
  <c r="HJ38" i="75"/>
  <c r="HJ42" i="75"/>
  <c r="HJ43" i="75"/>
  <c r="HJ46" i="75"/>
  <c r="HJ47" i="75"/>
  <c r="HJ50" i="75"/>
  <c r="HJ51" i="75"/>
  <c r="HJ52" i="75"/>
  <c r="HJ54" i="75"/>
  <c r="HJ58" i="75"/>
  <c r="HJ60" i="75"/>
  <c r="HJ68" i="75"/>
  <c r="HJ69" i="75"/>
  <c r="HJ73" i="75"/>
  <c r="HJ81" i="75"/>
  <c r="HJ86" i="75"/>
  <c r="HJ87" i="75"/>
  <c r="HJ88" i="75"/>
  <c r="HJ130" i="75"/>
  <c r="HI2" i="75"/>
  <c r="HI9" i="75"/>
  <c r="HI10" i="75"/>
  <c r="HI16" i="75"/>
  <c r="HI19" i="75"/>
  <c r="HI34" i="75"/>
  <c r="HI35" i="75"/>
  <c r="HI36" i="75"/>
  <c r="HI37" i="75"/>
  <c r="HI42" i="75"/>
  <c r="HI43" i="75"/>
  <c r="HI46" i="75"/>
  <c r="HI47" i="75"/>
  <c r="HI49" i="75"/>
  <c r="HI52" i="75"/>
  <c r="HI54" i="75"/>
  <c r="HI56" i="75"/>
  <c r="HI57" i="75"/>
  <c r="HI60" i="75"/>
  <c r="HI68" i="75"/>
  <c r="HI69" i="75"/>
  <c r="HI70" i="75"/>
  <c r="HI72" i="75"/>
  <c r="HI73" i="75"/>
  <c r="HI74" i="75"/>
  <c r="HI77" i="75"/>
  <c r="HI78" i="75"/>
  <c r="HI79" i="75"/>
  <c r="HI80" i="75"/>
  <c r="HI82" i="75"/>
  <c r="HI83" i="75"/>
  <c r="HI84" i="75"/>
  <c r="HI85" i="75"/>
  <c r="HI130" i="75"/>
  <c r="HH2" i="75"/>
  <c r="HH9" i="75"/>
  <c r="HH10" i="75"/>
  <c r="HH16" i="75"/>
  <c r="HH19" i="75"/>
  <c r="HH34" i="75"/>
  <c r="HH35" i="75"/>
  <c r="HH36" i="75"/>
  <c r="HH37" i="75"/>
  <c r="HH42" i="75"/>
  <c r="HH43" i="75"/>
  <c r="HH46" i="75"/>
  <c r="HH47" i="75"/>
  <c r="HH49" i="75"/>
  <c r="HH52" i="75"/>
  <c r="HH54" i="75"/>
  <c r="HH56" i="75"/>
  <c r="HH57" i="75"/>
  <c r="HH59" i="75"/>
  <c r="HH60" i="75"/>
  <c r="HH68" i="75"/>
  <c r="HH69" i="75"/>
  <c r="HH70" i="75"/>
  <c r="HH72" i="75"/>
  <c r="HH73" i="75"/>
  <c r="HH74" i="75"/>
  <c r="HH77" i="75"/>
  <c r="HH78" i="75"/>
  <c r="HH79" i="75"/>
  <c r="HH80" i="75"/>
  <c r="HH82" i="75"/>
  <c r="HH83" i="75"/>
  <c r="HH84" i="75"/>
  <c r="HH85" i="75"/>
  <c r="HH130" i="75"/>
  <c r="HG2" i="75"/>
  <c r="HG9" i="75"/>
  <c r="HG16" i="75"/>
  <c r="HG19" i="75"/>
  <c r="HG34" i="75"/>
  <c r="HG35" i="75"/>
  <c r="HG36" i="75"/>
  <c r="HG42" i="75"/>
  <c r="HG43" i="75"/>
  <c r="HG46" i="75"/>
  <c r="HG47" i="75"/>
  <c r="HG49" i="75"/>
  <c r="HG52" i="75"/>
  <c r="HG54" i="75"/>
  <c r="HG56" i="75"/>
  <c r="HG57" i="75"/>
  <c r="HG59" i="75"/>
  <c r="HG60" i="75"/>
  <c r="HG68" i="75"/>
  <c r="HG69" i="75"/>
  <c r="HG70" i="75"/>
  <c r="HG71" i="75"/>
  <c r="HG130" i="75"/>
  <c r="HF2" i="75"/>
  <c r="HF9" i="75"/>
  <c r="HF16" i="75"/>
  <c r="HF19" i="75"/>
  <c r="HF34" i="75"/>
  <c r="HF35" i="75"/>
  <c r="HF36" i="75"/>
  <c r="HF42" i="75"/>
  <c r="HF43" i="75"/>
  <c r="HF46" i="75"/>
  <c r="HF47" i="75"/>
  <c r="HF49" i="75"/>
  <c r="HF52" i="75"/>
  <c r="HF54" i="75"/>
  <c r="HF56" i="75"/>
  <c r="HF57" i="75"/>
  <c r="HF59" i="75"/>
  <c r="HF60" i="75"/>
  <c r="HF68" i="75"/>
  <c r="HF69" i="75"/>
  <c r="HF70" i="75"/>
  <c r="HF71" i="75"/>
  <c r="HF130" i="75"/>
  <c r="HE2" i="75"/>
  <c r="HE9" i="75"/>
  <c r="HE16" i="75"/>
  <c r="HE19" i="75"/>
  <c r="HE34" i="75"/>
  <c r="HE35" i="75"/>
  <c r="HE36" i="75"/>
  <c r="HE42" i="75"/>
  <c r="HE43" i="75"/>
  <c r="HE46" i="75"/>
  <c r="HE47" i="75"/>
  <c r="HE49" i="75"/>
  <c r="HE52" i="75"/>
  <c r="HE54" i="75"/>
  <c r="HE56" i="75"/>
  <c r="HE57" i="75"/>
  <c r="HE59" i="75"/>
  <c r="HE60" i="75"/>
  <c r="HE68" i="75"/>
  <c r="HE69" i="75"/>
  <c r="HE130" i="75"/>
  <c r="HD2" i="75"/>
  <c r="HD9" i="75"/>
  <c r="HD16" i="75"/>
  <c r="HD19" i="75"/>
  <c r="HD34" i="75"/>
  <c r="HD35" i="75"/>
  <c r="HD36" i="75"/>
  <c r="HD42" i="75"/>
  <c r="HD43" i="75"/>
  <c r="HD46" i="75"/>
  <c r="HD47" i="75"/>
  <c r="HD49" i="75"/>
  <c r="HD52" i="75"/>
  <c r="HD54" i="75"/>
  <c r="HD56" i="75"/>
  <c r="HD57" i="75"/>
  <c r="HD59" i="75"/>
  <c r="HD60" i="75"/>
  <c r="HD68" i="75"/>
  <c r="HD69" i="75"/>
  <c r="HD130" i="75"/>
  <c r="HC2" i="75"/>
  <c r="HC9" i="75"/>
  <c r="HC16" i="75"/>
  <c r="HC19" i="75"/>
  <c r="HC34" i="75"/>
  <c r="HC35" i="75"/>
  <c r="HC36" i="75"/>
  <c r="HC37" i="75"/>
  <c r="HC38" i="75"/>
  <c r="HC42" i="75"/>
  <c r="HC43" i="75"/>
  <c r="HC46" i="75"/>
  <c r="HC47" i="75"/>
  <c r="HC48" i="75"/>
  <c r="HC52" i="75"/>
  <c r="HC54" i="75"/>
  <c r="HC56" i="75"/>
  <c r="HC57" i="75"/>
  <c r="HC130" i="75"/>
  <c r="HB2" i="75"/>
  <c r="HB9" i="75"/>
  <c r="HB16" i="75"/>
  <c r="HB19" i="75"/>
  <c r="HB34" i="75"/>
  <c r="HB35" i="75"/>
  <c r="HB36" i="75"/>
  <c r="HB37" i="75"/>
  <c r="HB38" i="75"/>
  <c r="HB42" i="75"/>
  <c r="HB43" i="75"/>
  <c r="HB46" i="75"/>
  <c r="HB47" i="75"/>
  <c r="HB48" i="75"/>
  <c r="HB52" i="75"/>
  <c r="HB54" i="75"/>
  <c r="HB56" i="75"/>
  <c r="HB57" i="75"/>
  <c r="HB130" i="75"/>
  <c r="GF2" i="75"/>
  <c r="GF130" i="75"/>
  <c r="GE2" i="75"/>
  <c r="GE9" i="75"/>
  <c r="GE16" i="75"/>
  <c r="GE19" i="75"/>
  <c r="GE34" i="75"/>
  <c r="GE36" i="75"/>
  <c r="GE41" i="75"/>
  <c r="GE42" i="75"/>
  <c r="GE46" i="75"/>
  <c r="GE47" i="75"/>
  <c r="GE52" i="75"/>
  <c r="GE54" i="75"/>
  <c r="GE66" i="75"/>
  <c r="GE76" i="75"/>
  <c r="GE122" i="75"/>
  <c r="GE124" i="75"/>
  <c r="GE125" i="75"/>
  <c r="GE126" i="75"/>
  <c r="GE127" i="75"/>
  <c r="GE130" i="75"/>
  <c r="GD2" i="75"/>
  <c r="GD9" i="75"/>
  <c r="GD16" i="75"/>
  <c r="GD19" i="75"/>
  <c r="GD34" i="75"/>
  <c r="GD35" i="75"/>
  <c r="GD36" i="75"/>
  <c r="GD40" i="75"/>
  <c r="GD41" i="75"/>
  <c r="GD42" i="75"/>
  <c r="GD43" i="75"/>
  <c r="GD46" i="75"/>
  <c r="GD47" i="75"/>
  <c r="GD52" i="75"/>
  <c r="GD54" i="75"/>
  <c r="GD57" i="75"/>
  <c r="GD62" i="75"/>
  <c r="GD66" i="75"/>
  <c r="GD76" i="75"/>
  <c r="GD122" i="75"/>
  <c r="GD124" i="75"/>
  <c r="GD125" i="75"/>
  <c r="GD126" i="75"/>
  <c r="GD127" i="75"/>
  <c r="GD128" i="75"/>
  <c r="GD130" i="75"/>
  <c r="GC2" i="75"/>
  <c r="GC9" i="75"/>
  <c r="GC34" i="75"/>
  <c r="GC130" i="75"/>
  <c r="GB2" i="75"/>
  <c r="GB9" i="75"/>
  <c r="GB16" i="75"/>
  <c r="GB19" i="75"/>
  <c r="GB34" i="75"/>
  <c r="GB36" i="75"/>
  <c r="GB42" i="75"/>
  <c r="GB46" i="75"/>
  <c r="GB47" i="75"/>
  <c r="GB52" i="75"/>
  <c r="GB57" i="75"/>
  <c r="GB76" i="75"/>
  <c r="GB122" i="75"/>
  <c r="GB124" i="75"/>
  <c r="GB126" i="75"/>
  <c r="GB127" i="75"/>
  <c r="GB130" i="75"/>
  <c r="GA2" i="75"/>
  <c r="GA9" i="75"/>
  <c r="GA16" i="75"/>
  <c r="GA19" i="75"/>
  <c r="GA34" i="75"/>
  <c r="GA35" i="75"/>
  <c r="GA36" i="75"/>
  <c r="GA40" i="75"/>
  <c r="GA41" i="75"/>
  <c r="GA42" i="75"/>
  <c r="GA43" i="75"/>
  <c r="GA46" i="75"/>
  <c r="GA47" i="75"/>
  <c r="GA52" i="75"/>
  <c r="GA57" i="75"/>
  <c r="GA62" i="75"/>
  <c r="GA76" i="75"/>
  <c r="GA122" i="75"/>
  <c r="GA124" i="75"/>
  <c r="GA125" i="75"/>
  <c r="GA126" i="75"/>
  <c r="GA127" i="75"/>
  <c r="GA128" i="75"/>
  <c r="GA130" i="75"/>
  <c r="FZ52" i="75"/>
  <c r="FZ130" i="75"/>
  <c r="FY2" i="75"/>
  <c r="FY9" i="75"/>
  <c r="FY16" i="75"/>
  <c r="FY34" i="75"/>
  <c r="FY36" i="75"/>
  <c r="FY41" i="75"/>
  <c r="FY42" i="75"/>
  <c r="FY46" i="75"/>
  <c r="FY47" i="75"/>
  <c r="FY52" i="75"/>
  <c r="FY57" i="75"/>
  <c r="FY66" i="75"/>
  <c r="FY76" i="75"/>
  <c r="FY122" i="75"/>
  <c r="FY124" i="75"/>
  <c r="FY125" i="75"/>
  <c r="FY127" i="75"/>
  <c r="FY128" i="75"/>
  <c r="FY130" i="75"/>
  <c r="FX2" i="75"/>
  <c r="FX9" i="75"/>
  <c r="FX16" i="75"/>
  <c r="FX19" i="75"/>
  <c r="FX34" i="75"/>
  <c r="FX35" i="75"/>
  <c r="FX36" i="75"/>
  <c r="FX40" i="75"/>
  <c r="FX41" i="75"/>
  <c r="FX42" i="75"/>
  <c r="FX43" i="75"/>
  <c r="FX46" i="75"/>
  <c r="FX47" i="75"/>
  <c r="FX52" i="75"/>
  <c r="FX57" i="75"/>
  <c r="FX62" i="75"/>
  <c r="FX66" i="75"/>
  <c r="FX76" i="75"/>
  <c r="FX122" i="75"/>
  <c r="FX124" i="75"/>
  <c r="FX125" i="75"/>
  <c r="FX126" i="75"/>
  <c r="FX127" i="75"/>
  <c r="FX128" i="75"/>
  <c r="FX130" i="75"/>
  <c r="FW2" i="75"/>
  <c r="FW130" i="75"/>
  <c r="FV2" i="75"/>
  <c r="FV9" i="75"/>
  <c r="FV16" i="75"/>
  <c r="FV19" i="75"/>
  <c r="FV34" i="75"/>
  <c r="FV36" i="75"/>
  <c r="FV41" i="75"/>
  <c r="FV42" i="75"/>
  <c r="FV46" i="75"/>
  <c r="FV47" i="75"/>
  <c r="FV52" i="75"/>
  <c r="FV57" i="75"/>
  <c r="FV76" i="75"/>
  <c r="FV124" i="75"/>
  <c r="FV125" i="75"/>
  <c r="FV128" i="75"/>
  <c r="FV130" i="75"/>
  <c r="FU2" i="75"/>
  <c r="FU9" i="75"/>
  <c r="FU16" i="75"/>
  <c r="FU19" i="75"/>
  <c r="FU34" i="75"/>
  <c r="FU35" i="75"/>
  <c r="FU36" i="75"/>
  <c r="FU40" i="75"/>
  <c r="FU41" i="75"/>
  <c r="FU42" i="75"/>
  <c r="FU43" i="75"/>
  <c r="FU46" i="75"/>
  <c r="FU47" i="75"/>
  <c r="FU52" i="75"/>
  <c r="FU57" i="75"/>
  <c r="FU61" i="75"/>
  <c r="FU76" i="75"/>
  <c r="FU122" i="75"/>
  <c r="FU124" i="75"/>
  <c r="FU125" i="75"/>
  <c r="FU127" i="75"/>
  <c r="FU128" i="75"/>
  <c r="FU130" i="75"/>
  <c r="FT2" i="75"/>
  <c r="FT9" i="75"/>
  <c r="FT42" i="75"/>
  <c r="FT64" i="75"/>
  <c r="FT128" i="75"/>
  <c r="FT130" i="75"/>
  <c r="FS2" i="75"/>
  <c r="FS9" i="75"/>
  <c r="FS16" i="75"/>
  <c r="FS19" i="75"/>
  <c r="FS34" i="75"/>
  <c r="FS36" i="75"/>
  <c r="FS41" i="75"/>
  <c r="FS42" i="75"/>
  <c r="FS47" i="75"/>
  <c r="FS52" i="75"/>
  <c r="FS64" i="75"/>
  <c r="FS75" i="75"/>
  <c r="FS76" i="75"/>
  <c r="FS122" i="75"/>
  <c r="FS124" i="75"/>
  <c r="FS125" i="75"/>
  <c r="FS127" i="75"/>
  <c r="FS128" i="75"/>
  <c r="FS130" i="75"/>
  <c r="FR2" i="75"/>
  <c r="FR9" i="75"/>
  <c r="FR16" i="75"/>
  <c r="FR19" i="75"/>
  <c r="FR34" i="75"/>
  <c r="FR35" i="75"/>
  <c r="FR36" i="75"/>
  <c r="FR40" i="75"/>
  <c r="FR41" i="75"/>
  <c r="FR42" i="75"/>
  <c r="FR43" i="75"/>
  <c r="FR46" i="75"/>
  <c r="FR47" i="75"/>
  <c r="FR52" i="75"/>
  <c r="FR57" i="75"/>
  <c r="FR61" i="75"/>
  <c r="FR64" i="75"/>
  <c r="FR75" i="75"/>
  <c r="FR76" i="75"/>
  <c r="FR122" i="75"/>
  <c r="FR123" i="75"/>
  <c r="FR124" i="75"/>
  <c r="FR125" i="75"/>
  <c r="FR126" i="75"/>
  <c r="FR127" i="75"/>
  <c r="FR128" i="75"/>
  <c r="FR130" i="75"/>
  <c r="FQ9" i="75"/>
  <c r="FQ42" i="75"/>
  <c r="FQ61" i="75"/>
  <c r="FQ64" i="75"/>
  <c r="FQ75" i="75"/>
  <c r="FQ130" i="75"/>
  <c r="FP2" i="75"/>
  <c r="FP9" i="75"/>
  <c r="FP16" i="75"/>
  <c r="FP19" i="75"/>
  <c r="FP34" i="75"/>
  <c r="FP36" i="75"/>
  <c r="FP41" i="75"/>
  <c r="FP42" i="75"/>
  <c r="FP46" i="75"/>
  <c r="FP47" i="75"/>
  <c r="FP57" i="75"/>
  <c r="FP64" i="75"/>
  <c r="FP75" i="75"/>
  <c r="FP76" i="75"/>
  <c r="FP122" i="75"/>
  <c r="FP124" i="75"/>
  <c r="FP130" i="75"/>
  <c r="FO2" i="75"/>
  <c r="FO9" i="75"/>
  <c r="FO16" i="75"/>
  <c r="FO19" i="75"/>
  <c r="FO34" i="75"/>
  <c r="FO35" i="75"/>
  <c r="FO36" i="75"/>
  <c r="FO40" i="75"/>
  <c r="FO41" i="75"/>
  <c r="FO42" i="75"/>
  <c r="FO43" i="75"/>
  <c r="FO46" i="75"/>
  <c r="FO47" i="75"/>
  <c r="FO57" i="75"/>
  <c r="FO61" i="75"/>
  <c r="FO64" i="75"/>
  <c r="FO75" i="75"/>
  <c r="FO76" i="75"/>
  <c r="FO122" i="75"/>
  <c r="FO123" i="75"/>
  <c r="FO124" i="75"/>
  <c r="FO125" i="75"/>
  <c r="FO130" i="75"/>
  <c r="FN16" i="75"/>
  <c r="FN64" i="75"/>
  <c r="FN130" i="75"/>
  <c r="FM2" i="75"/>
  <c r="FM9" i="75"/>
  <c r="FM16" i="75"/>
  <c r="FM34" i="75"/>
  <c r="FM35" i="75"/>
  <c r="FM36" i="75"/>
  <c r="FM42" i="75"/>
  <c r="FM47" i="75"/>
  <c r="FM64" i="75"/>
  <c r="FM75" i="75"/>
  <c r="FM76" i="75"/>
  <c r="FM122" i="75"/>
  <c r="FM130" i="75"/>
  <c r="FL2" i="75"/>
  <c r="FL9" i="75"/>
  <c r="FL16" i="75"/>
  <c r="FL19" i="75"/>
  <c r="FL34" i="75"/>
  <c r="FL35" i="75"/>
  <c r="FL36" i="75"/>
  <c r="FL40" i="75"/>
  <c r="FL41" i="75"/>
  <c r="FL42" i="75"/>
  <c r="FL47" i="75"/>
  <c r="FL57" i="75"/>
  <c r="FL61" i="75"/>
  <c r="FL64" i="75"/>
  <c r="FL75" i="75"/>
  <c r="FL76" i="75"/>
  <c r="FL122" i="75"/>
  <c r="FL123" i="75"/>
  <c r="FL124" i="75"/>
  <c r="FL130" i="75"/>
  <c r="FH64" i="75"/>
  <c r="FH130" i="75"/>
  <c r="FG2" i="75"/>
  <c r="FG10" i="75"/>
  <c r="FG16" i="75"/>
  <c r="FG17" i="75"/>
  <c r="FG19" i="75"/>
  <c r="FG36" i="75"/>
  <c r="FG41" i="75"/>
  <c r="FG42" i="75"/>
  <c r="FG47" i="75"/>
  <c r="FG57" i="75"/>
  <c r="FG64" i="75"/>
  <c r="FG65" i="75"/>
  <c r="FG75" i="75"/>
  <c r="FG122" i="75"/>
  <c r="FG130" i="75"/>
  <c r="FF2" i="75"/>
  <c r="FF9" i="75"/>
  <c r="FF10" i="75"/>
  <c r="FF11" i="75"/>
  <c r="FF16" i="75"/>
  <c r="FF17" i="75"/>
  <c r="FF18" i="75"/>
  <c r="FF19" i="75"/>
  <c r="FF34" i="75"/>
  <c r="FF35" i="75"/>
  <c r="FF36" i="75"/>
  <c r="FF40" i="75"/>
  <c r="FF41" i="75"/>
  <c r="FF42" i="75"/>
  <c r="FF47" i="75"/>
  <c r="FF57" i="75"/>
  <c r="FF61" i="75"/>
  <c r="FF64" i="75"/>
  <c r="FF65" i="75"/>
  <c r="FF75" i="75"/>
  <c r="FF121" i="75"/>
  <c r="FF122" i="75"/>
  <c r="FF130" i="75"/>
  <c r="FE2" i="75"/>
  <c r="FE10" i="75"/>
  <c r="FE16" i="75"/>
  <c r="FE64" i="75"/>
  <c r="FE130" i="75"/>
  <c r="FD2" i="75"/>
  <c r="FD10" i="75"/>
  <c r="FD16" i="75"/>
  <c r="FD19" i="75"/>
  <c r="FD36" i="75"/>
  <c r="FD41" i="75"/>
  <c r="FD42" i="75"/>
  <c r="FD47" i="75"/>
  <c r="FD57" i="75"/>
  <c r="FD64" i="75"/>
  <c r="FD75" i="75"/>
  <c r="FD130" i="75"/>
  <c r="FC2" i="75"/>
  <c r="FC9" i="75"/>
  <c r="FC10" i="75"/>
  <c r="FC11" i="75"/>
  <c r="FC16" i="75"/>
  <c r="FC19" i="75"/>
  <c r="FC34" i="75"/>
  <c r="FC35" i="75"/>
  <c r="FC36" i="75"/>
  <c r="FC40" i="75"/>
  <c r="FC41" i="75"/>
  <c r="FC42" i="75"/>
  <c r="FC46" i="75"/>
  <c r="FC47" i="75"/>
  <c r="FC57" i="75"/>
  <c r="FC61" i="75"/>
  <c r="FC64" i="75"/>
  <c r="FC65" i="75"/>
  <c r="FC75" i="75"/>
  <c r="FC120" i="75"/>
  <c r="FC121" i="75"/>
  <c r="FC130" i="75"/>
  <c r="EJ2" i="75"/>
  <c r="EJ16" i="75"/>
  <c r="EJ130" i="75"/>
  <c r="EI2" i="75"/>
  <c r="EI10" i="75"/>
  <c r="EI16" i="75"/>
  <c r="EI130" i="75"/>
  <c r="EH2" i="75"/>
  <c r="EH9" i="75"/>
  <c r="EH10" i="75"/>
  <c r="EH16" i="75"/>
  <c r="EH42" i="75"/>
  <c r="EH67" i="75"/>
  <c r="EH118" i="75"/>
  <c r="EH130" i="75"/>
  <c r="EG2" i="75"/>
  <c r="EG42" i="75"/>
  <c r="EG46" i="75"/>
  <c r="EG61" i="75"/>
  <c r="EG63" i="75"/>
  <c r="EG116" i="75"/>
  <c r="EG119" i="75"/>
  <c r="EG130" i="75"/>
  <c r="EF2" i="75"/>
  <c r="EF9" i="75"/>
  <c r="EF10" i="75"/>
  <c r="EF16" i="75"/>
  <c r="EF34" i="75"/>
  <c r="EF42" i="75"/>
  <c r="EF46" i="75"/>
  <c r="EF61" i="75"/>
  <c r="EF63" i="75"/>
  <c r="EF75" i="75"/>
  <c r="EF116" i="75"/>
  <c r="EF118" i="75"/>
  <c r="EF119" i="75"/>
  <c r="EF130" i="75"/>
  <c r="EE2" i="75"/>
  <c r="EE9" i="75"/>
  <c r="EE10" i="75"/>
  <c r="EE16" i="75"/>
  <c r="EE26" i="75"/>
  <c r="EE34" i="75"/>
  <c r="EE42" i="75"/>
  <c r="EE46" i="75"/>
  <c r="EE61" i="75"/>
  <c r="EE63" i="75"/>
  <c r="EE75" i="75"/>
  <c r="EE116" i="75"/>
  <c r="EE118" i="75"/>
  <c r="EE119" i="75"/>
  <c r="EE130" i="75"/>
  <c r="ED26" i="75"/>
  <c r="ED42" i="75"/>
  <c r="ED74" i="75"/>
  <c r="ED130" i="75"/>
  <c r="EC2" i="75"/>
  <c r="EC9" i="75"/>
  <c r="EC10" i="75"/>
  <c r="EC16" i="75"/>
  <c r="EC26" i="75"/>
  <c r="EC34" i="75"/>
  <c r="EC42" i="75"/>
  <c r="EC46" i="75"/>
  <c r="EC61" i="75"/>
  <c r="EC63" i="75"/>
  <c r="EC74" i="75"/>
  <c r="EC75" i="75"/>
  <c r="EC116" i="75"/>
  <c r="EC130" i="75"/>
  <c r="EB2" i="75"/>
  <c r="EB9" i="75"/>
  <c r="EB10" i="75"/>
  <c r="EB16" i="75"/>
  <c r="EB26" i="75"/>
  <c r="EB34" i="75"/>
  <c r="EB42" i="75"/>
  <c r="EB46" i="75"/>
  <c r="EB61" i="75"/>
  <c r="EB63" i="75"/>
  <c r="EB74" i="75"/>
  <c r="EB75" i="75"/>
  <c r="EB116" i="75"/>
  <c r="EB130" i="75"/>
  <c r="EA2" i="75"/>
  <c r="EA9" i="75"/>
  <c r="EA16" i="75"/>
  <c r="EA34" i="75"/>
  <c r="EA42" i="75"/>
  <c r="EA130" i="75"/>
  <c r="DZ2" i="75"/>
  <c r="DZ9" i="75"/>
  <c r="DZ10" i="75"/>
  <c r="DZ16" i="75"/>
  <c r="DZ34" i="75"/>
  <c r="DZ42" i="75"/>
  <c r="DZ46" i="75"/>
  <c r="DZ75" i="75"/>
  <c r="DZ130" i="75"/>
  <c r="DY2" i="75"/>
  <c r="DY9" i="75"/>
  <c r="DY10" i="75"/>
  <c r="DY16" i="75"/>
  <c r="DY34" i="75"/>
  <c r="DY42" i="75"/>
  <c r="DY46" i="75"/>
  <c r="DY61" i="75"/>
  <c r="DY63" i="75"/>
  <c r="DY75" i="75"/>
  <c r="DY116" i="75"/>
  <c r="DY130" i="75"/>
  <c r="DJ2" i="75"/>
  <c r="DJ7" i="75"/>
  <c r="DJ9" i="75"/>
  <c r="DJ10" i="75"/>
  <c r="DJ16" i="75"/>
  <c r="DJ34" i="75"/>
  <c r="DJ46" i="75"/>
  <c r="DJ61" i="75"/>
  <c r="DJ95" i="75"/>
  <c r="DJ130" i="75"/>
  <c r="DC2" i="75"/>
  <c r="DC7" i="75"/>
  <c r="DC9" i="75"/>
  <c r="DC10" i="75"/>
  <c r="DC16" i="75"/>
  <c r="DC34" i="75"/>
  <c r="DC46" i="75"/>
  <c r="DC95" i="75"/>
  <c r="DC115" i="75"/>
  <c r="DC116" i="75"/>
  <c r="DC117" i="75"/>
  <c r="DC130" i="75"/>
  <c r="DB2" i="75"/>
  <c r="DB7" i="75"/>
  <c r="DB9" i="75"/>
  <c r="DB10" i="75"/>
  <c r="DB16" i="75"/>
  <c r="DB26" i="75"/>
  <c r="DB34" i="75"/>
  <c r="DB46" i="75"/>
  <c r="DB95" i="75"/>
  <c r="DB115" i="75"/>
  <c r="DB116" i="75"/>
  <c r="DB117" i="75"/>
  <c r="DB130" i="75"/>
  <c r="DA2" i="75"/>
  <c r="DA7" i="75"/>
  <c r="DA9" i="75"/>
  <c r="DA10" i="75"/>
  <c r="DA16" i="75"/>
  <c r="DA26" i="75"/>
  <c r="DA34" i="75"/>
  <c r="DA46" i="75"/>
  <c r="DA61" i="75"/>
  <c r="DA95" i="75"/>
  <c r="DA115" i="75"/>
  <c r="DA116" i="75"/>
  <c r="DA117" i="75"/>
  <c r="DA130" i="75"/>
  <c r="CZ130" i="75"/>
  <c r="CY130" i="75"/>
  <c r="CX2" i="75"/>
  <c r="CX7" i="75"/>
  <c r="CX9" i="75"/>
  <c r="CX10" i="75"/>
  <c r="CX16" i="75"/>
  <c r="CX46" i="75"/>
  <c r="CX61" i="75"/>
  <c r="CX115" i="75"/>
  <c r="CX130" i="75"/>
  <c r="CU2" i="75"/>
  <c r="CU7" i="75"/>
  <c r="CU9" i="75"/>
  <c r="CU10" i="75"/>
  <c r="CU16" i="75"/>
  <c r="CU46" i="75"/>
  <c r="CU60" i="75"/>
  <c r="CU115" i="75"/>
  <c r="CU130" i="75"/>
  <c r="CR2" i="75"/>
  <c r="CR7" i="75"/>
  <c r="CR9" i="75"/>
  <c r="CR10" i="75"/>
  <c r="CR16" i="75"/>
  <c r="CR46" i="75"/>
  <c r="CR60" i="75"/>
  <c r="CR115" i="75"/>
  <c r="CR130" i="75"/>
  <c r="CO2" i="75"/>
  <c r="CO7" i="75"/>
  <c r="CO9" i="75"/>
  <c r="CO10" i="75"/>
  <c r="CO16" i="75"/>
  <c r="CO46" i="75"/>
  <c r="CO60" i="75"/>
  <c r="CO115" i="75"/>
  <c r="CO130" i="75"/>
  <c r="CL2" i="75"/>
  <c r="CL7" i="75"/>
  <c r="CL9" i="75"/>
  <c r="CL10" i="75"/>
  <c r="CL16" i="75"/>
  <c r="CL46" i="75"/>
  <c r="CL60" i="75"/>
  <c r="CL115" i="75"/>
  <c r="CL130" i="75"/>
  <c r="CI2" i="75"/>
  <c r="CI7" i="75"/>
  <c r="CI9" i="75"/>
  <c r="CI10" i="75"/>
  <c r="CI16" i="75"/>
  <c r="CI46" i="75"/>
  <c r="CI60" i="75"/>
  <c r="CI115" i="75"/>
  <c r="CI130" i="75"/>
  <c r="BS2" i="75"/>
  <c r="BS7" i="75"/>
  <c r="BS9" i="75"/>
  <c r="BS10" i="75"/>
  <c r="BS13" i="75"/>
  <c r="BS16" i="75"/>
  <c r="BS19" i="75"/>
  <c r="BS46" i="75"/>
  <c r="BS61" i="75"/>
  <c r="BS130" i="75"/>
  <c r="BR2" i="75"/>
  <c r="BR7" i="75"/>
  <c r="BR9" i="75"/>
  <c r="BR10" i="75"/>
  <c r="BR13" i="75"/>
  <c r="BR16" i="75"/>
  <c r="BR19" i="75"/>
  <c r="BR46" i="75"/>
  <c r="BR61" i="75"/>
  <c r="BR130" i="75"/>
  <c r="BQ2" i="75"/>
  <c r="BQ7" i="75"/>
  <c r="BQ9" i="75"/>
  <c r="BQ10" i="75"/>
  <c r="BQ13" i="75"/>
  <c r="BQ16" i="75"/>
  <c r="BQ19" i="75"/>
  <c r="BQ46" i="75"/>
  <c r="BQ61" i="75"/>
  <c r="BQ130" i="75"/>
  <c r="BN2" i="75"/>
  <c r="BN9" i="75"/>
  <c r="BN10" i="75"/>
  <c r="BN16" i="75"/>
  <c r="BN19" i="75"/>
  <c r="BN46" i="75"/>
  <c r="BN100" i="75"/>
  <c r="BN103" i="75"/>
  <c r="BN104" i="75"/>
  <c r="BN106" i="75"/>
  <c r="BN111" i="75"/>
  <c r="BN112" i="75"/>
  <c r="BN130" i="75"/>
  <c r="BM2" i="75"/>
  <c r="BM9" i="75"/>
  <c r="BM10" i="75"/>
  <c r="BM16" i="75"/>
  <c r="BM19" i="75"/>
  <c r="BM46" i="75"/>
  <c r="BM100" i="75"/>
  <c r="BM103" i="75"/>
  <c r="BM104" i="75"/>
  <c r="BM106" i="75"/>
  <c r="BM111" i="75"/>
  <c r="BM112" i="75"/>
  <c r="BM130" i="75"/>
  <c r="BL2" i="75"/>
  <c r="BL9" i="75"/>
  <c r="BL10" i="75"/>
  <c r="BL16" i="75"/>
  <c r="BL19" i="75"/>
  <c r="BL46" i="75"/>
  <c r="BL77" i="75"/>
  <c r="BL100" i="75"/>
  <c r="BL103" i="75"/>
  <c r="BL104" i="75"/>
  <c r="BL106" i="75"/>
  <c r="BL109" i="75"/>
  <c r="BL111" i="75"/>
  <c r="BL130" i="75"/>
  <c r="BK2" i="75"/>
  <c r="BK9" i="75"/>
  <c r="BK10" i="75"/>
  <c r="BK16" i="75"/>
  <c r="BK19" i="75"/>
  <c r="BK46" i="75"/>
  <c r="BK77" i="75"/>
  <c r="BK100" i="75"/>
  <c r="BK103" i="75"/>
  <c r="BK104" i="75"/>
  <c r="BK106" i="75"/>
  <c r="BK109" i="75"/>
  <c r="BK111" i="75"/>
  <c r="BK113" i="75"/>
  <c r="BK114" i="75"/>
  <c r="BK130" i="75"/>
  <c r="BJ2" i="75"/>
  <c r="BJ9" i="75"/>
  <c r="BJ10" i="75"/>
  <c r="BJ16" i="75"/>
  <c r="BJ19" i="75"/>
  <c r="BJ26" i="75"/>
  <c r="BJ27" i="75"/>
  <c r="BJ28" i="75"/>
  <c r="BJ46" i="75"/>
  <c r="BJ77" i="75"/>
  <c r="BJ100" i="75"/>
  <c r="BJ101" i="75"/>
  <c r="BJ103" i="75"/>
  <c r="BJ104" i="75"/>
  <c r="BJ106" i="75"/>
  <c r="BJ109" i="75"/>
  <c r="BJ111" i="75"/>
  <c r="BJ130" i="75"/>
  <c r="BI2" i="75"/>
  <c r="BI9" i="75"/>
  <c r="BI10" i="75"/>
  <c r="BI16" i="75"/>
  <c r="BI19" i="75"/>
  <c r="BI26" i="75"/>
  <c r="BI27" i="75"/>
  <c r="BI28" i="75"/>
  <c r="BI46" i="75"/>
  <c r="BI77" i="75"/>
  <c r="BI100" i="75"/>
  <c r="BI101" i="75"/>
  <c r="BI103" i="75"/>
  <c r="BI104" i="75"/>
  <c r="BI106" i="75"/>
  <c r="BI109" i="75"/>
  <c r="BI111" i="75"/>
  <c r="BI113" i="75"/>
  <c r="BI130" i="75"/>
  <c r="BH2" i="75"/>
  <c r="BH9" i="75"/>
  <c r="BH10" i="75"/>
  <c r="BH16" i="75"/>
  <c r="BH19" i="75"/>
  <c r="BH27" i="75"/>
  <c r="BH28" i="75"/>
  <c r="BH46" i="75"/>
  <c r="BH77" i="75"/>
  <c r="BH100" i="75"/>
  <c r="BH101" i="75"/>
  <c r="BH103" i="75"/>
  <c r="BH104" i="75"/>
  <c r="BH106" i="75"/>
  <c r="BH109" i="75"/>
  <c r="BH111" i="75"/>
  <c r="BH112" i="75"/>
  <c r="BH130" i="75"/>
  <c r="BG2" i="75"/>
  <c r="BG9" i="75"/>
  <c r="BG10" i="75"/>
  <c r="BG16" i="75"/>
  <c r="BG19" i="75"/>
  <c r="BG26" i="75"/>
  <c r="BG27" i="75"/>
  <c r="BG28" i="75"/>
  <c r="BG46" i="75"/>
  <c r="BG77" i="75"/>
  <c r="BG100" i="75"/>
  <c r="BG101" i="75"/>
  <c r="BG103" i="75"/>
  <c r="BG104" i="75"/>
  <c r="BG106" i="75"/>
  <c r="BG109" i="75"/>
  <c r="BG111" i="75"/>
  <c r="BG112" i="75"/>
  <c r="BG130" i="75"/>
  <c r="BF2" i="75"/>
  <c r="BF9" i="75"/>
  <c r="BF10" i="75"/>
  <c r="BF16" i="75"/>
  <c r="BF27" i="75"/>
  <c r="BF28" i="75"/>
  <c r="BF46" i="75"/>
  <c r="BF77" i="75"/>
  <c r="BF100" i="75"/>
  <c r="BF101" i="75"/>
  <c r="BF103" i="75"/>
  <c r="BF104" i="75"/>
  <c r="BF109" i="75"/>
  <c r="BF111" i="75"/>
  <c r="BF112" i="75"/>
  <c r="BF130" i="75"/>
  <c r="BE2" i="75"/>
  <c r="BE9" i="75"/>
  <c r="BE10" i="75"/>
  <c r="BE16" i="75"/>
  <c r="BE19" i="75"/>
  <c r="BE27" i="75"/>
  <c r="BE28" i="75"/>
  <c r="BE37" i="75"/>
  <c r="BE46" i="75"/>
  <c r="BE77" i="75"/>
  <c r="BE100" i="75"/>
  <c r="BE101" i="75"/>
  <c r="BE103" i="75"/>
  <c r="BE104" i="75"/>
  <c r="BE109" i="75"/>
  <c r="BE111" i="75"/>
  <c r="BE112" i="75"/>
  <c r="BE130" i="75"/>
  <c r="BD2" i="75"/>
  <c r="BD9" i="75"/>
  <c r="BD10" i="75"/>
  <c r="BD12" i="75"/>
  <c r="BD15" i="75"/>
  <c r="BD16" i="75"/>
  <c r="BD19" i="75"/>
  <c r="BD20" i="75"/>
  <c r="BD21" i="75"/>
  <c r="BD22" i="75"/>
  <c r="BD26" i="75"/>
  <c r="BD27" i="75"/>
  <c r="BD28" i="75"/>
  <c r="BD77" i="75"/>
  <c r="BD100" i="75"/>
  <c r="BD101" i="75"/>
  <c r="BD103" i="75"/>
  <c r="BD104" i="75"/>
  <c r="BD106" i="75"/>
  <c r="BD109" i="75"/>
  <c r="BD110" i="75"/>
  <c r="BD111" i="75"/>
  <c r="BD130" i="75"/>
  <c r="BC2" i="75"/>
  <c r="BC9" i="75"/>
  <c r="BC10" i="75"/>
  <c r="BC12" i="75"/>
  <c r="BC15" i="75"/>
  <c r="BC16" i="75"/>
  <c r="BC19" i="75"/>
  <c r="BC20" i="75"/>
  <c r="BC21" i="75"/>
  <c r="BC22" i="75"/>
  <c r="BC26" i="75"/>
  <c r="BC27" i="75"/>
  <c r="BC28" i="75"/>
  <c r="BC77" i="75"/>
  <c r="BC100" i="75"/>
  <c r="BC101" i="75"/>
  <c r="BC103" i="75"/>
  <c r="BC104" i="75"/>
  <c r="BC106" i="75"/>
  <c r="BC109" i="75"/>
  <c r="BC110" i="75"/>
  <c r="BC111" i="75"/>
  <c r="BC130" i="75"/>
  <c r="BB2" i="75"/>
  <c r="BB9" i="75"/>
  <c r="BB10" i="75"/>
  <c r="BB12" i="75"/>
  <c r="BB15" i="75"/>
  <c r="BB16" i="75"/>
  <c r="BB19" i="75"/>
  <c r="BB20" i="75"/>
  <c r="BB21" i="75"/>
  <c r="BB22" i="75"/>
  <c r="BB23" i="75"/>
  <c r="BB25" i="75"/>
  <c r="BB26" i="75"/>
  <c r="BB27" i="75"/>
  <c r="BB46" i="75"/>
  <c r="BB77" i="75"/>
  <c r="BB100" i="75"/>
  <c r="BB101" i="75"/>
  <c r="BB102" i="75"/>
  <c r="BB103" i="75"/>
  <c r="BB105" i="75"/>
  <c r="BB106" i="75"/>
  <c r="BB130" i="75"/>
  <c r="BA2" i="75"/>
  <c r="BA9" i="75"/>
  <c r="BA10" i="75"/>
  <c r="BA12" i="75"/>
  <c r="BA15" i="75"/>
  <c r="BA16" i="75"/>
  <c r="BA19" i="75"/>
  <c r="BA20" i="75"/>
  <c r="BA21" i="75"/>
  <c r="BA22" i="75"/>
  <c r="BA23" i="75"/>
  <c r="BA25" i="75"/>
  <c r="BA26" i="75"/>
  <c r="BA27" i="75"/>
  <c r="BA46" i="75"/>
  <c r="BA77" i="75"/>
  <c r="BA100" i="75"/>
  <c r="BA101" i="75"/>
  <c r="BA102" i="75"/>
  <c r="BA103" i="75"/>
  <c r="BA105" i="75"/>
  <c r="BA106" i="75"/>
  <c r="BA130" i="75"/>
  <c r="AZ2" i="75"/>
  <c r="AZ9" i="75"/>
  <c r="AZ10" i="75"/>
  <c r="AZ12" i="75"/>
  <c r="AZ15" i="75"/>
  <c r="AZ16" i="75"/>
  <c r="AZ19" i="75"/>
  <c r="AZ20" i="75"/>
  <c r="AZ21" i="75"/>
  <c r="AZ22" i="75"/>
  <c r="AZ25" i="75"/>
  <c r="AZ26" i="75"/>
  <c r="AZ27" i="75"/>
  <c r="AZ77" i="75"/>
  <c r="AZ100" i="75"/>
  <c r="AZ101" i="75"/>
  <c r="AZ102" i="75"/>
  <c r="AZ103" i="75"/>
  <c r="AZ105" i="75"/>
  <c r="AZ106" i="75"/>
  <c r="AZ130" i="75"/>
  <c r="AY2" i="75"/>
  <c r="AY9" i="75"/>
  <c r="AY10" i="75"/>
  <c r="AY12" i="75"/>
  <c r="AY15" i="75"/>
  <c r="AY16" i="75"/>
  <c r="AY19" i="75"/>
  <c r="AY20" i="75"/>
  <c r="AY21" i="75"/>
  <c r="AY22" i="75"/>
  <c r="AY25" i="75"/>
  <c r="AY26" i="75"/>
  <c r="AY27" i="75"/>
  <c r="AY77" i="75"/>
  <c r="AY100" i="75"/>
  <c r="AY101" i="75"/>
  <c r="AY102" i="75"/>
  <c r="AY103" i="75"/>
  <c r="AY105" i="75"/>
  <c r="AY106" i="75"/>
  <c r="AY107" i="75"/>
  <c r="AY130" i="75"/>
  <c r="AX2" i="75"/>
  <c r="AX9" i="75"/>
  <c r="AX10" i="75"/>
  <c r="AX12" i="75"/>
  <c r="AX15" i="75"/>
  <c r="AX16" i="75"/>
  <c r="AX19" i="75"/>
  <c r="AX20" i="75"/>
  <c r="AX21" i="75"/>
  <c r="AX22" i="75"/>
  <c r="AX23" i="75"/>
  <c r="AX25" i="75"/>
  <c r="AX26" i="75"/>
  <c r="AX27" i="75"/>
  <c r="AX77" i="75"/>
  <c r="AX100" i="75"/>
  <c r="AX101" i="75"/>
  <c r="AX102" i="75"/>
  <c r="AX103" i="75"/>
  <c r="AX105" i="75"/>
  <c r="AX106" i="75"/>
  <c r="AX107" i="75"/>
  <c r="AX108" i="75"/>
  <c r="AX130" i="75"/>
  <c r="AW2" i="75"/>
  <c r="AW9" i="75"/>
  <c r="AW10" i="75"/>
  <c r="AW12" i="75"/>
  <c r="AW15" i="75"/>
  <c r="AW16" i="75"/>
  <c r="AW19" i="75"/>
  <c r="AW20" i="75"/>
  <c r="AW21" i="75"/>
  <c r="AW22" i="75"/>
  <c r="AW23" i="75"/>
  <c r="AW25" i="75"/>
  <c r="AW26" i="75"/>
  <c r="AW27" i="75"/>
  <c r="AW77" i="75"/>
  <c r="AW100" i="75"/>
  <c r="AW101" i="75"/>
  <c r="AW102" i="75"/>
  <c r="AW103" i="75"/>
  <c r="AW105" i="75"/>
  <c r="AW106" i="75"/>
  <c r="AW107" i="75"/>
  <c r="AW108" i="75"/>
  <c r="AW130" i="75"/>
  <c r="AQ2" i="75"/>
  <c r="AQ9" i="75"/>
  <c r="AQ10" i="75"/>
  <c r="AQ12" i="75"/>
  <c r="AQ15" i="75"/>
  <c r="AQ16" i="75"/>
  <c r="AQ19" i="75"/>
  <c r="AQ20" i="75"/>
  <c r="AQ21" i="75"/>
  <c r="AQ22" i="75"/>
  <c r="AQ23" i="75"/>
  <c r="AQ24" i="75"/>
  <c r="AQ27" i="75"/>
  <c r="AQ28" i="75"/>
  <c r="AQ31" i="75"/>
  <c r="AQ33" i="75"/>
  <c r="AQ130" i="75"/>
  <c r="AP2" i="75"/>
  <c r="AP9" i="75"/>
  <c r="AP10" i="75"/>
  <c r="AP12" i="75"/>
  <c r="AP15" i="75"/>
  <c r="AP16" i="75"/>
  <c r="AP19" i="75"/>
  <c r="AP20" i="75"/>
  <c r="AP21" i="75"/>
  <c r="AP22" i="75"/>
  <c r="AP23" i="75"/>
  <c r="AP24" i="75"/>
  <c r="AP27" i="75"/>
  <c r="AP28" i="75"/>
  <c r="AP31" i="75"/>
  <c r="AP33" i="75"/>
  <c r="AP130" i="75"/>
  <c r="AO2" i="75"/>
  <c r="AO9" i="75"/>
  <c r="AO10" i="75"/>
  <c r="AO12" i="75"/>
  <c r="AO15" i="75"/>
  <c r="AO16" i="75"/>
  <c r="AO19" i="75"/>
  <c r="AO20" i="75"/>
  <c r="AO21" i="75"/>
  <c r="AO22" i="75"/>
  <c r="AO23" i="75"/>
  <c r="AO24" i="75"/>
  <c r="AO27" i="75"/>
  <c r="AO28" i="75"/>
  <c r="AO31" i="75"/>
  <c r="AO33" i="75"/>
  <c r="AO130" i="75"/>
  <c r="AN20" i="75"/>
  <c r="AN24" i="75"/>
  <c r="AN130" i="75"/>
  <c r="AM20" i="75"/>
  <c r="AM24" i="75"/>
  <c r="AM130" i="75"/>
  <c r="AL20" i="75"/>
  <c r="AL24" i="75"/>
  <c r="AL130" i="75"/>
  <c r="AK10" i="75"/>
  <c r="AK12" i="75"/>
  <c r="AK32" i="75"/>
  <c r="AK130" i="75"/>
  <c r="AJ130" i="75"/>
  <c r="AI130" i="75"/>
  <c r="HU129" i="75"/>
  <c r="HT129" i="75"/>
  <c r="HS129" i="75"/>
  <c r="HR129" i="75"/>
  <c r="HQ129" i="75"/>
  <c r="HP129" i="75"/>
  <c r="HO129" i="75"/>
  <c r="HN129" i="75"/>
  <c r="HM129" i="75"/>
  <c r="HL129" i="75"/>
  <c r="HK129" i="75"/>
  <c r="HJ129" i="75"/>
  <c r="HI129" i="75"/>
  <c r="HH129" i="75"/>
  <c r="HG129" i="75"/>
  <c r="HF129" i="75"/>
  <c r="HE129" i="75"/>
  <c r="HD129" i="75"/>
  <c r="HC129" i="75"/>
  <c r="HB129" i="75"/>
  <c r="GF129" i="75"/>
  <c r="GE129" i="75"/>
  <c r="GD129" i="75"/>
  <c r="GC129" i="75"/>
  <c r="GB129" i="75"/>
  <c r="GA129" i="75"/>
  <c r="FZ129" i="75"/>
  <c r="FY129" i="75"/>
  <c r="FX129" i="75"/>
  <c r="FW129" i="75"/>
  <c r="FV129" i="75"/>
  <c r="FU129" i="75"/>
  <c r="FT129" i="75"/>
  <c r="FS129" i="75"/>
  <c r="FR129" i="75"/>
  <c r="FP129" i="75"/>
  <c r="FO129" i="75"/>
  <c r="FM129" i="75"/>
  <c r="FL129" i="75"/>
  <c r="FH129" i="75"/>
  <c r="FG129" i="75"/>
  <c r="FF129" i="75"/>
  <c r="FE129" i="75"/>
  <c r="FD129" i="75"/>
  <c r="FC129" i="75"/>
  <c r="EJ129" i="75"/>
  <c r="EI129" i="75"/>
  <c r="EH129" i="75"/>
  <c r="EG129" i="75"/>
  <c r="EF129" i="75"/>
  <c r="EE129" i="75"/>
  <c r="ED129" i="75"/>
  <c r="EC129" i="75"/>
  <c r="EB129" i="75"/>
  <c r="EA129" i="75"/>
  <c r="DZ129" i="75"/>
  <c r="DY129" i="75"/>
  <c r="DW129" i="75"/>
  <c r="DV129" i="75"/>
  <c r="DJ129" i="75"/>
  <c r="DC129" i="75"/>
  <c r="DB129" i="75"/>
  <c r="DA129" i="75"/>
  <c r="CX129" i="75"/>
  <c r="CU129" i="75"/>
  <c r="CR129" i="75"/>
  <c r="CO129" i="75"/>
  <c r="CL129" i="75"/>
  <c r="CI129" i="75"/>
  <c r="BS129" i="75"/>
  <c r="BR129" i="75"/>
  <c r="BQ129" i="75"/>
  <c r="BP129" i="75"/>
  <c r="BO129" i="75"/>
  <c r="BN129" i="75"/>
  <c r="BM129" i="75"/>
  <c r="BL129" i="75"/>
  <c r="BK129" i="75"/>
  <c r="BJ129" i="75"/>
  <c r="BI129" i="75"/>
  <c r="BH129" i="75"/>
  <c r="BG129" i="75"/>
  <c r="BF129" i="75"/>
  <c r="BE129" i="75"/>
  <c r="BD129" i="75"/>
  <c r="BC129" i="75"/>
  <c r="BB129" i="75"/>
  <c r="BA129" i="75"/>
  <c r="AZ129" i="75"/>
  <c r="AY129" i="75"/>
  <c r="AX129" i="75"/>
  <c r="AW129" i="75"/>
  <c r="AV129" i="75"/>
  <c r="AU129" i="75"/>
  <c r="AQ129" i="75"/>
  <c r="AP129" i="75"/>
  <c r="AO129" i="75"/>
  <c r="AK129" i="75"/>
  <c r="A128" i="75"/>
  <c r="A127" i="75"/>
  <c r="A126" i="75"/>
  <c r="A125" i="75"/>
  <c r="A124" i="75"/>
  <c r="A123" i="75"/>
  <c r="A119" i="75"/>
  <c r="EU118" i="75"/>
  <c r="ET118" i="75"/>
  <c r="ER118" i="75"/>
  <c r="EQ118" i="75"/>
  <c r="EN118" i="75"/>
  <c r="A118" i="75"/>
  <c r="A117" i="75"/>
  <c r="A116" i="75"/>
  <c r="A115" i="75"/>
  <c r="BL114" i="75"/>
  <c r="A114" i="75"/>
  <c r="BL113" i="75"/>
  <c r="BJ113" i="75"/>
  <c r="A113" i="75"/>
  <c r="A112" i="75"/>
  <c r="A111" i="75"/>
  <c r="A110" i="75"/>
  <c r="A109" i="75"/>
  <c r="A108" i="75"/>
  <c r="AZ107" i="75"/>
  <c r="A107" i="75"/>
  <c r="A106" i="75"/>
  <c r="A105" i="75"/>
  <c r="A103" i="75"/>
  <c r="A102" i="75"/>
  <c r="A101" i="75"/>
  <c r="A100" i="75"/>
  <c r="A76" i="75"/>
  <c r="HO68" i="75"/>
  <c r="HN68" i="75"/>
  <c r="A67" i="75"/>
  <c r="A62" i="75"/>
  <c r="FA57" i="75"/>
  <c r="EZ57" i="75"/>
  <c r="EX57" i="75"/>
  <c r="EW57" i="75"/>
  <c r="HO34" i="75"/>
  <c r="HN34" i="75"/>
  <c r="DW34" i="75"/>
  <c r="DV34" i="75"/>
  <c r="A26" i="75"/>
  <c r="A25" i="75"/>
  <c r="AH21" i="75"/>
  <c r="AK19" i="75"/>
  <c r="AH19" i="75"/>
  <c r="EZ18" i="75"/>
  <c r="EX18" i="75"/>
  <c r="EW18" i="75"/>
  <c r="FA17" i="75"/>
  <c r="EZ17" i="75"/>
  <c r="EX17" i="75"/>
  <c r="EW17" i="75"/>
  <c r="GW16" i="75"/>
  <c r="GV16" i="75"/>
  <c r="GT16" i="75"/>
  <c r="GS16" i="75"/>
  <c r="GQ16" i="75"/>
  <c r="GP16" i="75"/>
  <c r="GN16" i="75"/>
  <c r="GM16" i="75"/>
  <c r="GK16" i="75"/>
  <c r="GJ16" i="75"/>
  <c r="GH16" i="75"/>
  <c r="GG16" i="75"/>
  <c r="FK16" i="75"/>
  <c r="FJ16" i="75"/>
  <c r="FI16" i="75"/>
  <c r="EV16" i="75"/>
  <c r="EU16" i="75"/>
  <c r="ET16" i="75"/>
  <c r="ES16" i="75"/>
  <c r="ER16" i="75"/>
  <c r="EQ16" i="75"/>
  <c r="DV16" i="75"/>
  <c r="DQ16" i="75"/>
  <c r="DP16" i="75"/>
  <c r="CF16" i="75"/>
  <c r="AK16" i="75"/>
  <c r="Y16" i="75"/>
  <c r="E16" i="75"/>
  <c r="B16" i="75"/>
  <c r="AK15" i="75"/>
  <c r="A13" i="75"/>
  <c r="AE10" i="75"/>
  <c r="HO9" i="75"/>
  <c r="HN9" i="75"/>
  <c r="P9" i="75"/>
  <c r="HS4" i="75"/>
  <c r="HR4" i="75"/>
  <c r="AO3" i="75"/>
  <c r="AL3" i="75"/>
  <c r="HU2" i="75"/>
  <c r="HT2" i="75"/>
  <c r="HS2" i="75"/>
  <c r="HR2" i="75"/>
  <c r="HO2" i="75"/>
  <c r="HN2" i="75"/>
  <c r="HM2" i="75"/>
  <c r="GX2" i="75"/>
  <c r="GW2" i="75"/>
  <c r="GV2" i="75"/>
  <c r="GU2" i="75"/>
  <c r="GT2" i="75"/>
  <c r="GS2" i="75"/>
  <c r="GR2" i="75"/>
  <c r="GQ2" i="75"/>
  <c r="GP2" i="75"/>
  <c r="GO2" i="75"/>
  <c r="GN2" i="75"/>
  <c r="GM2" i="75"/>
  <c r="GL2" i="75"/>
  <c r="GK2" i="75"/>
  <c r="GJ2" i="75"/>
  <c r="GI2" i="75"/>
  <c r="GH2" i="75"/>
  <c r="GG2" i="75"/>
  <c r="FI2" i="75"/>
  <c r="FB2" i="75"/>
  <c r="FA2" i="75"/>
  <c r="EZ2" i="75"/>
  <c r="EY2" i="75"/>
  <c r="EX2" i="75"/>
  <c r="EW2" i="75"/>
  <c r="EV2" i="75"/>
  <c r="EU2" i="75"/>
  <c r="ET2" i="75"/>
  <c r="ER2" i="75"/>
  <c r="EQ2" i="75"/>
  <c r="EN2" i="75"/>
  <c r="DW2" i="75"/>
  <c r="DV2" i="75"/>
  <c r="DS2" i="75"/>
  <c r="DR2" i="75"/>
  <c r="DQ2" i="75"/>
  <c r="DP2" i="75"/>
  <c r="DO2" i="75"/>
  <c r="DN2" i="75"/>
  <c r="DM2" i="75"/>
  <c r="DI2" i="75"/>
  <c r="DH2" i="75"/>
  <c r="DG2" i="75"/>
  <c r="DE2" i="75"/>
  <c r="DD2" i="75"/>
  <c r="CF2" i="75"/>
  <c r="CC2" i="75"/>
  <c r="BO2" i="75"/>
  <c r="AR2" i="75"/>
  <c r="E2" i="75"/>
  <c r="B2" i="75"/>
  <c r="BB2" i="74"/>
  <c r="BB4" i="74"/>
  <c r="BB5" i="74"/>
  <c r="BB6" i="74"/>
  <c r="BB7" i="74"/>
  <c r="BB8" i="74"/>
  <c r="BB9" i="74"/>
  <c r="BB10" i="74"/>
  <c r="BB11" i="74"/>
  <c r="BB12" i="74"/>
  <c r="BB13" i="74"/>
  <c r="BB14" i="74"/>
  <c r="BB15" i="74"/>
  <c r="BB19" i="74"/>
  <c r="BB24" i="74"/>
  <c r="BB33" i="74"/>
  <c r="BB34" i="74"/>
  <c r="F193" i="49"/>
  <c r="BB35" i="74"/>
  <c r="BB37" i="74"/>
  <c r="BA2" i="74"/>
  <c r="BA4" i="74"/>
  <c r="BA5" i="74"/>
  <c r="BA6" i="74"/>
  <c r="BA7" i="74"/>
  <c r="BA8" i="74"/>
  <c r="BA9" i="74"/>
  <c r="BA10" i="74"/>
  <c r="BA11" i="74"/>
  <c r="BA12" i="74"/>
  <c r="BA13" i="74"/>
  <c r="BA14" i="74"/>
  <c r="BA15" i="74"/>
  <c r="BA19" i="74"/>
  <c r="BA24" i="74"/>
  <c r="BA33" i="74"/>
  <c r="BA34" i="74"/>
  <c r="E193" i="49"/>
  <c r="BA35" i="74"/>
  <c r="BA37" i="74"/>
  <c r="G59" i="49"/>
  <c r="AZ24" i="74"/>
  <c r="G106" i="49"/>
  <c r="AZ35" i="74"/>
  <c r="AZ37" i="74"/>
  <c r="AY2" i="74"/>
  <c r="AY4" i="74"/>
  <c r="AY6" i="74"/>
  <c r="AY7" i="74"/>
  <c r="AY8" i="74"/>
  <c r="AY9" i="74"/>
  <c r="AY10" i="74"/>
  <c r="AY11" i="74"/>
  <c r="AY12" i="74"/>
  <c r="AY13" i="74"/>
  <c r="AY14" i="74"/>
  <c r="AY16" i="74"/>
  <c r="AY18" i="74"/>
  <c r="F59" i="49"/>
  <c r="AY24" i="74"/>
  <c r="AY33" i="74"/>
  <c r="AY34" i="74"/>
  <c r="F106" i="49"/>
  <c r="AY35" i="74"/>
  <c r="AY37" i="74"/>
  <c r="AX2" i="74"/>
  <c r="AX4" i="74"/>
  <c r="AX6" i="74"/>
  <c r="AX7" i="74"/>
  <c r="AX8" i="74"/>
  <c r="AX9" i="74"/>
  <c r="AX10" i="74"/>
  <c r="AX11" i="74"/>
  <c r="AX12" i="74"/>
  <c r="AX13" i="74"/>
  <c r="AX14" i="74"/>
  <c r="AX16" i="74"/>
  <c r="AX18" i="74"/>
  <c r="E59" i="49"/>
  <c r="AX24" i="74"/>
  <c r="AX33" i="74"/>
  <c r="AX34" i="74"/>
  <c r="E106" i="49"/>
  <c r="AX35" i="74"/>
  <c r="AX37" i="74"/>
  <c r="AW28" i="74"/>
  <c r="AW37" i="74"/>
  <c r="AV2" i="74"/>
  <c r="AV4" i="74"/>
  <c r="AV6" i="74"/>
  <c r="AV7" i="74"/>
  <c r="AV8" i="74"/>
  <c r="AV9" i="74"/>
  <c r="AV10" i="74"/>
  <c r="AV11" i="74"/>
  <c r="AV12" i="74"/>
  <c r="AV13" i="74"/>
  <c r="AV14" i="74"/>
  <c r="AV16" i="74"/>
  <c r="AV18" i="74"/>
  <c r="AV23" i="74"/>
  <c r="AV28" i="74"/>
  <c r="AV33" i="74"/>
  <c r="AV37" i="74"/>
  <c r="AU2" i="74"/>
  <c r="AU4" i="74"/>
  <c r="AU6" i="74"/>
  <c r="AU7" i="74"/>
  <c r="AU8" i="74"/>
  <c r="AU9" i="74"/>
  <c r="AU10" i="74"/>
  <c r="AU11" i="74"/>
  <c r="AU12" i="74"/>
  <c r="AU13" i="74"/>
  <c r="AU14" i="74"/>
  <c r="AU16" i="74"/>
  <c r="AU18" i="74"/>
  <c r="AU23" i="74"/>
  <c r="AU28" i="74"/>
  <c r="AU33" i="74"/>
  <c r="AU37" i="74"/>
  <c r="AT22" i="74"/>
  <c r="AT32" i="74"/>
  <c r="AT37" i="74"/>
  <c r="AS2" i="74"/>
  <c r="AS4" i="74"/>
  <c r="AS6" i="74"/>
  <c r="AS7" i="74"/>
  <c r="AS8" i="74"/>
  <c r="AS9" i="74"/>
  <c r="AS10" i="74"/>
  <c r="AS11" i="74"/>
  <c r="AS12" i="74"/>
  <c r="AS13" i="74"/>
  <c r="AS14" i="74"/>
  <c r="AS16" i="74"/>
  <c r="AS18" i="74"/>
  <c r="AS20" i="74"/>
  <c r="AS22" i="74"/>
  <c r="AS24" i="74"/>
  <c r="AS28" i="74"/>
  <c r="AS29" i="74"/>
  <c r="AS30" i="74"/>
  <c r="AS31" i="74"/>
  <c r="AS32" i="74"/>
  <c r="AS37" i="74"/>
  <c r="AR2" i="74"/>
  <c r="AR4" i="74"/>
  <c r="AR6" i="74"/>
  <c r="AR7" i="74"/>
  <c r="AR8" i="74"/>
  <c r="AR9" i="74"/>
  <c r="AR10" i="74"/>
  <c r="AR11" i="74"/>
  <c r="AR12" i="74"/>
  <c r="AR13" i="74"/>
  <c r="AR14" i="74"/>
  <c r="AR16" i="74"/>
  <c r="AR18" i="74"/>
  <c r="AR20" i="74"/>
  <c r="AR22" i="74"/>
  <c r="AR24" i="74"/>
  <c r="AR28" i="74"/>
  <c r="AR29" i="74"/>
  <c r="AR30" i="74"/>
  <c r="AR31" i="74"/>
  <c r="AR32" i="74"/>
  <c r="AR37" i="74"/>
  <c r="AP2" i="74"/>
  <c r="AP4" i="74"/>
  <c r="AP6" i="74"/>
  <c r="AP7" i="74"/>
  <c r="AP8" i="74"/>
  <c r="AP9" i="74"/>
  <c r="AP10" i="74"/>
  <c r="AP11" i="74"/>
  <c r="AP12" i="74"/>
  <c r="AP13" i="74"/>
  <c r="AP14" i="74"/>
  <c r="AP16" i="74"/>
  <c r="AP18" i="74"/>
  <c r="AP24" i="74"/>
  <c r="AP25" i="74"/>
  <c r="AP26" i="74"/>
  <c r="AP28" i="74"/>
  <c r="AP29" i="74"/>
  <c r="AP30" i="74"/>
  <c r="AP31" i="74"/>
  <c r="AP37" i="74"/>
  <c r="AO2" i="74"/>
  <c r="AO4" i="74"/>
  <c r="AO6" i="74"/>
  <c r="AO7" i="74"/>
  <c r="AO8" i="74"/>
  <c r="AO9" i="74"/>
  <c r="AO10" i="74"/>
  <c r="AO11" i="74"/>
  <c r="AO12" i="74"/>
  <c r="AO13" i="74"/>
  <c r="AO14" i="74"/>
  <c r="AO16" i="74"/>
  <c r="AO18" i="74"/>
  <c r="AO24" i="74"/>
  <c r="AO25" i="74"/>
  <c r="AO26" i="74"/>
  <c r="AO28" i="74"/>
  <c r="AO29" i="74"/>
  <c r="AO30" i="74"/>
  <c r="AO31" i="74"/>
  <c r="AO37" i="74"/>
  <c r="AM2" i="74"/>
  <c r="AM4" i="74"/>
  <c r="AM6" i="74"/>
  <c r="AM7" i="74"/>
  <c r="AM8" i="74"/>
  <c r="AM9" i="74"/>
  <c r="AM10" i="74"/>
  <c r="AM11" i="74"/>
  <c r="AM12" i="74"/>
  <c r="AM13" i="74"/>
  <c r="AM14" i="74"/>
  <c r="AM18" i="74"/>
  <c r="AM22" i="74"/>
  <c r="AM23" i="74"/>
  <c r="AM37" i="74"/>
  <c r="AL2" i="74"/>
  <c r="AL4" i="74"/>
  <c r="AL6" i="74"/>
  <c r="AL7" i="74"/>
  <c r="AL8" i="74"/>
  <c r="AL9" i="74"/>
  <c r="AL10" i="74"/>
  <c r="AL11" i="74"/>
  <c r="AL12" i="74"/>
  <c r="AL13" i="74"/>
  <c r="AL14" i="74"/>
  <c r="AL16" i="74"/>
  <c r="AL18" i="74"/>
  <c r="AL22" i="74"/>
  <c r="AL23" i="74"/>
  <c r="AL37" i="74"/>
  <c r="AJ2" i="74"/>
  <c r="AJ4" i="74"/>
  <c r="AJ6" i="74"/>
  <c r="AJ7" i="74"/>
  <c r="AJ8" i="74"/>
  <c r="AJ9" i="74"/>
  <c r="AJ10" i="74"/>
  <c r="AJ11" i="74"/>
  <c r="AJ12" i="74"/>
  <c r="AJ13" i="74"/>
  <c r="AJ14" i="74"/>
  <c r="AJ16" i="74"/>
  <c r="AJ18" i="74"/>
  <c r="AJ22" i="74"/>
  <c r="AJ37" i="74"/>
  <c r="AI2" i="74"/>
  <c r="AI4" i="74"/>
  <c r="AI6" i="74"/>
  <c r="AI7" i="74"/>
  <c r="AI8" i="74"/>
  <c r="AI9" i="74"/>
  <c r="AI10" i="74"/>
  <c r="AI11" i="74"/>
  <c r="AI12" i="74"/>
  <c r="AI13" i="74"/>
  <c r="AI14" i="74"/>
  <c r="AI16" i="74"/>
  <c r="AI18" i="74"/>
  <c r="AI22" i="74"/>
  <c r="AI37" i="74"/>
  <c r="AH2" i="74"/>
  <c r="AH7" i="74"/>
  <c r="AH8" i="74"/>
  <c r="AH12" i="74"/>
  <c r="AH13" i="74"/>
  <c r="AH14" i="74"/>
  <c r="AH16" i="74"/>
  <c r="AH37" i="74"/>
  <c r="AG2" i="74"/>
  <c r="AG4" i="74"/>
  <c r="AG5" i="74"/>
  <c r="AG6" i="74"/>
  <c r="AG7" i="74"/>
  <c r="AG8" i="74"/>
  <c r="AG10" i="74"/>
  <c r="AG11" i="74"/>
  <c r="AG12" i="74"/>
  <c r="AG13" i="74"/>
  <c r="AG14" i="74"/>
  <c r="AG16" i="74"/>
  <c r="AG20" i="74"/>
  <c r="AG37" i="74"/>
  <c r="AF2" i="74"/>
  <c r="AF4" i="74"/>
  <c r="AF5" i="74"/>
  <c r="AF6" i="74"/>
  <c r="AF7" i="74"/>
  <c r="AF8" i="74"/>
  <c r="AF9" i="74"/>
  <c r="AF10" i="74"/>
  <c r="AF11" i="74"/>
  <c r="AF12" i="74"/>
  <c r="AF13" i="74"/>
  <c r="AF14" i="74"/>
  <c r="AF16" i="74"/>
  <c r="AF20" i="74"/>
  <c r="AF21" i="74"/>
  <c r="AF37" i="74"/>
  <c r="AE9" i="74"/>
  <c r="AE10" i="74"/>
  <c r="AE12" i="74"/>
  <c r="AE13" i="74"/>
  <c r="AE14" i="74"/>
  <c r="AE17" i="74"/>
  <c r="AE18" i="74"/>
  <c r="AE37" i="74"/>
  <c r="AD2" i="74"/>
  <c r="AD4" i="74"/>
  <c r="AD5" i="74"/>
  <c r="AD6" i="74"/>
  <c r="AD7" i="74"/>
  <c r="AD8" i="74"/>
  <c r="AD9" i="74"/>
  <c r="AD10" i="74"/>
  <c r="AD11" i="74"/>
  <c r="AD12" i="74"/>
  <c r="AD13" i="74"/>
  <c r="AD14" i="74"/>
  <c r="AD16" i="74"/>
  <c r="AD17" i="74"/>
  <c r="AD18" i="74"/>
  <c r="AD37" i="74"/>
  <c r="AC2" i="74"/>
  <c r="AC4" i="74"/>
  <c r="AC5" i="74"/>
  <c r="AC6" i="74"/>
  <c r="AC7" i="74"/>
  <c r="AC8" i="74"/>
  <c r="AC9" i="74"/>
  <c r="AC10" i="74"/>
  <c r="AC11" i="74"/>
  <c r="AC12" i="74"/>
  <c r="AC13" i="74"/>
  <c r="AC14" i="74"/>
  <c r="AC16" i="74"/>
  <c r="AC17" i="74"/>
  <c r="AC18" i="74"/>
  <c r="AC37" i="74"/>
  <c r="S12" i="74"/>
  <c r="S37" i="74"/>
  <c r="R2" i="74"/>
  <c r="R4" i="74"/>
  <c r="R6" i="74"/>
  <c r="R7" i="74"/>
  <c r="R8" i="74"/>
  <c r="R9" i="74"/>
  <c r="R10" i="74"/>
  <c r="R11" i="74"/>
  <c r="R12" i="74"/>
  <c r="R13" i="74"/>
  <c r="R14" i="74"/>
  <c r="R15" i="74"/>
  <c r="R37" i="74"/>
  <c r="Q2" i="74"/>
  <c r="Q3" i="74"/>
  <c r="Q4" i="74"/>
  <c r="Q5" i="74"/>
  <c r="Q6" i="74"/>
  <c r="Q7" i="74"/>
  <c r="Q8" i="74"/>
  <c r="Q9" i="74"/>
  <c r="Q10" i="74"/>
  <c r="Q11" i="74"/>
  <c r="Q12" i="74"/>
  <c r="Q13" i="74"/>
  <c r="Q14" i="74"/>
  <c r="Q15" i="74"/>
  <c r="Q37" i="74"/>
  <c r="M12" i="74"/>
  <c r="M37" i="74"/>
  <c r="L2" i="74"/>
  <c r="L4" i="74"/>
  <c r="L6" i="74"/>
  <c r="L7" i="74"/>
  <c r="L8" i="74"/>
  <c r="L9" i="74"/>
  <c r="L11" i="74"/>
  <c r="L12" i="74"/>
  <c r="L13" i="74"/>
  <c r="L14" i="74"/>
  <c r="L15" i="74"/>
  <c r="L37" i="74"/>
  <c r="K2" i="74"/>
  <c r="K4" i="74"/>
  <c r="K6" i="74"/>
  <c r="K7" i="74"/>
  <c r="K8" i="74"/>
  <c r="K9" i="74"/>
  <c r="K11" i="74"/>
  <c r="K12" i="74"/>
  <c r="K13" i="74"/>
  <c r="K14" i="74"/>
  <c r="K15" i="74"/>
  <c r="K37" i="74"/>
  <c r="J12" i="74"/>
  <c r="J37" i="74"/>
  <c r="I2" i="74"/>
  <c r="I4" i="74"/>
  <c r="I6" i="74"/>
  <c r="I7" i="74"/>
  <c r="I8" i="74"/>
  <c r="I9" i="74"/>
  <c r="I10" i="74"/>
  <c r="I12" i="74"/>
  <c r="I15" i="74"/>
  <c r="I37" i="74"/>
  <c r="H2" i="74"/>
  <c r="H4" i="74"/>
  <c r="H6" i="74"/>
  <c r="H7" i="74"/>
  <c r="H8" i="74"/>
  <c r="H9" i="74"/>
  <c r="H10" i="74"/>
  <c r="H12" i="74"/>
  <c r="H15" i="74"/>
  <c r="H37" i="74"/>
  <c r="G2" i="74"/>
  <c r="G37" i="74"/>
  <c r="F2" i="74"/>
  <c r="F4" i="74"/>
  <c r="F6" i="74"/>
  <c r="F7" i="74"/>
  <c r="F8" i="74"/>
  <c r="F12" i="74"/>
  <c r="F15" i="74"/>
  <c r="F37" i="74"/>
  <c r="E2" i="74"/>
  <c r="E4" i="74"/>
  <c r="E6" i="74"/>
  <c r="E7" i="74"/>
  <c r="E8" i="74"/>
  <c r="E9" i="74"/>
  <c r="E12" i="74"/>
  <c r="E15" i="74"/>
  <c r="E37" i="74"/>
  <c r="D12" i="74"/>
  <c r="D37" i="74"/>
  <c r="C2" i="74"/>
  <c r="C4" i="74"/>
  <c r="C6" i="74"/>
  <c r="C7" i="74"/>
  <c r="C8" i="74"/>
  <c r="C9" i="74"/>
  <c r="C12" i="74"/>
  <c r="C15" i="74"/>
  <c r="C37" i="74"/>
  <c r="B2" i="74"/>
  <c r="B4" i="74"/>
  <c r="B6" i="74"/>
  <c r="B7" i="74"/>
  <c r="B8" i="74"/>
  <c r="B9" i="74"/>
  <c r="B11" i="74"/>
  <c r="B12" i="74"/>
  <c r="B15" i="74"/>
  <c r="B37" i="74"/>
  <c r="BB36" i="74"/>
  <c r="BA36" i="74"/>
  <c r="AY36" i="74"/>
  <c r="AX36" i="74"/>
  <c r="AW36" i="74"/>
  <c r="AV36" i="74"/>
  <c r="AU36" i="74"/>
  <c r="AS36" i="74"/>
  <c r="AR36" i="74"/>
  <c r="AP36" i="74"/>
  <c r="AO36" i="74"/>
  <c r="AL36" i="74"/>
  <c r="AJ36" i="74"/>
  <c r="AI36" i="74"/>
  <c r="AH36" i="74"/>
  <c r="AG36" i="74"/>
  <c r="AF36" i="74"/>
  <c r="AE36" i="74"/>
  <c r="AD36" i="74"/>
  <c r="AC36" i="74"/>
  <c r="S36" i="74"/>
  <c r="R36" i="74"/>
  <c r="Q36" i="74"/>
  <c r="M36" i="74"/>
  <c r="L36" i="74"/>
  <c r="K36" i="74"/>
  <c r="J36" i="74"/>
  <c r="I36" i="74"/>
  <c r="H36" i="74"/>
  <c r="G36" i="74"/>
  <c r="F36" i="74"/>
  <c r="E36" i="74"/>
  <c r="D36" i="74"/>
  <c r="C36" i="74"/>
  <c r="B36" i="74"/>
  <c r="A33" i="74"/>
  <c r="A32" i="74"/>
  <c r="A31" i="74"/>
  <c r="A30" i="74"/>
  <c r="A29" i="74"/>
  <c r="A28" i="74"/>
  <c r="A27" i="74"/>
  <c r="A26" i="74"/>
  <c r="A25" i="74"/>
  <c r="A24" i="74"/>
  <c r="A21" i="74"/>
  <c r="A20" i="74"/>
  <c r="A19" i="74"/>
  <c r="A18" i="74"/>
  <c r="A17" i="74"/>
  <c r="A3" i="74"/>
  <c r="BB2" i="73"/>
  <c r="BB5" i="73"/>
  <c r="BB6" i="73"/>
  <c r="BB7" i="73"/>
  <c r="BB9" i="73"/>
  <c r="BB10" i="73"/>
  <c r="BB11" i="73"/>
  <c r="BB12" i="73"/>
  <c r="BB16" i="73"/>
  <c r="BB17" i="73"/>
  <c r="BB19" i="73"/>
  <c r="BB21" i="73"/>
  <c r="BB22" i="73"/>
  <c r="BB23" i="73"/>
  <c r="BB30" i="73"/>
  <c r="BB31" i="73"/>
  <c r="BB33" i="73"/>
  <c r="BA2" i="73"/>
  <c r="BA5" i="73"/>
  <c r="BA6" i="73"/>
  <c r="BA7" i="73"/>
  <c r="BA9" i="73"/>
  <c r="BA10" i="73"/>
  <c r="BA11" i="73"/>
  <c r="BA12" i="73"/>
  <c r="BA16" i="73"/>
  <c r="BA17" i="73"/>
  <c r="BA19" i="73"/>
  <c r="BA21" i="73"/>
  <c r="BA22" i="73"/>
  <c r="BA23" i="73"/>
  <c r="BA30" i="73"/>
  <c r="BA31" i="73"/>
  <c r="BA33" i="73"/>
  <c r="AZ19" i="73"/>
  <c r="AZ33" i="73"/>
  <c r="AY2" i="73"/>
  <c r="AY5" i="73"/>
  <c r="AY6" i="73"/>
  <c r="AY7" i="73"/>
  <c r="AY9" i="73"/>
  <c r="AY10" i="73"/>
  <c r="AY12" i="73"/>
  <c r="AY16" i="73"/>
  <c r="AY17" i="73"/>
  <c r="AY19" i="73"/>
  <c r="AY21" i="73"/>
  <c r="AY22" i="73"/>
  <c r="AY30" i="73"/>
  <c r="AY33" i="73"/>
  <c r="AX2" i="73"/>
  <c r="AX5" i="73"/>
  <c r="AX6" i="73"/>
  <c r="AX7" i="73"/>
  <c r="AX9" i="73"/>
  <c r="AX10" i="73"/>
  <c r="AX11" i="73"/>
  <c r="AX12" i="73"/>
  <c r="AX16" i="73"/>
  <c r="AX17" i="73"/>
  <c r="AX19" i="73"/>
  <c r="AX21" i="73"/>
  <c r="AX22" i="73"/>
  <c r="AX30" i="73"/>
  <c r="AX33" i="73"/>
  <c r="AV2" i="73"/>
  <c r="AV5" i="73"/>
  <c r="AV6" i="73"/>
  <c r="AV7" i="73"/>
  <c r="AV9" i="73"/>
  <c r="AV10" i="73"/>
  <c r="AV12" i="73"/>
  <c r="AV13" i="73"/>
  <c r="AV16" i="73"/>
  <c r="AV21" i="73"/>
  <c r="AV31" i="73"/>
  <c r="AV30" i="73"/>
  <c r="AV33" i="73"/>
  <c r="AU2" i="73"/>
  <c r="AU5" i="73"/>
  <c r="AU6" i="73"/>
  <c r="AU7" i="73"/>
  <c r="AU9" i="73"/>
  <c r="AU10" i="73"/>
  <c r="AU11" i="73"/>
  <c r="AU12" i="73"/>
  <c r="AU13" i="73"/>
  <c r="AU16" i="73"/>
  <c r="AU21" i="73"/>
  <c r="AU31" i="73"/>
  <c r="AU30" i="73"/>
  <c r="AU33" i="73"/>
  <c r="AS2" i="73"/>
  <c r="AS5" i="73"/>
  <c r="AS6" i="73"/>
  <c r="AS7" i="73"/>
  <c r="AS9" i="73"/>
  <c r="AS10" i="73"/>
  <c r="AS12" i="73"/>
  <c r="AS13" i="73"/>
  <c r="AS16" i="73"/>
  <c r="F61" i="44"/>
  <c r="AS30" i="73"/>
  <c r="AS33" i="73"/>
  <c r="AR2" i="73"/>
  <c r="AR5" i="73"/>
  <c r="AR6" i="73"/>
  <c r="AR7" i="73"/>
  <c r="AR9" i="73"/>
  <c r="AR10" i="73"/>
  <c r="AR11" i="73"/>
  <c r="AR12" i="73"/>
  <c r="AR13" i="73"/>
  <c r="AR16" i="73"/>
  <c r="E61" i="44"/>
  <c r="AR30" i="73"/>
  <c r="AR33" i="73"/>
  <c r="AP2" i="73"/>
  <c r="AP5" i="73"/>
  <c r="AP6" i="73"/>
  <c r="AP7" i="73"/>
  <c r="AP9" i="73"/>
  <c r="AP10" i="73"/>
  <c r="AP11" i="73"/>
  <c r="AP12" i="73"/>
  <c r="AP13" i="73"/>
  <c r="AP16" i="73"/>
  <c r="AP20" i="73"/>
  <c r="AP33" i="73"/>
  <c r="AO2" i="73"/>
  <c r="AO5" i="73"/>
  <c r="AO6" i="73"/>
  <c r="AO7" i="73"/>
  <c r="AO9" i="73"/>
  <c r="AO10" i="73"/>
  <c r="AO11" i="73"/>
  <c r="AO12" i="73"/>
  <c r="AO13" i="73"/>
  <c r="AO16" i="73"/>
  <c r="AO20" i="73"/>
  <c r="AO33" i="73"/>
  <c r="AN27" i="73"/>
  <c r="AN33" i="73"/>
  <c r="AM2" i="73"/>
  <c r="AM5" i="73"/>
  <c r="AM6" i="73"/>
  <c r="AM7" i="73"/>
  <c r="AM9" i="73"/>
  <c r="AM10" i="73"/>
  <c r="AM11" i="73"/>
  <c r="AM12" i="73"/>
  <c r="AM13" i="73"/>
  <c r="AM14" i="73"/>
  <c r="AM16" i="73"/>
  <c r="AM18" i="73"/>
  <c r="AM24" i="73"/>
  <c r="AM26" i="73"/>
  <c r="AM27" i="73"/>
  <c r="AM30" i="73"/>
  <c r="AM29" i="73"/>
  <c r="AM33" i="73"/>
  <c r="AL2" i="73"/>
  <c r="AL5" i="73"/>
  <c r="AL6" i="73"/>
  <c r="AL7" i="73"/>
  <c r="AL9" i="73"/>
  <c r="AL10" i="73"/>
  <c r="AL11" i="73"/>
  <c r="AL12" i="73"/>
  <c r="AL13" i="73"/>
  <c r="AL14" i="73"/>
  <c r="AL16" i="73"/>
  <c r="AL18" i="73"/>
  <c r="AL24" i="73"/>
  <c r="AL26" i="73"/>
  <c r="AL27" i="73"/>
  <c r="AL30" i="73"/>
  <c r="AL29" i="73"/>
  <c r="AL33" i="73"/>
  <c r="AK27" i="73"/>
  <c r="AK33" i="73"/>
  <c r="AJ2" i="73"/>
  <c r="AJ5" i="73"/>
  <c r="AJ6" i="73"/>
  <c r="AJ7" i="73"/>
  <c r="AJ9" i="73"/>
  <c r="AJ10" i="73"/>
  <c r="AJ13" i="73"/>
  <c r="AJ14" i="73"/>
  <c r="AJ16" i="73"/>
  <c r="AJ18" i="73"/>
  <c r="AJ28" i="73"/>
  <c r="AJ24" i="73"/>
  <c r="AJ26" i="73"/>
  <c r="AJ27" i="73"/>
  <c r="AJ29" i="73"/>
  <c r="AJ30" i="73"/>
  <c r="AJ33" i="73"/>
  <c r="AI2" i="73"/>
  <c r="AI5" i="73"/>
  <c r="AI6" i="73"/>
  <c r="AI7" i="73"/>
  <c r="AI9" i="73"/>
  <c r="AI10" i="73"/>
  <c r="AI11" i="73"/>
  <c r="AI13" i="73"/>
  <c r="AI14" i="73"/>
  <c r="AI16" i="73"/>
  <c r="AI18" i="73"/>
  <c r="AI28" i="73"/>
  <c r="AI24" i="73"/>
  <c r="AI26" i="73"/>
  <c r="AI27" i="73"/>
  <c r="AI29" i="73"/>
  <c r="AI30" i="73"/>
  <c r="AI33" i="73"/>
  <c r="AG2" i="73"/>
  <c r="AG5" i="73"/>
  <c r="AG6" i="73"/>
  <c r="AG7" i="73"/>
  <c r="AG9" i="73"/>
  <c r="AG10" i="73"/>
  <c r="AG14" i="73"/>
  <c r="AG16" i="73"/>
  <c r="AG19" i="73"/>
  <c r="AG24" i="73"/>
  <c r="AG26" i="73"/>
  <c r="AG33" i="73"/>
  <c r="AF2" i="73"/>
  <c r="AF3" i="73"/>
  <c r="AF5" i="73"/>
  <c r="AF6" i="73"/>
  <c r="AF7" i="73"/>
  <c r="AF9" i="73"/>
  <c r="AF10" i="73"/>
  <c r="AF11" i="73"/>
  <c r="AF14" i="73"/>
  <c r="AF16" i="73"/>
  <c r="AF19" i="73"/>
  <c r="AF24" i="73"/>
  <c r="AF25" i="73"/>
  <c r="AF26" i="73"/>
  <c r="AF33" i="73"/>
  <c r="AE2" i="73"/>
  <c r="AE14" i="73"/>
  <c r="AE27" i="73"/>
  <c r="AE33" i="73"/>
  <c r="AD2" i="73"/>
  <c r="AD5" i="73"/>
  <c r="AD6" i="73"/>
  <c r="AD7" i="73"/>
  <c r="AD9" i="73"/>
  <c r="AD10" i="73"/>
  <c r="AD14" i="73"/>
  <c r="AD16" i="73"/>
  <c r="AD17" i="73"/>
  <c r="AD18" i="73"/>
  <c r="AD19" i="73"/>
  <c r="AD24" i="73"/>
  <c r="AD26" i="73"/>
  <c r="AD27" i="73"/>
  <c r="AD33" i="73"/>
  <c r="AC2" i="73"/>
  <c r="AC5" i="73"/>
  <c r="AC6" i="73"/>
  <c r="AC7" i="73"/>
  <c r="AC9" i="73"/>
  <c r="AC10" i="73"/>
  <c r="AC11" i="73"/>
  <c r="AC14" i="73"/>
  <c r="AC16" i="73"/>
  <c r="AC17" i="73"/>
  <c r="AC18" i="73"/>
  <c r="AC19" i="73"/>
  <c r="AC24" i="73"/>
  <c r="AC26" i="73"/>
  <c r="AC27" i="73"/>
  <c r="AC33" i="73"/>
  <c r="Q2" i="73"/>
  <c r="Q4" i="73"/>
  <c r="Q5" i="73"/>
  <c r="Q6" i="73"/>
  <c r="Q7" i="73"/>
  <c r="Q8" i="73"/>
  <c r="Q9" i="73"/>
  <c r="Q10" i="73"/>
  <c r="Q11" i="73"/>
  <c r="Q13" i="73"/>
  <c r="Q14" i="73"/>
  <c r="Q33" i="73"/>
  <c r="M2" i="73"/>
  <c r="M6" i="73"/>
  <c r="M9" i="73"/>
  <c r="M10" i="73"/>
  <c r="M14" i="73"/>
  <c r="M33" i="73"/>
  <c r="L2" i="73"/>
  <c r="L5" i="73"/>
  <c r="L6" i="73"/>
  <c r="L7" i="73"/>
  <c r="L9" i="73"/>
  <c r="L10" i="73"/>
  <c r="L14" i="73"/>
  <c r="L15" i="73"/>
  <c r="L33" i="73"/>
  <c r="K2" i="73"/>
  <c r="K5" i="73"/>
  <c r="K6" i="73"/>
  <c r="K7" i="73"/>
  <c r="K9" i="73"/>
  <c r="K10" i="73"/>
  <c r="K14" i="73"/>
  <c r="K15" i="73"/>
  <c r="K33" i="73"/>
  <c r="J9" i="73"/>
  <c r="J10" i="73"/>
  <c r="J33" i="73"/>
  <c r="I2" i="73"/>
  <c r="I5" i="73"/>
  <c r="I6" i="73"/>
  <c r="I7" i="73"/>
  <c r="I9" i="73"/>
  <c r="I10" i="73"/>
  <c r="I14" i="73"/>
  <c r="I33" i="73"/>
  <c r="H2" i="73"/>
  <c r="H5" i="73"/>
  <c r="H6" i="73"/>
  <c r="H7" i="73"/>
  <c r="H9" i="73"/>
  <c r="H10" i="73"/>
  <c r="H14" i="73"/>
  <c r="H15" i="73"/>
  <c r="H33" i="73"/>
  <c r="G6" i="73"/>
  <c r="G7" i="73"/>
  <c r="G9" i="73"/>
  <c r="G14" i="73"/>
  <c r="G33" i="73"/>
  <c r="F2" i="73"/>
  <c r="F5" i="73"/>
  <c r="F6" i="73"/>
  <c r="F7" i="73"/>
  <c r="F9" i="73"/>
  <c r="F10" i="73"/>
  <c r="F14" i="73"/>
  <c r="F15" i="73"/>
  <c r="F33" i="73"/>
  <c r="E2" i="73"/>
  <c r="E5" i="73"/>
  <c r="E6" i="73"/>
  <c r="E7" i="73"/>
  <c r="E9" i="73"/>
  <c r="E10" i="73"/>
  <c r="E14" i="73"/>
  <c r="E15" i="73"/>
  <c r="E33" i="73"/>
  <c r="C2" i="73"/>
  <c r="C5" i="73"/>
  <c r="C6" i="73"/>
  <c r="C7" i="73"/>
  <c r="C9" i="73"/>
  <c r="C10" i="73"/>
  <c r="C14" i="73"/>
  <c r="C33" i="73"/>
  <c r="B2" i="73"/>
  <c r="B5" i="73"/>
  <c r="B6" i="73"/>
  <c r="B7" i="73"/>
  <c r="B9" i="73"/>
  <c r="B10" i="73"/>
  <c r="B14" i="73"/>
  <c r="B33" i="73"/>
  <c r="BB32" i="73"/>
  <c r="BA32" i="73"/>
  <c r="AZ32" i="73"/>
  <c r="AY32" i="73"/>
  <c r="AX32" i="73"/>
  <c r="AV32" i="73"/>
  <c r="AU32" i="73"/>
  <c r="AS32" i="73"/>
  <c r="AR32" i="73"/>
  <c r="AP32" i="73"/>
  <c r="AO32" i="73"/>
  <c r="AN32" i="73"/>
  <c r="AM32" i="73"/>
  <c r="AL32" i="73"/>
  <c r="AK32" i="73"/>
  <c r="AJ32" i="73"/>
  <c r="AI32" i="73"/>
  <c r="AG32" i="73"/>
  <c r="AF32" i="73"/>
  <c r="AE32" i="73"/>
  <c r="AD32" i="73"/>
  <c r="AC32" i="73"/>
  <c r="Q32" i="73"/>
  <c r="M32" i="73"/>
  <c r="L32" i="73"/>
  <c r="K32" i="73"/>
  <c r="I32" i="73"/>
  <c r="H32" i="73"/>
  <c r="F32" i="73"/>
  <c r="E32" i="73"/>
  <c r="C32" i="73"/>
  <c r="B32" i="73"/>
  <c r="A28" i="73"/>
  <c r="A26" i="73"/>
  <c r="A25" i="73"/>
  <c r="A23" i="73"/>
  <c r="A22" i="73"/>
  <c r="A21" i="73"/>
  <c r="A20" i="73"/>
  <c r="A19" i="73"/>
  <c r="A18" i="73"/>
  <c r="A17" i="73"/>
  <c r="A16" i="73"/>
  <c r="A15" i="73"/>
  <c r="A14" i="73"/>
  <c r="A13" i="73"/>
  <c r="A12" i="73"/>
  <c r="A10" i="73"/>
  <c r="A9" i="73"/>
  <c r="A8" i="73"/>
  <c r="A7" i="73"/>
  <c r="A6" i="73"/>
  <c r="A5" i="73"/>
  <c r="A4" i="73"/>
  <c r="A3" i="73"/>
  <c r="M64" i="72"/>
  <c r="L64" i="72"/>
  <c r="K64" i="72"/>
  <c r="J64" i="72"/>
  <c r="I64" i="72"/>
  <c r="H64" i="72"/>
  <c r="G64" i="72"/>
  <c r="F64" i="72"/>
  <c r="E64" i="72"/>
  <c r="D64" i="72"/>
  <c r="C64" i="72"/>
  <c r="B64" i="72"/>
  <c r="M49" i="72"/>
  <c r="L49" i="72"/>
  <c r="K49" i="72"/>
  <c r="J49" i="72"/>
  <c r="I49" i="72"/>
  <c r="H49" i="72"/>
  <c r="G49" i="72"/>
  <c r="F49" i="72"/>
  <c r="E49" i="72"/>
  <c r="D49" i="72"/>
  <c r="B49" i="72"/>
  <c r="C9" i="72"/>
  <c r="B9" i="72"/>
  <c r="G131" i="71"/>
  <c r="F131" i="71"/>
  <c r="E131" i="71"/>
  <c r="D131" i="71"/>
  <c r="C131" i="71"/>
  <c r="B131" i="71"/>
  <c r="E104" i="71"/>
  <c r="E107" i="71"/>
  <c r="D104" i="71"/>
  <c r="D107" i="71"/>
  <c r="K82" i="71"/>
  <c r="K83" i="71"/>
  <c r="K84" i="71"/>
  <c r="K85" i="71"/>
  <c r="K86" i="71"/>
  <c r="K87" i="71"/>
  <c r="K89" i="71"/>
  <c r="J82" i="71"/>
  <c r="J83" i="71"/>
  <c r="J84" i="71"/>
  <c r="J85" i="71"/>
  <c r="J86" i="71"/>
  <c r="J87" i="71"/>
  <c r="J89" i="71"/>
  <c r="I89" i="71"/>
  <c r="H89" i="71"/>
  <c r="E89" i="71"/>
  <c r="D89" i="71"/>
  <c r="C89" i="71"/>
  <c r="B89" i="71"/>
  <c r="K88" i="71"/>
  <c r="J88" i="71"/>
  <c r="C73" i="71"/>
  <c r="C76" i="71"/>
  <c r="B73" i="71"/>
  <c r="B76" i="71"/>
  <c r="E73" i="71"/>
  <c r="D73" i="71"/>
  <c r="E37" i="71"/>
  <c r="E33" i="71"/>
  <c r="E16" i="71"/>
  <c r="E40" i="71"/>
  <c r="D37" i="71"/>
  <c r="D33" i="71"/>
  <c r="D16" i="71"/>
  <c r="D40" i="71"/>
  <c r="C12" i="70"/>
  <c r="B12" i="70"/>
  <c r="G164" i="69"/>
  <c r="G167" i="69"/>
  <c r="F164" i="69"/>
  <c r="F167" i="69"/>
  <c r="E164" i="69"/>
  <c r="D164" i="69"/>
  <c r="C164" i="69"/>
  <c r="B164" i="69"/>
  <c r="Q121" i="69"/>
  <c r="P121" i="69"/>
  <c r="O121" i="69"/>
  <c r="N121" i="69"/>
  <c r="M121" i="69"/>
  <c r="L121" i="69"/>
  <c r="K121" i="69"/>
  <c r="J121" i="69"/>
  <c r="I121" i="69"/>
  <c r="H121" i="69"/>
  <c r="G121" i="69"/>
  <c r="F121" i="69"/>
  <c r="E121" i="69"/>
  <c r="D121" i="69"/>
  <c r="C121" i="69"/>
  <c r="B121" i="69"/>
  <c r="E100" i="69"/>
  <c r="E103" i="69"/>
  <c r="D100" i="69"/>
  <c r="D103" i="69"/>
  <c r="AE95" i="69"/>
  <c r="AD95" i="69"/>
  <c r="AC95" i="69"/>
  <c r="AB95" i="69"/>
  <c r="AA95" i="69"/>
  <c r="Z95" i="69"/>
  <c r="Y95" i="69"/>
  <c r="X95" i="69"/>
  <c r="W95" i="69"/>
  <c r="V95" i="69"/>
  <c r="U95" i="69"/>
  <c r="T95" i="69"/>
  <c r="S95" i="69"/>
  <c r="R95" i="69"/>
  <c r="Q95" i="69"/>
  <c r="P95" i="69"/>
  <c r="O95" i="69"/>
  <c r="N95" i="69"/>
  <c r="M95" i="69"/>
  <c r="L95" i="69"/>
  <c r="K95" i="69"/>
  <c r="J95" i="69"/>
  <c r="I95" i="69"/>
  <c r="H95" i="69"/>
  <c r="G95" i="69"/>
  <c r="F95" i="69"/>
  <c r="E95" i="69"/>
  <c r="D95" i="69"/>
  <c r="C95" i="69"/>
  <c r="B95" i="69"/>
  <c r="I74" i="69"/>
  <c r="H74" i="69"/>
  <c r="G74" i="69"/>
  <c r="F74" i="69"/>
  <c r="E74" i="69"/>
  <c r="D74" i="69"/>
  <c r="C74" i="69"/>
  <c r="B74" i="69"/>
  <c r="E43" i="69"/>
  <c r="D43" i="69"/>
  <c r="E40" i="69"/>
  <c r="D40" i="69"/>
  <c r="E37" i="69"/>
  <c r="D37" i="69"/>
  <c r="E27" i="69"/>
  <c r="D27" i="69"/>
  <c r="C19" i="69"/>
  <c r="C22" i="69"/>
  <c r="B19" i="69"/>
  <c r="B22" i="69"/>
  <c r="E19" i="69"/>
  <c r="D19" i="69"/>
  <c r="Q107" i="68"/>
  <c r="P107" i="68"/>
  <c r="O107" i="68"/>
  <c r="N107" i="68"/>
  <c r="M107" i="68"/>
  <c r="L107" i="68"/>
  <c r="K107" i="68"/>
  <c r="J107" i="68"/>
  <c r="I107" i="68"/>
  <c r="H107" i="68"/>
  <c r="G107" i="68"/>
  <c r="F107" i="68"/>
  <c r="E107" i="68"/>
  <c r="D107" i="68"/>
  <c r="C107" i="68"/>
  <c r="B107" i="68"/>
  <c r="S106" i="68"/>
  <c r="R106" i="68"/>
  <c r="S105" i="68"/>
  <c r="R105" i="68"/>
  <c r="S104" i="68"/>
  <c r="R104" i="68"/>
  <c r="S103" i="68"/>
  <c r="R103" i="68"/>
  <c r="S102" i="68"/>
  <c r="R102" i="68"/>
  <c r="S101" i="68"/>
  <c r="R101" i="68"/>
  <c r="S100" i="68"/>
  <c r="R100" i="68"/>
  <c r="S99" i="68"/>
  <c r="R99" i="68"/>
  <c r="S98" i="68"/>
  <c r="R98" i="68"/>
  <c r="S97" i="68"/>
  <c r="R97" i="68"/>
  <c r="S96" i="68"/>
  <c r="R96" i="68"/>
  <c r="S95" i="68"/>
  <c r="R95" i="68"/>
  <c r="S94" i="68"/>
  <c r="R94" i="68"/>
  <c r="S93" i="68"/>
  <c r="R93" i="68"/>
  <c r="S92" i="68"/>
  <c r="R92" i="68"/>
  <c r="S91" i="68"/>
  <c r="R91" i="68"/>
  <c r="S90" i="68"/>
  <c r="R90" i="68"/>
  <c r="K74" i="68"/>
  <c r="I78" i="68"/>
  <c r="K80" i="68"/>
  <c r="K83" i="68"/>
  <c r="J74" i="68"/>
  <c r="H78" i="68"/>
  <c r="J80" i="68"/>
  <c r="J83" i="68"/>
  <c r="M55" i="68"/>
  <c r="M56" i="68"/>
  <c r="M57" i="68"/>
  <c r="L55" i="68"/>
  <c r="L56" i="68"/>
  <c r="L57" i="68"/>
  <c r="K53" i="68"/>
  <c r="J53" i="68"/>
  <c r="I53" i="68"/>
  <c r="H53" i="68"/>
  <c r="G53" i="68"/>
  <c r="F53" i="68"/>
  <c r="E53" i="68"/>
  <c r="D53" i="68"/>
  <c r="C53" i="68"/>
  <c r="B53" i="68"/>
  <c r="O33" i="68"/>
  <c r="N33" i="68"/>
  <c r="M33" i="68"/>
  <c r="L33" i="68"/>
  <c r="K33" i="68"/>
  <c r="J33" i="68"/>
  <c r="I33" i="68"/>
  <c r="H33" i="68"/>
  <c r="G33" i="68"/>
  <c r="F33" i="68"/>
  <c r="E33" i="68"/>
  <c r="D33" i="68"/>
  <c r="C33" i="68"/>
  <c r="B33" i="68"/>
  <c r="C39" i="67"/>
  <c r="B39" i="67"/>
  <c r="E6" i="67"/>
  <c r="D6" i="67"/>
  <c r="E21" i="66"/>
  <c r="D21" i="66"/>
  <c r="C21" i="66"/>
  <c r="B21" i="66"/>
  <c r="C36" i="65"/>
  <c r="B36" i="65"/>
  <c r="C66" i="64"/>
  <c r="C69" i="64"/>
  <c r="B66" i="64"/>
  <c r="B69" i="64"/>
  <c r="U55" i="64"/>
  <c r="U56" i="64"/>
  <c r="T55" i="64"/>
  <c r="T56" i="64"/>
  <c r="W45" i="64"/>
  <c r="V45" i="64"/>
  <c r="U45" i="64"/>
  <c r="T45" i="64"/>
  <c r="S45" i="64"/>
  <c r="R45" i="64"/>
  <c r="Q45" i="64"/>
  <c r="P45" i="64"/>
  <c r="O45" i="64"/>
  <c r="N45" i="64"/>
  <c r="M45" i="64"/>
  <c r="L45" i="64"/>
  <c r="K45" i="64"/>
  <c r="J45" i="64"/>
  <c r="I45" i="64"/>
  <c r="H45" i="64"/>
  <c r="G45" i="64"/>
  <c r="F45" i="64"/>
  <c r="E45" i="64"/>
  <c r="D45" i="64"/>
  <c r="C45" i="64"/>
  <c r="B45" i="64"/>
  <c r="C7" i="64"/>
  <c r="B7" i="64"/>
  <c r="C50" i="63"/>
  <c r="B50" i="63"/>
  <c r="D159" i="61"/>
  <c r="C159" i="61"/>
  <c r="D122" i="61"/>
  <c r="C122" i="61"/>
  <c r="D81" i="61"/>
  <c r="C81" i="61"/>
  <c r="D51" i="61"/>
  <c r="C51" i="61"/>
  <c r="D23" i="61"/>
  <c r="C23" i="61"/>
  <c r="C4" i="60"/>
  <c r="AP148" i="59"/>
  <c r="AO148" i="59"/>
  <c r="AN148" i="59"/>
  <c r="AM148" i="59"/>
  <c r="AL148" i="59"/>
  <c r="AK148" i="59"/>
  <c r="AJ148" i="59"/>
  <c r="AI148" i="59"/>
  <c r="AH148" i="59"/>
  <c r="AG148" i="59"/>
  <c r="AF148" i="59"/>
  <c r="AE148" i="59"/>
  <c r="AD148" i="59"/>
  <c r="AC148" i="59"/>
  <c r="AB148" i="59"/>
  <c r="AA148" i="59"/>
  <c r="Z148" i="59"/>
  <c r="Y148" i="59"/>
  <c r="X148" i="59"/>
  <c r="W148" i="59"/>
  <c r="V148" i="59"/>
  <c r="U148" i="59"/>
  <c r="T148" i="59"/>
  <c r="S148" i="59"/>
  <c r="R148" i="59"/>
  <c r="Q148" i="59"/>
  <c r="P148" i="59"/>
  <c r="O148" i="59"/>
  <c r="N148" i="59"/>
  <c r="M148" i="59"/>
  <c r="L148" i="59"/>
  <c r="K148" i="59"/>
  <c r="J148" i="59"/>
  <c r="I148" i="59"/>
  <c r="H148" i="59"/>
  <c r="G148" i="59"/>
  <c r="F148" i="59"/>
  <c r="E148" i="59"/>
  <c r="D148" i="59"/>
  <c r="C148" i="59"/>
  <c r="B148" i="59"/>
  <c r="BS117" i="59"/>
  <c r="BR117" i="59"/>
  <c r="BQ117" i="59"/>
  <c r="BP117" i="59"/>
  <c r="BO117" i="59"/>
  <c r="BN117" i="59"/>
  <c r="BM117" i="59"/>
  <c r="BL117" i="59"/>
  <c r="BK117" i="59"/>
  <c r="BJ117" i="59"/>
  <c r="BI117" i="59"/>
  <c r="BH117" i="59"/>
  <c r="BG117" i="59"/>
  <c r="BF117" i="59"/>
  <c r="BE117" i="59"/>
  <c r="BD117" i="59"/>
  <c r="BC117" i="59"/>
  <c r="BB117" i="59"/>
  <c r="BA117" i="59"/>
  <c r="AZ117" i="59"/>
  <c r="AY117" i="59"/>
  <c r="AX117" i="59"/>
  <c r="AW117" i="59"/>
  <c r="AV117" i="59"/>
  <c r="AU117" i="59"/>
  <c r="AT117" i="59"/>
  <c r="AS117" i="59"/>
  <c r="AR117" i="59"/>
  <c r="AQ117" i="59"/>
  <c r="AP117" i="59"/>
  <c r="AO117" i="59"/>
  <c r="AN117" i="59"/>
  <c r="AM117" i="59"/>
  <c r="AL117" i="59"/>
  <c r="AK117" i="59"/>
  <c r="AJ117" i="59"/>
  <c r="AI117" i="59"/>
  <c r="AH117" i="59"/>
  <c r="AG117" i="59"/>
  <c r="AF117" i="59"/>
  <c r="AE117" i="59"/>
  <c r="AD117" i="59"/>
  <c r="AC117" i="59"/>
  <c r="AB117" i="59"/>
  <c r="AA117" i="59"/>
  <c r="Z117" i="59"/>
  <c r="Y117" i="59"/>
  <c r="X117" i="59"/>
  <c r="W117" i="59"/>
  <c r="V117" i="59"/>
  <c r="U117" i="59"/>
  <c r="T117" i="59"/>
  <c r="S117" i="59"/>
  <c r="R117" i="59"/>
  <c r="Q117" i="59"/>
  <c r="P117" i="59"/>
  <c r="O117" i="59"/>
  <c r="N117" i="59"/>
  <c r="M117" i="59"/>
  <c r="L117" i="59"/>
  <c r="K117" i="59"/>
  <c r="J117" i="59"/>
  <c r="I117" i="59"/>
  <c r="H117" i="59"/>
  <c r="G117" i="59"/>
  <c r="F117" i="59"/>
  <c r="E117" i="59"/>
  <c r="D117" i="59"/>
  <c r="C117" i="59"/>
  <c r="B117" i="59"/>
  <c r="G99" i="59"/>
  <c r="F99" i="59"/>
  <c r="E99" i="59"/>
  <c r="D99" i="59"/>
  <c r="C99" i="59"/>
  <c r="B99" i="59"/>
  <c r="G81" i="59"/>
  <c r="F81" i="59"/>
  <c r="E81" i="59"/>
  <c r="D81" i="59"/>
  <c r="C81" i="59"/>
  <c r="B81" i="59"/>
  <c r="G61" i="59"/>
  <c r="F61" i="59"/>
  <c r="E61" i="59"/>
  <c r="D61" i="59"/>
  <c r="C61" i="59"/>
  <c r="B61" i="59"/>
  <c r="S17" i="59"/>
  <c r="R17" i="59"/>
  <c r="Q8" i="59"/>
  <c r="Q17" i="59"/>
  <c r="P17" i="59"/>
  <c r="O17" i="59"/>
  <c r="N7" i="59"/>
  <c r="N17" i="59"/>
  <c r="M17" i="59"/>
  <c r="L17" i="59"/>
  <c r="K17" i="59"/>
  <c r="J17" i="59"/>
  <c r="I17" i="59"/>
  <c r="H17" i="59"/>
  <c r="G17" i="59"/>
  <c r="F17" i="59"/>
  <c r="E17" i="59"/>
  <c r="D17" i="59"/>
  <c r="C17" i="59"/>
  <c r="B17" i="59"/>
  <c r="G210" i="58"/>
  <c r="F210" i="58"/>
  <c r="E210" i="58"/>
  <c r="G205" i="58"/>
  <c r="F205" i="58"/>
  <c r="E205" i="58"/>
  <c r="G193" i="58"/>
  <c r="F193" i="58"/>
  <c r="E193" i="58"/>
  <c r="M175" i="58"/>
  <c r="L175" i="58"/>
  <c r="K175" i="58"/>
  <c r="J175" i="58"/>
  <c r="I175" i="58"/>
  <c r="H175" i="58"/>
  <c r="G175" i="58"/>
  <c r="F175" i="58"/>
  <c r="E175" i="58"/>
  <c r="D175" i="58"/>
  <c r="C175" i="58"/>
  <c r="B175" i="58"/>
  <c r="E151" i="58"/>
  <c r="D151" i="58"/>
  <c r="C151" i="58"/>
  <c r="B151" i="58"/>
  <c r="U129" i="58"/>
  <c r="T129" i="58"/>
  <c r="R129" i="58"/>
  <c r="Q129" i="58"/>
  <c r="O129" i="58"/>
  <c r="N129" i="58"/>
  <c r="L129" i="58"/>
  <c r="K129" i="58"/>
  <c r="I129" i="58"/>
  <c r="H129" i="58"/>
  <c r="F129" i="58"/>
  <c r="E129" i="58"/>
  <c r="U122" i="58"/>
  <c r="T122" i="58"/>
  <c r="R122" i="58"/>
  <c r="Q122" i="58"/>
  <c r="O122" i="58"/>
  <c r="N122" i="58"/>
  <c r="L122" i="58"/>
  <c r="K122" i="58"/>
  <c r="I122" i="58"/>
  <c r="H122" i="58"/>
  <c r="F122" i="58"/>
  <c r="E122" i="58"/>
  <c r="S99" i="58"/>
  <c r="P99" i="58"/>
  <c r="M99" i="58"/>
  <c r="J99" i="58"/>
  <c r="G99" i="58"/>
  <c r="D99" i="58"/>
  <c r="U94" i="58"/>
  <c r="T94" i="58"/>
  <c r="S94" i="58"/>
  <c r="R94" i="58"/>
  <c r="Q94" i="58"/>
  <c r="P94" i="58"/>
  <c r="O94" i="58"/>
  <c r="N94" i="58"/>
  <c r="M94" i="58"/>
  <c r="L94" i="58"/>
  <c r="K94" i="58"/>
  <c r="J94" i="58"/>
  <c r="I94" i="58"/>
  <c r="H94" i="58"/>
  <c r="G94" i="58"/>
  <c r="F94" i="58"/>
  <c r="E94" i="58"/>
  <c r="D94" i="58"/>
  <c r="U90" i="58"/>
  <c r="T90" i="58"/>
  <c r="S90" i="58"/>
  <c r="R90" i="58"/>
  <c r="Q90" i="58"/>
  <c r="P90" i="58"/>
  <c r="O90" i="58"/>
  <c r="N90" i="58"/>
  <c r="M90" i="58"/>
  <c r="L90" i="58"/>
  <c r="K90" i="58"/>
  <c r="J90" i="58"/>
  <c r="I90" i="58"/>
  <c r="H90" i="58"/>
  <c r="G90" i="58"/>
  <c r="F90" i="58"/>
  <c r="E90" i="58"/>
  <c r="D90" i="58"/>
  <c r="S77" i="58"/>
  <c r="R77" i="58"/>
  <c r="Q77" i="58"/>
  <c r="P77" i="58"/>
  <c r="O77" i="58"/>
  <c r="N77" i="58"/>
  <c r="M77" i="58"/>
  <c r="L77" i="58"/>
  <c r="K77" i="58"/>
  <c r="J77" i="58"/>
  <c r="I77" i="58"/>
  <c r="H77" i="58"/>
  <c r="G77" i="58"/>
  <c r="F77" i="58"/>
  <c r="E77" i="58"/>
  <c r="D77" i="58"/>
  <c r="C77" i="58"/>
  <c r="B77" i="58"/>
  <c r="S58" i="58"/>
  <c r="R58" i="58"/>
  <c r="Q58" i="58"/>
  <c r="P58" i="58"/>
  <c r="O58" i="58"/>
  <c r="N58" i="58"/>
  <c r="M58" i="58"/>
  <c r="L58" i="58"/>
  <c r="K58" i="58"/>
  <c r="J58" i="58"/>
  <c r="I58" i="58"/>
  <c r="H58" i="58"/>
  <c r="G58" i="58"/>
  <c r="F58" i="58"/>
  <c r="E58" i="58"/>
  <c r="D58" i="58"/>
  <c r="C58" i="58"/>
  <c r="B58" i="58"/>
  <c r="D36" i="58"/>
  <c r="M32" i="58"/>
  <c r="L32" i="58"/>
  <c r="K32" i="58"/>
  <c r="J32" i="58"/>
  <c r="I32" i="58"/>
  <c r="H32" i="58"/>
  <c r="G32" i="58"/>
  <c r="F32" i="58"/>
  <c r="E32" i="58"/>
  <c r="D32" i="58"/>
  <c r="C32" i="58"/>
  <c r="B32" i="58"/>
  <c r="Q16" i="58"/>
  <c r="P16" i="58"/>
  <c r="O16" i="58"/>
  <c r="BI127" i="57"/>
  <c r="BH127" i="57"/>
  <c r="BG127" i="57"/>
  <c r="BF127" i="57"/>
  <c r="BE127" i="57"/>
  <c r="BD127" i="57"/>
  <c r="BC127" i="57"/>
  <c r="BB127" i="57"/>
  <c r="BA127" i="57"/>
  <c r="AZ127" i="57"/>
  <c r="AY127" i="57"/>
  <c r="AX127" i="57"/>
  <c r="AW127" i="57"/>
  <c r="AV127" i="57"/>
  <c r="AU127" i="57"/>
  <c r="AT127" i="57"/>
  <c r="AS127" i="57"/>
  <c r="AR127" i="57"/>
  <c r="AQ127" i="57"/>
  <c r="AP127" i="57"/>
  <c r="AO127" i="57"/>
  <c r="AN127" i="57"/>
  <c r="AM127" i="57"/>
  <c r="AL127" i="57"/>
  <c r="AK127" i="57"/>
  <c r="AJ127" i="57"/>
  <c r="AI127" i="57"/>
  <c r="AH127" i="57"/>
  <c r="AG127" i="57"/>
  <c r="AF127" i="57"/>
  <c r="AE127" i="57"/>
  <c r="AD127" i="57"/>
  <c r="AC127" i="57"/>
  <c r="AB127" i="57"/>
  <c r="AA127" i="57"/>
  <c r="Z127" i="57"/>
  <c r="Y127" i="57"/>
  <c r="X127" i="57"/>
  <c r="W127" i="57"/>
  <c r="V127" i="57"/>
  <c r="U127" i="57"/>
  <c r="T127" i="57"/>
  <c r="S127" i="57"/>
  <c r="R127" i="57"/>
  <c r="Q127" i="57"/>
  <c r="P127" i="57"/>
  <c r="O127" i="57"/>
  <c r="N127" i="57"/>
  <c r="M127" i="57"/>
  <c r="L127" i="57"/>
  <c r="K127" i="57"/>
  <c r="J127" i="57"/>
  <c r="I127" i="57"/>
  <c r="H127" i="57"/>
  <c r="G127" i="57"/>
  <c r="F127" i="57"/>
  <c r="E127" i="57"/>
  <c r="D127" i="57"/>
  <c r="C127" i="57"/>
  <c r="B127" i="57"/>
  <c r="BO104" i="57"/>
  <c r="BN104" i="57"/>
  <c r="BM104" i="57"/>
  <c r="BL104" i="57"/>
  <c r="BK104" i="57"/>
  <c r="BJ104" i="57"/>
  <c r="BI104" i="57"/>
  <c r="BH104" i="57"/>
  <c r="BG104" i="57"/>
  <c r="BF104" i="57"/>
  <c r="BE104" i="57"/>
  <c r="BD104" i="57"/>
  <c r="BC104" i="57"/>
  <c r="BB104" i="57"/>
  <c r="BA104" i="57"/>
  <c r="AZ104" i="57"/>
  <c r="AY104" i="57"/>
  <c r="AX104" i="57"/>
  <c r="AW104" i="57"/>
  <c r="AV104" i="57"/>
  <c r="AU104" i="57"/>
  <c r="AT104" i="57"/>
  <c r="AS104" i="57"/>
  <c r="AR104" i="57"/>
  <c r="AQ104" i="57"/>
  <c r="AP104" i="57"/>
  <c r="AO104" i="57"/>
  <c r="AN104" i="57"/>
  <c r="AM104" i="57"/>
  <c r="AL104" i="57"/>
  <c r="AK104" i="57"/>
  <c r="AJ104" i="57"/>
  <c r="AI104" i="57"/>
  <c r="AH104" i="57"/>
  <c r="AG104" i="57"/>
  <c r="AF104" i="57"/>
  <c r="AE104" i="57"/>
  <c r="AD104" i="57"/>
  <c r="AC104" i="57"/>
  <c r="AB104" i="57"/>
  <c r="AA104" i="57"/>
  <c r="Z104" i="57"/>
  <c r="Y104" i="57"/>
  <c r="X104" i="57"/>
  <c r="W104" i="57"/>
  <c r="V104" i="57"/>
  <c r="U104" i="57"/>
  <c r="T104" i="57"/>
  <c r="S104" i="57"/>
  <c r="R104" i="57"/>
  <c r="Q104" i="57"/>
  <c r="P104" i="57"/>
  <c r="O104" i="57"/>
  <c r="N104" i="57"/>
  <c r="M104" i="57"/>
  <c r="L104" i="57"/>
  <c r="K104" i="57"/>
  <c r="J104" i="57"/>
  <c r="I104" i="57"/>
  <c r="H104" i="57"/>
  <c r="G104" i="57"/>
  <c r="F104" i="57"/>
  <c r="E104" i="57"/>
  <c r="D104" i="57"/>
  <c r="C104" i="57"/>
  <c r="B104" i="57"/>
  <c r="BG78" i="57"/>
  <c r="BF78" i="57"/>
  <c r="BE78" i="57"/>
  <c r="BD78" i="57"/>
  <c r="BC78" i="57"/>
  <c r="BB78" i="57"/>
  <c r="BA78" i="57"/>
  <c r="AZ78" i="57"/>
  <c r="AY78" i="57"/>
  <c r="AX78" i="57"/>
  <c r="AW78" i="57"/>
  <c r="AV78" i="57"/>
  <c r="AU78" i="57"/>
  <c r="AT78" i="57"/>
  <c r="AS78" i="57"/>
  <c r="AR78" i="57"/>
  <c r="AQ78" i="57"/>
  <c r="AP78" i="57"/>
  <c r="AO78" i="57"/>
  <c r="AN78" i="57"/>
  <c r="AM78" i="57"/>
  <c r="AL78" i="57"/>
  <c r="AK78" i="57"/>
  <c r="AJ78" i="57"/>
  <c r="AI78" i="57"/>
  <c r="AH78" i="57"/>
  <c r="AG78" i="57"/>
  <c r="AF78" i="57"/>
  <c r="AE78" i="57"/>
  <c r="AD78" i="57"/>
  <c r="AC78" i="57"/>
  <c r="AB78" i="57"/>
  <c r="AA78" i="57"/>
  <c r="Z78" i="57"/>
  <c r="Y78" i="57"/>
  <c r="X78" i="57"/>
  <c r="W78" i="57"/>
  <c r="V78" i="57"/>
  <c r="U78" i="57"/>
  <c r="T78" i="57"/>
  <c r="S78" i="57"/>
  <c r="R78" i="57"/>
  <c r="Q78" i="57"/>
  <c r="P78" i="57"/>
  <c r="O78" i="57"/>
  <c r="N78" i="57"/>
  <c r="M78" i="57"/>
  <c r="L78" i="57"/>
  <c r="K78" i="57"/>
  <c r="J78" i="57"/>
  <c r="I78" i="57"/>
  <c r="H78" i="57"/>
  <c r="G78" i="57"/>
  <c r="F78" i="57"/>
  <c r="E78" i="57"/>
  <c r="D78" i="57"/>
  <c r="C78" i="57"/>
  <c r="B78" i="57"/>
  <c r="BB55" i="57"/>
  <c r="BA55" i="57"/>
  <c r="AZ55" i="57"/>
  <c r="AY55" i="57"/>
  <c r="AX55" i="57"/>
  <c r="AW55" i="57"/>
  <c r="AV55" i="57"/>
  <c r="AU55" i="57"/>
  <c r="AT55" i="57"/>
  <c r="AS55" i="57"/>
  <c r="AR55" i="57"/>
  <c r="AQ55" i="57"/>
  <c r="AP55" i="57"/>
  <c r="AO55" i="57"/>
  <c r="AN55" i="57"/>
  <c r="AM55" i="57"/>
  <c r="AL55" i="57"/>
  <c r="AK55" i="57"/>
  <c r="AJ55" i="57"/>
  <c r="AI55" i="57"/>
  <c r="AH55" i="57"/>
  <c r="AG55" i="57"/>
  <c r="AF55" i="57"/>
  <c r="AE55" i="57"/>
  <c r="AD55" i="57"/>
  <c r="AC55" i="57"/>
  <c r="AB55" i="57"/>
  <c r="AA55" i="57"/>
  <c r="Z55" i="57"/>
  <c r="Y55" i="57"/>
  <c r="X55" i="57"/>
  <c r="W55" i="57"/>
  <c r="V55" i="57"/>
  <c r="U55" i="57"/>
  <c r="T55" i="57"/>
  <c r="S55" i="57"/>
  <c r="R55" i="57"/>
  <c r="Q55" i="57"/>
  <c r="P55" i="57"/>
  <c r="O55" i="57"/>
  <c r="N55" i="57"/>
  <c r="M55" i="57"/>
  <c r="L55" i="57"/>
  <c r="K55" i="57"/>
  <c r="J55" i="57"/>
  <c r="I55" i="57"/>
  <c r="H55" i="57"/>
  <c r="G55" i="57"/>
  <c r="F55" i="57"/>
  <c r="E55" i="57"/>
  <c r="D55" i="57"/>
  <c r="C55" i="57"/>
  <c r="B55" i="57"/>
  <c r="N34" i="57"/>
  <c r="M34" i="57"/>
  <c r="L34" i="57"/>
  <c r="K34" i="57"/>
  <c r="J34" i="57"/>
  <c r="I34" i="57"/>
  <c r="H34" i="57"/>
  <c r="G34" i="57"/>
  <c r="F34" i="57"/>
  <c r="E34" i="57"/>
  <c r="D34" i="57"/>
  <c r="C34" i="57"/>
  <c r="D7" i="56"/>
  <c r="D108" i="55"/>
  <c r="D105" i="55"/>
  <c r="C105" i="55"/>
  <c r="B105" i="55"/>
  <c r="CQ77" i="55"/>
  <c r="CP77" i="55"/>
  <c r="CO77" i="55"/>
  <c r="CN77" i="55"/>
  <c r="CM77" i="55"/>
  <c r="CL77" i="55"/>
  <c r="CK77" i="55"/>
  <c r="CJ77" i="55"/>
  <c r="CI77" i="55"/>
  <c r="CH77" i="55"/>
  <c r="CG77" i="55"/>
  <c r="CF77" i="55"/>
  <c r="CE77" i="55"/>
  <c r="CD77" i="55"/>
  <c r="CC77" i="55"/>
  <c r="CB77" i="55"/>
  <c r="CA77" i="55"/>
  <c r="BZ77" i="55"/>
  <c r="BY77" i="55"/>
  <c r="BX77" i="55"/>
  <c r="BW77" i="55"/>
  <c r="BV77" i="55"/>
  <c r="BU77" i="55"/>
  <c r="BT77" i="55"/>
  <c r="BS77" i="55"/>
  <c r="BR77" i="55"/>
  <c r="BQ77" i="55"/>
  <c r="BP77" i="55"/>
  <c r="BO77" i="55"/>
  <c r="BN77" i="55"/>
  <c r="BM77" i="55"/>
  <c r="BL77" i="55"/>
  <c r="BK77" i="55"/>
  <c r="BJ77" i="55"/>
  <c r="BI77" i="55"/>
  <c r="BH77" i="55"/>
  <c r="BG77" i="55"/>
  <c r="BF77" i="55"/>
  <c r="BE77" i="55"/>
  <c r="BD77" i="55"/>
  <c r="BC77" i="55"/>
  <c r="BB77" i="55"/>
  <c r="BA77" i="55"/>
  <c r="AZ77" i="55"/>
  <c r="AY77" i="55"/>
  <c r="AX77" i="55"/>
  <c r="AW77" i="55"/>
  <c r="AV77" i="55"/>
  <c r="AU77" i="55"/>
  <c r="AT77" i="55"/>
  <c r="AS77" i="55"/>
  <c r="AR77" i="55"/>
  <c r="AQ77" i="55"/>
  <c r="AP77" i="55"/>
  <c r="AO77" i="55"/>
  <c r="AN77" i="55"/>
  <c r="AM77" i="55"/>
  <c r="AL77" i="55"/>
  <c r="AK77" i="55"/>
  <c r="AJ77" i="55"/>
  <c r="AI77" i="55"/>
  <c r="AH77" i="55"/>
  <c r="AG77" i="55"/>
  <c r="AF77" i="55"/>
  <c r="AE77" i="55"/>
  <c r="AD77" i="55"/>
  <c r="AC77" i="55"/>
  <c r="AB77" i="55"/>
  <c r="AA77" i="55"/>
  <c r="Z77" i="55"/>
  <c r="Y77" i="55"/>
  <c r="X77" i="55"/>
  <c r="W77" i="55"/>
  <c r="V77" i="55"/>
  <c r="U77" i="55"/>
  <c r="T77" i="55"/>
  <c r="S77" i="55"/>
  <c r="R77" i="55"/>
  <c r="Q77" i="55"/>
  <c r="P77" i="55"/>
  <c r="O77" i="55"/>
  <c r="N77" i="55"/>
  <c r="M77" i="55"/>
  <c r="L77" i="55"/>
  <c r="K77" i="55"/>
  <c r="J77" i="55"/>
  <c r="I77" i="55"/>
  <c r="H77" i="55"/>
  <c r="G77" i="55"/>
  <c r="F77" i="55"/>
  <c r="E77" i="55"/>
  <c r="D77" i="55"/>
  <c r="C77" i="55"/>
  <c r="B77" i="55"/>
  <c r="CB61" i="55"/>
  <c r="CB60" i="55"/>
  <c r="D59" i="55"/>
  <c r="G59" i="55"/>
  <c r="J59" i="55"/>
  <c r="M59" i="55"/>
  <c r="P59" i="55"/>
  <c r="S59" i="55"/>
  <c r="V59" i="55"/>
  <c r="Y59" i="55"/>
  <c r="AB59" i="55"/>
  <c r="AE59" i="55"/>
  <c r="AH59" i="55"/>
  <c r="AK59" i="55"/>
  <c r="AN59" i="55"/>
  <c r="AQ59" i="55"/>
  <c r="AT59" i="55"/>
  <c r="AW59" i="55"/>
  <c r="AZ59" i="55"/>
  <c r="BC60" i="55"/>
  <c r="C59" i="55"/>
  <c r="F59" i="55"/>
  <c r="I59" i="55"/>
  <c r="L59" i="55"/>
  <c r="O59" i="55"/>
  <c r="R59" i="55"/>
  <c r="U59" i="55"/>
  <c r="X59" i="55"/>
  <c r="AA59" i="55"/>
  <c r="AD59" i="55"/>
  <c r="AG59" i="55"/>
  <c r="AJ59" i="55"/>
  <c r="AM59" i="55"/>
  <c r="AP59" i="55"/>
  <c r="AS59" i="55"/>
  <c r="AV59" i="55"/>
  <c r="AY59" i="55"/>
  <c r="BB60" i="55"/>
  <c r="B59" i="55"/>
  <c r="E59" i="55"/>
  <c r="H59" i="55"/>
  <c r="K59" i="55"/>
  <c r="N59" i="55"/>
  <c r="Q59" i="55"/>
  <c r="T59" i="55"/>
  <c r="W59" i="55"/>
  <c r="Z59" i="55"/>
  <c r="AC59" i="55"/>
  <c r="AF59" i="55"/>
  <c r="AI59" i="55"/>
  <c r="AL59" i="55"/>
  <c r="AO59" i="55"/>
  <c r="AR59" i="55"/>
  <c r="AU59" i="55"/>
  <c r="AX59" i="55"/>
  <c r="BA60" i="55"/>
  <c r="CD59" i="55"/>
  <c r="CC59" i="55"/>
  <c r="CB59" i="55"/>
  <c r="CA59" i="55"/>
  <c r="BZ59" i="55"/>
  <c r="BY59" i="55"/>
  <c r="BX59" i="55"/>
  <c r="BW59" i="55"/>
  <c r="BV59" i="55"/>
  <c r="BU59" i="55"/>
  <c r="BT59" i="55"/>
  <c r="BS59" i="55"/>
  <c r="BR59" i="55"/>
  <c r="BQ59" i="55"/>
  <c r="BP59" i="55"/>
  <c r="BO59" i="55"/>
  <c r="BN59" i="55"/>
  <c r="BM59" i="55"/>
  <c r="BL59" i="55"/>
  <c r="BK59" i="55"/>
  <c r="BJ59" i="55"/>
  <c r="BI59" i="55"/>
  <c r="BH59" i="55"/>
  <c r="BG59" i="55"/>
  <c r="BF59" i="55"/>
  <c r="BE59" i="55"/>
  <c r="BD59" i="55"/>
  <c r="BC59" i="55"/>
  <c r="BB59" i="55"/>
  <c r="BA59" i="55"/>
  <c r="CE58" i="55"/>
  <c r="N32" i="55"/>
  <c r="M32" i="55"/>
  <c r="L32" i="55"/>
  <c r="K32" i="55"/>
  <c r="J32" i="55"/>
  <c r="I32" i="55"/>
  <c r="H32" i="55"/>
  <c r="G32" i="55"/>
  <c r="F32" i="55"/>
  <c r="E32" i="55"/>
  <c r="D32" i="55"/>
  <c r="C32" i="55"/>
  <c r="F72" i="54"/>
  <c r="E72" i="54"/>
  <c r="D72" i="54"/>
  <c r="C72" i="54"/>
  <c r="B72" i="54"/>
  <c r="BJ325" i="53"/>
  <c r="BI325" i="53"/>
  <c r="BH325" i="53"/>
  <c r="BG325" i="53"/>
  <c r="BF325" i="53"/>
  <c r="BE325" i="53"/>
  <c r="BD325" i="53"/>
  <c r="BC325" i="53"/>
  <c r="BB325" i="53"/>
  <c r="BA325" i="53"/>
  <c r="AZ325" i="53"/>
  <c r="AY325" i="53"/>
  <c r="AX325" i="53"/>
  <c r="AW325" i="53"/>
  <c r="AV325" i="53"/>
  <c r="AU325" i="53"/>
  <c r="AT325" i="53"/>
  <c r="AS325" i="53"/>
  <c r="AR325" i="53"/>
  <c r="AQ325" i="53"/>
  <c r="AP325" i="53"/>
  <c r="AO325" i="53"/>
  <c r="AN325" i="53"/>
  <c r="AM325" i="53"/>
  <c r="AL325" i="53"/>
  <c r="AK325" i="53"/>
  <c r="AJ325" i="53"/>
  <c r="AI325" i="53"/>
  <c r="AH325" i="53"/>
  <c r="AG325" i="53"/>
  <c r="AF325" i="53"/>
  <c r="AE325" i="53"/>
  <c r="AD325" i="53"/>
  <c r="AC325" i="53"/>
  <c r="AB325" i="53"/>
  <c r="AA325" i="53"/>
  <c r="Z325" i="53"/>
  <c r="Y325" i="53"/>
  <c r="X325" i="53"/>
  <c r="W325" i="53"/>
  <c r="V325" i="53"/>
  <c r="U325" i="53"/>
  <c r="T325" i="53"/>
  <c r="S325" i="53"/>
  <c r="R325" i="53"/>
  <c r="Q325" i="53"/>
  <c r="P325" i="53"/>
  <c r="O325" i="53"/>
  <c r="N325" i="53"/>
  <c r="M325" i="53"/>
  <c r="L325" i="53"/>
  <c r="K325" i="53"/>
  <c r="J325" i="53"/>
  <c r="I325" i="53"/>
  <c r="H325" i="53"/>
  <c r="G325" i="53"/>
  <c r="F325" i="53"/>
  <c r="E325" i="53"/>
  <c r="D325" i="53"/>
  <c r="C325" i="53"/>
  <c r="B325" i="53"/>
  <c r="AS302" i="53"/>
  <c r="AR302" i="53"/>
  <c r="AQ302" i="53"/>
  <c r="AP302" i="53"/>
  <c r="AO302" i="53"/>
  <c r="AN302" i="53"/>
  <c r="AM302" i="53"/>
  <c r="AL302" i="53"/>
  <c r="AK302" i="53"/>
  <c r="AJ302" i="53"/>
  <c r="AI302" i="53"/>
  <c r="AH302" i="53"/>
  <c r="AG302" i="53"/>
  <c r="AF302" i="53"/>
  <c r="AE302" i="53"/>
  <c r="AD302" i="53"/>
  <c r="AC302" i="53"/>
  <c r="AB302" i="53"/>
  <c r="AA302" i="53"/>
  <c r="Z302" i="53"/>
  <c r="Y302" i="53"/>
  <c r="X302" i="53"/>
  <c r="W302" i="53"/>
  <c r="V302" i="53"/>
  <c r="U302" i="53"/>
  <c r="T302" i="53"/>
  <c r="S302" i="53"/>
  <c r="R302" i="53"/>
  <c r="Q302" i="53"/>
  <c r="P302" i="53"/>
  <c r="O302" i="53"/>
  <c r="N302" i="53"/>
  <c r="M302" i="53"/>
  <c r="L302" i="53"/>
  <c r="K302" i="53"/>
  <c r="J302" i="53"/>
  <c r="I302" i="53"/>
  <c r="H302" i="53"/>
  <c r="G302" i="53"/>
  <c r="F302" i="53"/>
  <c r="E302" i="53"/>
  <c r="D302" i="53"/>
  <c r="C302" i="53"/>
  <c r="B302" i="53"/>
  <c r="CP283" i="53"/>
  <c r="CO283" i="53"/>
  <c r="CN283" i="53"/>
  <c r="CM283" i="53"/>
  <c r="CL283" i="53"/>
  <c r="CK283" i="53"/>
  <c r="CJ283" i="53"/>
  <c r="CI283" i="53"/>
  <c r="CH283" i="53"/>
  <c r="CG283" i="53"/>
  <c r="CF283" i="53"/>
  <c r="CE283" i="53"/>
  <c r="CD283" i="53"/>
  <c r="CC283" i="53"/>
  <c r="CB283" i="53"/>
  <c r="CA283" i="53"/>
  <c r="BZ283" i="53"/>
  <c r="BY283" i="53"/>
  <c r="BX283" i="53"/>
  <c r="BW283" i="53"/>
  <c r="BV283" i="53"/>
  <c r="BU283" i="53"/>
  <c r="BT283" i="53"/>
  <c r="BS283" i="53"/>
  <c r="BR283" i="53"/>
  <c r="BQ283" i="53"/>
  <c r="BP283" i="53"/>
  <c r="BO283" i="53"/>
  <c r="BN283" i="53"/>
  <c r="BM283" i="53"/>
  <c r="BL283" i="53"/>
  <c r="BK283" i="53"/>
  <c r="BJ283" i="53"/>
  <c r="BI283" i="53"/>
  <c r="BH283" i="53"/>
  <c r="BG283" i="53"/>
  <c r="BF283" i="53"/>
  <c r="BE283" i="53"/>
  <c r="BD283" i="53"/>
  <c r="BC283" i="53"/>
  <c r="BB283" i="53"/>
  <c r="BA283" i="53"/>
  <c r="AZ283" i="53"/>
  <c r="AY283" i="53"/>
  <c r="AX283" i="53"/>
  <c r="AW283" i="53"/>
  <c r="AV283" i="53"/>
  <c r="AU283" i="53"/>
  <c r="AT283" i="53"/>
  <c r="AS283" i="53"/>
  <c r="AR283" i="53"/>
  <c r="AQ283" i="53"/>
  <c r="AP283" i="53"/>
  <c r="AO283" i="53"/>
  <c r="AN283" i="53"/>
  <c r="AM283" i="53"/>
  <c r="AL283" i="53"/>
  <c r="AK283" i="53"/>
  <c r="AJ283" i="53"/>
  <c r="AI283" i="53"/>
  <c r="AH283" i="53"/>
  <c r="AG283" i="53"/>
  <c r="AF283" i="53"/>
  <c r="AE283" i="53"/>
  <c r="AD283" i="53"/>
  <c r="AC283" i="53"/>
  <c r="AB283" i="53"/>
  <c r="AA283" i="53"/>
  <c r="Z283" i="53"/>
  <c r="Y283" i="53"/>
  <c r="X283" i="53"/>
  <c r="W283" i="53"/>
  <c r="V283" i="53"/>
  <c r="U283" i="53"/>
  <c r="T283" i="53"/>
  <c r="S283" i="53"/>
  <c r="R283" i="53"/>
  <c r="Q283" i="53"/>
  <c r="P283" i="53"/>
  <c r="O283" i="53"/>
  <c r="N283" i="53"/>
  <c r="M283" i="53"/>
  <c r="L283" i="53"/>
  <c r="K283" i="53"/>
  <c r="J283" i="53"/>
  <c r="I283" i="53"/>
  <c r="H283" i="53"/>
  <c r="G283" i="53"/>
  <c r="F283" i="53"/>
  <c r="E283" i="53"/>
  <c r="D283" i="53"/>
  <c r="C283" i="53"/>
  <c r="B283" i="53"/>
  <c r="CM258" i="53"/>
  <c r="CL258" i="53"/>
  <c r="CK258" i="53"/>
  <c r="CJ258" i="53"/>
  <c r="CI258" i="53"/>
  <c r="CH258" i="53"/>
  <c r="CG258" i="53"/>
  <c r="CF258" i="53"/>
  <c r="CE258" i="53"/>
  <c r="CD258" i="53"/>
  <c r="CC258" i="53"/>
  <c r="CB258" i="53"/>
  <c r="CA258" i="53"/>
  <c r="BZ258" i="53"/>
  <c r="BY258" i="53"/>
  <c r="BX258" i="53"/>
  <c r="BW258" i="53"/>
  <c r="BV258" i="53"/>
  <c r="BU258" i="53"/>
  <c r="BT258" i="53"/>
  <c r="BS258" i="53"/>
  <c r="BR258" i="53"/>
  <c r="BQ258" i="53"/>
  <c r="BP258" i="53"/>
  <c r="BO258" i="53"/>
  <c r="BN258" i="53"/>
  <c r="BM258" i="53"/>
  <c r="BL258" i="53"/>
  <c r="BK258" i="53"/>
  <c r="BJ258" i="53"/>
  <c r="BI258" i="53"/>
  <c r="BH258" i="53"/>
  <c r="BG258" i="53"/>
  <c r="BF258" i="53"/>
  <c r="BE258" i="53"/>
  <c r="BD258" i="53"/>
  <c r="BC258" i="53"/>
  <c r="BB258" i="53"/>
  <c r="BA258" i="53"/>
  <c r="AZ258" i="53"/>
  <c r="AY258" i="53"/>
  <c r="AX258" i="53"/>
  <c r="AW258" i="53"/>
  <c r="AV258" i="53"/>
  <c r="AU258" i="53"/>
  <c r="AT258" i="53"/>
  <c r="AS258" i="53"/>
  <c r="AR258" i="53"/>
  <c r="AQ258" i="53"/>
  <c r="AP258" i="53"/>
  <c r="AO258" i="53"/>
  <c r="AN258" i="53"/>
  <c r="AM258" i="53"/>
  <c r="AL258" i="53"/>
  <c r="AK258" i="53"/>
  <c r="AJ258" i="53"/>
  <c r="AI258" i="53"/>
  <c r="AH258" i="53"/>
  <c r="AG258" i="53"/>
  <c r="AF258" i="53"/>
  <c r="AE258" i="53"/>
  <c r="AD258" i="53"/>
  <c r="AC258" i="53"/>
  <c r="AB258" i="53"/>
  <c r="AA258" i="53"/>
  <c r="Z258" i="53"/>
  <c r="Y258" i="53"/>
  <c r="X258" i="53"/>
  <c r="W258" i="53"/>
  <c r="V258" i="53"/>
  <c r="U258" i="53"/>
  <c r="T258" i="53"/>
  <c r="S258" i="53"/>
  <c r="R258" i="53"/>
  <c r="Q258" i="53"/>
  <c r="P258" i="53"/>
  <c r="O258" i="53"/>
  <c r="N258" i="53"/>
  <c r="M258" i="53"/>
  <c r="L258" i="53"/>
  <c r="K258" i="53"/>
  <c r="J258" i="53"/>
  <c r="I258" i="53"/>
  <c r="H258" i="53"/>
  <c r="G258" i="53"/>
  <c r="F258" i="53"/>
  <c r="E258" i="53"/>
  <c r="D258" i="53"/>
  <c r="C258" i="53"/>
  <c r="B258" i="53"/>
  <c r="J239" i="53"/>
  <c r="I239" i="53"/>
  <c r="H239" i="53"/>
  <c r="G239" i="53"/>
  <c r="F239" i="53"/>
  <c r="E239" i="53"/>
  <c r="D239" i="53"/>
  <c r="C239" i="53"/>
  <c r="B239" i="53"/>
  <c r="G201" i="53"/>
  <c r="F201" i="53"/>
  <c r="E201" i="53"/>
  <c r="G193" i="53"/>
  <c r="F193" i="53"/>
  <c r="E193" i="53"/>
  <c r="C180" i="53"/>
  <c r="B180" i="53"/>
  <c r="G170" i="53"/>
  <c r="F170" i="53"/>
  <c r="E170" i="53"/>
  <c r="G165" i="53"/>
  <c r="F165" i="53"/>
  <c r="E165" i="53"/>
  <c r="L128" i="53"/>
  <c r="K128" i="53"/>
  <c r="I128" i="53"/>
  <c r="H128" i="53"/>
  <c r="F128" i="53"/>
  <c r="E128" i="53"/>
  <c r="L121" i="53"/>
  <c r="K121" i="53"/>
  <c r="I121" i="53"/>
  <c r="H121" i="53"/>
  <c r="F121" i="53"/>
  <c r="E121" i="53"/>
  <c r="J101" i="53"/>
  <c r="G101" i="53"/>
  <c r="D101" i="53"/>
  <c r="L96" i="53"/>
  <c r="K96" i="53"/>
  <c r="J96" i="53"/>
  <c r="I96" i="53"/>
  <c r="H96" i="53"/>
  <c r="G96" i="53"/>
  <c r="F96" i="53"/>
  <c r="E96" i="53"/>
  <c r="D96" i="53"/>
  <c r="L92" i="53"/>
  <c r="K92" i="53"/>
  <c r="J92" i="53"/>
  <c r="I92" i="53"/>
  <c r="H92" i="53"/>
  <c r="G92" i="53"/>
  <c r="F92" i="53"/>
  <c r="E92" i="53"/>
  <c r="D92" i="53"/>
  <c r="J81" i="53"/>
  <c r="I81" i="53"/>
  <c r="H81" i="53"/>
  <c r="G81" i="53"/>
  <c r="F81" i="53"/>
  <c r="E81" i="53"/>
  <c r="D81" i="53"/>
  <c r="C81" i="53"/>
  <c r="B81" i="53"/>
  <c r="J64" i="53"/>
  <c r="I64" i="53"/>
  <c r="H64" i="53"/>
  <c r="G64" i="53"/>
  <c r="F64" i="53"/>
  <c r="E64" i="53"/>
  <c r="D64" i="53"/>
  <c r="C64" i="53"/>
  <c r="B64" i="53"/>
  <c r="J61" i="53"/>
  <c r="I61" i="53"/>
  <c r="H61" i="53"/>
  <c r="G61" i="53"/>
  <c r="F61" i="53"/>
  <c r="E61" i="53"/>
  <c r="D61" i="53"/>
  <c r="C61" i="53"/>
  <c r="B61" i="53"/>
  <c r="J45" i="53"/>
  <c r="I45" i="53"/>
  <c r="H45" i="53"/>
  <c r="G45" i="53"/>
  <c r="F45" i="53"/>
  <c r="E45" i="53"/>
  <c r="D45" i="53"/>
  <c r="C45" i="53"/>
  <c r="B45" i="53"/>
  <c r="J29" i="53"/>
  <c r="I29" i="53"/>
  <c r="H29" i="53"/>
  <c r="G29" i="53"/>
  <c r="F29" i="53"/>
  <c r="E29" i="53"/>
  <c r="D29" i="53"/>
  <c r="C29" i="53"/>
  <c r="B29" i="53"/>
  <c r="AR272" i="52"/>
  <c r="AQ272" i="52"/>
  <c r="AP272" i="52"/>
  <c r="AO272" i="52"/>
  <c r="AN272" i="52"/>
  <c r="AM272" i="52"/>
  <c r="AL272" i="52"/>
  <c r="AK272" i="52"/>
  <c r="AJ272" i="52"/>
  <c r="AI272" i="52"/>
  <c r="AH272" i="52"/>
  <c r="AG272" i="52"/>
  <c r="AF272" i="52"/>
  <c r="AE272" i="52"/>
  <c r="AD272" i="52"/>
  <c r="AC272" i="52"/>
  <c r="AB272" i="52"/>
  <c r="AA272" i="52"/>
  <c r="Z272" i="52"/>
  <c r="Y272" i="52"/>
  <c r="X272" i="52"/>
  <c r="W272" i="52"/>
  <c r="V272" i="52"/>
  <c r="U272" i="52"/>
  <c r="T272" i="52"/>
  <c r="S272" i="52"/>
  <c r="R272" i="52"/>
  <c r="Q272" i="52"/>
  <c r="P272" i="52"/>
  <c r="O272" i="52"/>
  <c r="N272" i="52"/>
  <c r="M272" i="52"/>
  <c r="L272" i="52"/>
  <c r="K272" i="52"/>
  <c r="J272" i="52"/>
  <c r="I272" i="52"/>
  <c r="H272" i="52"/>
  <c r="G272" i="52"/>
  <c r="F272" i="52"/>
  <c r="E272" i="52"/>
  <c r="D272" i="52"/>
  <c r="C272" i="52"/>
  <c r="B272" i="52"/>
  <c r="AS252" i="52"/>
  <c r="AR252" i="52"/>
  <c r="AQ252" i="52"/>
  <c r="AP252" i="52"/>
  <c r="AO252" i="52"/>
  <c r="AN252" i="52"/>
  <c r="AM252" i="52"/>
  <c r="AL252" i="52"/>
  <c r="AK252" i="52"/>
  <c r="AJ252" i="52"/>
  <c r="AI252" i="52"/>
  <c r="AH252" i="52"/>
  <c r="AG252" i="52"/>
  <c r="AF252" i="52"/>
  <c r="AE252" i="52"/>
  <c r="AD252" i="52"/>
  <c r="AC252" i="52"/>
  <c r="AB252" i="52"/>
  <c r="AA252" i="52"/>
  <c r="Z252" i="52"/>
  <c r="Y252" i="52"/>
  <c r="X252" i="52"/>
  <c r="W252" i="52"/>
  <c r="V252" i="52"/>
  <c r="U252" i="52"/>
  <c r="T252" i="52"/>
  <c r="S252" i="52"/>
  <c r="R252" i="52"/>
  <c r="Q252" i="52"/>
  <c r="P252" i="52"/>
  <c r="O252" i="52"/>
  <c r="N252" i="52"/>
  <c r="M252" i="52"/>
  <c r="L252" i="52"/>
  <c r="K252" i="52"/>
  <c r="J252" i="52"/>
  <c r="I252" i="52"/>
  <c r="H252" i="52"/>
  <c r="G252" i="52"/>
  <c r="F252" i="52"/>
  <c r="E252" i="52"/>
  <c r="D252" i="52"/>
  <c r="C252" i="52"/>
  <c r="B252" i="52"/>
  <c r="AU228" i="52"/>
  <c r="AT228" i="52"/>
  <c r="AS228" i="52"/>
  <c r="AR228" i="52"/>
  <c r="AQ228" i="52"/>
  <c r="AP228" i="52"/>
  <c r="AO228" i="52"/>
  <c r="AN228" i="52"/>
  <c r="AM228" i="52"/>
  <c r="AL228" i="52"/>
  <c r="AK228" i="52"/>
  <c r="AJ228" i="52"/>
  <c r="AI228" i="52"/>
  <c r="AH228" i="52"/>
  <c r="AG228" i="52"/>
  <c r="AF228" i="52"/>
  <c r="AE228" i="52"/>
  <c r="AD228" i="52"/>
  <c r="AC228" i="52"/>
  <c r="AB228" i="52"/>
  <c r="AA228" i="52"/>
  <c r="Z228" i="52"/>
  <c r="Y228" i="52"/>
  <c r="X228" i="52"/>
  <c r="W228" i="52"/>
  <c r="V228" i="52"/>
  <c r="U228" i="52"/>
  <c r="T228" i="52"/>
  <c r="S228" i="52"/>
  <c r="R228" i="52"/>
  <c r="Q228" i="52"/>
  <c r="P228" i="52"/>
  <c r="O228" i="52"/>
  <c r="N228" i="52"/>
  <c r="M228" i="52"/>
  <c r="L228" i="52"/>
  <c r="K228" i="52"/>
  <c r="J228" i="52"/>
  <c r="I228" i="52"/>
  <c r="H228" i="52"/>
  <c r="G228" i="52"/>
  <c r="F228" i="52"/>
  <c r="E228" i="52"/>
  <c r="D228" i="52"/>
  <c r="C228" i="52"/>
  <c r="B228" i="52"/>
  <c r="AW211" i="52"/>
  <c r="AV211" i="52"/>
  <c r="AU211" i="52"/>
  <c r="AT211" i="52"/>
  <c r="AS211" i="52"/>
  <c r="AR211" i="52"/>
  <c r="AQ211" i="52"/>
  <c r="AP211" i="52"/>
  <c r="AO211" i="52"/>
  <c r="AN211" i="52"/>
  <c r="AM211" i="52"/>
  <c r="AL211" i="52"/>
  <c r="AK211" i="52"/>
  <c r="AJ211" i="52"/>
  <c r="AI211" i="52"/>
  <c r="AH211" i="52"/>
  <c r="AG211" i="52"/>
  <c r="AF211" i="52"/>
  <c r="AE211" i="52"/>
  <c r="AD211" i="52"/>
  <c r="AC211" i="52"/>
  <c r="AB211" i="52"/>
  <c r="AA211" i="52"/>
  <c r="Z211" i="52"/>
  <c r="Y211" i="52"/>
  <c r="X211" i="52"/>
  <c r="W211" i="52"/>
  <c r="V211" i="52"/>
  <c r="U211" i="52"/>
  <c r="T211" i="52"/>
  <c r="S211" i="52"/>
  <c r="R211" i="52"/>
  <c r="Q211" i="52"/>
  <c r="P211" i="52"/>
  <c r="O211" i="52"/>
  <c r="N211" i="52"/>
  <c r="M211" i="52"/>
  <c r="L211" i="52"/>
  <c r="K211" i="52"/>
  <c r="J211" i="52"/>
  <c r="I211" i="52"/>
  <c r="H211" i="52"/>
  <c r="G211" i="52"/>
  <c r="F211" i="52"/>
  <c r="E211" i="52"/>
  <c r="D211" i="52"/>
  <c r="C211" i="52"/>
  <c r="B211" i="52"/>
  <c r="AS194" i="52"/>
  <c r="AR194" i="52"/>
  <c r="AQ194" i="52"/>
  <c r="AP194" i="52"/>
  <c r="AO194" i="52"/>
  <c r="AN194" i="52"/>
  <c r="AM194" i="52"/>
  <c r="AL194" i="52"/>
  <c r="AK194" i="52"/>
  <c r="AJ194" i="52"/>
  <c r="AI194" i="52"/>
  <c r="AH194" i="52"/>
  <c r="AG194" i="52"/>
  <c r="AF194" i="52"/>
  <c r="AE194" i="52"/>
  <c r="AD194" i="52"/>
  <c r="AC194" i="52"/>
  <c r="AB194" i="52"/>
  <c r="AA194" i="52"/>
  <c r="Z194" i="52"/>
  <c r="Y194" i="52"/>
  <c r="X194" i="52"/>
  <c r="W194" i="52"/>
  <c r="V194" i="52"/>
  <c r="U194" i="52"/>
  <c r="T194" i="52"/>
  <c r="S194" i="52"/>
  <c r="R194" i="52"/>
  <c r="Q194" i="52"/>
  <c r="P194" i="52"/>
  <c r="O194" i="52"/>
  <c r="N194" i="52"/>
  <c r="M194" i="52"/>
  <c r="L194" i="52"/>
  <c r="K194" i="52"/>
  <c r="J194" i="52"/>
  <c r="I194" i="52"/>
  <c r="H194" i="52"/>
  <c r="G194" i="52"/>
  <c r="F194" i="52"/>
  <c r="E194" i="52"/>
  <c r="D194" i="52"/>
  <c r="C194" i="52"/>
  <c r="B194" i="52"/>
  <c r="AW170" i="52"/>
  <c r="AV170" i="52"/>
  <c r="AU170" i="52"/>
  <c r="AT170" i="52"/>
  <c r="AS170" i="52"/>
  <c r="AR170" i="52"/>
  <c r="AQ170" i="52"/>
  <c r="AP170" i="52"/>
  <c r="AO170" i="52"/>
  <c r="AN170" i="52"/>
  <c r="AM170" i="52"/>
  <c r="AL170" i="52"/>
  <c r="AK170" i="52"/>
  <c r="AJ170" i="52"/>
  <c r="AI170" i="52"/>
  <c r="AH170" i="52"/>
  <c r="AG170" i="52"/>
  <c r="AF170" i="52"/>
  <c r="AE170" i="52"/>
  <c r="AD170" i="52"/>
  <c r="AC170" i="52"/>
  <c r="AB170" i="52"/>
  <c r="AA170" i="52"/>
  <c r="Z170" i="52"/>
  <c r="Y170" i="52"/>
  <c r="X170" i="52"/>
  <c r="W170" i="52"/>
  <c r="V170" i="52"/>
  <c r="U170" i="52"/>
  <c r="T170" i="52"/>
  <c r="S170" i="52"/>
  <c r="R170" i="52"/>
  <c r="Q170" i="52"/>
  <c r="P170" i="52"/>
  <c r="O170" i="52"/>
  <c r="N170" i="52"/>
  <c r="M170" i="52"/>
  <c r="L170" i="52"/>
  <c r="K170" i="52"/>
  <c r="J170" i="52"/>
  <c r="I170" i="52"/>
  <c r="H170" i="52"/>
  <c r="G170" i="52"/>
  <c r="F170" i="52"/>
  <c r="E170" i="52"/>
  <c r="D170" i="52"/>
  <c r="C170" i="52"/>
  <c r="B170" i="52"/>
  <c r="G119" i="52"/>
  <c r="F119" i="52"/>
  <c r="E119" i="52"/>
  <c r="D119" i="52"/>
  <c r="C119" i="52"/>
  <c r="B119" i="52"/>
  <c r="AK103" i="52"/>
  <c r="AJ103" i="52"/>
  <c r="AI103" i="52"/>
  <c r="AH103" i="52"/>
  <c r="AG103" i="52"/>
  <c r="AF103" i="52"/>
  <c r="AE103" i="52"/>
  <c r="AD103" i="52"/>
  <c r="AC103" i="52"/>
  <c r="AB103" i="52"/>
  <c r="AA103" i="52"/>
  <c r="Z103" i="52"/>
  <c r="Y103" i="52"/>
  <c r="X103" i="52"/>
  <c r="W103" i="52"/>
  <c r="V103" i="52"/>
  <c r="U103" i="52"/>
  <c r="T103" i="52"/>
  <c r="S103" i="52"/>
  <c r="R103" i="52"/>
  <c r="Q103" i="52"/>
  <c r="P103" i="52"/>
  <c r="O103" i="52"/>
  <c r="N103" i="52"/>
  <c r="M103" i="52"/>
  <c r="L103" i="52"/>
  <c r="K103" i="52"/>
  <c r="J103" i="52"/>
  <c r="I103" i="52"/>
  <c r="H103" i="52"/>
  <c r="G103" i="52"/>
  <c r="F103" i="52"/>
  <c r="E103" i="52"/>
  <c r="D103" i="52"/>
  <c r="C103" i="52"/>
  <c r="B103" i="52"/>
  <c r="O69" i="52"/>
  <c r="O72" i="52"/>
  <c r="N69" i="52"/>
  <c r="N72" i="52"/>
  <c r="M69" i="52"/>
  <c r="M72" i="52"/>
  <c r="L69" i="52"/>
  <c r="L72" i="52"/>
  <c r="K69" i="52"/>
  <c r="K72" i="52"/>
  <c r="J69" i="52"/>
  <c r="J72" i="52"/>
  <c r="I69" i="52"/>
  <c r="I72" i="52"/>
  <c r="H69" i="52"/>
  <c r="H72" i="52"/>
  <c r="G69" i="52"/>
  <c r="G72" i="52"/>
  <c r="F69" i="52"/>
  <c r="F72" i="52"/>
  <c r="E69" i="52"/>
  <c r="E72" i="52"/>
  <c r="D69" i="52"/>
  <c r="D72" i="52"/>
  <c r="C69" i="52"/>
  <c r="B69" i="52"/>
  <c r="O52" i="52"/>
  <c r="N52" i="52"/>
  <c r="M52" i="52"/>
  <c r="L52" i="52"/>
  <c r="K52" i="52"/>
  <c r="J52" i="52"/>
  <c r="I52" i="52"/>
  <c r="H52" i="52"/>
  <c r="G52" i="52"/>
  <c r="F52" i="52"/>
  <c r="E52" i="52"/>
  <c r="D52" i="52"/>
  <c r="C52" i="52"/>
  <c r="B52" i="52"/>
  <c r="O34" i="52"/>
  <c r="N34" i="52"/>
  <c r="M34" i="52"/>
  <c r="L34" i="52"/>
  <c r="K34" i="52"/>
  <c r="J34" i="52"/>
  <c r="I34" i="52"/>
  <c r="H34" i="52"/>
  <c r="G34" i="52"/>
  <c r="F34" i="52"/>
  <c r="E34" i="52"/>
  <c r="D34" i="52"/>
  <c r="C34" i="52"/>
  <c r="B34" i="52"/>
  <c r="AH178" i="51"/>
  <c r="AG178" i="51"/>
  <c r="AE178" i="51"/>
  <c r="AD178" i="51"/>
  <c r="AB178" i="51"/>
  <c r="AA178" i="51"/>
  <c r="Y178" i="51"/>
  <c r="X178" i="51"/>
  <c r="V178" i="51"/>
  <c r="U178" i="51"/>
  <c r="S178" i="51"/>
  <c r="R178" i="51"/>
  <c r="P178" i="51"/>
  <c r="O178" i="51"/>
  <c r="M178" i="51"/>
  <c r="L178" i="51"/>
  <c r="J178" i="51"/>
  <c r="I178" i="51"/>
  <c r="G178" i="51"/>
  <c r="F178" i="51"/>
  <c r="D178" i="51"/>
  <c r="T171" i="51"/>
  <c r="R171" i="51"/>
  <c r="P171" i="51"/>
  <c r="O171" i="51"/>
  <c r="M171" i="51"/>
  <c r="K171" i="51"/>
  <c r="I171" i="51"/>
  <c r="G171" i="51"/>
  <c r="F171" i="51"/>
  <c r="D171" i="51"/>
  <c r="AX136" i="51"/>
  <c r="AW136" i="51"/>
  <c r="AV136" i="51"/>
  <c r="AU136" i="51"/>
  <c r="AT136" i="51"/>
  <c r="AS136" i="51"/>
  <c r="AR136" i="51"/>
  <c r="AQ136" i="51"/>
  <c r="AP136" i="51"/>
  <c r="AO136" i="51"/>
  <c r="AN136" i="51"/>
  <c r="AM136" i="51"/>
  <c r="AL136" i="51"/>
  <c r="AK136" i="51"/>
  <c r="AJ136" i="51"/>
  <c r="AI136" i="51"/>
  <c r="AH136" i="51"/>
  <c r="AG136" i="51"/>
  <c r="AF136" i="51"/>
  <c r="AE136" i="51"/>
  <c r="AD136" i="51"/>
  <c r="AC136" i="51"/>
  <c r="AB136" i="51"/>
  <c r="AA136" i="51"/>
  <c r="Z136" i="51"/>
  <c r="Y136" i="51"/>
  <c r="X136" i="51"/>
  <c r="W136" i="51"/>
  <c r="V136" i="51"/>
  <c r="U136" i="51"/>
  <c r="T136" i="51"/>
  <c r="S136" i="51"/>
  <c r="R136" i="51"/>
  <c r="Q136" i="51"/>
  <c r="P136" i="51"/>
  <c r="O136" i="51"/>
  <c r="N136" i="51"/>
  <c r="M136" i="51"/>
  <c r="L136" i="51"/>
  <c r="K136" i="51"/>
  <c r="J136" i="51"/>
  <c r="I136" i="51"/>
  <c r="H136" i="51"/>
  <c r="G136" i="51"/>
  <c r="F136" i="51"/>
  <c r="E136" i="51"/>
  <c r="D136" i="51"/>
  <c r="C136" i="51"/>
  <c r="B136" i="51"/>
  <c r="AY118" i="51"/>
  <c r="AX118" i="51"/>
  <c r="AW118" i="51"/>
  <c r="AV118" i="51"/>
  <c r="AU118" i="51"/>
  <c r="AT118" i="51"/>
  <c r="AS118" i="51"/>
  <c r="AR118" i="51"/>
  <c r="AQ118" i="51"/>
  <c r="AP118" i="51"/>
  <c r="AO118" i="51"/>
  <c r="AN118" i="51"/>
  <c r="AM118" i="51"/>
  <c r="AL118" i="51"/>
  <c r="AK118" i="51"/>
  <c r="AJ118" i="51"/>
  <c r="AI118" i="51"/>
  <c r="AH118" i="51"/>
  <c r="AG118" i="51"/>
  <c r="AF118" i="51"/>
  <c r="AE118" i="51"/>
  <c r="AD118" i="51"/>
  <c r="AC118" i="51"/>
  <c r="AB118" i="51"/>
  <c r="AA118" i="51"/>
  <c r="Z118" i="51"/>
  <c r="Y118" i="51"/>
  <c r="X118" i="51"/>
  <c r="W118" i="51"/>
  <c r="V118" i="51"/>
  <c r="U118" i="51"/>
  <c r="T118" i="51"/>
  <c r="S118" i="51"/>
  <c r="R118" i="51"/>
  <c r="Q118" i="51"/>
  <c r="P118" i="51"/>
  <c r="O118" i="51"/>
  <c r="N118" i="51"/>
  <c r="M118" i="51"/>
  <c r="L118" i="51"/>
  <c r="K118" i="51"/>
  <c r="J118" i="51"/>
  <c r="I118" i="51"/>
  <c r="H118" i="51"/>
  <c r="G118" i="51"/>
  <c r="F118" i="51"/>
  <c r="E118" i="51"/>
  <c r="D118" i="51"/>
  <c r="C118" i="51"/>
  <c r="B118" i="51"/>
  <c r="F71" i="51"/>
  <c r="E71" i="51"/>
  <c r="D71" i="51"/>
  <c r="B71" i="51"/>
  <c r="L56" i="51"/>
  <c r="K56" i="51"/>
  <c r="J56" i="51"/>
  <c r="I56" i="51"/>
  <c r="H56" i="51"/>
  <c r="G56" i="51"/>
  <c r="F56" i="51"/>
  <c r="E56" i="51"/>
  <c r="D56" i="51"/>
  <c r="C56" i="51"/>
  <c r="B56" i="51"/>
  <c r="E44" i="51"/>
  <c r="D44" i="51"/>
  <c r="C44" i="51"/>
  <c r="B44" i="51"/>
  <c r="B19" i="51"/>
  <c r="C10" i="51"/>
  <c r="C9" i="51"/>
  <c r="C8" i="51"/>
  <c r="C6" i="51"/>
  <c r="G221" i="50"/>
  <c r="F221" i="50"/>
  <c r="E221" i="50"/>
  <c r="D221" i="50"/>
  <c r="C221" i="50"/>
  <c r="B221" i="50"/>
  <c r="J194" i="50"/>
  <c r="I194" i="50"/>
  <c r="H194" i="50"/>
  <c r="G194" i="50"/>
  <c r="F194" i="50"/>
  <c r="E194" i="50"/>
  <c r="D194" i="50"/>
  <c r="C194" i="50"/>
  <c r="B194" i="50"/>
  <c r="C149" i="50"/>
  <c r="B149" i="50"/>
  <c r="C134" i="50"/>
  <c r="B134" i="50"/>
  <c r="B126" i="50"/>
  <c r="H83" i="50"/>
  <c r="D77" i="50"/>
  <c r="B77" i="50"/>
  <c r="B56" i="50"/>
  <c r="B38" i="50"/>
  <c r="B28" i="50"/>
  <c r="D13" i="50"/>
  <c r="C13" i="50"/>
  <c r="B13" i="50"/>
  <c r="G209" i="49"/>
  <c r="F209" i="49"/>
  <c r="E209" i="49"/>
  <c r="D209" i="49"/>
  <c r="C209" i="49"/>
  <c r="B209" i="49"/>
  <c r="G195" i="49"/>
  <c r="F195" i="49"/>
  <c r="E195" i="49"/>
  <c r="G193" i="49"/>
  <c r="G179" i="49"/>
  <c r="F179" i="49"/>
  <c r="E179" i="49"/>
  <c r="G159" i="49"/>
  <c r="F159" i="49"/>
  <c r="E159" i="49"/>
  <c r="F143" i="49"/>
  <c r="E143" i="49"/>
  <c r="G135" i="49"/>
  <c r="F135" i="49"/>
  <c r="E135" i="49"/>
  <c r="G129" i="49"/>
  <c r="G130" i="49"/>
  <c r="F129" i="49"/>
  <c r="F130" i="49"/>
  <c r="E129" i="49"/>
  <c r="E130" i="49"/>
  <c r="G108" i="49"/>
  <c r="F108" i="49"/>
  <c r="E108" i="49"/>
  <c r="G94" i="49"/>
  <c r="F94" i="49"/>
  <c r="E94" i="49"/>
  <c r="G75" i="49"/>
  <c r="F75" i="49"/>
  <c r="E75" i="49"/>
  <c r="G58" i="49"/>
  <c r="F58" i="49"/>
  <c r="E58" i="49"/>
  <c r="G40" i="49"/>
  <c r="F40" i="49"/>
  <c r="E40" i="49"/>
  <c r="B19" i="49"/>
  <c r="J18" i="49"/>
  <c r="I18" i="49"/>
  <c r="H18" i="49"/>
  <c r="B18" i="49"/>
  <c r="M15" i="49"/>
  <c r="L15" i="49"/>
  <c r="K15" i="49"/>
  <c r="J15" i="49"/>
  <c r="I15" i="49"/>
  <c r="H15" i="49"/>
  <c r="G15" i="49"/>
  <c r="F15" i="49"/>
  <c r="E15" i="49"/>
  <c r="D15" i="49"/>
  <c r="C15" i="49"/>
  <c r="B15" i="49"/>
  <c r="Q134" i="48"/>
  <c r="P134" i="48"/>
  <c r="J121" i="48"/>
  <c r="I121" i="48"/>
  <c r="H121" i="48"/>
  <c r="G121" i="48"/>
  <c r="F121" i="48"/>
  <c r="E121" i="48"/>
  <c r="D121" i="48"/>
  <c r="C121" i="48"/>
  <c r="B121" i="48"/>
  <c r="V55" i="48"/>
  <c r="U55" i="48"/>
  <c r="T55" i="48"/>
  <c r="S55" i="48"/>
  <c r="R55" i="48"/>
  <c r="Q55" i="48"/>
  <c r="P55" i="48"/>
  <c r="O55" i="48"/>
  <c r="N55" i="48"/>
  <c r="M55" i="48"/>
  <c r="L55" i="48"/>
  <c r="K55" i="48"/>
  <c r="J55" i="48"/>
  <c r="I55" i="48"/>
  <c r="H55" i="48"/>
  <c r="G55" i="48"/>
  <c r="F55" i="48"/>
  <c r="E55" i="48"/>
  <c r="D55" i="48"/>
  <c r="C55" i="48"/>
  <c r="B55" i="48"/>
  <c r="M38" i="48"/>
  <c r="L38" i="48"/>
  <c r="K38" i="48"/>
  <c r="J38" i="48"/>
  <c r="I38" i="48"/>
  <c r="H38" i="48"/>
  <c r="G38" i="48"/>
  <c r="F38" i="48"/>
  <c r="E38" i="48"/>
  <c r="D38" i="48"/>
  <c r="C38" i="48"/>
  <c r="B38" i="48"/>
  <c r="D20" i="48"/>
  <c r="C20" i="48"/>
  <c r="B20" i="48"/>
  <c r="P403" i="47"/>
  <c r="O403" i="47"/>
  <c r="N403" i="47"/>
  <c r="M403" i="47"/>
  <c r="L403" i="47"/>
  <c r="K403" i="47"/>
  <c r="J403" i="47"/>
  <c r="I403" i="47"/>
  <c r="H403" i="47"/>
  <c r="G403" i="47"/>
  <c r="F403" i="47"/>
  <c r="E403" i="47"/>
  <c r="D403" i="47"/>
  <c r="C403" i="47"/>
  <c r="B403" i="47"/>
  <c r="P378" i="47"/>
  <c r="O378" i="47"/>
  <c r="N378" i="47"/>
  <c r="M378" i="47"/>
  <c r="L378" i="47"/>
  <c r="K378" i="47"/>
  <c r="J378" i="47"/>
  <c r="I378" i="47"/>
  <c r="H378" i="47"/>
  <c r="G378" i="47"/>
  <c r="F378" i="47"/>
  <c r="E378" i="47"/>
  <c r="D378" i="47"/>
  <c r="C378" i="47"/>
  <c r="B378" i="47"/>
  <c r="P371" i="47"/>
  <c r="O371" i="47"/>
  <c r="N371" i="47"/>
  <c r="M371" i="47"/>
  <c r="L371" i="47"/>
  <c r="K371" i="47"/>
  <c r="J371" i="47"/>
  <c r="I371" i="47"/>
  <c r="H371" i="47"/>
  <c r="G371" i="47"/>
  <c r="F371" i="47"/>
  <c r="E371" i="47"/>
  <c r="D371" i="47"/>
  <c r="C371" i="47"/>
  <c r="B371" i="47"/>
  <c r="P359" i="47"/>
  <c r="O359" i="47"/>
  <c r="N359" i="47"/>
  <c r="M359" i="47"/>
  <c r="L359" i="47"/>
  <c r="K359" i="47"/>
  <c r="J359" i="47"/>
  <c r="I359" i="47"/>
  <c r="H359" i="47"/>
  <c r="G359" i="47"/>
  <c r="F359" i="47"/>
  <c r="E359" i="47"/>
  <c r="D359" i="47"/>
  <c r="C359" i="47"/>
  <c r="B359" i="47"/>
  <c r="P347" i="47"/>
  <c r="O347" i="47"/>
  <c r="N347" i="47"/>
  <c r="M347" i="47"/>
  <c r="L347" i="47"/>
  <c r="K347" i="47"/>
  <c r="J347" i="47"/>
  <c r="I347" i="47"/>
  <c r="H347" i="47"/>
  <c r="G347" i="47"/>
  <c r="F347" i="47"/>
  <c r="E347" i="47"/>
  <c r="D347" i="47"/>
  <c r="C347" i="47"/>
  <c r="B347" i="47"/>
  <c r="P337" i="47"/>
  <c r="O337" i="47"/>
  <c r="N337" i="47"/>
  <c r="M337" i="47"/>
  <c r="L337" i="47"/>
  <c r="K337" i="47"/>
  <c r="J337" i="47"/>
  <c r="I337" i="47"/>
  <c r="H337" i="47"/>
  <c r="G337" i="47"/>
  <c r="F337" i="47"/>
  <c r="E337" i="47"/>
  <c r="D337" i="47"/>
  <c r="C337" i="47"/>
  <c r="B337" i="47"/>
  <c r="B336" i="47"/>
  <c r="P315" i="47"/>
  <c r="O315" i="47"/>
  <c r="N315" i="47"/>
  <c r="M315" i="47"/>
  <c r="L315" i="47"/>
  <c r="K315" i="47"/>
  <c r="J315" i="47"/>
  <c r="I315" i="47"/>
  <c r="H315" i="47"/>
  <c r="G315" i="47"/>
  <c r="F315" i="47"/>
  <c r="E315" i="47"/>
  <c r="D315" i="47"/>
  <c r="C315" i="47"/>
  <c r="B315" i="47"/>
  <c r="P308" i="47"/>
  <c r="O308" i="47"/>
  <c r="N308" i="47"/>
  <c r="M308" i="47"/>
  <c r="L308" i="47"/>
  <c r="K308" i="47"/>
  <c r="J308" i="47"/>
  <c r="I308" i="47"/>
  <c r="H308" i="47"/>
  <c r="G308" i="47"/>
  <c r="F308" i="47"/>
  <c r="E308" i="47"/>
  <c r="D308" i="47"/>
  <c r="C308" i="47"/>
  <c r="B308" i="47"/>
  <c r="P297" i="47"/>
  <c r="O297" i="47"/>
  <c r="N297" i="47"/>
  <c r="M297" i="47"/>
  <c r="L297" i="47"/>
  <c r="K297" i="47"/>
  <c r="J297" i="47"/>
  <c r="I297" i="47"/>
  <c r="H297" i="47"/>
  <c r="G297" i="47"/>
  <c r="F297" i="47"/>
  <c r="E297" i="47"/>
  <c r="D297" i="47"/>
  <c r="C297" i="47"/>
  <c r="B297" i="47"/>
  <c r="P286" i="47"/>
  <c r="O286" i="47"/>
  <c r="N286" i="47"/>
  <c r="M286" i="47"/>
  <c r="L286" i="47"/>
  <c r="K286" i="47"/>
  <c r="J286" i="47"/>
  <c r="I286" i="47"/>
  <c r="H286" i="47"/>
  <c r="G286" i="47"/>
  <c r="F286" i="47"/>
  <c r="E286" i="47"/>
  <c r="D286" i="47"/>
  <c r="C286" i="47"/>
  <c r="B286" i="47"/>
  <c r="P274" i="47"/>
  <c r="O274" i="47"/>
  <c r="N274" i="47"/>
  <c r="M274" i="47"/>
  <c r="L274" i="47"/>
  <c r="K274" i="47"/>
  <c r="J274" i="47"/>
  <c r="I274" i="47"/>
  <c r="H274" i="47"/>
  <c r="G274" i="47"/>
  <c r="F274" i="47"/>
  <c r="E274" i="47"/>
  <c r="D274" i="47"/>
  <c r="C274" i="47"/>
  <c r="B274" i="47"/>
  <c r="P259" i="47"/>
  <c r="O259" i="47"/>
  <c r="N259" i="47"/>
  <c r="M259" i="47"/>
  <c r="L259" i="47"/>
  <c r="K259" i="47"/>
  <c r="J259" i="47"/>
  <c r="I259" i="47"/>
  <c r="H259" i="47"/>
  <c r="G259" i="47"/>
  <c r="F259" i="47"/>
  <c r="E259" i="47"/>
  <c r="D259" i="47"/>
  <c r="C259" i="47"/>
  <c r="B259" i="47"/>
  <c r="P252" i="47"/>
  <c r="O252" i="47"/>
  <c r="N252" i="47"/>
  <c r="M252" i="47"/>
  <c r="L252" i="47"/>
  <c r="K252" i="47"/>
  <c r="J252" i="47"/>
  <c r="I252" i="47"/>
  <c r="H252" i="47"/>
  <c r="G252" i="47"/>
  <c r="F252" i="47"/>
  <c r="E252" i="47"/>
  <c r="D252" i="47"/>
  <c r="C252" i="47"/>
  <c r="B252" i="47"/>
  <c r="P241" i="47"/>
  <c r="O241" i="47"/>
  <c r="N241" i="47"/>
  <c r="M241" i="47"/>
  <c r="L241" i="47"/>
  <c r="K241" i="47"/>
  <c r="J241" i="47"/>
  <c r="I241" i="47"/>
  <c r="H241" i="47"/>
  <c r="G241" i="47"/>
  <c r="F241" i="47"/>
  <c r="E241" i="47"/>
  <c r="D241" i="47"/>
  <c r="C241" i="47"/>
  <c r="B241" i="47"/>
  <c r="P220" i="47"/>
  <c r="O220" i="47"/>
  <c r="N220" i="47"/>
  <c r="M220" i="47"/>
  <c r="L220" i="47"/>
  <c r="K220" i="47"/>
  <c r="J220" i="47"/>
  <c r="I220" i="47"/>
  <c r="H220" i="47"/>
  <c r="G220" i="47"/>
  <c r="F220" i="47"/>
  <c r="E220" i="47"/>
  <c r="D220" i="47"/>
  <c r="C220" i="47"/>
  <c r="B220" i="47"/>
  <c r="P188" i="47"/>
  <c r="O188" i="47"/>
  <c r="N188" i="47"/>
  <c r="M188" i="47"/>
  <c r="L188" i="47"/>
  <c r="K188" i="47"/>
  <c r="J188" i="47"/>
  <c r="I188" i="47"/>
  <c r="H188" i="47"/>
  <c r="G188" i="47"/>
  <c r="F188" i="47"/>
  <c r="E188" i="47"/>
  <c r="D188" i="47"/>
  <c r="C188" i="47"/>
  <c r="B188" i="47"/>
  <c r="P183" i="47"/>
  <c r="O183" i="47"/>
  <c r="N183" i="47"/>
  <c r="M183" i="47"/>
  <c r="L183" i="47"/>
  <c r="K183" i="47"/>
  <c r="J183" i="47"/>
  <c r="I183" i="47"/>
  <c r="H183" i="47"/>
  <c r="G183" i="47"/>
  <c r="F183" i="47"/>
  <c r="E183" i="47"/>
  <c r="D183" i="47"/>
  <c r="C183" i="47"/>
  <c r="B183" i="47"/>
  <c r="P176" i="47"/>
  <c r="O176" i="47"/>
  <c r="N176" i="47"/>
  <c r="M176" i="47"/>
  <c r="L176" i="47"/>
  <c r="K176" i="47"/>
  <c r="J176" i="47"/>
  <c r="I176" i="47"/>
  <c r="H176" i="47"/>
  <c r="G176" i="47"/>
  <c r="F176" i="47"/>
  <c r="E176" i="47"/>
  <c r="D176" i="47"/>
  <c r="C176" i="47"/>
  <c r="B176" i="47"/>
  <c r="P165" i="47"/>
  <c r="O165" i="47"/>
  <c r="N165" i="47"/>
  <c r="M165" i="47"/>
  <c r="L165" i="47"/>
  <c r="K165" i="47"/>
  <c r="J165" i="47"/>
  <c r="I165" i="47"/>
  <c r="H165" i="47"/>
  <c r="G165" i="47"/>
  <c r="F165" i="47"/>
  <c r="E165" i="47"/>
  <c r="D165" i="47"/>
  <c r="C165" i="47"/>
  <c r="B165" i="47"/>
  <c r="M150" i="47"/>
  <c r="L150" i="47"/>
  <c r="K150" i="47"/>
  <c r="J150" i="47"/>
  <c r="I150" i="47"/>
  <c r="H150" i="47"/>
  <c r="G150" i="47"/>
  <c r="F150" i="47"/>
  <c r="E150" i="47"/>
  <c r="D150" i="47"/>
  <c r="C150" i="47"/>
  <c r="B150" i="47"/>
  <c r="P130" i="47"/>
  <c r="O130" i="47"/>
  <c r="N130" i="47"/>
  <c r="M130" i="47"/>
  <c r="L130" i="47"/>
  <c r="K130" i="47"/>
  <c r="J130" i="47"/>
  <c r="I130" i="47"/>
  <c r="H130" i="47"/>
  <c r="G130" i="47"/>
  <c r="F130" i="47"/>
  <c r="E130" i="47"/>
  <c r="D130" i="47"/>
  <c r="C130" i="47"/>
  <c r="B130" i="47"/>
  <c r="P118" i="47"/>
  <c r="O118" i="47"/>
  <c r="N118" i="47"/>
  <c r="M118" i="47"/>
  <c r="L118" i="47"/>
  <c r="K118" i="47"/>
  <c r="J118" i="47"/>
  <c r="I118" i="47"/>
  <c r="H118" i="47"/>
  <c r="G118" i="47"/>
  <c r="F118" i="47"/>
  <c r="E118" i="47"/>
  <c r="D118" i="47"/>
  <c r="C118" i="47"/>
  <c r="B118" i="47"/>
  <c r="P106" i="47"/>
  <c r="O106" i="47"/>
  <c r="N106" i="47"/>
  <c r="M106" i="47"/>
  <c r="L106" i="47"/>
  <c r="K106" i="47"/>
  <c r="J106" i="47"/>
  <c r="I106" i="47"/>
  <c r="H106" i="47"/>
  <c r="G106" i="47"/>
  <c r="F106" i="47"/>
  <c r="E106" i="47"/>
  <c r="D106" i="47"/>
  <c r="C106" i="47"/>
  <c r="B106" i="47"/>
  <c r="P91" i="47"/>
  <c r="O91" i="47"/>
  <c r="N91" i="47"/>
  <c r="M91" i="47"/>
  <c r="L91" i="47"/>
  <c r="K91" i="47"/>
  <c r="J91" i="47"/>
  <c r="I91" i="47"/>
  <c r="H91" i="47"/>
  <c r="G91" i="47"/>
  <c r="F91" i="47"/>
  <c r="E91" i="47"/>
  <c r="D91" i="47"/>
  <c r="C91" i="47"/>
  <c r="B91" i="47"/>
  <c r="P84" i="47"/>
  <c r="O84" i="47"/>
  <c r="N84" i="47"/>
  <c r="M84" i="47"/>
  <c r="L84" i="47"/>
  <c r="K84" i="47"/>
  <c r="J84" i="47"/>
  <c r="I84" i="47"/>
  <c r="H84" i="47"/>
  <c r="G84" i="47"/>
  <c r="F84" i="47"/>
  <c r="E84" i="47"/>
  <c r="D84" i="47"/>
  <c r="C84" i="47"/>
  <c r="B84" i="47"/>
  <c r="P76" i="47"/>
  <c r="O76" i="47"/>
  <c r="N76" i="47"/>
  <c r="M76" i="47"/>
  <c r="L76" i="47"/>
  <c r="K76" i="47"/>
  <c r="J76" i="47"/>
  <c r="I76" i="47"/>
  <c r="H76" i="47"/>
  <c r="G76" i="47"/>
  <c r="F76" i="47"/>
  <c r="E76" i="47"/>
  <c r="D76" i="47"/>
  <c r="C76" i="47"/>
  <c r="B76" i="47"/>
  <c r="P66" i="47"/>
  <c r="O66" i="47"/>
  <c r="N66" i="47"/>
  <c r="M66" i="47"/>
  <c r="L66" i="47"/>
  <c r="K66" i="47"/>
  <c r="J66" i="47"/>
  <c r="I66" i="47"/>
  <c r="H66" i="47"/>
  <c r="G66" i="47"/>
  <c r="F66" i="47"/>
  <c r="E66" i="47"/>
  <c r="D66" i="47"/>
  <c r="C66" i="47"/>
  <c r="B66" i="47"/>
  <c r="F38" i="47"/>
  <c r="E38" i="47"/>
  <c r="D38" i="47"/>
  <c r="C38" i="47"/>
  <c r="B38" i="47"/>
  <c r="J13" i="47"/>
  <c r="I13" i="47"/>
  <c r="H13" i="47"/>
  <c r="G13" i="47"/>
  <c r="F13" i="47"/>
  <c r="E13" i="47"/>
  <c r="D13" i="47"/>
  <c r="C13" i="47"/>
  <c r="B13" i="47"/>
  <c r="AM216" i="46"/>
  <c r="AL216" i="46"/>
  <c r="AK216" i="46"/>
  <c r="AJ216" i="46"/>
  <c r="AI216" i="46"/>
  <c r="AH216" i="46"/>
  <c r="AG216" i="46"/>
  <c r="AF216" i="46"/>
  <c r="AE216" i="46"/>
  <c r="AD216" i="46"/>
  <c r="AC216" i="46"/>
  <c r="AB216" i="46"/>
  <c r="AA216" i="46"/>
  <c r="Z216" i="46"/>
  <c r="Y216" i="46"/>
  <c r="X216" i="46"/>
  <c r="W216" i="46"/>
  <c r="V216" i="46"/>
  <c r="U216" i="46"/>
  <c r="T216" i="46"/>
  <c r="S216" i="46"/>
  <c r="R216" i="46"/>
  <c r="Q216" i="46"/>
  <c r="P216" i="46"/>
  <c r="O216" i="46"/>
  <c r="N216" i="46"/>
  <c r="M216" i="46"/>
  <c r="L216" i="46"/>
  <c r="K216" i="46"/>
  <c r="J216" i="46"/>
  <c r="I216" i="46"/>
  <c r="H216" i="46"/>
  <c r="G216" i="46"/>
  <c r="F216" i="46"/>
  <c r="E216" i="46"/>
  <c r="D216" i="46"/>
  <c r="C216" i="46"/>
  <c r="B216" i="46"/>
  <c r="AS197" i="46"/>
  <c r="AR197" i="46"/>
  <c r="AQ197" i="46"/>
  <c r="AP197" i="46"/>
  <c r="AO197" i="46"/>
  <c r="AN197" i="46"/>
  <c r="AM197" i="46"/>
  <c r="AL197" i="46"/>
  <c r="AK197" i="46"/>
  <c r="AJ197" i="46"/>
  <c r="AI197" i="46"/>
  <c r="AH197" i="46"/>
  <c r="AG197" i="46"/>
  <c r="AF197" i="46"/>
  <c r="AE197" i="46"/>
  <c r="AD197" i="46"/>
  <c r="AC197" i="46"/>
  <c r="AB197" i="46"/>
  <c r="AA197" i="46"/>
  <c r="Z197" i="46"/>
  <c r="Y197" i="46"/>
  <c r="X197" i="46"/>
  <c r="W197" i="46"/>
  <c r="V197" i="46"/>
  <c r="U197" i="46"/>
  <c r="T197" i="46"/>
  <c r="S197" i="46"/>
  <c r="R197" i="46"/>
  <c r="Q197" i="46"/>
  <c r="P197" i="46"/>
  <c r="O197" i="46"/>
  <c r="N197" i="46"/>
  <c r="M197" i="46"/>
  <c r="L197" i="46"/>
  <c r="K197" i="46"/>
  <c r="J197" i="46"/>
  <c r="I197" i="46"/>
  <c r="H197" i="46"/>
  <c r="G197" i="46"/>
  <c r="F197" i="46"/>
  <c r="E197" i="46"/>
  <c r="D197" i="46"/>
  <c r="C197" i="46"/>
  <c r="B197" i="46"/>
  <c r="M170" i="46"/>
  <c r="L170" i="46"/>
  <c r="K170" i="46"/>
  <c r="J170" i="46"/>
  <c r="I170" i="46"/>
  <c r="H170" i="46"/>
  <c r="G170" i="46"/>
  <c r="F170" i="46"/>
  <c r="E170" i="46"/>
  <c r="D170" i="46"/>
  <c r="C170" i="46"/>
  <c r="B170" i="46"/>
  <c r="M161" i="46"/>
  <c r="L161" i="46"/>
  <c r="K161" i="46"/>
  <c r="J161" i="46"/>
  <c r="I161" i="46"/>
  <c r="H161" i="46"/>
  <c r="G161" i="46"/>
  <c r="F161" i="46"/>
  <c r="E161" i="46"/>
  <c r="D161" i="46"/>
  <c r="C161" i="46"/>
  <c r="B161" i="46"/>
  <c r="J140" i="46"/>
  <c r="I140" i="46"/>
  <c r="H140" i="46"/>
  <c r="G140" i="46"/>
  <c r="F140" i="46"/>
  <c r="E140" i="46"/>
  <c r="D140" i="46"/>
  <c r="C140" i="46"/>
  <c r="B140" i="46"/>
  <c r="S117" i="46"/>
  <c r="R117" i="46"/>
  <c r="Q117" i="46"/>
  <c r="P117" i="46"/>
  <c r="O117" i="46"/>
  <c r="N117" i="46"/>
  <c r="M117" i="46"/>
  <c r="L117" i="46"/>
  <c r="K117" i="46"/>
  <c r="J117" i="46"/>
  <c r="I117" i="46"/>
  <c r="H117" i="46"/>
  <c r="G117" i="46"/>
  <c r="F117" i="46"/>
  <c r="E117" i="46"/>
  <c r="D117" i="46"/>
  <c r="C117" i="46"/>
  <c r="B117" i="46"/>
  <c r="S96" i="46"/>
  <c r="R96" i="46"/>
  <c r="Q96" i="46"/>
  <c r="P96" i="46"/>
  <c r="O96" i="46"/>
  <c r="N96" i="46"/>
  <c r="M96" i="46"/>
  <c r="L96" i="46"/>
  <c r="K96" i="46"/>
  <c r="J96" i="46"/>
  <c r="I96" i="46"/>
  <c r="H96" i="46"/>
  <c r="G96" i="46"/>
  <c r="F96" i="46"/>
  <c r="E96" i="46"/>
  <c r="D96" i="46"/>
  <c r="C96" i="46"/>
  <c r="B96" i="46"/>
  <c r="G42" i="46"/>
  <c r="F42" i="46"/>
  <c r="E42" i="46"/>
  <c r="D42" i="46"/>
  <c r="C42" i="46"/>
  <c r="B42" i="46"/>
  <c r="D19" i="46"/>
  <c r="C19" i="46"/>
  <c r="B19" i="46"/>
  <c r="F16" i="46"/>
  <c r="E16" i="46"/>
  <c r="G128" i="45"/>
  <c r="F128" i="45"/>
  <c r="E128" i="45"/>
  <c r="D128" i="45"/>
  <c r="C128" i="45"/>
  <c r="B128" i="45"/>
  <c r="AO108" i="45"/>
  <c r="AN108" i="45"/>
  <c r="AM108" i="45"/>
  <c r="AL108" i="45"/>
  <c r="AK108" i="45"/>
  <c r="AJ108" i="45"/>
  <c r="AI108" i="45"/>
  <c r="AH108" i="45"/>
  <c r="AG108" i="45"/>
  <c r="AF108" i="45"/>
  <c r="AE108" i="45"/>
  <c r="AD108" i="45"/>
  <c r="AC108" i="45"/>
  <c r="AB108" i="45"/>
  <c r="AA108" i="45"/>
  <c r="Z108" i="45"/>
  <c r="Y108" i="45"/>
  <c r="X108" i="45"/>
  <c r="W108" i="45"/>
  <c r="V108" i="45"/>
  <c r="U108" i="45"/>
  <c r="T108" i="45"/>
  <c r="S108" i="45"/>
  <c r="R108" i="45"/>
  <c r="Q108" i="45"/>
  <c r="P108" i="45"/>
  <c r="O108" i="45"/>
  <c r="N108" i="45"/>
  <c r="M108" i="45"/>
  <c r="L108" i="45"/>
  <c r="K108" i="45"/>
  <c r="J108" i="45"/>
  <c r="I108" i="45"/>
  <c r="H108" i="45"/>
  <c r="G108" i="45"/>
  <c r="F108" i="45"/>
  <c r="E108" i="45"/>
  <c r="D108" i="45"/>
  <c r="C108" i="45"/>
  <c r="B108" i="45"/>
  <c r="J87" i="45"/>
  <c r="I87" i="45"/>
  <c r="H87" i="45"/>
  <c r="G87" i="45"/>
  <c r="F87" i="45"/>
  <c r="E87" i="45"/>
  <c r="D87" i="45"/>
  <c r="C87" i="45"/>
  <c r="B87" i="45"/>
  <c r="J71" i="45"/>
  <c r="I71" i="45"/>
  <c r="H71" i="45"/>
  <c r="G71" i="45"/>
  <c r="F71" i="45"/>
  <c r="E71" i="45"/>
  <c r="D71" i="45"/>
  <c r="C71" i="45"/>
  <c r="B71" i="45"/>
  <c r="N70" i="45"/>
  <c r="N69" i="45"/>
  <c r="N68" i="45"/>
  <c r="N66" i="45"/>
  <c r="N65" i="45"/>
  <c r="N64" i="45"/>
  <c r="N63" i="45"/>
  <c r="N62" i="45"/>
  <c r="N61" i="45"/>
  <c r="N60" i="45"/>
  <c r="G54" i="45"/>
  <c r="F54" i="45"/>
  <c r="E54" i="45"/>
  <c r="D54" i="45"/>
  <c r="C54" i="45"/>
  <c r="B54" i="45"/>
  <c r="M41" i="45"/>
  <c r="L41" i="45"/>
  <c r="K41" i="45"/>
  <c r="J41" i="45"/>
  <c r="I41" i="45"/>
  <c r="H41" i="45"/>
  <c r="G41" i="45"/>
  <c r="F41" i="45"/>
  <c r="E41" i="45"/>
  <c r="D41" i="45"/>
  <c r="C41" i="45"/>
  <c r="B41" i="45"/>
  <c r="T39" i="45"/>
  <c r="T38" i="45"/>
  <c r="T37" i="45"/>
  <c r="T36" i="45"/>
  <c r="T35" i="45"/>
  <c r="T34" i="45"/>
  <c r="T33" i="45"/>
  <c r="T32" i="45"/>
  <c r="D19" i="45"/>
  <c r="C19" i="45"/>
  <c r="B19" i="45"/>
  <c r="P516" i="44"/>
  <c r="O516" i="44"/>
  <c r="N516" i="44"/>
  <c r="M516" i="44"/>
  <c r="L516" i="44"/>
  <c r="K516" i="44"/>
  <c r="J516" i="44"/>
  <c r="I516" i="44"/>
  <c r="H516" i="44"/>
  <c r="G516" i="44"/>
  <c r="F516" i="44"/>
  <c r="E516" i="44"/>
  <c r="D516" i="44"/>
  <c r="C516" i="44"/>
  <c r="B516" i="44"/>
  <c r="P491" i="44"/>
  <c r="O491" i="44"/>
  <c r="N491" i="44"/>
  <c r="M491" i="44"/>
  <c r="L491" i="44"/>
  <c r="K491" i="44"/>
  <c r="J491" i="44"/>
  <c r="I491" i="44"/>
  <c r="H491" i="44"/>
  <c r="G491" i="44"/>
  <c r="F491" i="44"/>
  <c r="E491" i="44"/>
  <c r="D491" i="44"/>
  <c r="C491" i="44"/>
  <c r="B491" i="44"/>
  <c r="P485" i="44"/>
  <c r="O485" i="44"/>
  <c r="N485" i="44"/>
  <c r="M485" i="44"/>
  <c r="L485" i="44"/>
  <c r="K485" i="44"/>
  <c r="J485" i="44"/>
  <c r="I485" i="44"/>
  <c r="H485" i="44"/>
  <c r="G485" i="44"/>
  <c r="F485" i="44"/>
  <c r="E485" i="44"/>
  <c r="D485" i="44"/>
  <c r="C485" i="44"/>
  <c r="B485" i="44"/>
  <c r="P478" i="44"/>
  <c r="O478" i="44"/>
  <c r="N478" i="44"/>
  <c r="M478" i="44"/>
  <c r="L478" i="44"/>
  <c r="K478" i="44"/>
  <c r="J478" i="44"/>
  <c r="I478" i="44"/>
  <c r="H478" i="44"/>
  <c r="G478" i="44"/>
  <c r="F478" i="44"/>
  <c r="E478" i="44"/>
  <c r="D478" i="44"/>
  <c r="C478" i="44"/>
  <c r="B478" i="44"/>
  <c r="P467" i="44"/>
  <c r="O467" i="44"/>
  <c r="N467" i="44"/>
  <c r="M467" i="44"/>
  <c r="L467" i="44"/>
  <c r="K467" i="44"/>
  <c r="J467" i="44"/>
  <c r="I467" i="44"/>
  <c r="H467" i="44"/>
  <c r="G467" i="44"/>
  <c r="F467" i="44"/>
  <c r="E467" i="44"/>
  <c r="D467" i="44"/>
  <c r="C467" i="44"/>
  <c r="B467" i="44"/>
  <c r="M452" i="44"/>
  <c r="L452" i="44"/>
  <c r="K452" i="44"/>
  <c r="J452" i="44"/>
  <c r="I452" i="44"/>
  <c r="H452" i="44"/>
  <c r="G452" i="44"/>
  <c r="F452" i="44"/>
  <c r="E452" i="44"/>
  <c r="D452" i="44"/>
  <c r="C452" i="44"/>
  <c r="B452" i="44"/>
  <c r="P432" i="44"/>
  <c r="O432" i="44"/>
  <c r="N432" i="44"/>
  <c r="M432" i="44"/>
  <c r="L432" i="44"/>
  <c r="K432" i="44"/>
  <c r="J432" i="44"/>
  <c r="I432" i="44"/>
  <c r="H432" i="44"/>
  <c r="G432" i="44"/>
  <c r="F432" i="44"/>
  <c r="E432" i="44"/>
  <c r="D432" i="44"/>
  <c r="C432" i="44"/>
  <c r="B432" i="44"/>
  <c r="P420" i="44"/>
  <c r="O420" i="44"/>
  <c r="N420" i="44"/>
  <c r="M420" i="44"/>
  <c r="L420" i="44"/>
  <c r="K420" i="44"/>
  <c r="J420" i="44"/>
  <c r="I420" i="44"/>
  <c r="H420" i="44"/>
  <c r="G420" i="44"/>
  <c r="F420" i="44"/>
  <c r="E420" i="44"/>
  <c r="D420" i="44"/>
  <c r="C420" i="44"/>
  <c r="B420" i="44"/>
  <c r="P405" i="44"/>
  <c r="O405" i="44"/>
  <c r="N405" i="44"/>
  <c r="M405" i="44"/>
  <c r="L405" i="44"/>
  <c r="K405" i="44"/>
  <c r="J405" i="44"/>
  <c r="I405" i="44"/>
  <c r="H405" i="44"/>
  <c r="G405" i="44"/>
  <c r="F405" i="44"/>
  <c r="E405" i="44"/>
  <c r="D405" i="44"/>
  <c r="C405" i="44"/>
  <c r="B405" i="44"/>
  <c r="P398" i="44"/>
  <c r="O398" i="44"/>
  <c r="N398" i="44"/>
  <c r="M398" i="44"/>
  <c r="L398" i="44"/>
  <c r="K398" i="44"/>
  <c r="J398" i="44"/>
  <c r="I398" i="44"/>
  <c r="H398" i="44"/>
  <c r="G398" i="44"/>
  <c r="F398" i="44"/>
  <c r="E398" i="44"/>
  <c r="D398" i="44"/>
  <c r="C398" i="44"/>
  <c r="B398" i="44"/>
  <c r="P390" i="44"/>
  <c r="O390" i="44"/>
  <c r="N390" i="44"/>
  <c r="M390" i="44"/>
  <c r="L390" i="44"/>
  <c r="K390" i="44"/>
  <c r="J390" i="44"/>
  <c r="I390" i="44"/>
  <c r="H390" i="44"/>
  <c r="G390" i="44"/>
  <c r="F390" i="44"/>
  <c r="E390" i="44"/>
  <c r="D390" i="44"/>
  <c r="C390" i="44"/>
  <c r="B390" i="44"/>
  <c r="P380" i="44"/>
  <c r="O380" i="44"/>
  <c r="N380" i="44"/>
  <c r="M380" i="44"/>
  <c r="L380" i="44"/>
  <c r="K380" i="44"/>
  <c r="J380" i="44"/>
  <c r="I380" i="44"/>
  <c r="H380" i="44"/>
  <c r="G380" i="44"/>
  <c r="F380" i="44"/>
  <c r="E380" i="44"/>
  <c r="D380" i="44"/>
  <c r="C380" i="44"/>
  <c r="B380" i="44"/>
  <c r="P359" i="44"/>
  <c r="O359" i="44"/>
  <c r="N359" i="44"/>
  <c r="M359" i="44"/>
  <c r="L359" i="44"/>
  <c r="K359" i="44"/>
  <c r="J359" i="44"/>
  <c r="I359" i="44"/>
  <c r="H359" i="44"/>
  <c r="G359" i="44"/>
  <c r="F359" i="44"/>
  <c r="E359" i="44"/>
  <c r="D359" i="44"/>
  <c r="C359" i="44"/>
  <c r="B359" i="44"/>
  <c r="P339" i="44"/>
  <c r="O339" i="44"/>
  <c r="N339" i="44"/>
  <c r="M339" i="44"/>
  <c r="L339" i="44"/>
  <c r="K339" i="44"/>
  <c r="J339" i="44"/>
  <c r="I339" i="44"/>
  <c r="H339" i="44"/>
  <c r="G339" i="44"/>
  <c r="F339" i="44"/>
  <c r="E339" i="44"/>
  <c r="D339" i="44"/>
  <c r="C339" i="44"/>
  <c r="B339" i="44"/>
  <c r="P333" i="44"/>
  <c r="O333" i="44"/>
  <c r="N333" i="44"/>
  <c r="M333" i="44"/>
  <c r="L333" i="44"/>
  <c r="K333" i="44"/>
  <c r="J333" i="44"/>
  <c r="I333" i="44"/>
  <c r="H333" i="44"/>
  <c r="G333" i="44"/>
  <c r="F333" i="44"/>
  <c r="E333" i="44"/>
  <c r="D333" i="44"/>
  <c r="C333" i="44"/>
  <c r="B333" i="44"/>
  <c r="P325" i="44"/>
  <c r="O325" i="44"/>
  <c r="N325" i="44"/>
  <c r="M325" i="44"/>
  <c r="L325" i="44"/>
  <c r="K325" i="44"/>
  <c r="J325" i="44"/>
  <c r="I325" i="44"/>
  <c r="H325" i="44"/>
  <c r="G325" i="44"/>
  <c r="F325" i="44"/>
  <c r="E325" i="44"/>
  <c r="D325" i="44"/>
  <c r="C325" i="44"/>
  <c r="B325" i="44"/>
  <c r="P314" i="44"/>
  <c r="O314" i="44"/>
  <c r="N314" i="44"/>
  <c r="M314" i="44"/>
  <c r="L314" i="44"/>
  <c r="K314" i="44"/>
  <c r="J314" i="44"/>
  <c r="I314" i="44"/>
  <c r="H314" i="44"/>
  <c r="G314" i="44"/>
  <c r="F314" i="44"/>
  <c r="E314" i="44"/>
  <c r="D314" i="44"/>
  <c r="C314" i="44"/>
  <c r="B314" i="44"/>
  <c r="N299" i="44"/>
  <c r="M299" i="44"/>
  <c r="L299" i="44"/>
  <c r="K299" i="44"/>
  <c r="J299" i="44"/>
  <c r="I299" i="44"/>
  <c r="H299" i="44"/>
  <c r="G299" i="44"/>
  <c r="F299" i="44"/>
  <c r="E299" i="44"/>
  <c r="D299" i="44"/>
  <c r="C299" i="44"/>
  <c r="B299" i="44"/>
  <c r="M282" i="44"/>
  <c r="L282" i="44"/>
  <c r="K282" i="44"/>
  <c r="J282" i="44"/>
  <c r="I282" i="44"/>
  <c r="H282" i="44"/>
  <c r="G282" i="44"/>
  <c r="F282" i="44"/>
  <c r="E282" i="44"/>
  <c r="D282" i="44"/>
  <c r="C282" i="44"/>
  <c r="B282" i="44"/>
  <c r="P270" i="44"/>
  <c r="O270" i="44"/>
  <c r="N270" i="44"/>
  <c r="M270" i="44"/>
  <c r="L270" i="44"/>
  <c r="K270" i="44"/>
  <c r="J270" i="44"/>
  <c r="I270" i="44"/>
  <c r="H270" i="44"/>
  <c r="G270" i="44"/>
  <c r="F270" i="44"/>
  <c r="E270" i="44"/>
  <c r="D270" i="44"/>
  <c r="C270" i="44"/>
  <c r="B270" i="44"/>
  <c r="P254" i="44"/>
  <c r="O254" i="44"/>
  <c r="N254" i="44"/>
  <c r="M254" i="44"/>
  <c r="L254" i="44"/>
  <c r="K254" i="44"/>
  <c r="J254" i="44"/>
  <c r="I254" i="44"/>
  <c r="H254" i="44"/>
  <c r="G254" i="44"/>
  <c r="F254" i="44"/>
  <c r="E254" i="44"/>
  <c r="D254" i="44"/>
  <c r="C254" i="44"/>
  <c r="B254" i="44"/>
  <c r="P247" i="44"/>
  <c r="O247" i="44"/>
  <c r="N247" i="44"/>
  <c r="M247" i="44"/>
  <c r="L247" i="44"/>
  <c r="K247" i="44"/>
  <c r="J247" i="44"/>
  <c r="I247" i="44"/>
  <c r="H247" i="44"/>
  <c r="G247" i="44"/>
  <c r="F247" i="44"/>
  <c r="E247" i="44"/>
  <c r="D247" i="44"/>
  <c r="C247" i="44"/>
  <c r="B247" i="44"/>
  <c r="P239" i="44"/>
  <c r="O239" i="44"/>
  <c r="N239" i="44"/>
  <c r="M239" i="44"/>
  <c r="L239" i="44"/>
  <c r="K239" i="44"/>
  <c r="J239" i="44"/>
  <c r="I239" i="44"/>
  <c r="H239" i="44"/>
  <c r="G239" i="44"/>
  <c r="F239" i="44"/>
  <c r="E239" i="44"/>
  <c r="D239" i="44"/>
  <c r="C239" i="44"/>
  <c r="B239" i="44"/>
  <c r="P229" i="44"/>
  <c r="O229" i="44"/>
  <c r="N229" i="44"/>
  <c r="M229" i="44"/>
  <c r="L229" i="44"/>
  <c r="K229" i="44"/>
  <c r="J229" i="44"/>
  <c r="I229" i="44"/>
  <c r="H229" i="44"/>
  <c r="G229" i="44"/>
  <c r="F229" i="44"/>
  <c r="E229" i="44"/>
  <c r="D229" i="44"/>
  <c r="C229" i="44"/>
  <c r="B229" i="44"/>
  <c r="F208" i="44"/>
  <c r="E208" i="44"/>
  <c r="D208" i="44"/>
  <c r="C208" i="44"/>
  <c r="B208" i="44"/>
  <c r="G174" i="44"/>
  <c r="F174" i="44"/>
  <c r="E174" i="44"/>
  <c r="G165" i="44"/>
  <c r="F165" i="44"/>
  <c r="E165" i="44"/>
  <c r="G141" i="44"/>
  <c r="F141" i="44"/>
  <c r="E141" i="44"/>
  <c r="G136" i="44"/>
  <c r="F136" i="44"/>
  <c r="E136" i="44"/>
  <c r="G110" i="44"/>
  <c r="F110" i="44"/>
  <c r="E110" i="44"/>
  <c r="G98" i="44"/>
  <c r="F98" i="44"/>
  <c r="E98" i="44"/>
  <c r="G75" i="44"/>
  <c r="F75" i="44"/>
  <c r="E75" i="44"/>
  <c r="G73" i="44"/>
  <c r="F73" i="44"/>
  <c r="E73" i="44"/>
  <c r="H63" i="44"/>
  <c r="G61" i="44"/>
  <c r="G59" i="44"/>
  <c r="F59" i="44"/>
  <c r="E59" i="44"/>
  <c r="G49" i="44"/>
  <c r="F49" i="44"/>
  <c r="E49" i="44"/>
  <c r="G36" i="44"/>
  <c r="F36" i="44"/>
  <c r="E36" i="44"/>
  <c r="G34" i="44"/>
  <c r="F34" i="44"/>
  <c r="E34" i="44"/>
  <c r="G22" i="44"/>
  <c r="F22" i="44"/>
  <c r="E22" i="44"/>
  <c r="G13" i="44"/>
  <c r="F13" i="44"/>
  <c r="E13" i="44"/>
  <c r="G128" i="43"/>
  <c r="F128" i="43"/>
  <c r="E128" i="43"/>
  <c r="D128" i="43"/>
  <c r="C128" i="43"/>
  <c r="B128" i="43"/>
  <c r="I111" i="43"/>
  <c r="H111" i="43"/>
  <c r="G111" i="43"/>
  <c r="F111" i="43"/>
  <c r="E111" i="43"/>
  <c r="D111" i="43"/>
  <c r="C111" i="43"/>
  <c r="B111" i="43"/>
  <c r="C87" i="43"/>
  <c r="B87" i="43"/>
  <c r="E79" i="43"/>
  <c r="I71" i="43"/>
  <c r="H71" i="43"/>
  <c r="G71" i="43"/>
  <c r="F71" i="43"/>
  <c r="E71" i="43"/>
  <c r="D71" i="43"/>
  <c r="C71" i="43"/>
  <c r="B71" i="43"/>
  <c r="D20" i="43"/>
  <c r="C20" i="43"/>
  <c r="B20" i="43"/>
  <c r="D17" i="43"/>
  <c r="C17" i="43"/>
  <c r="B17" i="43"/>
  <c r="G142" i="42"/>
  <c r="F142" i="42"/>
  <c r="E142" i="42"/>
  <c r="G132" i="42"/>
  <c r="F132" i="42"/>
  <c r="E132" i="42"/>
  <c r="F114" i="42"/>
  <c r="E114" i="42"/>
  <c r="G105" i="42"/>
  <c r="F105" i="42"/>
  <c r="E105" i="42"/>
  <c r="G85" i="42"/>
  <c r="F85" i="42"/>
  <c r="E85" i="42"/>
  <c r="G75" i="42"/>
  <c r="F75" i="42"/>
  <c r="E75" i="42"/>
  <c r="G51" i="42"/>
  <c r="F51" i="42"/>
  <c r="E51" i="42"/>
  <c r="G16" i="42"/>
  <c r="F16" i="42"/>
  <c r="E16" i="42"/>
  <c r="G147" i="41"/>
  <c r="F147" i="41"/>
  <c r="E147" i="41"/>
  <c r="G133" i="41"/>
  <c r="F133" i="41"/>
  <c r="E133" i="41"/>
  <c r="G129" i="41"/>
  <c r="F129" i="41"/>
  <c r="E129" i="41"/>
  <c r="G126" i="41"/>
  <c r="F126" i="41"/>
  <c r="E126" i="41"/>
  <c r="G108" i="41"/>
  <c r="F108" i="41"/>
  <c r="E108" i="41"/>
  <c r="G100" i="41"/>
  <c r="F100" i="41"/>
  <c r="E100" i="41"/>
  <c r="G97" i="41"/>
  <c r="F97" i="41"/>
  <c r="E97" i="41"/>
  <c r="G81" i="41"/>
  <c r="F81" i="41"/>
  <c r="E81" i="41"/>
  <c r="G77" i="41"/>
  <c r="F77" i="41"/>
  <c r="E77" i="41"/>
  <c r="G71" i="41"/>
  <c r="F71" i="41"/>
  <c r="E71" i="41"/>
  <c r="G66" i="41"/>
  <c r="F66" i="41"/>
  <c r="E66" i="41"/>
  <c r="G62" i="41"/>
  <c r="F62" i="41"/>
  <c r="E62" i="41"/>
  <c r="G44" i="41"/>
  <c r="F44" i="41"/>
  <c r="E44" i="41"/>
  <c r="G38" i="41"/>
  <c r="F38" i="41"/>
  <c r="E38" i="41"/>
  <c r="G36" i="41"/>
  <c r="F36" i="41"/>
  <c r="E36" i="41"/>
  <c r="G29" i="41"/>
  <c r="F29" i="41"/>
  <c r="E29" i="41"/>
  <c r="G27" i="41"/>
  <c r="F27" i="41"/>
  <c r="E27" i="41"/>
  <c r="G17" i="41"/>
  <c r="F17" i="41"/>
  <c r="E17" i="41"/>
  <c r="E42" i="40"/>
  <c r="D42" i="40"/>
  <c r="C42" i="40"/>
  <c r="B42" i="40"/>
  <c r="E31" i="40"/>
  <c r="D31" i="40"/>
  <c r="C31" i="40"/>
  <c r="B31" i="40"/>
  <c r="B16" i="40"/>
  <c r="P16" i="40"/>
  <c r="B18" i="40"/>
  <c r="Q16" i="40"/>
  <c r="O16" i="40"/>
  <c r="N16" i="40"/>
  <c r="M16" i="40"/>
  <c r="L16" i="40"/>
  <c r="K16" i="40"/>
  <c r="J16" i="40"/>
  <c r="I16" i="40"/>
  <c r="H16" i="40"/>
  <c r="G16" i="40"/>
  <c r="F16" i="40"/>
  <c r="E16" i="40"/>
  <c r="D16" i="40"/>
  <c r="C16" i="40"/>
  <c r="G157" i="39"/>
  <c r="F157" i="39"/>
  <c r="E157" i="39"/>
  <c r="G154" i="39"/>
  <c r="F154" i="39"/>
  <c r="E154" i="39"/>
  <c r="G150" i="39"/>
  <c r="F150" i="39"/>
  <c r="E150" i="39"/>
  <c r="G147" i="39"/>
  <c r="F147" i="39"/>
  <c r="E147" i="39"/>
  <c r="G128" i="39"/>
  <c r="F128" i="39"/>
  <c r="E128" i="39"/>
  <c r="G125" i="39"/>
  <c r="F125" i="39"/>
  <c r="E125" i="39"/>
  <c r="G122" i="39"/>
  <c r="F122" i="39"/>
  <c r="E122" i="39"/>
  <c r="E114" i="39"/>
  <c r="G105" i="39"/>
  <c r="F105" i="39"/>
  <c r="E105" i="39"/>
  <c r="G88" i="39"/>
  <c r="F88" i="39"/>
  <c r="E88" i="39"/>
  <c r="G83" i="39"/>
  <c r="F83" i="39"/>
  <c r="E83" i="39"/>
  <c r="G79" i="39"/>
  <c r="F79" i="39"/>
  <c r="E79" i="39"/>
  <c r="G76" i="39"/>
  <c r="F76" i="39"/>
  <c r="E76" i="39"/>
  <c r="G71" i="39"/>
  <c r="F71" i="39"/>
  <c r="E71" i="39"/>
  <c r="G68" i="39"/>
  <c r="F68" i="39"/>
  <c r="E68" i="39"/>
  <c r="G50" i="39"/>
  <c r="F50" i="39"/>
  <c r="E50" i="39"/>
  <c r="G47" i="39"/>
  <c r="F47" i="39"/>
  <c r="E47" i="39"/>
  <c r="F42" i="39"/>
  <c r="E42" i="39"/>
  <c r="F40" i="39"/>
  <c r="E40" i="39"/>
  <c r="F35" i="39"/>
  <c r="E35" i="39"/>
  <c r="G24" i="39"/>
  <c r="F24" i="39"/>
  <c r="E24" i="39"/>
  <c r="G16" i="39"/>
  <c r="F16" i="39"/>
  <c r="E16" i="39"/>
  <c r="D66" i="38"/>
  <c r="G65" i="38"/>
  <c r="F65" i="38"/>
  <c r="E65" i="38"/>
  <c r="D65" i="38"/>
  <c r="C65" i="38"/>
  <c r="B65" i="38"/>
  <c r="I48" i="38"/>
  <c r="H48" i="38"/>
  <c r="G48" i="38"/>
  <c r="F48" i="38"/>
  <c r="E48" i="38"/>
  <c r="D48" i="38"/>
  <c r="C48" i="38"/>
  <c r="B48" i="38"/>
  <c r="C24" i="38"/>
  <c r="E24" i="38"/>
  <c r="G24" i="38"/>
  <c r="I24" i="38"/>
  <c r="K24" i="38"/>
  <c r="M24" i="38"/>
  <c r="C25" i="38"/>
  <c r="O24" i="38"/>
  <c r="N24" i="38"/>
  <c r="L24" i="38"/>
  <c r="J24" i="38"/>
  <c r="H24" i="38"/>
  <c r="F24" i="38"/>
  <c r="D24" i="38"/>
  <c r="B24" i="38"/>
  <c r="S6" i="38"/>
  <c r="P6" i="38"/>
  <c r="J6" i="38"/>
  <c r="G6" i="38"/>
  <c r="D6" i="38"/>
  <c r="AC155" i="37"/>
  <c r="AB155" i="37"/>
  <c r="AA155" i="37"/>
  <c r="Z155" i="37"/>
  <c r="Y155" i="37"/>
  <c r="X155" i="37"/>
  <c r="W155" i="37"/>
  <c r="V155" i="37"/>
  <c r="U155" i="37"/>
  <c r="S155" i="37"/>
  <c r="R155" i="37"/>
  <c r="Q155" i="37"/>
  <c r="P155" i="37"/>
  <c r="O155" i="37"/>
  <c r="N155" i="37"/>
  <c r="M155" i="37"/>
  <c r="L155" i="37"/>
  <c r="K155" i="37"/>
  <c r="J155" i="37"/>
  <c r="I155" i="37"/>
  <c r="H155" i="37"/>
  <c r="G155" i="37"/>
  <c r="F155" i="37"/>
  <c r="E155" i="37"/>
  <c r="D155" i="37"/>
  <c r="C155" i="37"/>
  <c r="B155" i="37"/>
  <c r="E133" i="37"/>
  <c r="C133" i="37"/>
  <c r="Y125" i="37"/>
  <c r="X125" i="37"/>
  <c r="W125" i="37"/>
  <c r="V125" i="37"/>
  <c r="U125" i="37"/>
  <c r="T125" i="37"/>
  <c r="S125" i="37"/>
  <c r="R125" i="37"/>
  <c r="Q125" i="37"/>
  <c r="P125" i="37"/>
  <c r="O125" i="37"/>
  <c r="N125" i="37"/>
  <c r="M125" i="37"/>
  <c r="L125" i="37"/>
  <c r="K125" i="37"/>
  <c r="J125" i="37"/>
  <c r="I125" i="37"/>
  <c r="H125" i="37"/>
  <c r="G125" i="37"/>
  <c r="F125" i="37"/>
  <c r="E125" i="37"/>
  <c r="D125" i="37"/>
  <c r="C125" i="37"/>
  <c r="B125" i="37"/>
  <c r="T102" i="37"/>
  <c r="S102" i="37"/>
  <c r="R102" i="37"/>
  <c r="Q102" i="37"/>
  <c r="P102" i="37"/>
  <c r="O102" i="37"/>
  <c r="N102" i="37"/>
  <c r="M102" i="37"/>
  <c r="L102" i="37"/>
  <c r="K102" i="37"/>
  <c r="J102" i="37"/>
  <c r="I102" i="37"/>
  <c r="H102" i="37"/>
  <c r="G102" i="37"/>
  <c r="F102" i="37"/>
  <c r="E102" i="37"/>
  <c r="D102" i="37"/>
  <c r="C102" i="37"/>
  <c r="B102" i="37"/>
  <c r="M79" i="37"/>
  <c r="L79" i="37"/>
  <c r="K79" i="37"/>
  <c r="J79" i="37"/>
  <c r="I79" i="37"/>
  <c r="H79" i="37"/>
  <c r="G79" i="37"/>
  <c r="F79" i="37"/>
  <c r="E79" i="37"/>
  <c r="D79" i="37"/>
  <c r="C79" i="37"/>
  <c r="B79" i="37"/>
  <c r="U60" i="37"/>
  <c r="T60" i="37"/>
  <c r="S60" i="37"/>
  <c r="R60" i="37"/>
  <c r="Q60" i="37"/>
  <c r="P60" i="37"/>
  <c r="O60" i="37"/>
  <c r="N60" i="37"/>
  <c r="M60" i="37"/>
  <c r="L60" i="37"/>
  <c r="K60" i="37"/>
  <c r="J60" i="37"/>
  <c r="I60" i="37"/>
  <c r="H60" i="37"/>
  <c r="G60" i="37"/>
  <c r="F60" i="37"/>
  <c r="E60" i="37"/>
  <c r="D60" i="37"/>
  <c r="C60" i="37"/>
  <c r="B60" i="37"/>
  <c r="J43" i="37"/>
  <c r="I43" i="37"/>
  <c r="H43" i="37"/>
  <c r="G43" i="37"/>
  <c r="F43" i="37"/>
  <c r="E43" i="37"/>
  <c r="D43" i="37"/>
  <c r="C43" i="37"/>
  <c r="B43" i="37"/>
  <c r="G166" i="36"/>
  <c r="F166" i="36"/>
  <c r="E166" i="36"/>
  <c r="G154" i="36"/>
  <c r="F154" i="36"/>
  <c r="E154" i="36"/>
  <c r="G149" i="36"/>
  <c r="F149" i="36"/>
  <c r="E149" i="36"/>
  <c r="G146" i="36"/>
  <c r="F146" i="36"/>
  <c r="E146" i="36"/>
  <c r="D139" i="36"/>
  <c r="C139" i="36"/>
  <c r="B139" i="36"/>
  <c r="G133" i="36"/>
  <c r="F133" i="36"/>
  <c r="E133" i="36"/>
  <c r="G130" i="36"/>
  <c r="F130" i="36"/>
  <c r="E130" i="36"/>
  <c r="G123" i="36"/>
  <c r="F123" i="36"/>
  <c r="E123" i="36"/>
  <c r="G121" i="36"/>
  <c r="F121" i="36"/>
  <c r="E121" i="36"/>
  <c r="G117" i="36"/>
  <c r="F117" i="36"/>
  <c r="E117" i="36"/>
  <c r="G114" i="36"/>
  <c r="F114" i="36"/>
  <c r="E114" i="36"/>
  <c r="G103" i="36"/>
  <c r="F103" i="36"/>
  <c r="E103" i="36"/>
  <c r="G86" i="36"/>
  <c r="F86" i="36"/>
  <c r="E86" i="36"/>
  <c r="G84" i="36"/>
  <c r="F84" i="36"/>
  <c r="E84" i="36"/>
  <c r="G80" i="36"/>
  <c r="F80" i="36"/>
  <c r="E80" i="36"/>
  <c r="G78" i="36"/>
  <c r="F78" i="36"/>
  <c r="E78" i="36"/>
  <c r="G73" i="36"/>
  <c r="F73" i="36"/>
  <c r="E73" i="36"/>
  <c r="G71" i="36"/>
  <c r="F71" i="36"/>
  <c r="E71" i="36"/>
  <c r="G62" i="36"/>
  <c r="F62" i="36"/>
  <c r="E62" i="36"/>
  <c r="D44" i="36"/>
  <c r="C44" i="36"/>
  <c r="B44" i="36"/>
  <c r="D40" i="36"/>
  <c r="C40" i="36"/>
  <c r="B40" i="36"/>
  <c r="D21" i="36"/>
  <c r="C21" i="36"/>
  <c r="B21" i="36"/>
  <c r="H52" i="35"/>
  <c r="AG40" i="35"/>
  <c r="AF40" i="35"/>
  <c r="AE40" i="35"/>
  <c r="AD40" i="35"/>
  <c r="AC40" i="35"/>
  <c r="AB40" i="35"/>
  <c r="AA40" i="35"/>
  <c r="Z40" i="35"/>
  <c r="Y40" i="35"/>
  <c r="X40" i="35"/>
  <c r="W40" i="35"/>
  <c r="V40" i="35"/>
  <c r="U40" i="35"/>
  <c r="T40" i="35"/>
  <c r="S40" i="35"/>
  <c r="R40" i="35"/>
  <c r="Q40" i="35"/>
  <c r="P40" i="35"/>
  <c r="O40" i="35"/>
  <c r="N40" i="35"/>
  <c r="M40" i="35"/>
  <c r="L40" i="35"/>
  <c r="K40" i="35"/>
  <c r="J40" i="35"/>
  <c r="I40" i="35"/>
  <c r="H40" i="35"/>
  <c r="G40" i="35"/>
  <c r="F40" i="35"/>
  <c r="E40" i="35"/>
  <c r="D40" i="35"/>
  <c r="C40" i="35"/>
  <c r="B40" i="35"/>
  <c r="B23" i="35"/>
  <c r="C19" i="35"/>
  <c r="B19" i="35"/>
  <c r="D272" i="34"/>
  <c r="C272" i="34"/>
  <c r="B272" i="34"/>
  <c r="O239" i="34"/>
  <c r="N239" i="34"/>
  <c r="M239" i="34"/>
  <c r="L239" i="34"/>
  <c r="K239" i="34"/>
  <c r="J239" i="34"/>
  <c r="I239" i="34"/>
  <c r="H239" i="34"/>
  <c r="G239" i="34"/>
  <c r="F239" i="34"/>
  <c r="E239" i="34"/>
  <c r="D239" i="34"/>
  <c r="C239" i="34"/>
  <c r="B239" i="34"/>
  <c r="L135" i="34"/>
  <c r="B220" i="34"/>
  <c r="D218" i="34"/>
  <c r="B218" i="34"/>
  <c r="G176" i="34"/>
  <c r="F176" i="34"/>
  <c r="E176" i="34"/>
  <c r="D176" i="34"/>
  <c r="C176" i="34"/>
  <c r="B176" i="34"/>
  <c r="B135" i="34"/>
  <c r="B157" i="34"/>
  <c r="D157" i="34"/>
  <c r="B159" i="34"/>
  <c r="X157" i="34"/>
  <c r="W157" i="34"/>
  <c r="V157" i="34"/>
  <c r="U157" i="34"/>
  <c r="T157" i="34"/>
  <c r="S157" i="34"/>
  <c r="R157" i="34"/>
  <c r="Q157" i="34"/>
  <c r="P157" i="34"/>
  <c r="O157" i="34"/>
  <c r="N157" i="34"/>
  <c r="M157" i="34"/>
  <c r="L157" i="34"/>
  <c r="K157" i="34"/>
  <c r="J157" i="34"/>
  <c r="I157" i="34"/>
  <c r="H157" i="34"/>
  <c r="G157" i="34"/>
  <c r="F157" i="34"/>
  <c r="E157" i="34"/>
  <c r="C157" i="34"/>
  <c r="M135" i="34"/>
  <c r="K135" i="34"/>
  <c r="J135" i="34"/>
  <c r="I135" i="34"/>
  <c r="H135" i="34"/>
  <c r="G135" i="34"/>
  <c r="F135" i="34"/>
  <c r="E135" i="34"/>
  <c r="D135" i="34"/>
  <c r="C135" i="34"/>
  <c r="O133" i="34"/>
  <c r="N133" i="34"/>
  <c r="O132" i="34"/>
  <c r="N132" i="34"/>
  <c r="O131" i="34"/>
  <c r="N131" i="34"/>
  <c r="O130" i="34"/>
  <c r="N130" i="34"/>
  <c r="O129" i="34"/>
  <c r="N129" i="34"/>
  <c r="O128" i="34"/>
  <c r="N128" i="34"/>
  <c r="O127" i="34"/>
  <c r="N127" i="34"/>
  <c r="O126" i="34"/>
  <c r="N126" i="34"/>
  <c r="O125" i="34"/>
  <c r="N125" i="34"/>
  <c r="O124" i="34"/>
  <c r="N124" i="34"/>
  <c r="O123" i="34"/>
  <c r="N123" i="34"/>
  <c r="J112" i="34"/>
  <c r="I112" i="34"/>
  <c r="H112" i="34"/>
  <c r="G112" i="34"/>
  <c r="F112" i="34"/>
  <c r="E112" i="34"/>
  <c r="D112" i="34"/>
  <c r="C112" i="34"/>
  <c r="B112" i="34"/>
  <c r="AD91" i="34"/>
  <c r="AH90" i="34"/>
  <c r="AG90" i="34"/>
  <c r="AF90" i="34"/>
  <c r="AE90" i="34"/>
  <c r="AD90" i="34"/>
  <c r="AC90" i="34"/>
  <c r="AB90" i="34"/>
  <c r="AA90" i="34"/>
  <c r="Z90" i="34"/>
  <c r="Y90" i="34"/>
  <c r="X90" i="34"/>
  <c r="W90" i="34"/>
  <c r="V90" i="34"/>
  <c r="U90" i="34"/>
  <c r="T90" i="34"/>
  <c r="S90" i="34"/>
  <c r="R90" i="34"/>
  <c r="Q90" i="34"/>
  <c r="P90" i="34"/>
  <c r="O90" i="34"/>
  <c r="N90" i="34"/>
  <c r="M90" i="34"/>
  <c r="L90" i="34"/>
  <c r="K90" i="34"/>
  <c r="J90" i="34"/>
  <c r="I90" i="34"/>
  <c r="H90" i="34"/>
  <c r="G90" i="34"/>
  <c r="F90" i="34"/>
  <c r="E90" i="34"/>
  <c r="D90" i="34"/>
  <c r="C90" i="34"/>
  <c r="B90" i="34"/>
  <c r="V74" i="34"/>
  <c r="U74" i="34"/>
  <c r="T74" i="34"/>
  <c r="S74" i="34"/>
  <c r="R74" i="34"/>
  <c r="Q74" i="34"/>
  <c r="P74" i="34"/>
  <c r="O74" i="34"/>
  <c r="N74" i="34"/>
  <c r="M74" i="34"/>
  <c r="L74" i="34"/>
  <c r="K74" i="34"/>
  <c r="J74" i="34"/>
  <c r="I74" i="34"/>
  <c r="H74" i="34"/>
  <c r="G74" i="34"/>
  <c r="F74" i="34"/>
  <c r="E74" i="34"/>
  <c r="D74" i="34"/>
  <c r="C74" i="34"/>
  <c r="B74" i="34"/>
  <c r="X72" i="34"/>
  <c r="W72" i="34"/>
  <c r="X71" i="34"/>
  <c r="W71" i="34"/>
  <c r="X70" i="34"/>
  <c r="W70" i="34"/>
  <c r="X69" i="34"/>
  <c r="W69" i="34"/>
  <c r="X68" i="34"/>
  <c r="W68" i="34"/>
  <c r="X67" i="34"/>
  <c r="W67" i="34"/>
  <c r="X66" i="34"/>
  <c r="W66" i="34"/>
  <c r="X65" i="34"/>
  <c r="W65" i="34"/>
  <c r="X64" i="34"/>
  <c r="W64" i="34"/>
  <c r="X63" i="34"/>
  <c r="W63" i="34"/>
  <c r="X62" i="34"/>
  <c r="W62" i="34"/>
  <c r="X61" i="34"/>
  <c r="W61" i="34"/>
  <c r="V46" i="34"/>
  <c r="U46" i="34"/>
  <c r="T46" i="34"/>
  <c r="S46" i="34"/>
  <c r="R46" i="34"/>
  <c r="Q46" i="34"/>
  <c r="P46" i="34"/>
  <c r="O46" i="34"/>
  <c r="N46" i="34"/>
  <c r="M46" i="34"/>
  <c r="L46" i="34"/>
  <c r="K46" i="34"/>
  <c r="J46" i="34"/>
  <c r="I46" i="34"/>
  <c r="H46" i="34"/>
  <c r="G46" i="34"/>
  <c r="F46" i="34"/>
  <c r="E46" i="34"/>
  <c r="D46" i="34"/>
  <c r="C46" i="34"/>
  <c r="B46" i="34"/>
  <c r="B22" i="34"/>
  <c r="B14" i="34"/>
  <c r="M67" i="32"/>
  <c r="L67" i="32"/>
  <c r="K67" i="32"/>
  <c r="J67" i="32"/>
  <c r="I67" i="32"/>
  <c r="H67" i="32"/>
  <c r="G67" i="32"/>
  <c r="F67" i="32"/>
  <c r="E67" i="32"/>
  <c r="D67" i="32"/>
  <c r="C67" i="32"/>
  <c r="B67" i="32"/>
  <c r="O65" i="32"/>
  <c r="N65" i="32"/>
  <c r="O64" i="32"/>
  <c r="N64" i="32"/>
  <c r="O63" i="32"/>
  <c r="N63" i="32"/>
  <c r="O62" i="32"/>
  <c r="N62" i="32"/>
  <c r="O61" i="32"/>
  <c r="N61" i="32"/>
  <c r="O60" i="32"/>
  <c r="N60" i="32"/>
  <c r="O59" i="32"/>
  <c r="N59" i="32"/>
  <c r="O58" i="32"/>
  <c r="N58" i="32"/>
  <c r="O57" i="32"/>
  <c r="N57" i="32"/>
  <c r="O56" i="32"/>
  <c r="N56" i="32"/>
  <c r="O55" i="32"/>
  <c r="N55" i="32"/>
  <c r="V46" i="32"/>
  <c r="U46" i="32"/>
  <c r="T46" i="32"/>
  <c r="S46" i="32"/>
  <c r="R46" i="32"/>
  <c r="Q46" i="32"/>
  <c r="P46" i="32"/>
  <c r="O46" i="32"/>
  <c r="N46" i="32"/>
  <c r="M46" i="32"/>
  <c r="L46" i="32"/>
  <c r="K46" i="32"/>
  <c r="J46" i="32"/>
  <c r="I46" i="32"/>
  <c r="H46" i="32"/>
  <c r="G46" i="32"/>
  <c r="F46" i="32"/>
  <c r="E46" i="32"/>
  <c r="D46" i="32"/>
  <c r="C46" i="32"/>
  <c r="B46" i="32"/>
  <c r="B11" i="32"/>
  <c r="D72" i="31"/>
  <c r="C72" i="31"/>
  <c r="B72" i="31"/>
  <c r="E57" i="31"/>
  <c r="E56" i="31"/>
  <c r="E55" i="31"/>
  <c r="I48" i="31"/>
  <c r="I47" i="31"/>
  <c r="I46" i="31"/>
  <c r="I45" i="31"/>
  <c r="I44" i="31"/>
  <c r="I43" i="31"/>
  <c r="I42" i="31"/>
  <c r="I41" i="31"/>
  <c r="I40" i="31"/>
  <c r="I39" i="31"/>
  <c r="B33" i="31"/>
  <c r="D19" i="31"/>
  <c r="C19" i="31"/>
  <c r="B19" i="31"/>
  <c r="E58" i="30"/>
  <c r="D58" i="30"/>
  <c r="D30" i="30"/>
  <c r="D28" i="30"/>
  <c r="B21" i="30"/>
  <c r="E17" i="30"/>
  <c r="D17" i="30"/>
  <c r="E15" i="30"/>
  <c r="D15" i="30"/>
  <c r="R753" i="29"/>
  <c r="Q753" i="29"/>
  <c r="P753" i="29"/>
  <c r="O753" i="29"/>
  <c r="N753" i="29"/>
  <c r="M753" i="29"/>
  <c r="L753" i="29"/>
  <c r="K753" i="29"/>
  <c r="J753" i="29"/>
  <c r="I753" i="29"/>
  <c r="H753" i="29"/>
  <c r="G753" i="29"/>
  <c r="F753" i="29"/>
  <c r="E753" i="29"/>
  <c r="D753" i="29"/>
  <c r="C753" i="29"/>
  <c r="B753" i="29"/>
  <c r="R738" i="29"/>
  <c r="Q738" i="29"/>
  <c r="P738" i="29"/>
  <c r="O738" i="29"/>
  <c r="N738" i="29"/>
  <c r="M738" i="29"/>
  <c r="L738" i="29"/>
  <c r="K738" i="29"/>
  <c r="J738" i="29"/>
  <c r="I738" i="29"/>
  <c r="H738" i="29"/>
  <c r="G738" i="29"/>
  <c r="F738" i="29"/>
  <c r="E738" i="29"/>
  <c r="D738" i="29"/>
  <c r="C738" i="29"/>
  <c r="B738" i="29"/>
  <c r="R719" i="29"/>
  <c r="R718" i="29"/>
  <c r="U716" i="29"/>
  <c r="T716" i="29"/>
  <c r="S716" i="29"/>
  <c r="R716" i="29"/>
  <c r="Q716" i="29"/>
  <c r="P716" i="29"/>
  <c r="O716" i="29"/>
  <c r="N716" i="29"/>
  <c r="M716" i="29"/>
  <c r="L716" i="29"/>
  <c r="K716" i="29"/>
  <c r="J716" i="29"/>
  <c r="I716" i="29"/>
  <c r="H716" i="29"/>
  <c r="G716" i="29"/>
  <c r="F716" i="29"/>
  <c r="E716" i="29"/>
  <c r="D716" i="29"/>
  <c r="C716" i="29"/>
  <c r="B716" i="29"/>
  <c r="U702" i="29"/>
  <c r="T702" i="29"/>
  <c r="S702" i="29"/>
  <c r="R702" i="29"/>
  <c r="Q702" i="29"/>
  <c r="P702" i="29"/>
  <c r="O702" i="29"/>
  <c r="N702" i="29"/>
  <c r="M702" i="29"/>
  <c r="L702" i="29"/>
  <c r="K702" i="29"/>
  <c r="J702" i="29"/>
  <c r="I702" i="29"/>
  <c r="H702" i="29"/>
  <c r="G702" i="29"/>
  <c r="F702" i="29"/>
  <c r="E702" i="29"/>
  <c r="D702" i="29"/>
  <c r="C702" i="29"/>
  <c r="B702" i="29"/>
  <c r="X687" i="29"/>
  <c r="W687" i="29"/>
  <c r="V687" i="29"/>
  <c r="U687" i="29"/>
  <c r="T687" i="29"/>
  <c r="S687" i="29"/>
  <c r="R687" i="29"/>
  <c r="Q687" i="29"/>
  <c r="P687" i="29"/>
  <c r="O687" i="29"/>
  <c r="N687" i="29"/>
  <c r="M687" i="29"/>
  <c r="L687" i="29"/>
  <c r="K687" i="29"/>
  <c r="J687" i="29"/>
  <c r="I687" i="29"/>
  <c r="H687" i="29"/>
  <c r="G687" i="29"/>
  <c r="F687" i="29"/>
  <c r="E687" i="29"/>
  <c r="D687" i="29"/>
  <c r="C687" i="29"/>
  <c r="B687" i="29"/>
  <c r="X674" i="29"/>
  <c r="W674" i="29"/>
  <c r="V674" i="29"/>
  <c r="U674" i="29"/>
  <c r="T674" i="29"/>
  <c r="S674" i="29"/>
  <c r="R674" i="29"/>
  <c r="Q674" i="29"/>
  <c r="P674" i="29"/>
  <c r="O674" i="29"/>
  <c r="N674" i="29"/>
  <c r="M674" i="29"/>
  <c r="L674" i="29"/>
  <c r="K674" i="29"/>
  <c r="J674" i="29"/>
  <c r="I674" i="29"/>
  <c r="H674" i="29"/>
  <c r="G674" i="29"/>
  <c r="F674" i="29"/>
  <c r="E674" i="29"/>
  <c r="D674" i="29"/>
  <c r="C674" i="29"/>
  <c r="B674" i="29"/>
  <c r="U659" i="29"/>
  <c r="T659" i="29"/>
  <c r="S659" i="29"/>
  <c r="R659" i="29"/>
  <c r="Q659" i="29"/>
  <c r="P659" i="29"/>
  <c r="O659" i="29"/>
  <c r="N659" i="29"/>
  <c r="M659" i="29"/>
  <c r="L659" i="29"/>
  <c r="K659" i="29"/>
  <c r="J659" i="29"/>
  <c r="I659" i="29"/>
  <c r="H659" i="29"/>
  <c r="G659" i="29"/>
  <c r="F659" i="29"/>
  <c r="E659" i="29"/>
  <c r="D659" i="29"/>
  <c r="C659" i="29"/>
  <c r="B659" i="29"/>
  <c r="U648" i="29"/>
  <c r="T648" i="29"/>
  <c r="S648" i="29"/>
  <c r="R648" i="29"/>
  <c r="Q648" i="29"/>
  <c r="P648" i="29"/>
  <c r="O648" i="29"/>
  <c r="N648" i="29"/>
  <c r="M648" i="29"/>
  <c r="L648" i="29"/>
  <c r="K648" i="29"/>
  <c r="J648" i="29"/>
  <c r="I648" i="29"/>
  <c r="H648" i="29"/>
  <c r="G648" i="29"/>
  <c r="F648" i="29"/>
  <c r="E648" i="29"/>
  <c r="D648" i="29"/>
  <c r="C648" i="29"/>
  <c r="B648" i="29"/>
  <c r="U632" i="29"/>
  <c r="T632" i="29"/>
  <c r="S632" i="29"/>
  <c r="R632" i="29"/>
  <c r="Q632" i="29"/>
  <c r="P632" i="29"/>
  <c r="O632" i="29"/>
  <c r="N632" i="29"/>
  <c r="M632" i="29"/>
  <c r="L632" i="29"/>
  <c r="K632" i="29"/>
  <c r="J632" i="29"/>
  <c r="I632" i="29"/>
  <c r="H632" i="29"/>
  <c r="G632" i="29"/>
  <c r="F632" i="29"/>
  <c r="E632" i="29"/>
  <c r="D632" i="29"/>
  <c r="C632" i="29"/>
  <c r="B632" i="29"/>
  <c r="U620" i="29"/>
  <c r="T620" i="29"/>
  <c r="S620" i="29"/>
  <c r="R620" i="29"/>
  <c r="Q620" i="29"/>
  <c r="P620" i="29"/>
  <c r="O620" i="29"/>
  <c r="N620" i="29"/>
  <c r="M620" i="29"/>
  <c r="L620" i="29"/>
  <c r="K620" i="29"/>
  <c r="J620" i="29"/>
  <c r="I620" i="29"/>
  <c r="H620" i="29"/>
  <c r="G620" i="29"/>
  <c r="E620" i="29"/>
  <c r="D620" i="29"/>
  <c r="C620" i="29"/>
  <c r="B620" i="29"/>
  <c r="J603" i="29"/>
  <c r="I603" i="29"/>
  <c r="H603" i="29"/>
  <c r="J588" i="29"/>
  <c r="I588" i="29"/>
  <c r="H588" i="29"/>
  <c r="G585" i="29"/>
  <c r="F585" i="29"/>
  <c r="E585" i="29"/>
  <c r="G578" i="29"/>
  <c r="F578" i="29"/>
  <c r="E578" i="29"/>
  <c r="J570" i="29"/>
  <c r="I570" i="29"/>
  <c r="H570" i="29"/>
  <c r="G564" i="29"/>
  <c r="F564" i="29"/>
  <c r="E564" i="29"/>
  <c r="F554" i="29"/>
  <c r="E554" i="29"/>
  <c r="J543" i="29"/>
  <c r="I543" i="29"/>
  <c r="H543" i="29"/>
  <c r="J529" i="29"/>
  <c r="I529" i="29"/>
  <c r="H529" i="29"/>
  <c r="J522" i="29"/>
  <c r="I522" i="29"/>
  <c r="H522" i="29"/>
  <c r="G499" i="29"/>
  <c r="G502" i="29"/>
  <c r="F499" i="29"/>
  <c r="F502" i="29"/>
  <c r="E499" i="29"/>
  <c r="E502" i="29"/>
  <c r="G467" i="29"/>
  <c r="G458" i="29"/>
  <c r="G449" i="29"/>
  <c r="G444" i="29"/>
  <c r="G435" i="29"/>
  <c r="D429" i="29"/>
  <c r="G431" i="29"/>
  <c r="G417" i="29"/>
  <c r="G400" i="29"/>
  <c r="G469" i="29"/>
  <c r="F467" i="29"/>
  <c r="F458" i="29"/>
  <c r="F449" i="29"/>
  <c r="F444" i="29"/>
  <c r="F435" i="29"/>
  <c r="F431" i="29"/>
  <c r="F417" i="29"/>
  <c r="F400" i="29"/>
  <c r="F469" i="29"/>
  <c r="E467" i="29"/>
  <c r="E458" i="29"/>
  <c r="E449" i="29"/>
  <c r="E444" i="29"/>
  <c r="E435" i="29"/>
  <c r="E431" i="29"/>
  <c r="E417" i="29"/>
  <c r="E400" i="29"/>
  <c r="E469" i="29"/>
  <c r="G379" i="29"/>
  <c r="G364" i="29"/>
  <c r="G381" i="29"/>
  <c r="F379" i="29"/>
  <c r="F364" i="29"/>
  <c r="F381" i="29"/>
  <c r="E379" i="29"/>
  <c r="E364" i="29"/>
  <c r="E381" i="29"/>
  <c r="G355" i="29"/>
  <c r="G349" i="29"/>
  <c r="G343" i="29"/>
  <c r="G334" i="29"/>
  <c r="G322" i="29"/>
  <c r="G313" i="29"/>
  <c r="G297" i="29"/>
  <c r="G357" i="29"/>
  <c r="F355" i="29"/>
  <c r="F349" i="29"/>
  <c r="F343" i="29"/>
  <c r="F334" i="29"/>
  <c r="F322" i="29"/>
  <c r="F313" i="29"/>
  <c r="F297" i="29"/>
  <c r="F357" i="29"/>
  <c r="E355" i="29"/>
  <c r="E349" i="29"/>
  <c r="E343" i="29"/>
  <c r="E334" i="29"/>
  <c r="E322" i="29"/>
  <c r="E313" i="29"/>
  <c r="E297" i="29"/>
  <c r="E357" i="29"/>
  <c r="R246" i="29"/>
  <c r="Q246" i="29"/>
  <c r="P246" i="29"/>
  <c r="O246" i="29"/>
  <c r="N246" i="29"/>
  <c r="M246" i="29"/>
  <c r="L246" i="29"/>
  <c r="K246" i="29"/>
  <c r="J246" i="29"/>
  <c r="I246" i="29"/>
  <c r="H246" i="29"/>
  <c r="G246" i="29"/>
  <c r="F246" i="29"/>
  <c r="E246" i="29"/>
  <c r="D246" i="29"/>
  <c r="C246" i="29"/>
  <c r="B246" i="29"/>
  <c r="R232" i="29"/>
  <c r="Q232" i="29"/>
  <c r="P232" i="29"/>
  <c r="O232" i="29"/>
  <c r="N232" i="29"/>
  <c r="M232" i="29"/>
  <c r="L232" i="29"/>
  <c r="K232" i="29"/>
  <c r="J232" i="29"/>
  <c r="I232" i="29"/>
  <c r="H232" i="29"/>
  <c r="G232" i="29"/>
  <c r="F232" i="29"/>
  <c r="E232" i="29"/>
  <c r="D232" i="29"/>
  <c r="C232" i="29"/>
  <c r="B232" i="29"/>
  <c r="P210" i="29"/>
  <c r="O210" i="29"/>
  <c r="N210" i="29"/>
  <c r="M210" i="29"/>
  <c r="L210" i="29"/>
  <c r="K210" i="29"/>
  <c r="J210" i="29"/>
  <c r="I210" i="29"/>
  <c r="H210" i="29"/>
  <c r="G210" i="29"/>
  <c r="F210" i="29"/>
  <c r="E210" i="29"/>
  <c r="D210" i="29"/>
  <c r="C210" i="29"/>
  <c r="B210" i="29"/>
  <c r="P197" i="29"/>
  <c r="O197" i="29"/>
  <c r="N197" i="29"/>
  <c r="M197" i="29"/>
  <c r="L197" i="29"/>
  <c r="K197" i="29"/>
  <c r="J197" i="29"/>
  <c r="I197" i="29"/>
  <c r="H197" i="29"/>
  <c r="G197" i="29"/>
  <c r="F197" i="29"/>
  <c r="E197" i="29"/>
  <c r="D197" i="29"/>
  <c r="C197" i="29"/>
  <c r="B197" i="29"/>
  <c r="X182" i="29"/>
  <c r="W182" i="29"/>
  <c r="V182" i="29"/>
  <c r="U182" i="29"/>
  <c r="T182" i="29"/>
  <c r="S182" i="29"/>
  <c r="R182" i="29"/>
  <c r="Q182" i="29"/>
  <c r="P182" i="29"/>
  <c r="O182" i="29"/>
  <c r="N182" i="29"/>
  <c r="M182" i="29"/>
  <c r="L182" i="29"/>
  <c r="K182" i="29"/>
  <c r="J182" i="29"/>
  <c r="I182" i="29"/>
  <c r="H182" i="29"/>
  <c r="G182" i="29"/>
  <c r="F182" i="29"/>
  <c r="E182" i="29"/>
  <c r="D182" i="29"/>
  <c r="C182" i="29"/>
  <c r="B182" i="29"/>
  <c r="X171" i="29"/>
  <c r="W171" i="29"/>
  <c r="V171" i="29"/>
  <c r="U171" i="29"/>
  <c r="T171" i="29"/>
  <c r="S171" i="29"/>
  <c r="R171" i="29"/>
  <c r="Q171" i="29"/>
  <c r="P171" i="29"/>
  <c r="O171" i="29"/>
  <c r="N171" i="29"/>
  <c r="M171" i="29"/>
  <c r="L171" i="29"/>
  <c r="K171" i="29"/>
  <c r="J171" i="29"/>
  <c r="I171" i="29"/>
  <c r="H171" i="29"/>
  <c r="G171" i="29"/>
  <c r="F171" i="29"/>
  <c r="E171" i="29"/>
  <c r="D171" i="29"/>
  <c r="C171" i="29"/>
  <c r="B171" i="29"/>
  <c r="U153" i="29"/>
  <c r="T153" i="29"/>
  <c r="S153" i="29"/>
  <c r="R153" i="29"/>
  <c r="Q153" i="29"/>
  <c r="P153" i="29"/>
  <c r="O153" i="29"/>
  <c r="N153" i="29"/>
  <c r="M153" i="29"/>
  <c r="L153" i="29"/>
  <c r="K153" i="29"/>
  <c r="J153" i="29"/>
  <c r="I153" i="29"/>
  <c r="H153" i="29"/>
  <c r="G153" i="29"/>
  <c r="F153" i="29"/>
  <c r="E153" i="29"/>
  <c r="D153" i="29"/>
  <c r="C153" i="29"/>
  <c r="B153" i="29"/>
  <c r="U141" i="29"/>
  <c r="T141" i="29"/>
  <c r="S141" i="29"/>
  <c r="R141" i="29"/>
  <c r="Q141" i="29"/>
  <c r="P141" i="29"/>
  <c r="O141" i="29"/>
  <c r="N141" i="29"/>
  <c r="M141" i="29"/>
  <c r="L141" i="29"/>
  <c r="K141" i="29"/>
  <c r="J141" i="29"/>
  <c r="I141" i="29"/>
  <c r="H141" i="29"/>
  <c r="G141" i="29"/>
  <c r="F141" i="29"/>
  <c r="E141" i="29"/>
  <c r="D141" i="29"/>
  <c r="C141" i="29"/>
  <c r="B141" i="29"/>
  <c r="G104" i="29"/>
  <c r="F104" i="29"/>
  <c r="E104" i="29"/>
  <c r="G102" i="29"/>
  <c r="F102" i="29"/>
  <c r="E102" i="29"/>
  <c r="G96" i="29"/>
  <c r="F96" i="29"/>
  <c r="E96" i="29"/>
  <c r="G90" i="29"/>
  <c r="F90" i="29"/>
  <c r="E90" i="29"/>
  <c r="G75" i="29"/>
  <c r="F75" i="29"/>
  <c r="E75" i="29"/>
  <c r="G71" i="29"/>
  <c r="F71" i="29"/>
  <c r="E71" i="29"/>
  <c r="G67" i="29"/>
  <c r="F67" i="29"/>
  <c r="E67" i="29"/>
  <c r="F55" i="29"/>
  <c r="E55" i="29"/>
  <c r="B44" i="29"/>
  <c r="B23" i="29"/>
  <c r="B17" i="29"/>
  <c r="K272" i="28"/>
  <c r="J272" i="28"/>
  <c r="I272" i="28"/>
  <c r="H272" i="28"/>
  <c r="G272" i="28"/>
  <c r="F272" i="28"/>
  <c r="E272" i="28"/>
  <c r="D272" i="28"/>
  <c r="C272" i="28"/>
  <c r="B272" i="28"/>
  <c r="L270" i="28"/>
  <c r="L269" i="28"/>
  <c r="L268" i="28"/>
  <c r="L267" i="28"/>
  <c r="L266" i="28"/>
  <c r="L265" i="28"/>
  <c r="L264" i="28"/>
  <c r="L263" i="28"/>
  <c r="L262" i="28"/>
  <c r="L261" i="28"/>
  <c r="L260" i="28"/>
  <c r="L259" i="28"/>
  <c r="L258" i="28"/>
  <c r="L257" i="28"/>
  <c r="L256" i="28"/>
  <c r="L255" i="28"/>
  <c r="K249" i="28"/>
  <c r="J249" i="28"/>
  <c r="I249" i="28"/>
  <c r="H249" i="28"/>
  <c r="G249" i="28"/>
  <c r="F249" i="28"/>
  <c r="E249" i="28"/>
  <c r="D249" i="28"/>
  <c r="C249" i="28"/>
  <c r="B249" i="28"/>
  <c r="C228" i="28"/>
  <c r="B228" i="28"/>
  <c r="B213" i="28"/>
  <c r="D192" i="28"/>
  <c r="C192" i="28"/>
  <c r="B192" i="28"/>
  <c r="C176" i="28"/>
  <c r="C167" i="28"/>
  <c r="C157" i="28"/>
  <c r="B157" i="28"/>
  <c r="B141" i="28"/>
  <c r="C120" i="28"/>
  <c r="B120" i="28"/>
  <c r="D120" i="28"/>
  <c r="E118" i="28"/>
  <c r="E117" i="28"/>
  <c r="E116" i="28"/>
  <c r="E115" i="28"/>
  <c r="E114" i="28"/>
  <c r="E113" i="28"/>
  <c r="E112" i="28"/>
  <c r="E111" i="28"/>
  <c r="E110" i="28"/>
  <c r="D94" i="28"/>
  <c r="C94" i="28"/>
  <c r="B94" i="28"/>
  <c r="B78" i="28"/>
  <c r="B66" i="28"/>
  <c r="F53" i="28"/>
  <c r="E53" i="28"/>
  <c r="D53" i="28"/>
  <c r="C53" i="28"/>
  <c r="B53" i="28"/>
  <c r="C39" i="28"/>
  <c r="B39" i="28"/>
  <c r="B14" i="28"/>
  <c r="M113" i="27"/>
  <c r="L113" i="27"/>
  <c r="K111" i="27"/>
  <c r="J111" i="27"/>
  <c r="M98" i="27"/>
  <c r="L98" i="27"/>
  <c r="K98" i="27"/>
  <c r="J98" i="27"/>
  <c r="I98" i="27"/>
  <c r="H98" i="27"/>
  <c r="G98" i="27"/>
  <c r="F98" i="27"/>
  <c r="E98" i="27"/>
  <c r="D98" i="27"/>
  <c r="C98" i="27"/>
  <c r="B98" i="27"/>
  <c r="K81" i="27"/>
  <c r="J81" i="27"/>
  <c r="I79" i="27"/>
  <c r="H79" i="27"/>
  <c r="K70" i="27"/>
  <c r="J70" i="27"/>
  <c r="I70" i="27"/>
  <c r="H70" i="27"/>
  <c r="G70" i="27"/>
  <c r="F70" i="27"/>
  <c r="E70" i="27"/>
  <c r="D70" i="27"/>
  <c r="C70" i="27"/>
  <c r="B70" i="27"/>
  <c r="M50" i="27"/>
  <c r="L50" i="27"/>
  <c r="K50" i="27"/>
  <c r="J50" i="27"/>
  <c r="I50" i="27"/>
  <c r="H50" i="27"/>
  <c r="G50" i="27"/>
  <c r="F50" i="27"/>
  <c r="E50" i="27"/>
  <c r="D50" i="27"/>
  <c r="C50" i="27"/>
  <c r="B50" i="27"/>
  <c r="M30" i="27"/>
  <c r="L30" i="27"/>
  <c r="K30" i="27"/>
  <c r="J30" i="27"/>
  <c r="I30" i="27"/>
  <c r="H30" i="27"/>
  <c r="G30" i="27"/>
  <c r="F30" i="27"/>
  <c r="E30" i="27"/>
  <c r="D30" i="27"/>
  <c r="C30" i="27"/>
  <c r="B30" i="27"/>
  <c r="G12" i="27"/>
  <c r="F12" i="27"/>
  <c r="E12" i="27"/>
  <c r="D12" i="27"/>
  <c r="C12" i="27"/>
  <c r="B12" i="27"/>
  <c r="M1398" i="26"/>
  <c r="L1398" i="26"/>
  <c r="K1396" i="26"/>
  <c r="J1396" i="26"/>
  <c r="M1388" i="26"/>
  <c r="L1388" i="26"/>
  <c r="K1384" i="26"/>
  <c r="J1384" i="26"/>
  <c r="I1384" i="26"/>
  <c r="H1384" i="26"/>
  <c r="G1384" i="26"/>
  <c r="F1384" i="26"/>
  <c r="E1384" i="26"/>
  <c r="D1384" i="26"/>
  <c r="C1384" i="26"/>
  <c r="B1384" i="26"/>
  <c r="K1374" i="26"/>
  <c r="J1374" i="26"/>
  <c r="K1357" i="26"/>
  <c r="J1357" i="26"/>
  <c r="I1357" i="26"/>
  <c r="H1357" i="26"/>
  <c r="G1357" i="26"/>
  <c r="F1357" i="26"/>
  <c r="E1357" i="26"/>
  <c r="D1357" i="26"/>
  <c r="C1357" i="26"/>
  <c r="B1357" i="26"/>
  <c r="K1344" i="26"/>
  <c r="J1344" i="26"/>
  <c r="I1344" i="26"/>
  <c r="H1344" i="26"/>
  <c r="G1344" i="26"/>
  <c r="F1344" i="26"/>
  <c r="E1344" i="26"/>
  <c r="D1344" i="26"/>
  <c r="C1344" i="26"/>
  <c r="B1344" i="26"/>
  <c r="M1331" i="26"/>
  <c r="L1331" i="26"/>
  <c r="K1328" i="26"/>
  <c r="J1328" i="26"/>
  <c r="I1328" i="26"/>
  <c r="H1328" i="26"/>
  <c r="G1328" i="26"/>
  <c r="F1328" i="26"/>
  <c r="E1328" i="26"/>
  <c r="D1328" i="26"/>
  <c r="C1328" i="26"/>
  <c r="B1328" i="26"/>
  <c r="K1322" i="26"/>
  <c r="J1322" i="26"/>
  <c r="K1317" i="26"/>
  <c r="J1317" i="26"/>
  <c r="I1317" i="26"/>
  <c r="H1317" i="26"/>
  <c r="G1317" i="26"/>
  <c r="F1317" i="26"/>
  <c r="E1317" i="26"/>
  <c r="D1317" i="26"/>
  <c r="C1317" i="26"/>
  <c r="B1317" i="26"/>
  <c r="M1292" i="26"/>
  <c r="L1292" i="26"/>
  <c r="K1281" i="26"/>
  <c r="J1281" i="26"/>
  <c r="I1281" i="26"/>
  <c r="H1281" i="26"/>
  <c r="G1281" i="26"/>
  <c r="F1281" i="26"/>
  <c r="E1281" i="26"/>
  <c r="D1281" i="26"/>
  <c r="C1281" i="26"/>
  <c r="B1281" i="26"/>
  <c r="M1267" i="26"/>
  <c r="L1267" i="26"/>
  <c r="I1255" i="26"/>
  <c r="H1255" i="26"/>
  <c r="G1255" i="26"/>
  <c r="F1255" i="26"/>
  <c r="E1255" i="26"/>
  <c r="D1255" i="26"/>
  <c r="C1255" i="26"/>
  <c r="B1255" i="26"/>
  <c r="G1232" i="26"/>
  <c r="F1232" i="26"/>
  <c r="E1232" i="26"/>
  <c r="D1232" i="26"/>
  <c r="E1211" i="26"/>
  <c r="D1211" i="26"/>
  <c r="E1200" i="26"/>
  <c r="D1200" i="26"/>
  <c r="E1189" i="26"/>
  <c r="D1189" i="26"/>
  <c r="E1178" i="26"/>
  <c r="D1178" i="26"/>
  <c r="E1167" i="26"/>
  <c r="D1167" i="26"/>
  <c r="E1155" i="26"/>
  <c r="D1155" i="26"/>
  <c r="E1133" i="26"/>
  <c r="E1137" i="26"/>
  <c r="D1133" i="26"/>
  <c r="D1137" i="26"/>
  <c r="E1119" i="26"/>
  <c r="D1119" i="26"/>
  <c r="E1102" i="26"/>
  <c r="D1102" i="26"/>
  <c r="E1082" i="26"/>
  <c r="D1082" i="26"/>
  <c r="E1062" i="26"/>
  <c r="D1062" i="26"/>
  <c r="E1043" i="26"/>
  <c r="D1043" i="26"/>
  <c r="E1004" i="26"/>
  <c r="D1004" i="26"/>
  <c r="E965" i="26"/>
  <c r="D965" i="26"/>
  <c r="E933" i="26"/>
  <c r="D933" i="26"/>
  <c r="E922" i="26"/>
  <c r="D922" i="26"/>
  <c r="E912" i="26"/>
  <c r="D912" i="26"/>
  <c r="E905" i="26"/>
  <c r="D905" i="26"/>
  <c r="E900" i="26"/>
  <c r="D900" i="26"/>
  <c r="E893" i="26"/>
  <c r="D893" i="26"/>
  <c r="E876" i="26"/>
  <c r="D876" i="26"/>
  <c r="E864" i="26"/>
  <c r="D864" i="26"/>
  <c r="E849" i="26"/>
  <c r="D849" i="26"/>
  <c r="E828" i="26"/>
  <c r="D828" i="26"/>
  <c r="E820" i="26"/>
  <c r="D820" i="26"/>
  <c r="E810" i="26"/>
  <c r="D810" i="26"/>
  <c r="E804" i="26"/>
  <c r="D804" i="26"/>
  <c r="E798" i="26"/>
  <c r="D798" i="26"/>
  <c r="E792" i="26"/>
  <c r="D792" i="26"/>
  <c r="E778" i="26"/>
  <c r="D778" i="26"/>
  <c r="E768" i="26"/>
  <c r="D768" i="26"/>
  <c r="J716" i="26"/>
  <c r="H716" i="26"/>
  <c r="I718" i="26"/>
  <c r="I716" i="26"/>
  <c r="G716" i="26"/>
  <c r="G718" i="26"/>
  <c r="B716" i="26"/>
  <c r="A716" i="26"/>
  <c r="H704" i="26"/>
  <c r="F704" i="26"/>
  <c r="I702" i="26"/>
  <c r="H702" i="26"/>
  <c r="G702" i="26"/>
  <c r="F702" i="26"/>
  <c r="E702" i="26"/>
  <c r="D702" i="26"/>
  <c r="C702" i="26"/>
  <c r="B702" i="26"/>
  <c r="G682" i="26"/>
  <c r="I682" i="26"/>
  <c r="H684" i="26"/>
  <c r="F682" i="26"/>
  <c r="H682" i="26"/>
  <c r="F684" i="26"/>
  <c r="E682" i="26"/>
  <c r="D682" i="26"/>
  <c r="C682" i="26"/>
  <c r="B682" i="26"/>
  <c r="K660" i="26"/>
  <c r="H650" i="26"/>
  <c r="F650" i="26"/>
  <c r="I648" i="26"/>
  <c r="H648" i="26"/>
  <c r="G648" i="26"/>
  <c r="F648" i="26"/>
  <c r="E648" i="26"/>
  <c r="D648" i="26"/>
  <c r="C648" i="26"/>
  <c r="B648" i="26"/>
  <c r="G628" i="26"/>
  <c r="I628" i="26"/>
  <c r="H630" i="26"/>
  <c r="F628" i="26"/>
  <c r="H628" i="26"/>
  <c r="F630" i="26"/>
  <c r="E628" i="26"/>
  <c r="D628" i="26"/>
  <c r="C628" i="26"/>
  <c r="B628" i="26"/>
  <c r="J626" i="26"/>
  <c r="J621" i="26"/>
  <c r="J618" i="26"/>
  <c r="J617" i="26"/>
  <c r="J612" i="26"/>
  <c r="J610" i="26"/>
  <c r="J608" i="26"/>
  <c r="J605" i="26"/>
  <c r="G593" i="26"/>
  <c r="I593" i="26"/>
  <c r="H595" i="26"/>
  <c r="F593" i="26"/>
  <c r="H593" i="26"/>
  <c r="F595" i="26"/>
  <c r="E593" i="26"/>
  <c r="D593" i="26"/>
  <c r="C593" i="26"/>
  <c r="B593" i="26"/>
  <c r="H571" i="26"/>
  <c r="F569" i="26"/>
  <c r="H569" i="26"/>
  <c r="F571" i="26"/>
  <c r="I569" i="26"/>
  <c r="G569" i="26"/>
  <c r="E569" i="26"/>
  <c r="D569" i="26"/>
  <c r="C569" i="26"/>
  <c r="B569" i="26"/>
  <c r="C535" i="26"/>
  <c r="B535" i="26"/>
  <c r="C530" i="26"/>
  <c r="B530" i="26"/>
  <c r="C514" i="26"/>
  <c r="B514" i="26"/>
  <c r="E485" i="26"/>
  <c r="D485" i="26"/>
  <c r="E474" i="26"/>
  <c r="D474" i="26"/>
  <c r="E469" i="26"/>
  <c r="D469" i="26"/>
  <c r="E467" i="26"/>
  <c r="D467" i="26"/>
  <c r="E459" i="26"/>
  <c r="D459" i="26"/>
  <c r="E444" i="26"/>
  <c r="D444" i="26"/>
  <c r="E430" i="26"/>
  <c r="D430" i="26"/>
  <c r="E415" i="26"/>
  <c r="D415" i="26"/>
  <c r="E396" i="26"/>
  <c r="E398" i="26"/>
  <c r="D398" i="26"/>
  <c r="D396" i="26"/>
  <c r="E383" i="26"/>
  <c r="D383" i="26"/>
  <c r="E381" i="26"/>
  <c r="D381" i="26"/>
  <c r="E361" i="26"/>
  <c r="D361" i="26"/>
  <c r="E345" i="26"/>
  <c r="D345" i="26"/>
  <c r="E333" i="26"/>
  <c r="D333" i="26"/>
  <c r="M306" i="26"/>
  <c r="L306" i="26"/>
  <c r="K306" i="26"/>
  <c r="D306" i="26"/>
  <c r="C306" i="26"/>
  <c r="B306" i="26"/>
  <c r="J303" i="26"/>
  <c r="I303" i="26"/>
  <c r="H303" i="26"/>
  <c r="G303" i="26"/>
  <c r="F303" i="26"/>
  <c r="E303" i="26"/>
  <c r="D287" i="26"/>
  <c r="C287" i="26"/>
  <c r="B287" i="26"/>
  <c r="E199" i="26"/>
  <c r="D199" i="26"/>
  <c r="C199" i="26"/>
  <c r="B199" i="26"/>
  <c r="E183" i="26"/>
  <c r="D183" i="26"/>
  <c r="C183" i="26"/>
  <c r="B183" i="26"/>
  <c r="I130" i="26"/>
  <c r="H130" i="26"/>
  <c r="G130" i="26"/>
  <c r="F130" i="26"/>
  <c r="E130" i="26"/>
  <c r="D130" i="26"/>
  <c r="C130" i="26"/>
  <c r="B130" i="26"/>
  <c r="D31" i="26"/>
  <c r="J124" i="26"/>
  <c r="B31" i="26"/>
  <c r="J123" i="26"/>
  <c r="M88" i="26"/>
  <c r="L88" i="26"/>
  <c r="K88" i="26"/>
  <c r="J88" i="26"/>
  <c r="I88" i="26"/>
  <c r="H88" i="26"/>
  <c r="G88" i="26"/>
  <c r="F88" i="26"/>
  <c r="E88" i="26"/>
  <c r="D88" i="26"/>
  <c r="C88" i="26"/>
  <c r="B88" i="26"/>
  <c r="M71" i="26"/>
  <c r="L71" i="26"/>
  <c r="M56" i="26"/>
  <c r="L56" i="26"/>
  <c r="K56" i="26"/>
  <c r="J56" i="26"/>
  <c r="I56" i="26"/>
  <c r="H56" i="26"/>
  <c r="G56" i="26"/>
  <c r="F56" i="26"/>
  <c r="E56" i="26"/>
  <c r="D56" i="26"/>
  <c r="C56" i="26"/>
  <c r="B56" i="26"/>
  <c r="O55" i="26"/>
  <c r="N55" i="26"/>
  <c r="O54" i="26"/>
  <c r="N54" i="26"/>
  <c r="O53" i="26"/>
  <c r="N53" i="26"/>
  <c r="O52" i="26"/>
  <c r="N52" i="26"/>
  <c r="O51" i="26"/>
  <c r="N51" i="26"/>
  <c r="O50" i="26"/>
  <c r="N50" i="26"/>
  <c r="O49" i="26"/>
  <c r="N49" i="26"/>
  <c r="O48" i="26"/>
  <c r="N48" i="26"/>
  <c r="O46" i="26"/>
  <c r="N46" i="26"/>
  <c r="O45" i="26"/>
  <c r="N45" i="26"/>
  <c r="O44" i="26"/>
  <c r="N44" i="26"/>
  <c r="O43" i="26"/>
  <c r="N43" i="26"/>
  <c r="O42" i="26"/>
  <c r="N42" i="26"/>
  <c r="O41" i="26"/>
  <c r="N41" i="26"/>
  <c r="O6" i="26"/>
  <c r="O7" i="26"/>
  <c r="O8" i="26"/>
  <c r="O9" i="26"/>
  <c r="O10" i="26"/>
  <c r="O11" i="26"/>
  <c r="O12" i="26"/>
  <c r="O13" i="26"/>
  <c r="O14" i="26"/>
  <c r="O15" i="26"/>
  <c r="O16" i="26"/>
  <c r="O17" i="26"/>
  <c r="O18" i="26"/>
  <c r="O19" i="26"/>
  <c r="O20" i="26"/>
  <c r="O21" i="26"/>
  <c r="O22" i="26"/>
  <c r="O23" i="26"/>
  <c r="O24" i="26"/>
  <c r="O25" i="26"/>
  <c r="O26" i="26"/>
  <c r="O27" i="26"/>
  <c r="O28" i="26"/>
  <c r="O29" i="26"/>
  <c r="O30" i="26"/>
  <c r="O35" i="26"/>
  <c r="N6" i="26"/>
  <c r="N7" i="26"/>
  <c r="N8" i="26"/>
  <c r="N9" i="26"/>
  <c r="N10" i="26"/>
  <c r="N11" i="26"/>
  <c r="N12" i="26"/>
  <c r="N13" i="26"/>
  <c r="N14" i="26"/>
  <c r="N15" i="26"/>
  <c r="N16" i="26"/>
  <c r="N17" i="26"/>
  <c r="N18" i="26"/>
  <c r="N19" i="26"/>
  <c r="N20" i="26"/>
  <c r="N21" i="26"/>
  <c r="N22" i="26"/>
  <c r="N23" i="26"/>
  <c r="N24" i="26"/>
  <c r="N25" i="26"/>
  <c r="N26" i="26"/>
  <c r="N27" i="26"/>
  <c r="N28" i="26"/>
  <c r="N29" i="26"/>
  <c r="N30" i="26"/>
  <c r="N35" i="26"/>
  <c r="M31" i="26"/>
  <c r="M35" i="26"/>
  <c r="L31" i="26"/>
  <c r="L35" i="26"/>
  <c r="K31" i="26"/>
  <c r="J31" i="26"/>
  <c r="I31" i="26"/>
  <c r="H31" i="26"/>
  <c r="G31" i="26"/>
  <c r="F31" i="26"/>
  <c r="E31" i="26"/>
  <c r="C31" i="26"/>
  <c r="D11" i="25"/>
  <c r="D20" i="25"/>
  <c r="D21" i="25"/>
  <c r="F122" i="24"/>
  <c r="B105" i="24"/>
  <c r="B106" i="24"/>
  <c r="J84" i="24"/>
  <c r="J85" i="24"/>
  <c r="J86" i="24"/>
  <c r="J87" i="24"/>
  <c r="J88" i="24"/>
  <c r="J89" i="24"/>
  <c r="J90" i="24"/>
  <c r="J91" i="24"/>
  <c r="J92" i="24"/>
  <c r="J94" i="24"/>
  <c r="J95" i="24"/>
  <c r="J96" i="24"/>
  <c r="J97" i="24"/>
  <c r="J98" i="24"/>
  <c r="J99" i="24"/>
  <c r="J100" i="24"/>
  <c r="J101" i="24"/>
  <c r="J102" i="24"/>
  <c r="J103" i="24"/>
  <c r="J104" i="24"/>
  <c r="H104" i="24"/>
  <c r="F104" i="24"/>
  <c r="M103" i="24"/>
  <c r="M102" i="24"/>
  <c r="M101" i="24"/>
  <c r="M100" i="24"/>
  <c r="M99" i="24"/>
  <c r="M98" i="24"/>
  <c r="M97" i="24"/>
  <c r="M96" i="24"/>
  <c r="M95" i="24"/>
  <c r="M94" i="24"/>
  <c r="M93" i="24"/>
  <c r="L93" i="24"/>
  <c r="M92" i="24"/>
  <c r="M91" i="24"/>
  <c r="M90" i="24"/>
  <c r="M89" i="24"/>
  <c r="M88" i="24"/>
  <c r="M87" i="24"/>
  <c r="M86" i="24"/>
  <c r="M85" i="24"/>
  <c r="M84" i="24"/>
  <c r="D53" i="24"/>
  <c r="C53" i="24"/>
  <c r="B53" i="24"/>
  <c r="D52" i="24"/>
  <c r="C52" i="24"/>
  <c r="B52" i="24"/>
  <c r="C198" i="22"/>
  <c r="B198" i="22"/>
  <c r="F198" i="22"/>
  <c r="E198" i="22"/>
  <c r="I198" i="22"/>
  <c r="H198" i="22"/>
  <c r="L198" i="22"/>
  <c r="K198" i="22"/>
  <c r="O198" i="22"/>
  <c r="N198" i="22"/>
  <c r="R198" i="22"/>
  <c r="Q198" i="22"/>
  <c r="U198" i="22"/>
  <c r="T198" i="22"/>
  <c r="X198" i="22"/>
  <c r="W198" i="22"/>
  <c r="AA198" i="22"/>
  <c r="Z198" i="22"/>
  <c r="AD198" i="22"/>
  <c r="AC198" i="22"/>
  <c r="AF202" i="22"/>
  <c r="AT198" i="22"/>
  <c r="AT201" i="22"/>
  <c r="AS198" i="22"/>
  <c r="AS201" i="22"/>
  <c r="AR198" i="22"/>
  <c r="AR201" i="22"/>
  <c r="AJ182" i="22"/>
  <c r="AJ183" i="22"/>
  <c r="AJ184" i="22"/>
  <c r="AJ185" i="22"/>
  <c r="AJ186" i="22"/>
  <c r="AJ187" i="22"/>
  <c r="AJ188" i="22"/>
  <c r="AJ189" i="22"/>
  <c r="AJ190" i="22"/>
  <c r="AJ191" i="22"/>
  <c r="AJ192" i="22"/>
  <c r="AJ193" i="22"/>
  <c r="AJ194" i="22"/>
  <c r="AJ195" i="22"/>
  <c r="AJ196" i="22"/>
  <c r="AJ201" i="22"/>
  <c r="AI182" i="22"/>
  <c r="AI183" i="22"/>
  <c r="AI184" i="22"/>
  <c r="AI185" i="22"/>
  <c r="AI186" i="22"/>
  <c r="AI187" i="22"/>
  <c r="AI188" i="22"/>
  <c r="AI189" i="22"/>
  <c r="AI190" i="22"/>
  <c r="AI191" i="22"/>
  <c r="AI192" i="22"/>
  <c r="AI193" i="22"/>
  <c r="AI194" i="22"/>
  <c r="AI195" i="22"/>
  <c r="AI196" i="22"/>
  <c r="AI201" i="22"/>
  <c r="AH201" i="22"/>
  <c r="AG201" i="22"/>
  <c r="AF201" i="22"/>
  <c r="AZ198" i="22"/>
  <c r="AY198" i="22"/>
  <c r="AX198" i="22"/>
  <c r="AQ198" i="22"/>
  <c r="AP198" i="22"/>
  <c r="AO198" i="22"/>
  <c r="AN198" i="22"/>
  <c r="AM198" i="22"/>
  <c r="AL198" i="22"/>
  <c r="AE198" i="22"/>
  <c r="AB198" i="22"/>
  <c r="Y198" i="22"/>
  <c r="V198" i="22"/>
  <c r="S198" i="22"/>
  <c r="P182" i="22"/>
  <c r="P198" i="22"/>
  <c r="M198" i="22"/>
  <c r="J198" i="22"/>
  <c r="G198" i="22"/>
  <c r="D182" i="22"/>
  <c r="D198" i="22"/>
  <c r="AW197" i="22"/>
  <c r="AV197" i="22"/>
  <c r="AU197" i="22"/>
  <c r="AK196" i="22"/>
  <c r="AW196" i="22"/>
  <c r="BC196" i="22"/>
  <c r="AV196" i="22"/>
  <c r="BB196" i="22"/>
  <c r="AU196" i="22"/>
  <c r="BA196" i="22"/>
  <c r="AK195" i="22"/>
  <c r="AW195" i="22"/>
  <c r="BC195" i="22"/>
  <c r="AV195" i="22"/>
  <c r="BB195" i="22"/>
  <c r="AU195" i="22"/>
  <c r="BA195" i="22"/>
  <c r="AK194" i="22"/>
  <c r="AW194" i="22"/>
  <c r="BC194" i="22"/>
  <c r="AV194" i="22"/>
  <c r="BB194" i="22"/>
  <c r="AU194" i="22"/>
  <c r="BA194" i="22"/>
  <c r="AK193" i="22"/>
  <c r="AW193" i="22"/>
  <c r="BC193" i="22"/>
  <c r="AV193" i="22"/>
  <c r="BB193" i="22"/>
  <c r="AU193" i="22"/>
  <c r="BA193" i="22"/>
  <c r="AK192" i="22"/>
  <c r="AW192" i="22"/>
  <c r="BC192" i="22"/>
  <c r="AV192" i="22"/>
  <c r="BB192" i="22"/>
  <c r="AU192" i="22"/>
  <c r="BA192" i="22"/>
  <c r="AK191" i="22"/>
  <c r="AW191" i="22"/>
  <c r="BC191" i="22"/>
  <c r="AV191" i="22"/>
  <c r="BB191" i="22"/>
  <c r="AU191" i="22"/>
  <c r="BA191" i="22"/>
  <c r="AK190" i="22"/>
  <c r="AW190" i="22"/>
  <c r="BC190" i="22"/>
  <c r="AV190" i="22"/>
  <c r="BB190" i="22"/>
  <c r="AU190" i="22"/>
  <c r="BA190" i="22"/>
  <c r="AK189" i="22"/>
  <c r="AW189" i="22"/>
  <c r="BC189" i="22"/>
  <c r="AV189" i="22"/>
  <c r="BB189" i="22"/>
  <c r="AU189" i="22"/>
  <c r="BA189" i="22"/>
  <c r="AK188" i="22"/>
  <c r="AW188" i="22"/>
  <c r="BC188" i="22"/>
  <c r="AV188" i="22"/>
  <c r="BB188" i="22"/>
  <c r="AU188" i="22"/>
  <c r="BA188" i="22"/>
  <c r="AK187" i="22"/>
  <c r="AW187" i="22"/>
  <c r="BC187" i="22"/>
  <c r="AV187" i="22"/>
  <c r="BB187" i="22"/>
  <c r="AU187" i="22"/>
  <c r="BA187" i="22"/>
  <c r="AK186" i="22"/>
  <c r="AW186" i="22"/>
  <c r="BC186" i="22"/>
  <c r="AV186" i="22"/>
  <c r="BB186" i="22"/>
  <c r="AU186" i="22"/>
  <c r="BA186" i="22"/>
  <c r="AK185" i="22"/>
  <c r="AW185" i="22"/>
  <c r="BC185" i="22"/>
  <c r="AV185" i="22"/>
  <c r="BB185" i="22"/>
  <c r="AU185" i="22"/>
  <c r="BA185" i="22"/>
  <c r="AK184" i="22"/>
  <c r="AW184" i="22"/>
  <c r="BC184" i="22"/>
  <c r="AV184" i="22"/>
  <c r="BB184" i="22"/>
  <c r="AU184" i="22"/>
  <c r="BA184" i="22"/>
  <c r="AK183" i="22"/>
  <c r="AW183" i="22"/>
  <c r="BC183" i="22"/>
  <c r="AV183" i="22"/>
  <c r="BB183" i="22"/>
  <c r="AU183" i="22"/>
  <c r="BA183" i="22"/>
  <c r="AK182" i="22"/>
  <c r="AW182" i="22"/>
  <c r="BC182" i="22"/>
  <c r="AV182" i="22"/>
  <c r="BB182" i="22"/>
  <c r="AU182" i="22"/>
  <c r="BA182" i="22"/>
  <c r="AW181" i="22"/>
  <c r="AV181" i="22"/>
  <c r="AU181" i="22"/>
  <c r="C172" i="22"/>
  <c r="B172" i="22"/>
  <c r="F172" i="22"/>
  <c r="E172" i="22"/>
  <c r="H173" i="22"/>
  <c r="E173" i="22"/>
  <c r="J172" i="22"/>
  <c r="I172" i="22"/>
  <c r="H172" i="22"/>
  <c r="G172" i="22"/>
  <c r="D172" i="22"/>
  <c r="L170" i="22"/>
  <c r="K170" i="22"/>
  <c r="L169" i="22"/>
  <c r="K169" i="22"/>
  <c r="L168" i="22"/>
  <c r="K168" i="22"/>
  <c r="L167" i="22"/>
  <c r="K167" i="22"/>
  <c r="L166" i="22"/>
  <c r="K166" i="22"/>
  <c r="L165" i="22"/>
  <c r="K165" i="22"/>
  <c r="L164" i="22"/>
  <c r="K164" i="22"/>
  <c r="L163" i="22"/>
  <c r="K163" i="22"/>
  <c r="L162" i="22"/>
  <c r="K162" i="22"/>
  <c r="L161" i="22"/>
  <c r="K161" i="22"/>
  <c r="L160" i="22"/>
  <c r="K160" i="22"/>
  <c r="L159" i="22"/>
  <c r="K159" i="22"/>
  <c r="L158" i="22"/>
  <c r="K158" i="22"/>
  <c r="L157" i="22"/>
  <c r="K157" i="22"/>
  <c r="L156" i="22"/>
  <c r="K156" i="22"/>
  <c r="L155" i="22"/>
  <c r="K155" i="22"/>
  <c r="L154" i="22"/>
  <c r="K154" i="22"/>
  <c r="L153" i="22"/>
  <c r="K153" i="22"/>
  <c r="L152" i="22"/>
  <c r="K152" i="22"/>
  <c r="L151" i="22"/>
  <c r="K151" i="22"/>
  <c r="L150" i="22"/>
  <c r="K150" i="22"/>
  <c r="L149" i="22"/>
  <c r="K149" i="22"/>
  <c r="L148" i="22"/>
  <c r="K148" i="22"/>
  <c r="L147" i="22"/>
  <c r="K147" i="22"/>
  <c r="L146" i="22"/>
  <c r="K146" i="22"/>
  <c r="L145" i="22"/>
  <c r="K145" i="22"/>
  <c r="L144" i="22"/>
  <c r="K144" i="22"/>
  <c r="L143" i="22"/>
  <c r="K143" i="22"/>
  <c r="L142" i="22"/>
  <c r="K142" i="22"/>
  <c r="L141" i="22"/>
  <c r="K141" i="22"/>
  <c r="L140" i="22"/>
  <c r="K140" i="22"/>
  <c r="L139" i="22"/>
  <c r="K139" i="22"/>
  <c r="L138" i="22"/>
  <c r="K138" i="22"/>
  <c r="L137" i="22"/>
  <c r="K137" i="22"/>
  <c r="L136" i="22"/>
  <c r="K136" i="22"/>
  <c r="L135" i="22"/>
  <c r="K135" i="22"/>
  <c r="L134" i="22"/>
  <c r="K134" i="22"/>
  <c r="L133" i="22"/>
  <c r="K133" i="22"/>
  <c r="L132" i="22"/>
  <c r="K132" i="22"/>
  <c r="L131" i="22"/>
  <c r="K131" i="22"/>
  <c r="L130" i="22"/>
  <c r="K130" i="22"/>
  <c r="L129" i="22"/>
  <c r="K129" i="22"/>
  <c r="D123" i="22"/>
  <c r="C123" i="22"/>
  <c r="B123" i="22"/>
  <c r="D93" i="22"/>
  <c r="D98" i="22"/>
  <c r="D100" i="22"/>
  <c r="D102" i="22"/>
  <c r="C98" i="22"/>
  <c r="C102" i="22"/>
  <c r="B98" i="22"/>
  <c r="B102" i="22"/>
  <c r="D101" i="22"/>
  <c r="J70" i="22"/>
  <c r="J59" i="22"/>
  <c r="J74" i="22"/>
  <c r="D85" i="22"/>
  <c r="D87" i="22"/>
  <c r="I70" i="22"/>
  <c r="I59" i="22"/>
  <c r="I74" i="22"/>
  <c r="C85" i="22"/>
  <c r="C87" i="22"/>
  <c r="H70" i="22"/>
  <c r="H59" i="22"/>
  <c r="H74" i="22"/>
  <c r="B85" i="22"/>
  <c r="B87" i="22"/>
  <c r="G59" i="22"/>
  <c r="G70" i="22"/>
  <c r="F59" i="22"/>
  <c r="F70" i="22"/>
  <c r="E59" i="22"/>
  <c r="E70" i="22"/>
  <c r="D59" i="22"/>
  <c r="D70" i="22"/>
  <c r="C59" i="22"/>
  <c r="C70" i="22"/>
  <c r="B59" i="22"/>
  <c r="B70" i="22"/>
  <c r="M58" i="22"/>
  <c r="L58" i="22"/>
  <c r="K58" i="22"/>
  <c r="M57" i="22"/>
  <c r="L57" i="22"/>
  <c r="K57" i="22"/>
  <c r="M56" i="22"/>
  <c r="L56" i="22"/>
  <c r="K56" i="22"/>
  <c r="M55" i="22"/>
  <c r="L55" i="22"/>
  <c r="K55" i="22"/>
  <c r="M54" i="22"/>
  <c r="L54" i="22"/>
  <c r="K54" i="22"/>
  <c r="M53" i="22"/>
  <c r="L53" i="22"/>
  <c r="K53" i="22"/>
  <c r="M52" i="22"/>
  <c r="L52" i="22"/>
  <c r="K52" i="22"/>
  <c r="M51" i="22"/>
  <c r="L51" i="22"/>
  <c r="K51" i="22"/>
  <c r="M50" i="22"/>
  <c r="L50" i="22"/>
  <c r="K50" i="22"/>
  <c r="G15" i="22"/>
  <c r="G37" i="22"/>
  <c r="G41" i="22"/>
  <c r="G44" i="22"/>
  <c r="F15" i="22"/>
  <c r="F37" i="22"/>
  <c r="F41" i="22"/>
  <c r="F44" i="22"/>
  <c r="E15" i="22"/>
  <c r="E37" i="22"/>
  <c r="E41" i="22"/>
  <c r="E44" i="22"/>
  <c r="G35" i="22"/>
  <c r="F35" i="22"/>
  <c r="E35" i="22"/>
  <c r="AT141" i="21"/>
  <c r="AS141" i="21"/>
  <c r="AR141" i="21"/>
  <c r="AQ141" i="21"/>
  <c r="AP141" i="21"/>
  <c r="AO141" i="21"/>
  <c r="AN141" i="21"/>
  <c r="AM141" i="21"/>
  <c r="AL141" i="21"/>
  <c r="AK141" i="21"/>
  <c r="AJ141" i="21"/>
  <c r="AI141" i="21"/>
  <c r="AH141" i="21"/>
  <c r="AG141" i="21"/>
  <c r="AF141" i="21"/>
  <c r="AE141" i="21"/>
  <c r="AD141" i="21"/>
  <c r="AC141" i="21"/>
  <c r="AB141" i="21"/>
  <c r="AA141" i="21"/>
  <c r="Z141" i="21"/>
  <c r="Y141" i="21"/>
  <c r="X141" i="21"/>
  <c r="W141" i="21"/>
  <c r="V141" i="21"/>
  <c r="U141" i="21"/>
  <c r="T141" i="21"/>
  <c r="Q141" i="21"/>
  <c r="P141" i="21"/>
  <c r="O141" i="21"/>
  <c r="N141" i="21"/>
  <c r="M141" i="21"/>
  <c r="L141" i="21"/>
  <c r="K141" i="21"/>
  <c r="J141" i="21"/>
  <c r="I141" i="21"/>
  <c r="H141" i="21"/>
  <c r="G141" i="21"/>
  <c r="F141" i="21"/>
  <c r="E141" i="21"/>
  <c r="D141" i="21"/>
  <c r="C141" i="21"/>
  <c r="B141" i="21"/>
  <c r="G114" i="21"/>
  <c r="J114" i="21"/>
  <c r="F114" i="21"/>
  <c r="I114" i="21"/>
  <c r="E114" i="21"/>
  <c r="H114" i="21"/>
  <c r="D97" i="21"/>
  <c r="C97" i="21"/>
  <c r="B97" i="21"/>
  <c r="J76" i="21"/>
  <c r="G68" i="21"/>
  <c r="J68" i="21"/>
  <c r="J45" i="21"/>
  <c r="J79" i="21"/>
  <c r="G84" i="21"/>
  <c r="J88" i="21"/>
  <c r="J90" i="21"/>
  <c r="I76" i="21"/>
  <c r="F68" i="21"/>
  <c r="I68" i="21"/>
  <c r="I45" i="21"/>
  <c r="I79" i="21"/>
  <c r="F84" i="21"/>
  <c r="I88" i="21"/>
  <c r="I90" i="21"/>
  <c r="H76" i="21"/>
  <c r="E68" i="21"/>
  <c r="H68" i="21"/>
  <c r="H45" i="21"/>
  <c r="H79" i="21"/>
  <c r="E84" i="21"/>
  <c r="H88" i="21"/>
  <c r="H90" i="21"/>
  <c r="M24" i="21"/>
  <c r="J28" i="21"/>
  <c r="M26" i="21"/>
  <c r="M28" i="21"/>
  <c r="L24" i="21"/>
  <c r="I28" i="21"/>
  <c r="L26" i="21"/>
  <c r="L28" i="21"/>
  <c r="K24" i="21"/>
  <c r="H28" i="21"/>
  <c r="K26" i="21"/>
  <c r="K28" i="21"/>
  <c r="G28" i="21"/>
  <c r="F28" i="21"/>
  <c r="E28" i="21"/>
  <c r="D4" i="21"/>
  <c r="D24" i="21"/>
  <c r="D26" i="21"/>
  <c r="D28" i="21"/>
  <c r="C24" i="21"/>
  <c r="C26" i="21"/>
  <c r="C28" i="21"/>
  <c r="B24" i="21"/>
  <c r="B26" i="21"/>
  <c r="B28" i="21"/>
  <c r="D268" i="20"/>
  <c r="C268" i="20"/>
  <c r="B268" i="20"/>
  <c r="P228" i="20"/>
  <c r="O228" i="20"/>
  <c r="N228" i="20"/>
  <c r="M228" i="20"/>
  <c r="L228" i="20"/>
  <c r="K228" i="20"/>
  <c r="J228" i="20"/>
  <c r="I228" i="20"/>
  <c r="H228" i="20"/>
  <c r="G228" i="20"/>
  <c r="F228" i="20"/>
  <c r="E228" i="20"/>
  <c r="D220" i="20"/>
  <c r="D228" i="20"/>
  <c r="C228" i="20"/>
  <c r="B228" i="20"/>
  <c r="C212" i="20"/>
  <c r="B212" i="20"/>
  <c r="F212" i="20"/>
  <c r="E212" i="20"/>
  <c r="H213" i="20"/>
  <c r="J212" i="20"/>
  <c r="I212" i="20"/>
  <c r="H212" i="20"/>
  <c r="G205" i="20"/>
  <c r="G212" i="20"/>
  <c r="D205" i="20"/>
  <c r="D212" i="20"/>
  <c r="C195" i="20"/>
  <c r="B195" i="20"/>
  <c r="E195" i="20"/>
  <c r="I195" i="20"/>
  <c r="H195" i="20"/>
  <c r="O195" i="20"/>
  <c r="N195" i="20"/>
  <c r="U195" i="20"/>
  <c r="T195" i="20"/>
  <c r="AA195" i="20"/>
  <c r="Z195" i="20"/>
  <c r="AG195" i="20"/>
  <c r="AF195" i="20"/>
  <c r="AM195" i="20"/>
  <c r="AL195" i="20"/>
  <c r="AS195" i="20"/>
  <c r="AR195" i="20"/>
  <c r="AY195" i="20"/>
  <c r="AX195" i="20"/>
  <c r="BB195" i="20"/>
  <c r="BA195" i="20"/>
  <c r="BE195" i="20"/>
  <c r="BD195" i="20"/>
  <c r="BH195" i="20"/>
  <c r="BG195" i="20"/>
  <c r="BJ195" i="20"/>
  <c r="BM195" i="20"/>
  <c r="BP195" i="20"/>
  <c r="BT195" i="20"/>
  <c r="BS195" i="20"/>
  <c r="BW195" i="20"/>
  <c r="BV195" i="20"/>
  <c r="BY195" i="20"/>
  <c r="CC195" i="20"/>
  <c r="CB195" i="20"/>
  <c r="CF195" i="20"/>
  <c r="CE195" i="20"/>
  <c r="CI195" i="20"/>
  <c r="CH195" i="20"/>
  <c r="CK195" i="20"/>
  <c r="CO195" i="20"/>
  <c r="CN195" i="20"/>
  <c r="CR195" i="20"/>
  <c r="CQ195" i="20"/>
  <c r="CU195" i="20"/>
  <c r="CT195" i="20"/>
  <c r="CX195" i="20"/>
  <c r="CW195" i="20"/>
  <c r="CZ195" i="20"/>
  <c r="DC195" i="20"/>
  <c r="DG195" i="20"/>
  <c r="DF195" i="20"/>
  <c r="DI195" i="20"/>
  <c r="DM195" i="20"/>
  <c r="DL195" i="20"/>
  <c r="DO195" i="20"/>
  <c r="DR195" i="20"/>
  <c r="DV195" i="20"/>
  <c r="DU195" i="20"/>
  <c r="DX195" i="20"/>
  <c r="EA195" i="20"/>
  <c r="ED195" i="20"/>
  <c r="EG195" i="20"/>
  <c r="EK195" i="20"/>
  <c r="EJ195" i="20"/>
  <c r="EM195" i="20"/>
  <c r="EP195" i="20"/>
  <c r="EV196" i="20"/>
  <c r="K195" i="20"/>
  <c r="R195" i="20"/>
  <c r="Q195" i="20"/>
  <c r="W195" i="20"/>
  <c r="AC195" i="20"/>
  <c r="AI195" i="20"/>
  <c r="AO195" i="20"/>
  <c r="AU195" i="20"/>
  <c r="EY196" i="20"/>
  <c r="FH196" i="20"/>
  <c r="ET195" i="20"/>
  <c r="ET196" i="20"/>
  <c r="EX173" i="20"/>
  <c r="FJ173" i="20"/>
  <c r="D174" i="20"/>
  <c r="EX174" i="20"/>
  <c r="FD174" i="20"/>
  <c r="FJ174" i="20"/>
  <c r="EX175" i="20"/>
  <c r="FD175" i="20"/>
  <c r="FJ175" i="20"/>
  <c r="EX176" i="20"/>
  <c r="FJ176" i="20"/>
  <c r="EX177" i="20"/>
  <c r="FJ177" i="20"/>
  <c r="EX178" i="20"/>
  <c r="FD178" i="20"/>
  <c r="FJ178" i="20"/>
  <c r="EX179" i="20"/>
  <c r="FD179" i="20"/>
  <c r="FJ179" i="20"/>
  <c r="EX180" i="20"/>
  <c r="FJ180" i="20"/>
  <c r="EX181" i="20"/>
  <c r="FJ181" i="20"/>
  <c r="EX182" i="20"/>
  <c r="FJ182" i="20"/>
  <c r="EX183" i="20"/>
  <c r="FD183" i="20"/>
  <c r="FJ183" i="20"/>
  <c r="EX184" i="20"/>
  <c r="FD184" i="20"/>
  <c r="FJ184" i="20"/>
  <c r="EX185" i="20"/>
  <c r="FJ185" i="20"/>
  <c r="EX186" i="20"/>
  <c r="FJ186" i="20"/>
  <c r="EX187" i="20"/>
  <c r="FJ187" i="20"/>
  <c r="EX188" i="20"/>
  <c r="FJ188" i="20"/>
  <c r="EX189" i="20"/>
  <c r="FJ189" i="20"/>
  <c r="EX190" i="20"/>
  <c r="FJ190" i="20"/>
  <c r="EX191" i="20"/>
  <c r="FD191" i="20"/>
  <c r="FJ191" i="20"/>
  <c r="EX192" i="20"/>
  <c r="FD192" i="20"/>
  <c r="FJ192" i="20"/>
  <c r="EX193" i="20"/>
  <c r="FJ193" i="20"/>
  <c r="FJ195" i="20"/>
  <c r="EW173" i="20"/>
  <c r="FI173" i="20"/>
  <c r="EW174" i="20"/>
  <c r="FC174" i="20"/>
  <c r="FI174" i="20"/>
  <c r="EW175" i="20"/>
  <c r="FC175" i="20"/>
  <c r="FI175" i="20"/>
  <c r="EW176" i="20"/>
  <c r="FI176" i="20"/>
  <c r="EW177" i="20"/>
  <c r="FI177" i="20"/>
  <c r="EW178" i="20"/>
  <c r="FC178" i="20"/>
  <c r="FI178" i="20"/>
  <c r="EW179" i="20"/>
  <c r="FC179" i="20"/>
  <c r="FI179" i="20"/>
  <c r="EW180" i="20"/>
  <c r="FI180" i="20"/>
  <c r="EW181" i="20"/>
  <c r="FI181" i="20"/>
  <c r="EW182" i="20"/>
  <c r="FI182" i="20"/>
  <c r="EW183" i="20"/>
  <c r="FC183" i="20"/>
  <c r="FI183" i="20"/>
  <c r="EW184" i="20"/>
  <c r="FC184" i="20"/>
  <c r="FI184" i="20"/>
  <c r="EW185" i="20"/>
  <c r="FI185" i="20"/>
  <c r="EW186" i="20"/>
  <c r="FC186" i="20"/>
  <c r="FI186" i="20"/>
  <c r="EW187" i="20"/>
  <c r="FC187" i="20"/>
  <c r="FI187" i="20"/>
  <c r="EW188" i="20"/>
  <c r="FI188" i="20"/>
  <c r="EW189" i="20"/>
  <c r="FI189" i="20"/>
  <c r="EW190" i="20"/>
  <c r="FI190" i="20"/>
  <c r="EW191" i="20"/>
  <c r="FC191" i="20"/>
  <c r="FI191" i="20"/>
  <c r="EW192" i="20"/>
  <c r="FC192" i="20"/>
  <c r="FI192" i="20"/>
  <c r="EW193" i="20"/>
  <c r="FI193" i="20"/>
  <c r="FI195" i="20"/>
  <c r="EV173" i="20"/>
  <c r="FH173" i="20"/>
  <c r="EV174" i="20"/>
  <c r="FB174" i="20"/>
  <c r="FH174" i="20"/>
  <c r="EV175" i="20"/>
  <c r="FB175" i="20"/>
  <c r="FH175" i="20"/>
  <c r="EV176" i="20"/>
  <c r="FH176" i="20"/>
  <c r="EV177" i="20"/>
  <c r="FH177" i="20"/>
  <c r="EV178" i="20"/>
  <c r="FB178" i="20"/>
  <c r="FH178" i="20"/>
  <c r="EV179" i="20"/>
  <c r="FB179" i="20"/>
  <c r="FH179" i="20"/>
  <c r="EV180" i="20"/>
  <c r="FH180" i="20"/>
  <c r="EV181" i="20"/>
  <c r="FH181" i="20"/>
  <c r="EV182" i="20"/>
  <c r="FH182" i="20"/>
  <c r="EV183" i="20"/>
  <c r="FB183" i="20"/>
  <c r="FH183" i="20"/>
  <c r="EV184" i="20"/>
  <c r="FB184" i="20"/>
  <c r="FH184" i="20"/>
  <c r="EV185" i="20"/>
  <c r="FH185" i="20"/>
  <c r="EV186" i="20"/>
  <c r="FB186" i="20"/>
  <c r="FH186" i="20"/>
  <c r="EV187" i="20"/>
  <c r="FB187" i="20"/>
  <c r="FH187" i="20"/>
  <c r="EV188" i="20"/>
  <c r="FH188" i="20"/>
  <c r="EV189" i="20"/>
  <c r="FH189" i="20"/>
  <c r="EV190" i="20"/>
  <c r="FH190" i="20"/>
  <c r="EV191" i="20"/>
  <c r="FB191" i="20"/>
  <c r="FH191" i="20"/>
  <c r="EV192" i="20"/>
  <c r="FB192" i="20"/>
  <c r="FH192" i="20"/>
  <c r="EV193" i="20"/>
  <c r="FH193" i="20"/>
  <c r="FH195" i="20"/>
  <c r="FG195" i="20"/>
  <c r="FF195" i="20"/>
  <c r="FE195" i="20"/>
  <c r="FD195" i="20"/>
  <c r="FC195" i="20"/>
  <c r="FB195" i="20"/>
  <c r="FA195" i="20"/>
  <c r="EZ195" i="20"/>
  <c r="EY195" i="20"/>
  <c r="EX195" i="20"/>
  <c r="EW195" i="20"/>
  <c r="EV195" i="20"/>
  <c r="EU195" i="20"/>
  <c r="ES195" i="20"/>
  <c r="ER195" i="20"/>
  <c r="EQ195" i="20"/>
  <c r="EO195" i="20"/>
  <c r="EN195" i="20"/>
  <c r="EL195" i="20"/>
  <c r="EI195" i="20"/>
  <c r="EH195" i="20"/>
  <c r="EF195" i="20"/>
  <c r="EE195" i="20"/>
  <c r="EC195" i="20"/>
  <c r="EB195" i="20"/>
  <c r="DZ195" i="20"/>
  <c r="DY195" i="20"/>
  <c r="DW195" i="20"/>
  <c r="DT195" i="20"/>
  <c r="DS195" i="20"/>
  <c r="DQ195" i="20"/>
  <c r="DP195" i="20"/>
  <c r="DN195" i="20"/>
  <c r="DK195" i="20"/>
  <c r="DJ195" i="20"/>
  <c r="DH195" i="20"/>
  <c r="DE195" i="20"/>
  <c r="DD195" i="20"/>
  <c r="DB195" i="20"/>
  <c r="DA195" i="20"/>
  <c r="CY195" i="20"/>
  <c r="CV195" i="20"/>
  <c r="CS195" i="20"/>
  <c r="CP195" i="20"/>
  <c r="CM195" i="20"/>
  <c r="CL195" i="20"/>
  <c r="CJ195" i="20"/>
  <c r="CG195" i="20"/>
  <c r="CD195" i="20"/>
  <c r="CA195" i="20"/>
  <c r="BZ195" i="20"/>
  <c r="BX195" i="20"/>
  <c r="BU195" i="20"/>
  <c r="BR195" i="20"/>
  <c r="BQ195" i="20"/>
  <c r="BO195" i="20"/>
  <c r="BN195" i="20"/>
  <c r="BL195" i="20"/>
  <c r="BK195" i="20"/>
  <c r="BI195" i="20"/>
  <c r="BF195" i="20"/>
  <c r="BC195" i="20"/>
  <c r="AZ195" i="20"/>
  <c r="AW195" i="20"/>
  <c r="AV195" i="20"/>
  <c r="AT195" i="20"/>
  <c r="AQ195" i="20"/>
  <c r="AP195" i="20"/>
  <c r="AN195" i="20"/>
  <c r="AK195" i="20"/>
  <c r="AJ195" i="20"/>
  <c r="AH195" i="20"/>
  <c r="AE195" i="20"/>
  <c r="AD195" i="20"/>
  <c r="AB195" i="20"/>
  <c r="Y195" i="20"/>
  <c r="X195" i="20"/>
  <c r="V195" i="20"/>
  <c r="S195" i="20"/>
  <c r="P195" i="20"/>
  <c r="M195" i="20"/>
  <c r="L195" i="20"/>
  <c r="J195" i="20"/>
  <c r="G195" i="20"/>
  <c r="F195" i="20"/>
  <c r="D195" i="20"/>
  <c r="G194" i="20"/>
  <c r="CN162" i="20"/>
  <c r="C160" i="20"/>
  <c r="B160" i="20"/>
  <c r="I160" i="20"/>
  <c r="H160" i="20"/>
  <c r="O160" i="20"/>
  <c r="N160" i="20"/>
  <c r="U160" i="20"/>
  <c r="T160" i="20"/>
  <c r="AA160" i="20"/>
  <c r="Z160" i="20"/>
  <c r="AG160" i="20"/>
  <c r="AF160" i="20"/>
  <c r="AM160" i="20"/>
  <c r="AL160" i="20"/>
  <c r="AS160" i="20"/>
  <c r="AR160" i="20"/>
  <c r="AY160" i="20"/>
  <c r="AX160" i="20"/>
  <c r="BA160" i="20"/>
  <c r="BE160" i="20"/>
  <c r="BD160" i="20"/>
  <c r="BG160" i="20"/>
  <c r="BK160" i="20"/>
  <c r="BJ160" i="20"/>
  <c r="BM160" i="20"/>
  <c r="BQ160" i="20"/>
  <c r="BP160" i="20"/>
  <c r="BT160" i="20"/>
  <c r="BS160" i="20"/>
  <c r="BW160" i="20"/>
  <c r="BV160" i="20"/>
  <c r="BY160" i="20"/>
  <c r="CE161" i="20"/>
  <c r="F160" i="20"/>
  <c r="E160" i="20"/>
  <c r="L160" i="20"/>
  <c r="K160" i="20"/>
  <c r="R160" i="20"/>
  <c r="Q160" i="20"/>
  <c r="X160" i="20"/>
  <c r="W160" i="20"/>
  <c r="AD160" i="20"/>
  <c r="AC160" i="20"/>
  <c r="AJ160" i="20"/>
  <c r="AI160" i="20"/>
  <c r="AP160" i="20"/>
  <c r="AO160" i="20"/>
  <c r="AV160" i="20"/>
  <c r="AU160" i="20"/>
  <c r="CK161" i="20"/>
  <c r="CN161" i="20"/>
  <c r="I161" i="20"/>
  <c r="CD160" i="20"/>
  <c r="CJ160" i="20"/>
  <c r="CS160" i="20"/>
  <c r="CC160" i="20"/>
  <c r="CI160" i="20"/>
  <c r="CR160" i="20"/>
  <c r="CB160" i="20"/>
  <c r="CH160" i="20"/>
  <c r="CQ160" i="20"/>
  <c r="CP160" i="20"/>
  <c r="CO160" i="20"/>
  <c r="CN160" i="20"/>
  <c r="CM145" i="20"/>
  <c r="G146" i="20"/>
  <c r="CM146" i="20"/>
  <c r="CM147" i="20"/>
  <c r="G148" i="20"/>
  <c r="CM148" i="20"/>
  <c r="G150" i="20"/>
  <c r="CM150" i="20"/>
  <c r="G151" i="20"/>
  <c r="CM151" i="20"/>
  <c r="G154" i="20"/>
  <c r="CM154" i="20"/>
  <c r="G155" i="20"/>
  <c r="CM155" i="20"/>
  <c r="G157" i="20"/>
  <c r="CM157" i="20"/>
  <c r="CM160" i="20"/>
  <c r="CL145" i="20"/>
  <c r="CL146" i="20"/>
  <c r="CL147" i="20"/>
  <c r="CL148" i="20"/>
  <c r="CL150" i="20"/>
  <c r="CL151" i="20"/>
  <c r="CL154" i="20"/>
  <c r="CL155" i="20"/>
  <c r="CL157" i="20"/>
  <c r="CL160" i="20"/>
  <c r="CK145" i="20"/>
  <c r="CK146" i="20"/>
  <c r="CK147" i="20"/>
  <c r="CK148" i="20"/>
  <c r="CK150" i="20"/>
  <c r="CK151" i="20"/>
  <c r="CK154" i="20"/>
  <c r="CK155" i="20"/>
  <c r="CK157" i="20"/>
  <c r="CK160" i="20"/>
  <c r="D145" i="20"/>
  <c r="CG145" i="20"/>
  <c r="J146" i="20"/>
  <c r="CG146" i="20"/>
  <c r="CG147" i="20"/>
  <c r="D148" i="20"/>
  <c r="CG148" i="20"/>
  <c r="CG149" i="20"/>
  <c r="D150" i="20"/>
  <c r="CG150" i="20"/>
  <c r="D151" i="20"/>
  <c r="CG151" i="20"/>
  <c r="CG152" i="20"/>
  <c r="D153" i="20"/>
  <c r="CG153" i="20"/>
  <c r="D154" i="20"/>
  <c r="CG154" i="20"/>
  <c r="D155" i="20"/>
  <c r="CG155" i="20"/>
  <c r="CG156" i="20"/>
  <c r="D157" i="20"/>
  <c r="CG157" i="20"/>
  <c r="D158" i="20"/>
  <c r="CG158" i="20"/>
  <c r="CG160" i="20"/>
  <c r="CF145" i="20"/>
  <c r="CF146" i="20"/>
  <c r="CF147" i="20"/>
  <c r="CF148" i="20"/>
  <c r="CF149" i="20"/>
  <c r="CF150" i="20"/>
  <c r="CF151" i="20"/>
  <c r="CF152" i="20"/>
  <c r="CF153" i="20"/>
  <c r="CF154" i="20"/>
  <c r="CF155" i="20"/>
  <c r="CF156" i="20"/>
  <c r="CF157" i="20"/>
  <c r="CF158" i="20"/>
  <c r="CF160" i="20"/>
  <c r="CE145" i="20"/>
  <c r="CE146" i="20"/>
  <c r="CE147" i="20"/>
  <c r="CE148" i="20"/>
  <c r="CE149" i="20"/>
  <c r="CE150" i="20"/>
  <c r="CE151" i="20"/>
  <c r="CE152" i="20"/>
  <c r="CE153" i="20"/>
  <c r="CE154" i="20"/>
  <c r="CE155" i="20"/>
  <c r="CE156" i="20"/>
  <c r="CE157" i="20"/>
  <c r="CE158" i="20"/>
  <c r="CE160" i="20"/>
  <c r="CA160" i="20"/>
  <c r="BZ160" i="20"/>
  <c r="BX160" i="20"/>
  <c r="BU160" i="20"/>
  <c r="BR160" i="20"/>
  <c r="BL160" i="20"/>
  <c r="BF160" i="20"/>
  <c r="BC160" i="20"/>
  <c r="BB160" i="20"/>
  <c r="AZ160" i="20"/>
  <c r="AW160" i="20"/>
  <c r="AT160" i="20"/>
  <c r="AQ160" i="20"/>
  <c r="AN160" i="20"/>
  <c r="AK160" i="20"/>
  <c r="AH160" i="20"/>
  <c r="AE160" i="20"/>
  <c r="AB160" i="20"/>
  <c r="Y160" i="20"/>
  <c r="V160" i="20"/>
  <c r="S160" i="20"/>
  <c r="P160" i="20"/>
  <c r="M160" i="20"/>
  <c r="J160" i="20"/>
  <c r="G160" i="20"/>
  <c r="D160" i="20"/>
  <c r="CS158" i="20"/>
  <c r="CR158" i="20"/>
  <c r="CQ158" i="20"/>
  <c r="CS157" i="20"/>
  <c r="CR157" i="20"/>
  <c r="CQ157" i="20"/>
  <c r="CS156" i="20"/>
  <c r="CR156" i="20"/>
  <c r="CQ156" i="20"/>
  <c r="CS155" i="20"/>
  <c r="CR155" i="20"/>
  <c r="CQ155" i="20"/>
  <c r="CS154" i="20"/>
  <c r="CR154" i="20"/>
  <c r="CQ154" i="20"/>
  <c r="CS153" i="20"/>
  <c r="CR153" i="20"/>
  <c r="CQ153" i="20"/>
  <c r="CS152" i="20"/>
  <c r="CR152" i="20"/>
  <c r="CQ152" i="20"/>
  <c r="CS151" i="20"/>
  <c r="CR151" i="20"/>
  <c r="CQ151" i="20"/>
  <c r="CS150" i="20"/>
  <c r="CR150" i="20"/>
  <c r="CQ150" i="20"/>
  <c r="CS149" i="20"/>
  <c r="CR149" i="20"/>
  <c r="CQ149" i="20"/>
  <c r="CS148" i="20"/>
  <c r="CR148" i="20"/>
  <c r="CQ148" i="20"/>
  <c r="CS147" i="20"/>
  <c r="CR147" i="20"/>
  <c r="CQ147" i="20"/>
  <c r="CS146" i="20"/>
  <c r="CR146" i="20"/>
  <c r="CQ146" i="20"/>
  <c r="CS145" i="20"/>
  <c r="CR145" i="20"/>
  <c r="CQ145" i="20"/>
  <c r="D130" i="20"/>
  <c r="D131" i="20"/>
  <c r="D132" i="20"/>
  <c r="D133" i="20"/>
  <c r="D134" i="20"/>
  <c r="D135" i="20"/>
  <c r="D120" i="20"/>
  <c r="D121" i="20"/>
  <c r="D123" i="20"/>
  <c r="D124" i="20"/>
  <c r="D125" i="20"/>
  <c r="D126" i="20"/>
  <c r="D128" i="20"/>
  <c r="D136" i="20"/>
  <c r="C136" i="20"/>
  <c r="B128" i="20"/>
  <c r="B136" i="20"/>
  <c r="C128" i="20"/>
  <c r="D97" i="20"/>
  <c r="D98" i="20"/>
  <c r="G101" i="20"/>
  <c r="G103" i="20"/>
  <c r="G106" i="20"/>
  <c r="D85" i="20"/>
  <c r="D86" i="20"/>
  <c r="D87" i="20"/>
  <c r="D88" i="20"/>
  <c r="D89" i="20"/>
  <c r="G93" i="20"/>
  <c r="G108" i="20"/>
  <c r="D113" i="20"/>
  <c r="D111" i="20"/>
  <c r="G114" i="20"/>
  <c r="G116" i="20"/>
  <c r="F101" i="20"/>
  <c r="F93" i="20"/>
  <c r="F108" i="20"/>
  <c r="F114" i="20"/>
  <c r="F116" i="20"/>
  <c r="E101" i="20"/>
  <c r="E93" i="20"/>
  <c r="E108" i="20"/>
  <c r="E114" i="20"/>
  <c r="E116" i="20"/>
  <c r="G107" i="20"/>
  <c r="D105" i="20"/>
  <c r="G100" i="20"/>
  <c r="D91" i="20"/>
  <c r="C91" i="20"/>
  <c r="B91" i="20"/>
  <c r="F76" i="20"/>
  <c r="E76" i="20"/>
  <c r="D71" i="20"/>
  <c r="D72" i="20"/>
  <c r="D74" i="20"/>
  <c r="D76" i="20"/>
  <c r="C76" i="20"/>
  <c r="B76" i="20"/>
  <c r="D75" i="20"/>
  <c r="J23" i="20"/>
  <c r="J25" i="20"/>
  <c r="J26" i="20"/>
  <c r="J33" i="20"/>
  <c r="J37" i="20"/>
  <c r="J38" i="20"/>
  <c r="J40" i="20"/>
  <c r="J41" i="20"/>
  <c r="J42" i="20"/>
  <c r="J53" i="20"/>
  <c r="J57" i="20"/>
  <c r="J58" i="20"/>
  <c r="J59" i="20"/>
  <c r="J7" i="20"/>
  <c r="J8" i="20"/>
  <c r="J9" i="20"/>
  <c r="J10" i="20"/>
  <c r="J11" i="20"/>
  <c r="J12" i="20"/>
  <c r="J13" i="20"/>
  <c r="J16" i="20"/>
  <c r="J17" i="20"/>
  <c r="J19" i="20"/>
  <c r="J21" i="20"/>
  <c r="J61" i="20"/>
  <c r="I21" i="20"/>
  <c r="I61" i="20"/>
  <c r="H21" i="20"/>
  <c r="H61" i="20"/>
  <c r="G23" i="20"/>
  <c r="G25" i="20"/>
  <c r="G26" i="20"/>
  <c r="G33" i="20"/>
  <c r="G37" i="20"/>
  <c r="G38" i="20"/>
  <c r="G40" i="20"/>
  <c r="G41" i="20"/>
  <c r="G42" i="20"/>
  <c r="G43" i="20"/>
  <c r="G45" i="20"/>
  <c r="G48" i="20"/>
  <c r="G51" i="20"/>
  <c r="G52" i="20"/>
  <c r="G57" i="20"/>
  <c r="G58" i="20"/>
  <c r="G59" i="20"/>
  <c r="G7" i="20"/>
  <c r="G8" i="20"/>
  <c r="G9" i="20"/>
  <c r="G10" i="20"/>
  <c r="G11" i="20"/>
  <c r="G12" i="20"/>
  <c r="G13" i="20"/>
  <c r="G15" i="20"/>
  <c r="G16" i="20"/>
  <c r="G17" i="20"/>
  <c r="G19" i="20"/>
  <c r="G21" i="20"/>
  <c r="G61" i="20"/>
  <c r="F21" i="20"/>
  <c r="F61" i="20"/>
  <c r="E21" i="20"/>
  <c r="E61" i="20"/>
  <c r="D43" i="20"/>
  <c r="D45" i="20"/>
  <c r="D48" i="20"/>
  <c r="D51" i="20"/>
  <c r="D52" i="20"/>
  <c r="D53" i="20"/>
  <c r="D9" i="20"/>
  <c r="D15" i="20"/>
  <c r="D21" i="20"/>
  <c r="D61" i="20"/>
  <c r="C21" i="20"/>
  <c r="C61" i="20"/>
  <c r="B21" i="20"/>
  <c r="B61" i="20"/>
  <c r="J60" i="20"/>
  <c r="G60" i="20"/>
  <c r="D60" i="20"/>
  <c r="J20" i="20"/>
  <c r="G20" i="20"/>
  <c r="B68" i="19"/>
  <c r="C68" i="19"/>
  <c r="B69" i="19"/>
  <c r="E16" i="19"/>
  <c r="H9" i="19"/>
  <c r="I9" i="19"/>
  <c r="H10" i="19"/>
  <c r="G76" i="18"/>
  <c r="F75" i="18"/>
  <c r="F76" i="18"/>
  <c r="E58" i="18"/>
  <c r="D57" i="18"/>
  <c r="D58" i="18"/>
  <c r="E37" i="18"/>
  <c r="D36" i="18"/>
  <c r="D37" i="18"/>
  <c r="I73" i="17"/>
  <c r="I74" i="17"/>
  <c r="H73" i="17"/>
  <c r="H74" i="17"/>
  <c r="G73" i="17"/>
  <c r="G74" i="17"/>
  <c r="F73" i="17"/>
  <c r="F74" i="17"/>
  <c r="E73" i="17"/>
  <c r="E74" i="17"/>
  <c r="D73" i="17"/>
  <c r="D74" i="17"/>
  <c r="C73" i="17"/>
  <c r="C74" i="17"/>
  <c r="B73" i="17"/>
  <c r="B74" i="17"/>
  <c r="S30" i="17"/>
  <c r="S31" i="17"/>
  <c r="R30" i="17"/>
  <c r="R31" i="17"/>
  <c r="Q30" i="17"/>
  <c r="Q31" i="17"/>
  <c r="P30" i="17"/>
  <c r="P31" i="17"/>
  <c r="O30" i="17"/>
  <c r="O31" i="17"/>
  <c r="N30" i="17"/>
  <c r="N31" i="17"/>
  <c r="K30" i="17"/>
  <c r="K31" i="17"/>
  <c r="J30" i="17"/>
  <c r="J31" i="17"/>
  <c r="I30" i="17"/>
  <c r="I31" i="17"/>
  <c r="H30" i="17"/>
  <c r="H31" i="17"/>
  <c r="G30" i="17"/>
  <c r="G31" i="17"/>
  <c r="F30" i="17"/>
  <c r="F31" i="17"/>
  <c r="E30" i="17"/>
  <c r="E31" i="17"/>
  <c r="D30" i="17"/>
  <c r="D31" i="17"/>
  <c r="C30" i="17"/>
  <c r="C31" i="17"/>
  <c r="B30" i="17"/>
  <c r="B31" i="17"/>
  <c r="M30" i="17"/>
  <c r="L30" i="17"/>
  <c r="B36" i="16"/>
  <c r="B18" i="16"/>
  <c r="C18" i="16"/>
  <c r="B19" i="16"/>
  <c r="B10" i="15"/>
  <c r="C10" i="15"/>
  <c r="B11" i="15"/>
  <c r="B5" i="14"/>
  <c r="B8" i="14"/>
  <c r="E33" i="11"/>
  <c r="D33" i="11"/>
  <c r="B33" i="11"/>
  <c r="G27" i="11"/>
  <c r="C17" i="11"/>
  <c r="B356" i="10"/>
  <c r="B368" i="10"/>
  <c r="B351" i="10"/>
  <c r="B140" i="10"/>
  <c r="B139" i="10"/>
  <c r="B138" i="10"/>
  <c r="B137" i="10"/>
  <c r="B136" i="10"/>
  <c r="B135" i="10"/>
  <c r="B134" i="10"/>
  <c r="B133" i="10"/>
  <c r="B114" i="10"/>
  <c r="B126" i="10"/>
  <c r="B110" i="10"/>
  <c r="B29" i="10"/>
  <c r="B22" i="10"/>
  <c r="B23" i="10"/>
  <c r="E20" i="10"/>
  <c r="E19" i="10"/>
  <c r="F163" i="8"/>
  <c r="I154" i="8"/>
  <c r="J154" i="8"/>
  <c r="I155" i="8"/>
  <c r="I144" i="8"/>
  <c r="I139" i="8"/>
  <c r="J139" i="8"/>
  <c r="I140" i="8"/>
  <c r="I110" i="8"/>
  <c r="I95" i="8"/>
  <c r="I162" i="8"/>
  <c r="J49" i="8"/>
  <c r="J50" i="8"/>
  <c r="I49" i="8"/>
  <c r="I50" i="8"/>
  <c r="J40" i="8"/>
  <c r="J41" i="8"/>
  <c r="I40" i="8"/>
  <c r="I41" i="8"/>
  <c r="J35" i="8"/>
  <c r="J36" i="8"/>
  <c r="I35" i="8"/>
  <c r="I36" i="8"/>
  <c r="J33" i="8"/>
  <c r="J34" i="8"/>
  <c r="I33" i="8"/>
  <c r="I34" i="8"/>
  <c r="J32" i="8"/>
  <c r="I31" i="8"/>
  <c r="I32" i="8"/>
  <c r="J26" i="8"/>
  <c r="J27" i="8"/>
  <c r="I26" i="8"/>
  <c r="I27" i="8"/>
  <c r="I20" i="8"/>
  <c r="J19" i="8"/>
  <c r="I18" i="8"/>
  <c r="I19" i="8"/>
  <c r="I10" i="8"/>
  <c r="J10" i="8"/>
  <c r="I11" i="8"/>
  <c r="S94" i="7"/>
  <c r="T94" i="7"/>
  <c r="S95" i="7"/>
  <c r="P94" i="7"/>
  <c r="Q94" i="7"/>
  <c r="P95" i="7"/>
  <c r="M94" i="7"/>
  <c r="N94" i="7"/>
  <c r="M95" i="7"/>
  <c r="J94" i="7"/>
  <c r="K94" i="7"/>
  <c r="J95" i="7"/>
  <c r="G94" i="7"/>
  <c r="H94" i="7"/>
  <c r="G95" i="7"/>
  <c r="E94" i="7"/>
  <c r="C94" i="7"/>
  <c r="B12" i="6"/>
  <c r="E40" i="5"/>
  <c r="F40" i="5"/>
  <c r="E41" i="5"/>
  <c r="B40" i="5"/>
  <c r="C40" i="5"/>
  <c r="B41" i="5"/>
  <c r="H47" i="4"/>
  <c r="D21" i="3"/>
  <c r="E29" i="3"/>
  <c r="D33" i="3"/>
  <c r="D40" i="3"/>
  <c r="D88" i="3"/>
  <c r="D118" i="3"/>
  <c r="D120" i="3"/>
  <c r="D29" i="3"/>
  <c r="D121" i="3"/>
  <c r="F29" i="3"/>
  <c r="B106" i="2"/>
  <c r="B108" i="2"/>
  <c r="B110" i="2"/>
  <c r="B109" i="2"/>
  <c r="D64" i="2"/>
  <c r="E63" i="2"/>
  <c r="D63" i="2"/>
</calcChain>
</file>

<file path=xl/comments1.xml><?xml version="1.0" encoding="utf-8"?>
<comments xmlns="http://schemas.openxmlformats.org/spreadsheetml/2006/main">
  <authors>
    <author>Isidro HERNANDEZ RODRIGUEZ</author>
  </authors>
  <commentList>
    <comment ref="B42" authorId="0">
      <text>
        <r>
          <rPr>
            <b/>
            <sz val="9"/>
            <color indexed="81"/>
            <rFont val="Verdana"/>
          </rPr>
          <t>Isidro HERNANDEZ RODRIGUEZ:</t>
        </r>
        <r>
          <rPr>
            <sz val="9"/>
            <color indexed="81"/>
            <rFont val="Verdana"/>
          </rPr>
          <t xml:space="preserve">
Así en el "original" </t>
        </r>
      </text>
    </comment>
    <comment ref="F42" authorId="0">
      <text>
        <r>
          <rPr>
            <b/>
            <sz val="9"/>
            <color indexed="81"/>
            <rFont val="Verdana"/>
          </rPr>
          <t>Isidro HERNANDEZ RODRIGUEZ:</t>
        </r>
        <r>
          <rPr>
            <sz val="9"/>
            <color indexed="81"/>
            <rFont val="Verdana"/>
          </rPr>
          <t xml:space="preserve">
En el "original" está un valor de 132 2</t>
        </r>
      </text>
    </comment>
    <comment ref="F54" authorId="0">
      <text>
        <r>
          <rPr>
            <b/>
            <sz val="9"/>
            <color indexed="81"/>
            <rFont val="Verdana"/>
          </rPr>
          <t>Isidro HERNANDEZ RODRIGUEZ:</t>
        </r>
        <r>
          <rPr>
            <sz val="9"/>
            <color indexed="81"/>
            <rFont val="Verdana"/>
          </rPr>
          <t xml:space="preserve">
En el "original" aparecen 14885</t>
        </r>
      </text>
    </comment>
  </commentList>
</comments>
</file>

<file path=xl/comments2.xml><?xml version="1.0" encoding="utf-8"?>
<comments xmlns="http://schemas.openxmlformats.org/spreadsheetml/2006/main">
  <authors>
    <author>Isidro HERNANDEZ RODRIGUEZ</author>
  </authors>
  <commentList>
    <comment ref="B8" authorId="0">
      <text>
        <r>
          <rPr>
            <b/>
            <sz val="9"/>
            <color indexed="81"/>
            <rFont val="Verdana"/>
          </rPr>
          <t>Isidro HERNANDEZ RODRIGUEZ:</t>
        </r>
        <r>
          <rPr>
            <sz val="9"/>
            <color indexed="81"/>
            <rFont val="Verdana"/>
          </rPr>
          <t xml:space="preserve">
"... han sido cubiertos con las existencias que habían quedado por fin del año económico vencido el último de noviembre de 1833" Soto (1835), pág. 254</t>
        </r>
      </text>
    </comment>
  </commentList>
</comments>
</file>

<file path=xl/comments3.xml><?xml version="1.0" encoding="utf-8"?>
<comments xmlns="http://schemas.openxmlformats.org/spreadsheetml/2006/main">
  <authors>
    <author>Isidro HERNANDEZ RODRIGUEZ</author>
  </authors>
  <commentList>
    <comment ref="Q16" authorId="0">
      <text>
        <r>
          <rPr>
            <b/>
            <sz val="9"/>
            <color indexed="81"/>
            <rFont val="Verdana"/>
          </rPr>
          <t>Isidro HERNANDEZ RODRIGUEZ:</t>
        </r>
        <r>
          <rPr>
            <sz val="9"/>
            <color indexed="81"/>
            <rFont val="Verdana"/>
          </rPr>
          <t xml:space="preserve">
En el original esta como "1/2</t>
        </r>
      </text>
    </comment>
  </commentList>
</comments>
</file>

<file path=xl/comments4.xml><?xml version="1.0" encoding="utf-8"?>
<comments xmlns="http://schemas.openxmlformats.org/spreadsheetml/2006/main">
  <authors>
    <author>Isidro HERNANDEZ RODRIGUEZ</author>
  </authors>
  <commentList>
    <comment ref="D27" authorId="0">
      <text>
        <r>
          <rPr>
            <b/>
            <sz val="9"/>
            <color indexed="81"/>
            <rFont val="Verdana"/>
          </rPr>
          <t>Isidro HERNANDEZ RODRIGUEZ:</t>
        </r>
        <r>
          <rPr>
            <sz val="9"/>
            <color indexed="81"/>
            <rFont val="Verdana"/>
          </rPr>
          <t xml:space="preserve">
en el libro que compila López, de donde se toma el informe, no hay cifra. El número que se coloca corresponde al dato que está frente al rubro del departamento de hacienda y que equivale al informe del secretario de mairna. Ver páginas 339 y 347 del vol.2</t>
        </r>
      </text>
    </comment>
  </commentList>
</comments>
</file>

<file path=xl/comments5.xml><?xml version="1.0" encoding="utf-8"?>
<comments xmlns="http://schemas.openxmlformats.org/spreadsheetml/2006/main">
  <authors>
    <author>Isidro HERNANDEZ RODRIGUEZ</author>
  </authors>
  <commentList>
    <comment ref="G72" authorId="0">
      <text>
        <r>
          <rPr>
            <b/>
            <sz val="9"/>
            <color indexed="81"/>
            <rFont val="Verdana"/>
          </rPr>
          <t>Isidro HERNANDEZ RODRIGUEZ:</t>
        </r>
        <r>
          <rPr>
            <sz val="9"/>
            <color indexed="81"/>
            <rFont val="Verdana"/>
          </rPr>
          <t xml:space="preserve">
En el original el valor es 23.676</t>
        </r>
      </text>
    </comment>
  </commentList>
</comments>
</file>

<file path=xl/comments6.xml><?xml version="1.0" encoding="utf-8"?>
<comments xmlns="http://schemas.openxmlformats.org/spreadsheetml/2006/main">
  <authors>
    <author>Ana</author>
    <author>Presidencia</author>
    <author>Isidro HERNANDEZ RODRIGUEZ</author>
    <author>MARIO</author>
    <author>Ana Maria</author>
  </authors>
  <commentList>
    <comment ref="B70" authorId="0">
      <text>
        <r>
          <rPr>
            <sz val="8"/>
            <color indexed="81"/>
            <rFont val="Tahoma"/>
          </rPr>
          <t>Deducido el sueldo eventual de de los administradores subalternos</t>
        </r>
      </text>
    </comment>
    <comment ref="B71" authorId="1">
      <text>
        <r>
          <rPr>
            <sz val="8"/>
            <color indexed="81"/>
            <rFont val="Tahoma"/>
          </rPr>
          <t>Utilidades de dos casas</t>
        </r>
      </text>
    </comment>
    <comment ref="F75" authorId="2">
      <text>
        <r>
          <rPr>
            <b/>
            <sz val="9"/>
            <color indexed="81"/>
            <rFont val="Calibri"/>
            <family val="2"/>
          </rPr>
          <t>Isidro HERNANDEZ RODRIGUEZ:</t>
        </r>
        <r>
          <rPr>
            <sz val="9"/>
            <color indexed="81"/>
            <rFont val="Calibri"/>
            <family val="2"/>
          </rPr>
          <t xml:space="preserve">
</t>
        </r>
        <r>
          <rPr>
            <b/>
            <sz val="9"/>
            <color indexed="10"/>
            <rFont val="Calibri"/>
          </rPr>
          <t>OJO</t>
        </r>
        <r>
          <rPr>
            <sz val="9"/>
            <color indexed="81"/>
            <rFont val="Calibri"/>
            <family val="2"/>
          </rPr>
          <t xml:space="preserve">: Estos valores los toma el archivo de síntesis estadística. </t>
        </r>
        <r>
          <rPr>
            <b/>
            <u/>
            <sz val="9"/>
            <color indexed="10"/>
            <rFont val="Calibri"/>
          </rPr>
          <t>NO BORRAR</t>
        </r>
      </text>
    </comment>
    <comment ref="B96" authorId="3">
      <text>
        <r>
          <rPr>
            <sz val="8"/>
            <color indexed="81"/>
            <rFont val="Tahoma"/>
          </rPr>
          <t>Deducido el sueldo eventual de de los administradores subalternos</t>
        </r>
      </text>
    </comment>
    <comment ref="C98" authorId="3">
      <text>
        <r>
          <rPr>
            <sz val="8"/>
            <color indexed="81"/>
            <rFont val="Tahoma"/>
          </rPr>
          <t>No coincide en la pág. 12 el valor es 5</t>
        </r>
      </text>
    </comment>
    <comment ref="C99" authorId="3">
      <text>
        <r>
          <rPr>
            <sz val="8"/>
            <color indexed="81"/>
            <rFont val="Tahoma"/>
          </rPr>
          <t xml:space="preserve">En la pág. 12 el valor es 0
</t>
        </r>
      </text>
    </comment>
    <comment ref="AL156" authorId="4">
      <text>
        <r>
          <rPr>
            <sz val="8"/>
            <color indexed="81"/>
            <rFont val="Tahoma"/>
          </rPr>
          <t>Si el valor fuese cero los  totales se acercan</t>
        </r>
      </text>
    </comment>
    <comment ref="AR156" authorId="4">
      <text>
        <r>
          <rPr>
            <sz val="8"/>
            <color indexed="81"/>
            <rFont val="Tahoma"/>
          </rPr>
          <t>Si el valor fuese cero los  totales se acercan</t>
        </r>
      </text>
    </comment>
    <comment ref="CE156" authorId="4">
      <text>
        <r>
          <rPr>
            <sz val="8"/>
            <color indexed="81"/>
            <rFont val="Tahoma"/>
          </rPr>
          <t>Este valor no coincide</t>
        </r>
      </text>
    </comment>
  </commentList>
</comments>
</file>

<file path=xl/comments7.xml><?xml version="1.0" encoding="utf-8"?>
<comments xmlns="http://schemas.openxmlformats.org/spreadsheetml/2006/main">
  <authors>
    <author>JUANITA</author>
  </authors>
  <commentList>
    <comment ref="A117" authorId="0">
      <text>
        <r>
          <rPr>
            <sz val="8"/>
            <color indexed="81"/>
            <rFont val="Tahoma"/>
          </rPr>
          <t xml:space="preserve">Este cuadro esta incompleto
</t>
        </r>
      </text>
    </comment>
  </commentList>
</comments>
</file>

<file path=xl/comments8.xml><?xml version="1.0" encoding="utf-8"?>
<comments xmlns="http://schemas.openxmlformats.org/spreadsheetml/2006/main">
  <authors>
    <author>JUANITA</author>
    <author>Ana Maria</author>
  </authors>
  <commentList>
    <comment ref="A1" authorId="0">
      <text>
        <r>
          <rPr>
            <sz val="8"/>
            <color indexed="81"/>
            <rFont val="Tahoma"/>
          </rPr>
          <t>Las cifras no corresponden a los ingresos y egresos verdaderos de los dos meses del año</t>
        </r>
        <r>
          <rPr>
            <sz val="8"/>
            <color indexed="81"/>
            <rFont val="Tahoma"/>
          </rPr>
          <t xml:space="preserve">
</t>
        </r>
      </text>
    </comment>
    <comment ref="A47" authorId="0">
      <text>
        <r>
          <rPr>
            <sz val="8"/>
            <color indexed="81"/>
            <rFont val="Tahoma"/>
          </rPr>
          <t>Las cifras no corresponden a los ingresos y egresos verdaderos de los dos meses del año</t>
        </r>
        <r>
          <rPr>
            <sz val="8"/>
            <color indexed="81"/>
            <rFont val="Tahoma"/>
          </rPr>
          <t xml:space="preserve">
</t>
        </r>
      </text>
    </comment>
    <comment ref="H73" authorId="0">
      <text>
        <r>
          <rPr>
            <sz val="8"/>
            <color indexed="81"/>
            <rFont val="Tahoma"/>
          </rPr>
          <t>Esta diferencia no representa la de los recursos de los tesoro en las mismas dos épocas</t>
        </r>
        <r>
          <rPr>
            <sz val="8"/>
            <color indexed="81"/>
            <rFont val="Tahoma"/>
          </rPr>
          <t xml:space="preserve">
</t>
        </r>
      </text>
    </comment>
    <comment ref="A77" authorId="0">
      <text>
        <r>
          <rPr>
            <sz val="8"/>
            <color indexed="81"/>
            <rFont val="Tahoma"/>
          </rPr>
          <t>Las cifras no corresponden a los ingresos y egresos verdaderos de los dos meses del año</t>
        </r>
        <r>
          <rPr>
            <sz val="8"/>
            <color indexed="81"/>
            <rFont val="Tahoma"/>
          </rPr>
          <t xml:space="preserve">
</t>
        </r>
      </text>
    </comment>
    <comment ref="D86" authorId="0">
      <text>
        <r>
          <rPr>
            <sz val="8"/>
            <color indexed="81"/>
            <rFont val="Tahoma"/>
          </rPr>
          <t>3 cuartos reales</t>
        </r>
        <r>
          <rPr>
            <sz val="8"/>
            <color indexed="81"/>
            <rFont val="Tahoma"/>
          </rPr>
          <t xml:space="preserve">
</t>
        </r>
      </text>
    </comment>
    <comment ref="D120" authorId="1">
      <text>
        <r>
          <rPr>
            <sz val="8"/>
            <color indexed="81"/>
            <rFont val="Tahoma"/>
          </rPr>
          <t>Creo que se equivovaron porque todas las fracciones las manejan en cuartos</t>
        </r>
      </text>
    </comment>
  </commentList>
</comments>
</file>

<file path=xl/comments9.xml><?xml version="1.0" encoding="utf-8"?>
<comments xmlns="http://schemas.openxmlformats.org/spreadsheetml/2006/main">
  <authors>
    <author>Ana Maria</author>
  </authors>
  <commentList>
    <comment ref="D1125" authorId="0">
      <text>
        <r>
          <rPr>
            <sz val="8"/>
            <color indexed="81"/>
            <rFont val="Tahoma"/>
          </rPr>
          <t>Incluye valor adicional</t>
        </r>
      </text>
    </comment>
    <comment ref="D1126" authorId="0">
      <text>
        <r>
          <rPr>
            <sz val="8"/>
            <color indexed="81"/>
            <rFont val="Tahoma"/>
          </rPr>
          <t>Incluye valor adicional</t>
        </r>
      </text>
    </comment>
  </commentList>
</comments>
</file>

<file path=xl/comments10.xml><?xml version="1.0" encoding="utf-8"?>
<comments xmlns="http://schemas.openxmlformats.org/spreadsheetml/2006/main">
  <authors>
    <author>Ana Maria</author>
  </authors>
  <commentList>
    <comment ref="D45" authorId="0">
      <text>
        <r>
          <rPr>
            <sz val="8"/>
            <color indexed="81"/>
            <rFont val="Tahoma"/>
          </rPr>
          <t xml:space="preserve">Precio de venta a $1-25 los 12 1/2 Kilógramos
</t>
        </r>
      </text>
    </comment>
  </commentList>
</comments>
</file>

<file path=xl/comments11.xml><?xml version="1.0" encoding="utf-8"?>
<comments xmlns="http://schemas.openxmlformats.org/spreadsheetml/2006/main">
  <authors>
    <author>Ana Maria</author>
  </authors>
  <commentList>
    <comment ref="A4" authorId="0">
      <text>
        <r>
          <rPr>
            <sz val="8"/>
            <color indexed="81"/>
            <rFont val="Tahoma"/>
          </rPr>
          <t xml:space="preserve">Este cuadro no sive para las cifras anuales
</t>
        </r>
      </text>
    </comment>
  </commentList>
</comments>
</file>

<file path=xl/comments12.xml><?xml version="1.0" encoding="utf-8"?>
<comments xmlns="http://schemas.openxmlformats.org/spreadsheetml/2006/main">
  <authors>
    <author>Ana Maria</author>
  </authors>
  <commentList>
    <comment ref="A496" authorId="0">
      <text>
        <r>
          <rPr>
            <sz val="8"/>
            <color indexed="81"/>
            <rFont val="Tahoma"/>
          </rPr>
          <t xml:space="preserve">creo que la vijencia económica es de 1878 a 1879.
</t>
        </r>
      </text>
    </comment>
  </commentList>
</comments>
</file>

<file path=xl/comments13.xml><?xml version="1.0" encoding="utf-8"?>
<comments xmlns="http://schemas.openxmlformats.org/spreadsheetml/2006/main">
  <authors>
    <author>Ana Maria</author>
  </authors>
  <commentList>
    <comment ref="B8" authorId="0">
      <text>
        <r>
          <rPr>
            <sz val="8"/>
            <color indexed="81"/>
            <rFont val="Tahoma"/>
          </rPr>
          <t>Según este informe el verdadero valor recaudado hasta el 31 de Agosto fue de $135,426-67</t>
        </r>
      </text>
    </comment>
    <comment ref="B9" authorId="0">
      <text>
        <r>
          <rPr>
            <sz val="8"/>
            <color indexed="81"/>
            <rFont val="Tahoma"/>
          </rPr>
          <t>Según el Administrador del Ferrocarril el valor es de $137,975-50</t>
        </r>
      </text>
    </comment>
  </commentList>
</comments>
</file>

<file path=xl/comments14.xml><?xml version="1.0" encoding="utf-8"?>
<comments xmlns="http://schemas.openxmlformats.org/spreadsheetml/2006/main">
  <authors>
    <author>Ana Maria</author>
  </authors>
  <commentList>
    <comment ref="A174" authorId="0">
      <text>
        <r>
          <rPr>
            <sz val="8"/>
            <color indexed="81"/>
            <rFont val="Tahoma"/>
          </rPr>
          <t xml:space="preserve">Seria numeral 7º
</t>
        </r>
      </text>
    </comment>
    <comment ref="A198" authorId="0">
      <text>
        <r>
          <rPr>
            <sz val="8"/>
            <color indexed="81"/>
            <rFont val="Tahoma"/>
          </rPr>
          <t xml:space="preserve">creo que la vijencia económica es de 1878 a 1879.
</t>
        </r>
      </text>
    </comment>
    <comment ref="A379" authorId="0">
      <text>
        <r>
          <rPr>
            <sz val="8"/>
            <color indexed="81"/>
            <rFont val="Tahoma"/>
          </rPr>
          <t xml:space="preserve">creo que la vijencia económica es de 1878 a 1879.
</t>
        </r>
      </text>
    </comment>
  </commentList>
</comments>
</file>

<file path=xl/comments15.xml><?xml version="1.0" encoding="utf-8"?>
<comments xmlns="http://schemas.openxmlformats.org/spreadsheetml/2006/main">
  <authors>
    <author>Ana Maria</author>
  </authors>
  <commentList>
    <comment ref="A31" authorId="0">
      <text>
        <r>
          <rPr>
            <sz val="8"/>
            <color indexed="81"/>
            <rFont val="Tahoma"/>
          </rPr>
          <t xml:space="preserve">No hay datos para este año
</t>
        </r>
      </text>
    </comment>
  </commentList>
</comments>
</file>

<file path=xl/comments16.xml><?xml version="1.0" encoding="utf-8"?>
<comments xmlns="http://schemas.openxmlformats.org/spreadsheetml/2006/main">
  <authors>
    <author>Ana Maria</author>
  </authors>
  <commentList>
    <comment ref="A8" authorId="0">
      <text>
        <r>
          <rPr>
            <sz val="8"/>
            <color indexed="81"/>
            <rFont val="Tahoma"/>
          </rPr>
          <t xml:space="preserve">No se si sea colombianos
</t>
        </r>
      </text>
    </comment>
  </commentList>
</comments>
</file>

<file path=xl/comments17.xml><?xml version="1.0" encoding="utf-8"?>
<comments xmlns="http://schemas.openxmlformats.org/spreadsheetml/2006/main">
  <authors>
    <author>Ana Maria</author>
  </authors>
  <commentList>
    <comment ref="B1" authorId="0">
      <text>
        <r>
          <rPr>
            <sz val="8"/>
            <color indexed="81"/>
            <rFont val="Tahoma"/>
          </rPr>
          <t>Para los años 1863-1864, 1864-1865, 1865-1866, los valores fueron asignados de acuerdo a la información del cuadro No. 9 de la hoja 1870 Tesoro. Los valores de la columna corresponden a las Rentas causadas a deber.</t>
        </r>
      </text>
    </comment>
    <comment ref="E1" authorId="0">
      <text>
        <r>
          <rPr>
            <sz val="8"/>
            <color indexed="81"/>
            <rFont val="Tahoma"/>
          </rPr>
          <t>Los valores de la columna corresponden a las Rentas causadas a deber.</t>
        </r>
      </text>
    </comment>
    <comment ref="H1" authorId="0">
      <text>
        <r>
          <rPr>
            <sz val="8"/>
            <color indexed="81"/>
            <rFont val="Tahoma"/>
          </rPr>
          <t>Los valores de la columna corresponden a las Rentas recaudadas.</t>
        </r>
      </text>
    </comment>
    <comment ref="K1" authorId="0">
      <text>
        <r>
          <rPr>
            <sz val="8"/>
            <color indexed="81"/>
            <rFont val="Tahoma"/>
          </rPr>
          <t>Los valores de la columna corresponden a las Rentas causadas a deber.</t>
        </r>
      </text>
    </comment>
    <comment ref="B10" authorId="0">
      <text>
        <r>
          <rPr>
            <sz val="8"/>
            <color indexed="81"/>
            <rFont val="Tahoma"/>
          </rPr>
          <t>Arrendamiento de bienes desamortizados</t>
        </r>
      </text>
    </comment>
    <comment ref="E10" authorId="0">
      <text>
        <r>
          <rPr>
            <sz val="8"/>
            <color indexed="81"/>
            <rFont val="Tahoma"/>
          </rPr>
          <t>Arrendamiento de bienes desamortizados</t>
        </r>
      </text>
    </comment>
    <comment ref="AC10" authorId="0">
      <text>
        <r>
          <rPr>
            <sz val="8"/>
            <color indexed="81"/>
            <rFont val="Tahoma"/>
          </rPr>
          <t>Renta de bienes desamortizados</t>
        </r>
      </text>
    </comment>
    <comment ref="AF10" authorId="0">
      <text>
        <r>
          <rPr>
            <sz val="8"/>
            <color indexed="81"/>
            <rFont val="Tahoma"/>
          </rPr>
          <t>Renta de bienes desamortizados</t>
        </r>
      </text>
    </comment>
    <comment ref="AI10" authorId="0">
      <text>
        <r>
          <rPr>
            <sz val="8"/>
            <color indexed="81"/>
            <rFont val="Tahoma"/>
          </rPr>
          <t>Renta de bienes desamortizados</t>
        </r>
      </text>
    </comment>
    <comment ref="BA21" authorId="0">
      <text>
        <r>
          <rPr>
            <sz val="8"/>
            <color indexed="81"/>
            <rFont val="Tahoma"/>
          </rPr>
          <t>Impuesto fluvial en el Magdalena</t>
        </r>
      </text>
    </comment>
    <comment ref="AO32" authorId="0">
      <text>
        <r>
          <rPr>
            <sz val="8"/>
            <color indexed="81"/>
            <rFont val="Tahoma"/>
          </rPr>
          <t>Según el cuadro No. 2 de la hoja 1879 Tesoro el valor es de: 4.555.692   998</t>
        </r>
      </text>
    </comment>
  </commentList>
</comments>
</file>

<file path=xl/comments18.xml><?xml version="1.0" encoding="utf-8"?>
<comments xmlns="http://schemas.openxmlformats.org/spreadsheetml/2006/main">
  <authors>
    <author>Ana Maria</author>
  </authors>
  <commentList>
    <comment ref="B1" authorId="0">
      <text>
        <r>
          <rPr>
            <sz val="8"/>
            <color indexed="81"/>
            <rFont val="Tahoma"/>
          </rPr>
          <t>Para los años 1863-1864, 1864-1865, 1865-1866, los valores fueron asignados de acuerdo a la información del cuadro No. 9 de la hoja 1870 Tesoro. Los valores corresponden a los Reconocimientos contra el Tesoro.</t>
        </r>
      </text>
    </comment>
    <comment ref="E1" authorId="0">
      <text>
        <r>
          <rPr>
            <sz val="8"/>
            <color indexed="81"/>
            <rFont val="Tahoma"/>
          </rPr>
          <t>Los valores corresponden a los Pagos ejecutados a los acreedores públicos.</t>
        </r>
      </text>
    </comment>
    <comment ref="H1" authorId="0">
      <text>
        <r>
          <rPr>
            <sz val="8"/>
            <color indexed="81"/>
            <rFont val="Tahoma"/>
          </rPr>
          <t>Los valores corresponden a los Reconocimientos contra el Tesoro.</t>
        </r>
      </text>
    </comment>
    <comment ref="K1" authorId="0">
      <text>
        <r>
          <rPr>
            <sz val="8"/>
            <color indexed="81"/>
            <rFont val="Tahoma"/>
          </rPr>
          <t>Los valores corresponden a los Reconocimientos hechos contra el Tesoro.</t>
        </r>
      </text>
    </comment>
    <comment ref="BA14" authorId="0">
      <text>
        <r>
          <rPr>
            <sz val="8"/>
            <color indexed="81"/>
            <rFont val="Tahoma"/>
          </rPr>
          <t>Correos y Telégrafos</t>
        </r>
      </text>
    </comment>
    <comment ref="AI18" authorId="0">
      <text>
        <r>
          <rPr>
            <sz val="8"/>
            <color indexed="81"/>
            <rFont val="Tahoma"/>
          </rPr>
          <t>Bienes desamortizados</t>
        </r>
      </text>
    </comment>
    <comment ref="AL18" authorId="0">
      <text>
        <r>
          <rPr>
            <sz val="8"/>
            <color indexed="81"/>
            <rFont val="Tahoma"/>
          </rPr>
          <t>Bienes desamortizados</t>
        </r>
      </text>
    </comment>
    <comment ref="AO18" authorId="0">
      <text>
        <r>
          <rPr>
            <sz val="8"/>
            <color indexed="81"/>
            <rFont val="Tahoma"/>
          </rPr>
          <t>Bienes desamortizados</t>
        </r>
      </text>
    </comment>
    <comment ref="AR18" authorId="0">
      <text>
        <r>
          <rPr>
            <sz val="8"/>
            <color indexed="81"/>
            <rFont val="Tahoma"/>
          </rPr>
          <t>Bienes desamortizados</t>
        </r>
      </text>
    </comment>
  </commentList>
</comments>
</file>

<file path=xl/comments19.xml><?xml version="1.0" encoding="utf-8"?>
<comments xmlns="http://schemas.openxmlformats.org/spreadsheetml/2006/main">
  <authors>
    <author>Ana Maria</author>
    <author>Ana</author>
    <author>Presidencia</author>
    <author>JUANITA</author>
  </authors>
  <commentList>
    <comment ref="FC1" authorId="0">
      <text>
        <r>
          <rPr>
            <sz val="8"/>
            <color indexed="81"/>
            <rFont val="Tahoma"/>
          </rPr>
          <t xml:space="preserve">hice esta columna debido a que no hay cifras individuales para todo
</t>
        </r>
      </text>
    </comment>
    <comment ref="CU2" authorId="0">
      <text>
        <r>
          <rPr>
            <sz val="8"/>
            <color indexed="81"/>
            <rFont val="Tahoma"/>
          </rPr>
          <t>Este valor no coincide con el del cuadro No.  1 de la hoja  1877 Hacienda, el valor es: 2089.065   81  1/2 y con el del cuadro No. 2  de la hoja 1879 Hacienda en el que el valor es de 2.089.066</t>
        </r>
      </text>
    </comment>
    <comment ref="CX2" authorId="0">
      <text>
        <r>
          <rPr>
            <sz val="8"/>
            <color indexed="81"/>
            <rFont val="Tahoma"/>
          </rPr>
          <t>Este valor no coincide con el del cuadro No.  1 de la hoja  1877 Hacienda, el valor es: 1.575.904  3  3/4 y con el del cuadro No. 2  de la hoja 1879 Hacienda en el que el valor es de 1.575.905</t>
        </r>
      </text>
    </comment>
    <comment ref="DA2" authorId="0">
      <text>
        <r>
          <rPr>
            <sz val="8"/>
            <color indexed="81"/>
            <rFont val="Tahoma"/>
          </rPr>
          <t>Este valor no coincide con el del cuadro No.  1 de la hoja  1877 Hacienda, el valor es: 1.561.082   11  3/4</t>
        </r>
      </text>
    </comment>
    <comment ref="DG2" authorId="0">
      <text>
        <r>
          <rPr>
            <sz val="8"/>
            <color indexed="81"/>
            <rFont val="Tahoma"/>
          </rPr>
          <t>Este valor no coincide con el del cuadro No.  1 de la hoja  1877 Hacienda, el valor es: 2.775.450   38   1/2</t>
        </r>
      </text>
    </comment>
    <comment ref="DJ2" authorId="0">
      <text>
        <r>
          <rPr>
            <sz val="8"/>
            <color indexed="81"/>
            <rFont val="Tahoma"/>
          </rPr>
          <t>Este valor no coincide con el del cuadro No.  1 de la hoja  1877 Hacienda, el valor es: 2.811.158    92  1/2 y con el del cuadro No. 2  de la hoja 1879 Hacienda en el que el valor es de 2.811.158</t>
        </r>
      </text>
    </comment>
    <comment ref="EE2" authorId="0">
      <text>
        <r>
          <rPr>
            <sz val="8"/>
            <color indexed="81"/>
            <rFont val="Tahoma"/>
          </rPr>
          <t>Según el cuadro No. 2 de la hoja 1885 Hacienda el valor es de 3.930.862</t>
        </r>
      </text>
    </comment>
    <comment ref="EW2" authorId="0">
      <text>
        <r>
          <rPr>
            <sz val="8"/>
            <color indexed="81"/>
            <rFont val="Tahoma"/>
          </rPr>
          <t xml:space="preserve">Pagos en el año de Septiembre á Diciembre de                                           1886
1.552.765 </t>
        </r>
      </text>
    </comment>
    <comment ref="FL2" authorId="0">
      <text>
        <r>
          <rPr>
            <sz val="8"/>
            <color indexed="81"/>
            <rFont val="Tahoma"/>
          </rPr>
          <t>Según el cuadro Nº 2 de la hoja 1892 Hacienda el valor es: 9.506.989</t>
        </r>
      </text>
    </comment>
    <comment ref="HL2" authorId="0">
      <text>
        <r>
          <rPr>
            <sz val="8"/>
            <color indexed="81"/>
            <rFont val="Tahoma"/>
          </rPr>
          <t>Derechos de importación y exportación (Aduanas, Oficinas postales y derechos diferenciales en Pasto</t>
        </r>
      </text>
    </comment>
    <comment ref="HP2" authorId="0">
      <text>
        <r>
          <rPr>
            <sz val="8"/>
            <color indexed="81"/>
            <rFont val="Tahoma"/>
          </rPr>
          <t>Derechos de aduana (deducido lo devuelto)</t>
        </r>
      </text>
    </comment>
    <comment ref="HT2" authorId="0">
      <text>
        <r>
          <rPr>
            <sz val="8"/>
            <color indexed="81"/>
            <rFont val="Tahoma"/>
          </rPr>
          <t xml:space="preserve">Deducido derechos de importación liquidados demás y devueltos durante el año
</t>
        </r>
      </text>
    </comment>
    <comment ref="BQ7" authorId="0">
      <text>
        <r>
          <rPr>
            <sz val="8"/>
            <color indexed="81"/>
            <rFont val="Tahoma"/>
          </rPr>
          <t>Aprovechamientos</t>
        </r>
      </text>
    </comment>
    <comment ref="CI7" authorId="0">
      <text>
        <r>
          <rPr>
            <sz val="8"/>
            <color indexed="81"/>
            <rFont val="Tahoma"/>
          </rPr>
          <t>Aprovechamientos</t>
        </r>
      </text>
    </comment>
    <comment ref="DA7" authorId="0">
      <text>
        <r>
          <rPr>
            <sz val="8"/>
            <color indexed="81"/>
            <rFont val="Tahoma"/>
          </rPr>
          <t>Aprovechamientos</t>
        </r>
      </text>
    </comment>
    <comment ref="DJ7" authorId="0">
      <text>
        <r>
          <rPr>
            <sz val="8"/>
            <color indexed="81"/>
            <rFont val="Tahoma"/>
          </rPr>
          <t>Aprovechamientos</t>
        </r>
      </text>
    </comment>
    <comment ref="HT7" authorId="0">
      <text>
        <r>
          <rPr>
            <sz val="8"/>
            <color indexed="81"/>
            <rFont val="Tahoma"/>
          </rPr>
          <t>Unicamente Lastre</t>
        </r>
      </text>
    </comment>
    <comment ref="AI9" authorId="1">
      <text>
        <r>
          <rPr>
            <sz val="8"/>
            <color indexed="81"/>
            <rFont val="Tahoma"/>
          </rPr>
          <t>Deducido el sueldo eventual de de los administradores subalternos</t>
        </r>
      </text>
    </comment>
    <comment ref="BM9" authorId="0">
      <text>
        <r>
          <rPr>
            <sz val="8"/>
            <color indexed="81"/>
            <rFont val="Tahoma"/>
          </rPr>
          <t>Incluye valor adicional</t>
        </r>
      </text>
    </comment>
    <comment ref="BN9" authorId="0">
      <text>
        <r>
          <rPr>
            <sz val="8"/>
            <color indexed="81"/>
            <rFont val="Tahoma"/>
          </rPr>
          <t>Incluye valor adicional</t>
        </r>
      </text>
    </comment>
    <comment ref="DY9" authorId="0">
      <text>
        <r>
          <rPr>
            <sz val="8"/>
            <color indexed="81"/>
            <rFont val="Tahoma"/>
          </rPr>
          <t>Este valor no coincide con el del cuadro No. 2 de la hoja 1881 Hacienda, el valor es: 86.444  630</t>
        </r>
      </text>
    </comment>
    <comment ref="EH9" authorId="0">
      <text>
        <r>
          <rPr>
            <sz val="8"/>
            <color indexed="81"/>
            <rFont val="Tahoma"/>
          </rPr>
          <t xml:space="preserve">Correos y telégrafos
</t>
        </r>
      </text>
    </comment>
    <comment ref="FC9" authorId="0">
      <text>
        <r>
          <rPr>
            <sz val="8"/>
            <color indexed="81"/>
            <rFont val="Tahoma"/>
          </rPr>
          <t>Correos (aproximación)</t>
        </r>
      </text>
    </comment>
    <comment ref="HL9" authorId="0">
      <text>
        <r>
          <rPr>
            <sz val="8"/>
            <color indexed="81"/>
            <rFont val="Tahoma"/>
          </rPr>
          <t>Portes de correos</t>
        </r>
      </text>
    </comment>
    <comment ref="AI10" authorId="2">
      <text>
        <r>
          <rPr>
            <sz val="8"/>
            <color indexed="81"/>
            <rFont val="Tahoma"/>
          </rPr>
          <t>Utilidades de dos casas</t>
        </r>
      </text>
    </comment>
    <comment ref="AL10" authorId="3">
      <text>
        <r>
          <rPr>
            <sz val="8"/>
            <color indexed="81"/>
            <rFont val="Tahoma"/>
          </rPr>
          <t>El valor en el cuadro No 2 de hoja 1846 Hacienda es de 2,102,134  4  1/2 que incluye el valor de las pastas compradas i diversos gastos ordinarios i estraordinarios</t>
        </r>
      </text>
    </comment>
    <comment ref="DA10" authorId="0">
      <text>
        <r>
          <rPr>
            <sz val="8"/>
            <color indexed="81"/>
            <rFont val="Tahoma"/>
          </rPr>
          <t>Monedas. (Casas de Bogotá i Popayan)</t>
        </r>
      </text>
    </comment>
    <comment ref="DY10" authorId="0">
      <text>
        <r>
          <rPr>
            <sz val="8"/>
            <color indexed="81"/>
            <rFont val="Tahoma"/>
          </rPr>
          <t>Este valor no coincide con el del cuadro No. 2 de la hoja 1881 Hacienda, el valor es: 7.618    821</t>
        </r>
      </text>
    </comment>
    <comment ref="HH10" authorId="0">
      <text>
        <r>
          <rPr>
            <sz val="8"/>
            <color indexed="81"/>
            <rFont val="Tahoma"/>
          </rPr>
          <t xml:space="preserve">Acuñación de moneda
</t>
        </r>
      </text>
    </comment>
    <comment ref="HJ10" authorId="0">
      <text>
        <r>
          <rPr>
            <sz val="8"/>
            <color indexed="81"/>
            <rFont val="Tahoma"/>
          </rPr>
          <t>Acuñación de moneda</t>
        </r>
        <r>
          <rPr>
            <b/>
            <sz val="8"/>
            <color indexed="81"/>
            <rFont val="Tahoma"/>
            <family val="2"/>
          </rPr>
          <t xml:space="preserve">
</t>
        </r>
      </text>
    </comment>
    <comment ref="AJ14" authorId="0">
      <text>
        <r>
          <rPr>
            <sz val="8"/>
            <color indexed="81"/>
            <rFont val="Tahoma"/>
          </rPr>
          <t xml:space="preserve">Digito sacado de cuadro No. 5  hoja 1843 hacienda 
</t>
        </r>
      </text>
    </comment>
    <comment ref="AJ16" authorId="0">
      <text>
        <r>
          <rPr>
            <sz val="8"/>
            <color indexed="81"/>
            <rFont val="Tahoma"/>
          </rPr>
          <t>según cuadro No. 1 Hoja 1845 Hacienda el valor 288,562  1  3/4</t>
        </r>
      </text>
    </comment>
    <comment ref="AL16" authorId="3">
      <text>
        <r>
          <rPr>
            <sz val="8"/>
            <color indexed="81"/>
            <rFont val="Tahoma"/>
          </rPr>
          <t>El valor en el cuadro No 2 de hoja 1846 Hacienda es de 535,547  6  3/4 lo cual incluye lo gastado en costos de produccion, sueldos eventuales i otros gravámenes</t>
        </r>
      </text>
    </comment>
    <comment ref="BC16" authorId="0">
      <text>
        <r>
          <rPr>
            <sz val="8"/>
            <color indexed="81"/>
            <rFont val="Tahoma"/>
          </rPr>
          <t>Este valor no coincide con el del cuadro No. 
2 de la hoja 1879 Hacienda, el valor es : 482594</t>
        </r>
      </text>
    </comment>
    <comment ref="BE16" authorId="0">
      <text>
        <r>
          <rPr>
            <sz val="8"/>
            <color indexed="81"/>
            <rFont val="Tahoma"/>
          </rPr>
          <t>Este valor no coincide con el del cuadro No. 
2 de la hoja 1879 Hacienda, el valor es : 406370</t>
        </r>
      </text>
    </comment>
    <comment ref="CO16" authorId="0">
      <text>
        <r>
          <rPr>
            <sz val="8"/>
            <color indexed="81"/>
            <rFont val="Tahoma"/>
          </rPr>
          <t>Este valor no coincide con el del cuadro No. 
2 de la hoja 1879 Hacienda, el valor es : 1.066.614</t>
        </r>
      </text>
    </comment>
    <comment ref="CR16" authorId="0">
      <text>
        <r>
          <rPr>
            <sz val="8"/>
            <color indexed="81"/>
            <rFont val="Tahoma"/>
          </rPr>
          <t>Este valor no coincide con el del cuadro No. 
2 de la hoja 1879 Hacienda, el valor es : 728.184</t>
        </r>
      </text>
    </comment>
    <comment ref="FF16" authorId="0">
      <text>
        <r>
          <rPr>
            <sz val="8"/>
            <color indexed="81"/>
            <rFont val="Tahoma"/>
          </rPr>
          <t>Según el cuadro No. 6 de la hoja 1892 el valor es 1.527.621</t>
        </r>
      </text>
    </comment>
    <comment ref="FL16" authorId="0">
      <text>
        <r>
          <rPr>
            <sz val="8"/>
            <color indexed="81"/>
            <rFont val="Tahoma"/>
          </rPr>
          <t>Según el cuadro Nº 2 de la hoja 1892 Hacienda y el cuadro No. 6 de la Hoja 1898 Hacienda  el valor es de: 1.187.070   60</t>
        </r>
      </text>
    </comment>
    <comment ref="FU16" authorId="0">
      <text>
        <r>
          <rPr>
            <sz val="8"/>
            <color indexed="81"/>
            <rFont val="Tahoma"/>
          </rPr>
          <t>Según el cuadro No. 6 de la Hoja 1898 el valor es de: 1.601.829  5</t>
        </r>
      </text>
    </comment>
    <comment ref="FX16" authorId="0">
      <text>
        <r>
          <rPr>
            <sz val="8"/>
            <color indexed="81"/>
            <rFont val="Tahoma"/>
          </rPr>
          <t>El valor en el cuadro No. 1 de la hoja 1898 Hacienda y del cuadro No.6 de la hoja 1898 Hacienda es de: 1.644.452   30</t>
        </r>
      </text>
    </comment>
    <comment ref="EW17" authorId="0">
      <text>
        <r>
          <rPr>
            <sz val="8"/>
            <color indexed="81"/>
            <rFont val="Tahoma"/>
          </rPr>
          <t xml:space="preserve">Salinas del interior
</t>
        </r>
      </text>
    </comment>
    <comment ref="HL17" authorId="0">
      <text>
        <r>
          <rPr>
            <sz val="8"/>
            <color indexed="81"/>
            <rFont val="Tahoma"/>
          </rPr>
          <t>Salinas terrestres y carboneras dependientes de ella</t>
        </r>
      </text>
    </comment>
    <comment ref="HP17" authorId="0">
      <text>
        <r>
          <rPr>
            <sz val="8"/>
            <color indexed="81"/>
            <rFont val="Tahoma"/>
          </rPr>
          <t>Salinas terrestres y carboneras dependientes de ellas</t>
        </r>
      </text>
    </comment>
    <comment ref="BM19" authorId="0">
      <text>
        <r>
          <rPr>
            <sz val="8"/>
            <color indexed="81"/>
            <rFont val="Tahoma"/>
          </rPr>
          <t>Incluye valor adicional</t>
        </r>
      </text>
    </comment>
    <comment ref="BN19" authorId="0">
      <text>
        <r>
          <rPr>
            <sz val="8"/>
            <color indexed="81"/>
            <rFont val="Tahoma"/>
          </rPr>
          <t>Incluye valor adicional</t>
        </r>
      </text>
    </comment>
    <comment ref="FC19" authorId="0">
      <text>
        <r>
          <rPr>
            <sz val="8"/>
            <color indexed="81"/>
            <rFont val="Tahoma"/>
          </rPr>
          <t xml:space="preserve">Papel sellado y timbre nacional </t>
        </r>
      </text>
    </comment>
    <comment ref="FR19" authorId="0">
      <text>
        <r>
          <rPr>
            <sz val="8"/>
            <color indexed="81"/>
            <rFont val="Tahoma"/>
          </rPr>
          <t>Papel sellado y timbre nacional</t>
        </r>
      </text>
    </comment>
    <comment ref="HB19" authorId="0">
      <text>
        <r>
          <rPr>
            <sz val="8"/>
            <color indexed="81"/>
            <rFont val="Tahoma"/>
          </rPr>
          <t xml:space="preserve">De 1905 hasta 1909 es papel sellado y timbre nacional
</t>
        </r>
      </text>
    </comment>
    <comment ref="HL19" authorId="0">
      <text>
        <r>
          <rPr>
            <sz val="8"/>
            <color indexed="81"/>
            <rFont val="Tahoma"/>
          </rPr>
          <t>Papel sellado y estampillas (Timbre Nacional)</t>
        </r>
      </text>
    </comment>
    <comment ref="HP19" authorId="0">
      <text>
        <r>
          <rPr>
            <sz val="8"/>
            <color indexed="81"/>
            <rFont val="Tahoma"/>
          </rPr>
          <t>Timbre Nacional (papel sellado y estampillas)</t>
        </r>
      </text>
    </comment>
    <comment ref="HT19" authorId="0">
      <text>
        <r>
          <rPr>
            <sz val="8"/>
            <color indexed="81"/>
            <rFont val="Tahoma"/>
          </rPr>
          <t>Papel sellado y timbre nacional</t>
        </r>
      </text>
    </comment>
    <comment ref="BA27" authorId="0">
      <text>
        <r>
          <rPr>
            <sz val="8"/>
            <color indexed="81"/>
            <rFont val="Tahoma"/>
          </rPr>
          <t>Sello i derecho de títulos</t>
        </r>
      </text>
    </comment>
    <comment ref="BC27" authorId="0">
      <text>
        <r>
          <rPr>
            <sz val="8"/>
            <color indexed="81"/>
            <rFont val="Tahoma"/>
          </rPr>
          <t>Sello i derecho de títulos</t>
        </r>
      </text>
    </comment>
    <comment ref="BE27" authorId="0">
      <text>
        <r>
          <rPr>
            <sz val="8"/>
            <color indexed="81"/>
            <rFont val="Tahoma"/>
          </rPr>
          <t>Sello i derecho de títulos</t>
        </r>
      </text>
    </comment>
    <comment ref="BG27" authorId="0">
      <text>
        <r>
          <rPr>
            <sz val="8"/>
            <color indexed="81"/>
            <rFont val="Tahoma"/>
          </rPr>
          <t>Sello i derecho de títulos</t>
        </r>
      </text>
    </comment>
    <comment ref="BI27" authorId="0">
      <text>
        <r>
          <rPr>
            <sz val="8"/>
            <color indexed="81"/>
            <rFont val="Tahoma"/>
          </rPr>
          <t>Sello i derecho de títulos</t>
        </r>
      </text>
    </comment>
    <comment ref="A33" authorId="0">
      <text>
        <r>
          <rPr>
            <sz val="8"/>
            <color indexed="81"/>
            <rFont val="Tahoma"/>
          </rPr>
          <t xml:space="preserve">Categoria del cuadro No.1 de la hoja 1845 Hacienda en esta se suma los ramos ajenos con los restantes de tesoreria, como alcances de cuentas, reintegros, premios de demora, y resagos de contribuciones suprimidas
</t>
        </r>
      </text>
    </comment>
    <comment ref="AL33" authorId="0">
      <text>
        <r>
          <rPr>
            <sz val="8"/>
            <color indexed="81"/>
            <rFont val="Tahoma"/>
          </rPr>
          <t>El valor en el cuadro No 2 de hoja 1846 Hacienda es de 
85,114   6  3/4</t>
        </r>
      </text>
    </comment>
    <comment ref="DY34" authorId="0">
      <text>
        <r>
          <rPr>
            <sz val="8"/>
            <color indexed="81"/>
            <rFont val="Tahoma"/>
          </rPr>
          <t>Este valor no coincide con el del cuadro No. 2 de la hoja 1881 Hacienda, el valor es: 23.299   700</t>
        </r>
      </text>
    </comment>
    <comment ref="HL34" authorId="0">
      <text>
        <r>
          <rPr>
            <sz val="8"/>
            <color indexed="81"/>
            <rFont val="Tahoma"/>
          </rPr>
          <t>Dato del Cuadro No.1 de la hoja 1912 Hacienda, este no se encuentra dentro del cuadro de Rentas publicas del 2010, por eso al final la suma no cuadra</t>
        </r>
      </text>
    </comment>
    <comment ref="HL35" authorId="0">
      <text>
        <r>
          <rPr>
            <sz val="8"/>
            <color indexed="81"/>
            <rFont val="Tahoma"/>
          </rPr>
          <t>Derechos consulares (inclusive lo recaudado en las Agencias Postales)</t>
        </r>
      </text>
    </comment>
    <comment ref="HD36" authorId="0">
      <text>
        <r>
          <rPr>
            <sz val="8"/>
            <color indexed="81"/>
            <rFont val="Tahoma"/>
          </rPr>
          <t>Minas de esmeraldas de Santa Ana y La Manta, Supía y Marmato y derechos sobre minas.</t>
        </r>
      </text>
    </comment>
    <comment ref="HF36" authorId="0">
      <text>
        <r>
          <rPr>
            <sz val="8"/>
            <color indexed="81"/>
            <rFont val="Tahoma"/>
          </rPr>
          <t>Minas de esmeraldas de Santa Ana y La Manta, Supía y Marmato y derechos sobre minas.</t>
        </r>
      </text>
    </comment>
    <comment ref="HL36" authorId="0">
      <text>
        <r>
          <rPr>
            <sz val="8"/>
            <color indexed="81"/>
            <rFont val="Tahoma"/>
          </rPr>
          <t>Impuestos sobre minas</t>
        </r>
      </text>
    </comment>
    <comment ref="HJ38" authorId="0">
      <text>
        <r>
          <rPr>
            <sz val="8"/>
            <color indexed="81"/>
            <rFont val="Tahoma"/>
          </rPr>
          <t>Minas de Santa Ana y La Manta, Supía y Marmato</t>
        </r>
      </text>
    </comment>
    <comment ref="FR41" authorId="0">
      <text>
        <r>
          <rPr>
            <sz val="8"/>
            <color indexed="81"/>
            <rFont val="Tahoma"/>
          </rPr>
          <t>Desde 1893 á 1895 el valor es del
Arrendamiento de las minas de Santana, Supía, y Marmato</t>
        </r>
      </text>
    </comment>
    <comment ref="GA41" authorId="0">
      <text>
        <r>
          <rPr>
            <sz val="8"/>
            <color indexed="81"/>
            <rFont val="Tahoma"/>
          </rPr>
          <t>Arrendamiento de las minas de Muzo y Coscuez</t>
        </r>
      </text>
    </comment>
    <comment ref="DY42" authorId="0">
      <text>
        <r>
          <rPr>
            <sz val="8"/>
            <color indexed="81"/>
            <rFont val="Tahoma"/>
          </rPr>
          <t xml:space="preserve"> Ingresos varios (por alcances y reintegros)-Este valor no coincide con el del cuadro No. 2 de la hoja 1881 Hacienda, el valor es: 319.421  574</t>
        </r>
      </text>
    </comment>
    <comment ref="FL42" authorId="0">
      <text>
        <r>
          <rPr>
            <sz val="8"/>
            <color indexed="81"/>
            <rFont val="Tahoma"/>
          </rPr>
          <t>Ingresos varios, aprovechamientos etc</t>
        </r>
      </text>
    </comment>
    <comment ref="HL42" authorId="0">
      <text>
        <r>
          <rPr>
            <sz val="8"/>
            <color indexed="81"/>
            <rFont val="Tahoma"/>
          </rPr>
          <t>Ingresos varios, sin contar los de las Aduanas</t>
        </r>
      </text>
    </comment>
    <comment ref="HP43" authorId="0">
      <text>
        <r>
          <rPr>
            <sz val="8"/>
            <color indexed="81"/>
            <rFont val="Tahoma"/>
          </rPr>
          <t>Patentes de privilegio, marcas de comercio, etc</t>
        </r>
      </text>
    </comment>
    <comment ref="BA46" authorId="0">
      <text>
        <r>
          <rPr>
            <sz val="8"/>
            <color indexed="81"/>
            <rFont val="Tahoma"/>
          </rPr>
          <t>Bienes nacionales</t>
        </r>
      </text>
    </comment>
    <comment ref="BE46" authorId="0">
      <text>
        <r>
          <rPr>
            <sz val="8"/>
            <color indexed="81"/>
            <rFont val="Tahoma"/>
          </rPr>
          <t>Bienes nacionales</t>
        </r>
      </text>
    </comment>
    <comment ref="BG46" authorId="0">
      <text>
        <r>
          <rPr>
            <sz val="8"/>
            <color indexed="81"/>
            <rFont val="Tahoma"/>
          </rPr>
          <t>Bienes nacionales</t>
        </r>
      </text>
    </comment>
    <comment ref="BI46" authorId="0">
      <text>
        <r>
          <rPr>
            <sz val="8"/>
            <color indexed="81"/>
            <rFont val="Tahoma"/>
          </rPr>
          <t>Bienes nacionales</t>
        </r>
      </text>
    </comment>
    <comment ref="DA46" authorId="0">
      <text>
        <r>
          <rPr>
            <sz val="8"/>
            <color indexed="81"/>
            <rFont val="Tahoma"/>
          </rPr>
          <t>Bienes nacionales venta i arrendamiento (dinero)</t>
        </r>
      </text>
    </comment>
    <comment ref="DY46" authorId="0">
      <text>
        <r>
          <rPr>
            <sz val="8"/>
            <color indexed="81"/>
            <rFont val="Tahoma"/>
          </rPr>
          <t>Este valor no coincide con el del cuadro No. 2 de la hoja 1881 Hacienda, el valor es: 39.762   115</t>
        </r>
      </text>
    </comment>
    <comment ref="HF46" authorId="0">
      <text>
        <r>
          <rPr>
            <sz val="8"/>
            <color indexed="81"/>
            <rFont val="Tahoma"/>
          </rPr>
          <t>Solo bienes nacionales</t>
        </r>
      </text>
    </comment>
    <comment ref="HH46" authorId="0">
      <text>
        <r>
          <rPr>
            <sz val="8"/>
            <color indexed="81"/>
            <rFont val="Tahoma"/>
          </rPr>
          <t>Solo bienes nacionales</t>
        </r>
      </text>
    </comment>
    <comment ref="HJ46" authorId="0">
      <text>
        <r>
          <rPr>
            <sz val="8"/>
            <color indexed="81"/>
            <rFont val="Tahoma"/>
          </rPr>
          <t>Solo bienes nacionales</t>
        </r>
      </text>
    </comment>
    <comment ref="HL46" authorId="0">
      <text>
        <r>
          <rPr>
            <sz val="8"/>
            <color indexed="81"/>
            <rFont val="Tahoma"/>
          </rPr>
          <t>Solo bienes nacionales</t>
        </r>
      </text>
    </comment>
    <comment ref="HP46" authorId="0">
      <text>
        <r>
          <rPr>
            <sz val="8"/>
            <color indexed="81"/>
            <rFont val="Tahoma"/>
          </rPr>
          <t>Bienes nacionales, inclusive el producto de explotación de bosques</t>
        </r>
      </text>
    </comment>
    <comment ref="HJ47" authorId="0">
      <text>
        <r>
          <rPr>
            <sz val="8"/>
            <color indexed="81"/>
            <rFont val="Tahoma"/>
          </rPr>
          <t>Derechos de puerto (faros, lastre, tonelaje y otros)</t>
        </r>
      </text>
    </comment>
    <comment ref="HL47" authorId="0">
      <text>
        <r>
          <rPr>
            <sz val="8"/>
            <color indexed="81"/>
            <rFont val="Tahoma"/>
          </rPr>
          <t>Derechos de puerto (Faros Tonelaje y Práctico)</t>
        </r>
      </text>
    </comment>
    <comment ref="HP47" authorId="0">
      <text>
        <r>
          <rPr>
            <sz val="8"/>
            <color indexed="81"/>
            <rFont val="Tahoma"/>
          </rPr>
          <t>Derechos de puerto incluye tonelaje, faros, lastre, muelles y prácticos</t>
        </r>
      </text>
    </comment>
    <comment ref="HT47" authorId="0">
      <text>
        <r>
          <rPr>
            <sz val="8"/>
            <color indexed="81"/>
            <rFont val="Tahoma"/>
          </rPr>
          <t>Incluye faros, muelle, práctico y remolque</t>
        </r>
      </text>
    </comment>
    <comment ref="HN53" authorId="0">
      <text>
        <r>
          <rPr>
            <sz val="8"/>
            <color indexed="81"/>
            <rFont val="Tahoma"/>
          </rPr>
          <t xml:space="preserve">Cuadro No. 2 Hoja 1912 Hacienda
</t>
        </r>
      </text>
    </comment>
    <comment ref="HN55" authorId="0">
      <text>
        <r>
          <rPr>
            <sz val="8"/>
            <color indexed="81"/>
            <rFont val="Tahoma"/>
          </rPr>
          <t>Cuadro No.2 Hoja 1912 Hacienda Fósforo de palito</t>
        </r>
      </text>
    </comment>
    <comment ref="HD57" authorId="0">
      <text>
        <r>
          <rPr>
            <sz val="8"/>
            <color indexed="81"/>
            <rFont val="Tahoma"/>
          </rPr>
          <t>Derecho de degüello y pieles</t>
        </r>
      </text>
    </comment>
    <comment ref="HF57" authorId="0">
      <text>
        <r>
          <rPr>
            <sz val="8"/>
            <color indexed="81"/>
            <rFont val="Tahoma"/>
          </rPr>
          <t>Derecho de degüello y pieles</t>
        </r>
      </text>
    </comment>
    <comment ref="HH57" authorId="0">
      <text>
        <r>
          <rPr>
            <sz val="8"/>
            <color indexed="81"/>
            <rFont val="Tahoma"/>
          </rPr>
          <t xml:space="preserve">Derecho de degüello y pieles
</t>
        </r>
      </text>
    </comment>
    <comment ref="HL60" authorId="0">
      <text>
        <r>
          <rPr>
            <sz val="8"/>
            <color indexed="81"/>
            <rFont val="Tahoma"/>
          </rPr>
          <t>Productos de Ferrocarril de la Sabana</t>
        </r>
      </text>
    </comment>
    <comment ref="DY61" authorId="0">
      <text>
        <r>
          <rPr>
            <sz val="8"/>
            <color indexed="81"/>
            <rFont val="Tahoma"/>
          </rPr>
          <t>Según este informe el verdadero valor recaudado hasta el 31 de Agosto fue de $135,426-67</t>
        </r>
      </text>
    </comment>
    <comment ref="FC61" authorId="0">
      <text>
        <r>
          <rPr>
            <sz val="8"/>
            <color indexed="81"/>
            <rFont val="Tahoma"/>
          </rPr>
          <t>Ferrocarril de Panamá (oro)</t>
        </r>
      </text>
    </comment>
    <comment ref="DY63" authorId="0">
      <text>
        <r>
          <rPr>
            <sz val="8"/>
            <color indexed="81"/>
            <rFont val="Tahoma"/>
          </rPr>
          <t>Según el Administrador del Ferrocarril el valor es de $137,975-50</t>
        </r>
      </text>
    </comment>
    <comment ref="HL68" authorId="0">
      <text>
        <r>
          <rPr>
            <sz val="8"/>
            <color indexed="81"/>
            <rFont val="Tahoma"/>
          </rPr>
          <t>Derechos sobre mortuorias y donaciones (Lazaretos)</t>
        </r>
      </text>
    </comment>
    <comment ref="HP68" authorId="0">
      <text>
        <r>
          <rPr>
            <sz val="8"/>
            <color indexed="81"/>
            <rFont val="Tahoma"/>
          </rPr>
          <t>Derechos sobre mortuorias y donaciones</t>
        </r>
      </text>
    </comment>
    <comment ref="HT68" authorId="0">
      <text>
        <r>
          <rPr>
            <sz val="8"/>
            <color indexed="81"/>
            <rFont val="Tahoma"/>
          </rPr>
          <t>Sucesiones y donaciones</t>
        </r>
      </text>
    </comment>
    <comment ref="HJ69" authorId="0">
      <text>
        <r>
          <rPr>
            <sz val="8"/>
            <color indexed="81"/>
            <rFont val="Tahoma"/>
          </rPr>
          <t xml:space="preserve">Dos por ciento para la destrucción de la langosta
</t>
        </r>
      </text>
    </comment>
    <comment ref="EB74" authorId="0">
      <text>
        <r>
          <rPr>
            <sz val="8"/>
            <color indexed="81"/>
            <rFont val="Tahoma"/>
          </rPr>
          <t>Peajes de los rios navegables</t>
        </r>
      </text>
    </comment>
    <comment ref="DY75" authorId="0">
      <text>
        <r>
          <rPr>
            <sz val="8"/>
            <color indexed="81"/>
            <rFont val="Tahoma"/>
          </rPr>
          <t>Este valor no coincide con el del cuadro No. 2 de la hoja 1881 Hacienda, el valor es: 9.989   800</t>
        </r>
      </text>
    </comment>
    <comment ref="EE75" authorId="0">
      <text>
        <r>
          <rPr>
            <sz val="8"/>
            <color indexed="81"/>
            <rFont val="Tahoma"/>
          </rPr>
          <t>Impuesto fluvial en el Magdalena</t>
        </r>
      </text>
    </comment>
    <comment ref="FL75" authorId="0">
      <text>
        <r>
          <rPr>
            <sz val="8"/>
            <color indexed="81"/>
            <rFont val="Tahoma"/>
          </rPr>
          <t>Impuesto fluvial del Río Magdalena</t>
        </r>
      </text>
    </comment>
    <comment ref="AW77" authorId="0">
      <text>
        <r>
          <rPr>
            <sz val="8"/>
            <color indexed="81"/>
            <rFont val="Tahoma"/>
          </rPr>
          <t>Peaje, pasaje i pontazgo</t>
        </r>
      </text>
    </comment>
    <comment ref="AY77" authorId="0">
      <text>
        <r>
          <rPr>
            <sz val="8"/>
            <color indexed="81"/>
            <rFont val="Tahoma"/>
          </rPr>
          <t>Peaje, pasaje i pontazgo</t>
        </r>
      </text>
    </comment>
    <comment ref="BA77" authorId="0">
      <text>
        <r>
          <rPr>
            <sz val="8"/>
            <color indexed="81"/>
            <rFont val="Tahoma"/>
          </rPr>
          <t>Peaje, pasaje i pontazgo</t>
        </r>
      </text>
    </comment>
    <comment ref="BC77" authorId="0">
      <text>
        <r>
          <rPr>
            <sz val="8"/>
            <color indexed="81"/>
            <rFont val="Tahoma"/>
          </rPr>
          <t>Peaje, pasaje i pontazgo</t>
        </r>
      </text>
    </comment>
    <comment ref="BE77" authorId="0">
      <text>
        <r>
          <rPr>
            <sz val="8"/>
            <color indexed="81"/>
            <rFont val="Tahoma"/>
          </rPr>
          <t>Peaje, pasaje i pontazgo</t>
        </r>
      </text>
    </comment>
    <comment ref="BG77" authorId="0">
      <text>
        <r>
          <rPr>
            <sz val="8"/>
            <color indexed="81"/>
            <rFont val="Tahoma"/>
          </rPr>
          <t>Peaje, pasaje i pontazgo</t>
        </r>
      </text>
    </comment>
    <comment ref="BI77" authorId="0">
      <text>
        <r>
          <rPr>
            <sz val="8"/>
            <color indexed="81"/>
            <rFont val="Tahoma"/>
          </rPr>
          <t>Peaje, pasaje i pontazgo</t>
        </r>
      </text>
    </comment>
    <comment ref="BK77" authorId="0">
      <text>
        <r>
          <rPr>
            <sz val="8"/>
            <color indexed="81"/>
            <rFont val="Tahoma"/>
          </rPr>
          <t>Caminos, peaje, pasaje y pontazgo</t>
        </r>
      </text>
    </comment>
    <comment ref="BK100" authorId="0">
      <text>
        <r>
          <rPr>
            <sz val="8"/>
            <color indexed="81"/>
            <rFont val="Tahoma"/>
          </rPr>
          <t>Aprovechamientos, censos alquileres i premios</t>
        </r>
      </text>
    </comment>
    <comment ref="BM100" authorId="0">
      <text>
        <r>
          <rPr>
            <sz val="8"/>
            <color indexed="81"/>
            <rFont val="Tahoma"/>
          </rPr>
          <t>Aprovechamientos, censos alquileres i premios</t>
        </r>
      </text>
    </comment>
    <comment ref="BG101" authorId="0">
      <text>
        <r>
          <rPr>
            <sz val="8"/>
            <color indexed="81"/>
            <rFont val="Tahoma"/>
          </rPr>
          <t>Pensiones civiles</t>
        </r>
      </text>
    </comment>
    <comment ref="AY103" authorId="0">
      <text>
        <r>
          <rPr>
            <sz val="8"/>
            <color indexed="81"/>
            <rFont val="Tahoma"/>
          </rPr>
          <t>Rentas de producto accidental i multas</t>
        </r>
      </text>
    </comment>
    <comment ref="DA115" authorId="0">
      <text>
        <r>
          <rPr>
            <sz val="8"/>
            <color indexed="81"/>
            <rFont val="Tahoma"/>
          </rPr>
          <t>Tierras baldías (arrendamiento)</t>
        </r>
      </text>
    </comment>
    <comment ref="DY116" authorId="0">
      <text>
        <r>
          <rPr>
            <sz val="8"/>
            <color indexed="81"/>
            <rFont val="Tahoma"/>
          </rPr>
          <t>Este valor no coincide con el del cuadro No. 2 de la hoja 1881 Hacienda, el valor es: 12.395    200</t>
        </r>
      </text>
    </comment>
    <comment ref="AL129" authorId="3">
      <text>
        <r>
          <rPr>
            <sz val="8"/>
            <color indexed="81"/>
            <rFont val="Tahoma"/>
          </rPr>
          <t>El valor en el cuadro No 2 de hoja 1846 Hacienda es de 5,114,563  3  3/4</t>
        </r>
        <r>
          <rPr>
            <sz val="8"/>
            <color indexed="81"/>
            <rFont val="Tahoma"/>
          </rPr>
          <t xml:space="preserve">
</t>
        </r>
      </text>
    </comment>
    <comment ref="BQ129" authorId="0">
      <text>
        <r>
          <rPr>
            <sz val="8"/>
            <color indexed="81"/>
            <rFont val="Tahoma"/>
          </rPr>
          <t>El valor que aprece en el Cuadro No. 25 de la hoja 1858 Hacienda es:1.705.920   389  y en el Cuadro No. 4 de la hoja 1861 Hacienda el valor es de 1.719.150   549</t>
        </r>
      </text>
    </comment>
    <comment ref="DY129" authorId="0">
      <text>
        <r>
          <rPr>
            <sz val="8"/>
            <color indexed="81"/>
            <rFont val="Tahoma"/>
          </rPr>
          <t xml:space="preserve">Este valor no coincide con el del cuadro No. 2 de la hoja 1881 Hacienda, el valor es: 6.235.856 665  </t>
        </r>
      </text>
    </comment>
    <comment ref="FX129" authorId="0">
      <text>
        <r>
          <rPr>
            <sz val="8"/>
            <color indexed="81"/>
            <rFont val="Tahoma"/>
          </rPr>
          <t xml:space="preserve">El valor del cuadro No. 1 de la hoja 1898 Hacienda es: 16.273.259  19  1/2, este valor incluye el monto del Ferrocarrill de Panamá $10.000 (oro) (Premio computado al 150 por 100 de $15.000) y del Ferrocarril de la Sabana.    </t>
        </r>
      </text>
    </comment>
    <comment ref="HT130" authorId="0">
      <text>
        <r>
          <rPr>
            <sz val="8"/>
            <color indexed="81"/>
            <rFont val="Tahoma"/>
          </rPr>
          <t>No incluye el valor de Aduanas</t>
        </r>
      </text>
    </comment>
  </commentList>
</comments>
</file>

<file path=xl/comments20.xml><?xml version="1.0" encoding="utf-8"?>
<comments xmlns="http://schemas.openxmlformats.org/spreadsheetml/2006/main">
  <authors>
    <author>Ana Maria</author>
    <author>Ana</author>
    <author>Presidencia</author>
    <author>JUANITA</author>
  </authors>
  <commentList>
    <comment ref="FC1" authorId="0">
      <text>
        <r>
          <rPr>
            <sz val="8"/>
            <color indexed="81"/>
            <rFont val="Tahoma"/>
          </rPr>
          <t xml:space="preserve">hice esta columna debido a que no hay cifras individuales para todo
</t>
        </r>
      </text>
    </comment>
    <comment ref="AL2" authorId="0">
      <text>
        <r>
          <rPr>
            <sz val="8"/>
            <color indexed="81"/>
            <rFont val="Tahoma"/>
          </rPr>
          <t>El valor no coincide con el del Cuadro No. 2 de la hoja 1879 Hacienda, el valor es de 899,476</t>
        </r>
      </text>
    </comment>
    <comment ref="AO2" authorId="0">
      <text>
        <r>
          <rPr>
            <sz val="8"/>
            <color indexed="81"/>
            <rFont val="Tahoma"/>
          </rPr>
          <t>El valor no coincide con el del Cuadro No. 2 de la hoja 1879 Hacienda, el valor es de 680,932</t>
        </r>
      </text>
    </comment>
    <comment ref="CU2" authorId="0">
      <text>
        <r>
          <rPr>
            <sz val="8"/>
            <color indexed="81"/>
            <rFont val="Tahoma"/>
          </rPr>
          <t>Este valor no coincide con el del cuadro No.  1 de la hoja  1877 Hacienda, el valor es: 2089.065   81  1/2 y con el del cuadro No. 2  de la hoja 1879 Hacienda en el que el valor es de 2.089.066</t>
        </r>
      </text>
    </comment>
    <comment ref="CX2" authorId="0">
      <text>
        <r>
          <rPr>
            <sz val="8"/>
            <color indexed="81"/>
            <rFont val="Tahoma"/>
          </rPr>
          <t>Este valor no coincide con el del cuadro No.  1 de la hoja  1877 Hacienda, el valor es: 1.575.904  3  3/4 y con el del cuadro No. 2  de la hoja 1879 Hacienda en el que el valor es de 1.575.905</t>
        </r>
      </text>
    </comment>
    <comment ref="DA2" authorId="0">
      <text>
        <r>
          <rPr>
            <sz val="8"/>
            <color indexed="81"/>
            <rFont val="Tahoma"/>
          </rPr>
          <t>Este valor no coincide con el del cuadro No.  1 de la hoja  1877 Hacienda, el valor es: 1.561.082   11  3/4</t>
        </r>
      </text>
    </comment>
    <comment ref="DG2" authorId="0">
      <text>
        <r>
          <rPr>
            <sz val="8"/>
            <color indexed="81"/>
            <rFont val="Tahoma"/>
          </rPr>
          <t>Este valor no coincide con el del cuadro No.  1 de la hoja  1877 Hacienda, el valor es: 2.775.450   38   1/2</t>
        </r>
      </text>
    </comment>
    <comment ref="DJ2" authorId="0">
      <text>
        <r>
          <rPr>
            <sz val="8"/>
            <color indexed="81"/>
            <rFont val="Tahoma"/>
          </rPr>
          <t>Este valor no coincide con el del cuadro No.  1 de la hoja  1877 Hacienda, el valor es: 2.811.158    92  1/2 y con el del cuadro No. 2  de la hoja 1879 Hacienda en el que el valor es de 2.811.158</t>
        </r>
      </text>
    </comment>
    <comment ref="EE2" authorId="0">
      <text>
        <r>
          <rPr>
            <sz val="8"/>
            <color indexed="81"/>
            <rFont val="Tahoma"/>
          </rPr>
          <t>Según el cuadro No. 2 de la hoja 1885 Hacienda el valor es de 3.930.862</t>
        </r>
      </text>
    </comment>
    <comment ref="EW2" authorId="0">
      <text>
        <r>
          <rPr>
            <sz val="8"/>
            <color indexed="81"/>
            <rFont val="Tahoma"/>
          </rPr>
          <t xml:space="preserve">Pagos en el año de Septiembre á Diciembre de                                           1886
1.552.765 </t>
        </r>
      </text>
    </comment>
    <comment ref="FL2" authorId="0">
      <text>
        <r>
          <rPr>
            <sz val="8"/>
            <color indexed="81"/>
            <rFont val="Tahoma"/>
          </rPr>
          <t>Según el cuadro Nº 2 de la hoja 1892 Hacienda el valor es: 9.506.989</t>
        </r>
      </text>
    </comment>
    <comment ref="HL2" authorId="0">
      <text>
        <r>
          <rPr>
            <sz val="8"/>
            <color indexed="81"/>
            <rFont val="Tahoma"/>
          </rPr>
          <t>Derechos de importación y exportación (Aduanas, Oficinas postales y derechos diferenciales en Pasto</t>
        </r>
      </text>
    </comment>
    <comment ref="HP2" authorId="0">
      <text>
        <r>
          <rPr>
            <sz val="8"/>
            <color indexed="81"/>
            <rFont val="Tahoma"/>
          </rPr>
          <t>Derechos de aduana (deducido lo devuelto)</t>
        </r>
      </text>
    </comment>
    <comment ref="HT2" authorId="0">
      <text>
        <r>
          <rPr>
            <sz val="8"/>
            <color indexed="81"/>
            <rFont val="Tahoma"/>
          </rPr>
          <t xml:space="preserve">Deducido derechos de importación liquidados demás y devueltos durante el año
</t>
        </r>
      </text>
    </comment>
    <comment ref="BQ7" authorId="0">
      <text>
        <r>
          <rPr>
            <sz val="8"/>
            <color indexed="81"/>
            <rFont val="Tahoma"/>
          </rPr>
          <t>Aprovechamientos</t>
        </r>
      </text>
    </comment>
    <comment ref="CI7" authorId="0">
      <text>
        <r>
          <rPr>
            <sz val="8"/>
            <color indexed="81"/>
            <rFont val="Tahoma"/>
          </rPr>
          <t>Aprovechamientos</t>
        </r>
      </text>
    </comment>
    <comment ref="DA7" authorId="0">
      <text>
        <r>
          <rPr>
            <sz val="8"/>
            <color indexed="81"/>
            <rFont val="Tahoma"/>
          </rPr>
          <t>Aprovechamientos</t>
        </r>
      </text>
    </comment>
    <comment ref="DJ7" authorId="0">
      <text>
        <r>
          <rPr>
            <sz val="8"/>
            <color indexed="81"/>
            <rFont val="Tahoma"/>
          </rPr>
          <t>Aprovechamientos</t>
        </r>
      </text>
    </comment>
    <comment ref="HT7" authorId="0">
      <text>
        <r>
          <rPr>
            <sz val="8"/>
            <color indexed="81"/>
            <rFont val="Tahoma"/>
          </rPr>
          <t>Unicamente Lastre</t>
        </r>
      </text>
    </comment>
    <comment ref="AI9" authorId="1">
      <text>
        <r>
          <rPr>
            <sz val="8"/>
            <color indexed="81"/>
            <rFont val="Tahoma"/>
          </rPr>
          <t>Deducido el sueldo eventual de de los administradores subalternos</t>
        </r>
      </text>
    </comment>
    <comment ref="BM9" authorId="0">
      <text>
        <r>
          <rPr>
            <sz val="8"/>
            <color indexed="81"/>
            <rFont val="Tahoma"/>
          </rPr>
          <t>Incluye valor adicional</t>
        </r>
      </text>
    </comment>
    <comment ref="BN9" authorId="0">
      <text>
        <r>
          <rPr>
            <sz val="8"/>
            <color indexed="81"/>
            <rFont val="Tahoma"/>
          </rPr>
          <t>Incluye valor adicional</t>
        </r>
      </text>
    </comment>
    <comment ref="DY9" authorId="0">
      <text>
        <r>
          <rPr>
            <sz val="8"/>
            <color indexed="81"/>
            <rFont val="Tahoma"/>
          </rPr>
          <t>Este valor no coincide con el del cuadro No. 2 de la hoja 1881 Hacienda, el valor es: 86.444  630</t>
        </r>
      </text>
    </comment>
    <comment ref="EH9" authorId="0">
      <text>
        <r>
          <rPr>
            <sz val="8"/>
            <color indexed="81"/>
            <rFont val="Tahoma"/>
          </rPr>
          <t xml:space="preserve">Correos y telégrafos
</t>
        </r>
      </text>
    </comment>
    <comment ref="FC9" authorId="0">
      <text>
        <r>
          <rPr>
            <sz val="8"/>
            <color indexed="81"/>
            <rFont val="Tahoma"/>
          </rPr>
          <t>Correos (aproximación)</t>
        </r>
      </text>
    </comment>
    <comment ref="HL9" authorId="0">
      <text>
        <r>
          <rPr>
            <sz val="8"/>
            <color indexed="81"/>
            <rFont val="Tahoma"/>
          </rPr>
          <t>Portes de correos</t>
        </r>
      </text>
    </comment>
    <comment ref="AI10" authorId="2">
      <text>
        <r>
          <rPr>
            <sz val="8"/>
            <color indexed="81"/>
            <rFont val="Tahoma"/>
          </rPr>
          <t>Utilidades de dos casas</t>
        </r>
      </text>
    </comment>
    <comment ref="AL10" authorId="3">
      <text>
        <r>
          <rPr>
            <sz val="8"/>
            <color indexed="81"/>
            <rFont val="Tahoma"/>
          </rPr>
          <t>El valor en el cuadro No 2 de hoja 1846 Hacienda es de 2,102,134  4  1/2 que incluye el valor de las pastas compradas i diversos gastos ordinarios i estraordinarios</t>
        </r>
      </text>
    </comment>
    <comment ref="DA10" authorId="0">
      <text>
        <r>
          <rPr>
            <sz val="8"/>
            <color indexed="81"/>
            <rFont val="Tahoma"/>
          </rPr>
          <t>Monedas. (Casas de Bogotá i Popayan)</t>
        </r>
      </text>
    </comment>
    <comment ref="DY10" authorId="0">
      <text>
        <r>
          <rPr>
            <sz val="8"/>
            <color indexed="81"/>
            <rFont val="Tahoma"/>
          </rPr>
          <t>Este valor no coincide con el del cuadro No. 2 de la hoja 1881 Hacienda, el valor es: 7.618    821</t>
        </r>
      </text>
    </comment>
    <comment ref="HH10" authorId="0">
      <text>
        <r>
          <rPr>
            <sz val="8"/>
            <color indexed="81"/>
            <rFont val="Tahoma"/>
          </rPr>
          <t xml:space="preserve">Acuñación de moneda
</t>
        </r>
      </text>
    </comment>
    <comment ref="HJ10" authorId="0">
      <text>
        <r>
          <rPr>
            <sz val="8"/>
            <color indexed="81"/>
            <rFont val="Tahoma"/>
          </rPr>
          <t>Acuñación de moneda</t>
        </r>
        <r>
          <rPr>
            <b/>
            <sz val="8"/>
            <color indexed="81"/>
            <rFont val="Tahoma"/>
            <family val="2"/>
          </rPr>
          <t xml:space="preserve">
</t>
        </r>
      </text>
    </comment>
    <comment ref="AJ14" authorId="0">
      <text>
        <r>
          <rPr>
            <sz val="8"/>
            <color indexed="81"/>
            <rFont val="Tahoma"/>
          </rPr>
          <t xml:space="preserve">Digito sacado de cuadro No. 5  hoja 1843 hacienda 
</t>
        </r>
      </text>
    </comment>
    <comment ref="AJ16" authorId="0">
      <text>
        <r>
          <rPr>
            <sz val="8"/>
            <color indexed="81"/>
            <rFont val="Tahoma"/>
          </rPr>
          <t>según cuadro No. 1 Hoja 1845 Hacienda el valor 288,562  1  3/4</t>
        </r>
      </text>
    </comment>
    <comment ref="AL16" authorId="3">
      <text>
        <r>
          <rPr>
            <sz val="8"/>
            <color indexed="81"/>
            <rFont val="Tahoma"/>
          </rPr>
          <t>El valor en el cuadro No 2 de hoja 1846 Hacienda es de 535,547  6  3/4 lo cual incluye lo gastado en costos de produccion, sueldos eventuales i otros gravámenes</t>
        </r>
      </text>
    </comment>
    <comment ref="BC16" authorId="0">
      <text>
        <r>
          <rPr>
            <sz val="8"/>
            <color indexed="81"/>
            <rFont val="Tahoma"/>
          </rPr>
          <t>Este valor no coincide con el del cuadro No. 
2 de la hoja 1879 Hacienda, el valor es : 482594</t>
        </r>
      </text>
    </comment>
    <comment ref="BE16" authorId="0">
      <text>
        <r>
          <rPr>
            <sz val="8"/>
            <color indexed="81"/>
            <rFont val="Tahoma"/>
          </rPr>
          <t>Este valor no coincide con el del cuadro No. 
2 de la hoja 1879 Hacienda, el valor es : 406370</t>
        </r>
      </text>
    </comment>
    <comment ref="CO16" authorId="0">
      <text>
        <r>
          <rPr>
            <sz val="8"/>
            <color indexed="81"/>
            <rFont val="Tahoma"/>
          </rPr>
          <t>Este valor no coincide con el del cuadro No. 
2 de la hoja 1879 Hacienda, el valor es : 1.066.614</t>
        </r>
      </text>
    </comment>
    <comment ref="CR16" authorId="0">
      <text>
        <r>
          <rPr>
            <sz val="8"/>
            <color indexed="81"/>
            <rFont val="Tahoma"/>
          </rPr>
          <t>Este valor no coincide con el del cuadro No. 
2 de la hoja 1879 Hacienda, el valor es : 728.184</t>
        </r>
      </text>
    </comment>
    <comment ref="FF16" authorId="0">
      <text>
        <r>
          <rPr>
            <sz val="8"/>
            <color indexed="81"/>
            <rFont val="Tahoma"/>
          </rPr>
          <t>Según el cuadro No. 6 de la hoja 1892 el valor es 1.527.621</t>
        </r>
      </text>
    </comment>
    <comment ref="FL16" authorId="0">
      <text>
        <r>
          <rPr>
            <sz val="8"/>
            <color indexed="81"/>
            <rFont val="Tahoma"/>
          </rPr>
          <t>Según el cuadro Nº 2 de la hoja 1892 Hacienda y el cuadro No. 6 de la Hoja 1898 Hacienda  el valor es de: 1.187.070   60</t>
        </r>
      </text>
    </comment>
    <comment ref="FU16" authorId="0">
      <text>
        <r>
          <rPr>
            <sz val="8"/>
            <color indexed="81"/>
            <rFont val="Tahoma"/>
          </rPr>
          <t>Según el cuadro No. 6 de la Hoja 1898 el valor es de: 1.601.829  5</t>
        </r>
      </text>
    </comment>
    <comment ref="FX16" authorId="0">
      <text>
        <r>
          <rPr>
            <sz val="8"/>
            <color indexed="81"/>
            <rFont val="Tahoma"/>
          </rPr>
          <t>El valor en el cuadro No. 1 de la hoja 1898 Hacienda y del cuadro No.6 de la hoja 1898 Hacienda es de: 1.644.452   30</t>
        </r>
      </text>
    </comment>
    <comment ref="EW17" authorId="0">
      <text>
        <r>
          <rPr>
            <sz val="8"/>
            <color indexed="81"/>
            <rFont val="Tahoma"/>
          </rPr>
          <t xml:space="preserve">Salinas del interior
</t>
        </r>
      </text>
    </comment>
    <comment ref="HL17" authorId="0">
      <text>
        <r>
          <rPr>
            <sz val="8"/>
            <color indexed="81"/>
            <rFont val="Tahoma"/>
          </rPr>
          <t>Salinas terrestres y carboneras dependientes de ella</t>
        </r>
      </text>
    </comment>
    <comment ref="HP17" authorId="0">
      <text>
        <r>
          <rPr>
            <sz val="8"/>
            <color indexed="81"/>
            <rFont val="Tahoma"/>
          </rPr>
          <t>Salinas terrestres y carboneras dependientes de ellas</t>
        </r>
      </text>
    </comment>
    <comment ref="BM19" authorId="0">
      <text>
        <r>
          <rPr>
            <sz val="8"/>
            <color indexed="81"/>
            <rFont val="Tahoma"/>
          </rPr>
          <t>Incluye valor adicional</t>
        </r>
      </text>
    </comment>
    <comment ref="BN19" authorId="0">
      <text>
        <r>
          <rPr>
            <sz val="8"/>
            <color indexed="81"/>
            <rFont val="Tahoma"/>
          </rPr>
          <t>Incluye valor adicional</t>
        </r>
      </text>
    </comment>
    <comment ref="FC19" authorId="0">
      <text>
        <r>
          <rPr>
            <sz val="8"/>
            <color indexed="81"/>
            <rFont val="Tahoma"/>
          </rPr>
          <t xml:space="preserve">Papel sellado y timbre nacional </t>
        </r>
      </text>
    </comment>
    <comment ref="FR19" authorId="0">
      <text>
        <r>
          <rPr>
            <sz val="8"/>
            <color indexed="81"/>
            <rFont val="Tahoma"/>
          </rPr>
          <t>Papel sellado y timbre nacional</t>
        </r>
      </text>
    </comment>
    <comment ref="HB19" authorId="0">
      <text>
        <r>
          <rPr>
            <sz val="8"/>
            <color indexed="81"/>
            <rFont val="Tahoma"/>
          </rPr>
          <t xml:space="preserve">De 1905 hasta 1909 es papel sellado y timbre nacional
</t>
        </r>
      </text>
    </comment>
    <comment ref="HL19" authorId="0">
      <text>
        <r>
          <rPr>
            <sz val="8"/>
            <color indexed="81"/>
            <rFont val="Tahoma"/>
          </rPr>
          <t>Papel sellado y estampillas (Timbre Nacional)</t>
        </r>
      </text>
    </comment>
    <comment ref="HP19" authorId="0">
      <text>
        <r>
          <rPr>
            <sz val="8"/>
            <color indexed="81"/>
            <rFont val="Tahoma"/>
          </rPr>
          <t>Timbre Nacional (papel sellado y estampillas)</t>
        </r>
      </text>
    </comment>
    <comment ref="HT19" authorId="0">
      <text>
        <r>
          <rPr>
            <sz val="8"/>
            <color indexed="81"/>
            <rFont val="Tahoma"/>
          </rPr>
          <t>Papel sellado y timbre nacional</t>
        </r>
      </text>
    </comment>
    <comment ref="BA27" authorId="0">
      <text>
        <r>
          <rPr>
            <sz val="8"/>
            <color indexed="81"/>
            <rFont val="Tahoma"/>
          </rPr>
          <t>Sello i derecho de títulos</t>
        </r>
      </text>
    </comment>
    <comment ref="BC27" authorId="0">
      <text>
        <r>
          <rPr>
            <sz val="8"/>
            <color indexed="81"/>
            <rFont val="Tahoma"/>
          </rPr>
          <t>Sello i derecho de títulos</t>
        </r>
      </text>
    </comment>
    <comment ref="BE27" authorId="0">
      <text>
        <r>
          <rPr>
            <sz val="8"/>
            <color indexed="81"/>
            <rFont val="Tahoma"/>
          </rPr>
          <t>Sello i derecho de títulos</t>
        </r>
      </text>
    </comment>
    <comment ref="BG27" authorId="0">
      <text>
        <r>
          <rPr>
            <sz val="8"/>
            <color indexed="81"/>
            <rFont val="Tahoma"/>
          </rPr>
          <t>Sello i derecho de títulos</t>
        </r>
      </text>
    </comment>
    <comment ref="BI27" authorId="0">
      <text>
        <r>
          <rPr>
            <sz val="8"/>
            <color indexed="81"/>
            <rFont val="Tahoma"/>
          </rPr>
          <t>Sello i derecho de títulos</t>
        </r>
      </text>
    </comment>
    <comment ref="A33" authorId="0">
      <text>
        <r>
          <rPr>
            <sz val="8"/>
            <color indexed="81"/>
            <rFont val="Tahoma"/>
          </rPr>
          <t xml:space="preserve">Categoria del cuadro No.1 de la hoja 1845 Hacienda en esta se suma los ramos ajenos con los restantes de tesoreria, como alcances de cuentas, reintegros, premios de demora, y resagos de contribuciones suprimidas
</t>
        </r>
      </text>
    </comment>
    <comment ref="AL33" authorId="0">
      <text>
        <r>
          <rPr>
            <sz val="8"/>
            <color indexed="81"/>
            <rFont val="Tahoma"/>
          </rPr>
          <t>El valor en el cuadro No 2 de hoja 1846 Hacienda es de 
85,114   6  3/4</t>
        </r>
      </text>
    </comment>
    <comment ref="DY34" authorId="0">
      <text>
        <r>
          <rPr>
            <sz val="8"/>
            <color indexed="81"/>
            <rFont val="Tahoma"/>
          </rPr>
          <t>Este valor no coincide con el del cuadro No. 2 de la hoja 1881 Hacienda, el valor es: 23.299   700</t>
        </r>
      </text>
    </comment>
    <comment ref="HL34" authorId="0">
      <text>
        <r>
          <rPr>
            <sz val="8"/>
            <color indexed="81"/>
            <rFont val="Tahoma"/>
          </rPr>
          <t>Dato del Cuadro No.1 de la hoja 1912 Hacienda, este no se encuentra dentro del cuadro de Rentas publicas del 2010, por eso al final la suma no cuadra</t>
        </r>
      </text>
    </comment>
    <comment ref="HL35" authorId="0">
      <text>
        <r>
          <rPr>
            <sz val="8"/>
            <color indexed="81"/>
            <rFont val="Tahoma"/>
          </rPr>
          <t>Derechos consulares (inclusive lo recaudado en las Agencias Postales)</t>
        </r>
      </text>
    </comment>
    <comment ref="HD36" authorId="0">
      <text>
        <r>
          <rPr>
            <sz val="8"/>
            <color indexed="81"/>
            <rFont val="Tahoma"/>
          </rPr>
          <t>Minas de esmeraldas de Santa Ana y La Manta, Supía y Marmato y derechos sobre minas.</t>
        </r>
      </text>
    </comment>
    <comment ref="HF36" authorId="0">
      <text>
        <r>
          <rPr>
            <sz val="8"/>
            <color indexed="81"/>
            <rFont val="Tahoma"/>
          </rPr>
          <t>Minas de esmeraldas de Santa Ana y La Manta, Supía y Marmato y derechos sobre minas.</t>
        </r>
      </text>
    </comment>
    <comment ref="HL36" authorId="0">
      <text>
        <r>
          <rPr>
            <sz val="8"/>
            <color indexed="81"/>
            <rFont val="Tahoma"/>
          </rPr>
          <t>Impuestos sobre minas</t>
        </r>
      </text>
    </comment>
    <comment ref="HJ38" authorId="0">
      <text>
        <r>
          <rPr>
            <sz val="8"/>
            <color indexed="81"/>
            <rFont val="Tahoma"/>
          </rPr>
          <t>Minas de Santa Ana y La Manta, Supía y Marmato</t>
        </r>
      </text>
    </comment>
    <comment ref="FR41" authorId="0">
      <text>
        <r>
          <rPr>
            <sz val="8"/>
            <color indexed="81"/>
            <rFont val="Tahoma"/>
          </rPr>
          <t>Desde 1893 á 1895 el valor es del
Arrendamiento de las minas de Santana, Supía, y Marmato</t>
        </r>
      </text>
    </comment>
    <comment ref="GA41" authorId="0">
      <text>
        <r>
          <rPr>
            <sz val="8"/>
            <color indexed="81"/>
            <rFont val="Tahoma"/>
          </rPr>
          <t>Arrendamiento de las minas de Muzo y Coscuez</t>
        </r>
      </text>
    </comment>
    <comment ref="DY42" authorId="0">
      <text>
        <r>
          <rPr>
            <sz val="8"/>
            <color indexed="81"/>
            <rFont val="Tahoma"/>
          </rPr>
          <t xml:space="preserve"> Ingresos varios (por alcances y reintegros)-Este valor no coincide con el del cuadro No. 2 de la hoja 1881 Hacienda, el valor es: 319.421  574</t>
        </r>
      </text>
    </comment>
    <comment ref="FL42" authorId="0">
      <text>
        <r>
          <rPr>
            <sz val="8"/>
            <color indexed="81"/>
            <rFont val="Tahoma"/>
          </rPr>
          <t>Ingresos varios, aprovechamientos etc</t>
        </r>
      </text>
    </comment>
    <comment ref="HL42" authorId="0">
      <text>
        <r>
          <rPr>
            <sz val="8"/>
            <color indexed="81"/>
            <rFont val="Tahoma"/>
          </rPr>
          <t>Ingresos varios, sin contar los de las Aduanas</t>
        </r>
      </text>
    </comment>
    <comment ref="HP43" authorId="0">
      <text>
        <r>
          <rPr>
            <sz val="8"/>
            <color indexed="81"/>
            <rFont val="Tahoma"/>
          </rPr>
          <t>Patentes de privilegio, marcas de comercio, etc</t>
        </r>
      </text>
    </comment>
    <comment ref="BA46" authorId="0">
      <text>
        <r>
          <rPr>
            <sz val="8"/>
            <color indexed="81"/>
            <rFont val="Tahoma"/>
          </rPr>
          <t>Bienes nacionales</t>
        </r>
      </text>
    </comment>
    <comment ref="BE46" authorId="0">
      <text>
        <r>
          <rPr>
            <sz val="8"/>
            <color indexed="81"/>
            <rFont val="Tahoma"/>
          </rPr>
          <t>Bienes nacionales</t>
        </r>
      </text>
    </comment>
    <comment ref="BG46" authorId="0">
      <text>
        <r>
          <rPr>
            <sz val="8"/>
            <color indexed="81"/>
            <rFont val="Tahoma"/>
          </rPr>
          <t>Bienes nacionales</t>
        </r>
      </text>
    </comment>
    <comment ref="BI46" authorId="0">
      <text>
        <r>
          <rPr>
            <sz val="8"/>
            <color indexed="81"/>
            <rFont val="Tahoma"/>
          </rPr>
          <t>Bienes nacionales</t>
        </r>
      </text>
    </comment>
    <comment ref="DA46" authorId="0">
      <text>
        <r>
          <rPr>
            <sz val="8"/>
            <color indexed="81"/>
            <rFont val="Tahoma"/>
          </rPr>
          <t>Bienes nacionales venta i arrendamiento (dinero)</t>
        </r>
      </text>
    </comment>
    <comment ref="DY46" authorId="0">
      <text>
        <r>
          <rPr>
            <sz val="8"/>
            <color indexed="81"/>
            <rFont val="Tahoma"/>
          </rPr>
          <t>Este valor no coincide con el del cuadro No. 2 de la hoja 1881 Hacienda, el valor es: 39.762   115</t>
        </r>
      </text>
    </comment>
    <comment ref="HF46" authorId="0">
      <text>
        <r>
          <rPr>
            <sz val="8"/>
            <color indexed="81"/>
            <rFont val="Tahoma"/>
          </rPr>
          <t>Solo bienes nacionales</t>
        </r>
      </text>
    </comment>
    <comment ref="HH46" authorId="0">
      <text>
        <r>
          <rPr>
            <sz val="8"/>
            <color indexed="81"/>
            <rFont val="Tahoma"/>
          </rPr>
          <t>Solo bienes nacionales</t>
        </r>
      </text>
    </comment>
    <comment ref="HJ46" authorId="0">
      <text>
        <r>
          <rPr>
            <sz val="8"/>
            <color indexed="81"/>
            <rFont val="Tahoma"/>
          </rPr>
          <t>Solo bienes nacionales</t>
        </r>
      </text>
    </comment>
    <comment ref="HL46" authorId="0">
      <text>
        <r>
          <rPr>
            <sz val="8"/>
            <color indexed="81"/>
            <rFont val="Tahoma"/>
          </rPr>
          <t>Solo bienes nacionales</t>
        </r>
      </text>
    </comment>
    <comment ref="HP46" authorId="0">
      <text>
        <r>
          <rPr>
            <sz val="8"/>
            <color indexed="81"/>
            <rFont val="Tahoma"/>
          </rPr>
          <t>Bienes nacionales, inclusive el producto de explotación de bosques</t>
        </r>
      </text>
    </comment>
    <comment ref="HJ47" authorId="0">
      <text>
        <r>
          <rPr>
            <sz val="8"/>
            <color indexed="81"/>
            <rFont val="Tahoma"/>
          </rPr>
          <t>Derechos de puerto (faros, lastre, tonelaje y otros)</t>
        </r>
      </text>
    </comment>
    <comment ref="HL47" authorId="0">
      <text>
        <r>
          <rPr>
            <sz val="8"/>
            <color indexed="81"/>
            <rFont val="Tahoma"/>
          </rPr>
          <t>Derechos de puerto (Faros Tonelaje y Práctico)</t>
        </r>
      </text>
    </comment>
    <comment ref="HP47" authorId="0">
      <text>
        <r>
          <rPr>
            <sz val="8"/>
            <color indexed="81"/>
            <rFont val="Tahoma"/>
          </rPr>
          <t>Derechos de puerto incluye tonelaje, faros, lastre, muelles y prácticos</t>
        </r>
      </text>
    </comment>
    <comment ref="HT47" authorId="0">
      <text>
        <r>
          <rPr>
            <sz val="8"/>
            <color indexed="81"/>
            <rFont val="Tahoma"/>
          </rPr>
          <t>Incluye faros, muelle, práctico y remolque</t>
        </r>
      </text>
    </comment>
    <comment ref="HN53" authorId="0">
      <text>
        <r>
          <rPr>
            <sz val="8"/>
            <color indexed="81"/>
            <rFont val="Tahoma"/>
          </rPr>
          <t xml:space="preserve">Cuadro No. 2 Hoja 1912 Hacienda
</t>
        </r>
      </text>
    </comment>
    <comment ref="HN55" authorId="0">
      <text>
        <r>
          <rPr>
            <sz val="8"/>
            <color indexed="81"/>
            <rFont val="Tahoma"/>
          </rPr>
          <t>Cuadro No.2 Hoja 1912 Hacienda Fósforo de palito</t>
        </r>
      </text>
    </comment>
    <comment ref="HD57" authorId="0">
      <text>
        <r>
          <rPr>
            <sz val="8"/>
            <color indexed="81"/>
            <rFont val="Tahoma"/>
          </rPr>
          <t>Derecho de degüello y pieles</t>
        </r>
      </text>
    </comment>
    <comment ref="HF57" authorId="0">
      <text>
        <r>
          <rPr>
            <sz val="8"/>
            <color indexed="81"/>
            <rFont val="Tahoma"/>
          </rPr>
          <t>Derecho de degüello y pieles</t>
        </r>
      </text>
    </comment>
    <comment ref="HH57" authorId="0">
      <text>
        <r>
          <rPr>
            <sz val="8"/>
            <color indexed="81"/>
            <rFont val="Tahoma"/>
          </rPr>
          <t xml:space="preserve">Derecho de degüello y pieles
</t>
        </r>
      </text>
    </comment>
    <comment ref="HL60" authorId="0">
      <text>
        <r>
          <rPr>
            <sz val="8"/>
            <color indexed="81"/>
            <rFont val="Tahoma"/>
          </rPr>
          <t>Productos de Ferrocarril de la Sabana</t>
        </r>
      </text>
    </comment>
    <comment ref="DY61" authorId="0">
      <text>
        <r>
          <rPr>
            <sz val="8"/>
            <color indexed="81"/>
            <rFont val="Tahoma"/>
          </rPr>
          <t>Según este informe el verdadero valor recaudado hasta el 31 de Agosto fue de $135,426-67</t>
        </r>
      </text>
    </comment>
    <comment ref="FC61" authorId="0">
      <text>
        <r>
          <rPr>
            <sz val="8"/>
            <color indexed="81"/>
            <rFont val="Tahoma"/>
          </rPr>
          <t>Ferrocarril de Panamá (oro)</t>
        </r>
      </text>
    </comment>
    <comment ref="DY63" authorId="0">
      <text>
        <r>
          <rPr>
            <sz val="8"/>
            <color indexed="81"/>
            <rFont val="Tahoma"/>
          </rPr>
          <t>Según el Administrador del Ferrocarril el valor es de $137,975-50</t>
        </r>
      </text>
    </comment>
    <comment ref="HL68" authorId="0">
      <text>
        <r>
          <rPr>
            <sz val="8"/>
            <color indexed="81"/>
            <rFont val="Tahoma"/>
          </rPr>
          <t>Derechos sobre mortuorias y donaciones (Lazaretos)</t>
        </r>
      </text>
    </comment>
    <comment ref="HP68" authorId="0">
      <text>
        <r>
          <rPr>
            <sz val="8"/>
            <color indexed="81"/>
            <rFont val="Tahoma"/>
          </rPr>
          <t>Derechos sobre mortuorias y donaciones</t>
        </r>
      </text>
    </comment>
    <comment ref="HT68" authorId="0">
      <text>
        <r>
          <rPr>
            <sz val="8"/>
            <color indexed="81"/>
            <rFont val="Tahoma"/>
          </rPr>
          <t>Sucesiones y donaciones</t>
        </r>
      </text>
    </comment>
    <comment ref="HJ69" authorId="0">
      <text>
        <r>
          <rPr>
            <sz val="8"/>
            <color indexed="81"/>
            <rFont val="Tahoma"/>
          </rPr>
          <t xml:space="preserve">Dos por ciento para la destrucción de la langosta
</t>
        </r>
      </text>
    </comment>
    <comment ref="EB74" authorId="0">
      <text>
        <r>
          <rPr>
            <sz val="8"/>
            <color indexed="81"/>
            <rFont val="Tahoma"/>
          </rPr>
          <t>Peajes de los rios navegables</t>
        </r>
      </text>
    </comment>
    <comment ref="DY75" authorId="0">
      <text>
        <r>
          <rPr>
            <sz val="8"/>
            <color indexed="81"/>
            <rFont val="Tahoma"/>
          </rPr>
          <t>Este valor no coincide con el del cuadro No. 2 de la hoja 1881 Hacienda, el valor es: 9.989   800</t>
        </r>
      </text>
    </comment>
    <comment ref="EE75" authorId="0">
      <text>
        <r>
          <rPr>
            <sz val="8"/>
            <color indexed="81"/>
            <rFont val="Tahoma"/>
          </rPr>
          <t>Impuesto fluvial en el Magdalena</t>
        </r>
      </text>
    </comment>
    <comment ref="FL75" authorId="0">
      <text>
        <r>
          <rPr>
            <sz val="8"/>
            <color indexed="81"/>
            <rFont val="Tahoma"/>
          </rPr>
          <t>Impuesto fluvial del Río Magdalena</t>
        </r>
      </text>
    </comment>
    <comment ref="AW77" authorId="0">
      <text>
        <r>
          <rPr>
            <sz val="8"/>
            <color indexed="81"/>
            <rFont val="Tahoma"/>
          </rPr>
          <t>Peaje, pasaje i pontazgo</t>
        </r>
      </text>
    </comment>
    <comment ref="AY77" authorId="0">
      <text>
        <r>
          <rPr>
            <sz val="8"/>
            <color indexed="81"/>
            <rFont val="Tahoma"/>
          </rPr>
          <t>Peaje, pasaje i pontazgo</t>
        </r>
      </text>
    </comment>
    <comment ref="BA77" authorId="0">
      <text>
        <r>
          <rPr>
            <sz val="8"/>
            <color indexed="81"/>
            <rFont val="Tahoma"/>
          </rPr>
          <t>Peaje, pasaje i pontazgo</t>
        </r>
      </text>
    </comment>
    <comment ref="BC77" authorId="0">
      <text>
        <r>
          <rPr>
            <sz val="8"/>
            <color indexed="81"/>
            <rFont val="Tahoma"/>
          </rPr>
          <t>Peaje, pasaje i pontazgo</t>
        </r>
      </text>
    </comment>
    <comment ref="BE77" authorId="0">
      <text>
        <r>
          <rPr>
            <sz val="8"/>
            <color indexed="81"/>
            <rFont val="Tahoma"/>
          </rPr>
          <t>Peaje, pasaje i pontazgo</t>
        </r>
      </text>
    </comment>
    <comment ref="BG77" authorId="0">
      <text>
        <r>
          <rPr>
            <sz val="8"/>
            <color indexed="81"/>
            <rFont val="Tahoma"/>
          </rPr>
          <t>Peaje, pasaje i pontazgo</t>
        </r>
      </text>
    </comment>
    <comment ref="BI77" authorId="0">
      <text>
        <r>
          <rPr>
            <sz val="8"/>
            <color indexed="81"/>
            <rFont val="Tahoma"/>
          </rPr>
          <t>Peaje, pasaje i pontazgo</t>
        </r>
      </text>
    </comment>
    <comment ref="BK77" authorId="0">
      <text>
        <r>
          <rPr>
            <sz val="8"/>
            <color indexed="81"/>
            <rFont val="Tahoma"/>
          </rPr>
          <t>Caminos, peaje, pasaje y pontazgo</t>
        </r>
      </text>
    </comment>
    <comment ref="BK100" authorId="0">
      <text>
        <r>
          <rPr>
            <sz val="8"/>
            <color indexed="81"/>
            <rFont val="Tahoma"/>
          </rPr>
          <t>Aprovechamientos, censos alquileres i premios</t>
        </r>
      </text>
    </comment>
    <comment ref="BM100" authorId="0">
      <text>
        <r>
          <rPr>
            <sz val="8"/>
            <color indexed="81"/>
            <rFont val="Tahoma"/>
          </rPr>
          <t>Aprovechamientos, censos alquileres i premios</t>
        </r>
      </text>
    </comment>
    <comment ref="BG101" authorId="0">
      <text>
        <r>
          <rPr>
            <sz val="8"/>
            <color indexed="81"/>
            <rFont val="Tahoma"/>
          </rPr>
          <t>Pensiones civiles</t>
        </r>
      </text>
    </comment>
    <comment ref="AY103" authorId="0">
      <text>
        <r>
          <rPr>
            <sz val="8"/>
            <color indexed="81"/>
            <rFont val="Tahoma"/>
          </rPr>
          <t>Rentas de producto accidental i multas</t>
        </r>
      </text>
    </comment>
    <comment ref="DA115" authorId="0">
      <text>
        <r>
          <rPr>
            <sz val="8"/>
            <color indexed="81"/>
            <rFont val="Tahoma"/>
          </rPr>
          <t>Tierras baldías (arrendamiento)</t>
        </r>
      </text>
    </comment>
    <comment ref="DY116" authorId="0">
      <text>
        <r>
          <rPr>
            <sz val="8"/>
            <color indexed="81"/>
            <rFont val="Tahoma"/>
          </rPr>
          <t>Este valor no coincide con el del cuadro No. 2 de la hoja 1881 Hacienda, el valor es: 12.395    200</t>
        </r>
      </text>
    </comment>
    <comment ref="AL129" authorId="3">
      <text>
        <r>
          <rPr>
            <sz val="8"/>
            <color indexed="81"/>
            <rFont val="Tahoma"/>
          </rPr>
          <t>El valor en el cuadro No 2 de hoja 1846 Hacienda es de 5,114,563  3  3/4</t>
        </r>
        <r>
          <rPr>
            <sz val="8"/>
            <color indexed="81"/>
            <rFont val="Tahoma"/>
          </rPr>
          <t xml:space="preserve">
</t>
        </r>
      </text>
    </comment>
    <comment ref="BQ129" authorId="0">
      <text>
        <r>
          <rPr>
            <sz val="8"/>
            <color indexed="81"/>
            <rFont val="Tahoma"/>
          </rPr>
          <t>El valor que aprece en el Cuadro No. 25 de la hoja 1858 Hacienda es:1.705.920   389  y en el Cuadro No. 4 de la hoja 1861 Hacienda el valor es de 1.719.150   549</t>
        </r>
      </text>
    </comment>
    <comment ref="DY129" authorId="0">
      <text>
        <r>
          <rPr>
            <sz val="8"/>
            <color indexed="81"/>
            <rFont val="Tahoma"/>
          </rPr>
          <t xml:space="preserve">Este valor no coincide con el del cuadro No. 2 de la hoja 1881 Hacienda, el valor es: 6.235.856 665  </t>
        </r>
      </text>
    </comment>
    <comment ref="FX129" authorId="0">
      <text>
        <r>
          <rPr>
            <sz val="8"/>
            <color indexed="81"/>
            <rFont val="Tahoma"/>
          </rPr>
          <t xml:space="preserve">El valor del cuadro No. 1 de la hoja 1898 Hacienda es: 16.273.259  19  1/2, este valor incluye el monto del Ferrocarrill de Panamá $10.000 (oro) (Premio computado al 150 por 100 de $15.000) y del Ferrocarril de la Sabana.    </t>
        </r>
      </text>
    </comment>
    <comment ref="HT130" authorId="0">
      <text>
        <r>
          <rPr>
            <sz val="8"/>
            <color indexed="81"/>
            <rFont val="Tahoma"/>
          </rPr>
          <t>No incluye el valor de Aduanas</t>
        </r>
      </text>
    </comment>
  </commentList>
</comments>
</file>

<file path=xl/comments21.xml><?xml version="1.0" encoding="utf-8"?>
<comments xmlns="http://schemas.openxmlformats.org/spreadsheetml/2006/main">
  <authors>
    <author>Ana Maria</author>
  </authors>
  <commentList>
    <comment ref="E2" authorId="0">
      <text>
        <r>
          <rPr>
            <sz val="8"/>
            <color indexed="81"/>
            <rFont val="Tahoma"/>
          </rPr>
          <t>Se le dedujo la de 51,445 pesos 5 reales á que asciende la parte de sueldos retenida á los empleados civiles (45,569-5 1/4) i militares (5,875-7 3/4), cuya suma aparece en la relacion como satisfecha en dinero, habiéndolo sido en documentos de crédito amortizables confome á la lei</t>
        </r>
      </text>
    </comment>
    <comment ref="GI3" authorId="0">
      <text>
        <r>
          <rPr>
            <sz val="8"/>
            <color indexed="81"/>
            <rFont val="Tahoma"/>
          </rPr>
          <t xml:space="preserve">Gastos incorporados hasta el 31 de mayo 
</t>
        </r>
      </text>
    </comment>
    <comment ref="DD4" authorId="0">
      <text>
        <r>
          <rPr>
            <sz val="8"/>
            <color indexed="81"/>
            <rFont val="Tahoma"/>
          </rPr>
          <t>Personal y material del Congreso</t>
        </r>
      </text>
    </comment>
    <comment ref="CF6" authorId="0">
      <text>
        <r>
          <rPr>
            <sz val="8"/>
            <color indexed="81"/>
            <rFont val="Tahoma"/>
          </rPr>
          <t>Para el servicio de la Secretaría de lo Interior i Relaciones Esteriores</t>
        </r>
      </text>
    </comment>
    <comment ref="Y8" authorId="0">
      <text>
        <r>
          <rPr>
            <sz val="8"/>
            <color indexed="81"/>
            <rFont val="Tahoma"/>
          </rPr>
          <t>Departamento de Gastos de Hacienda i del Tesoro de 1851 1855</t>
        </r>
      </text>
    </comment>
    <comment ref="AK8" authorId="0">
      <text>
        <r>
          <rPr>
            <sz val="8"/>
            <color indexed="81"/>
            <rFont val="Tahoma"/>
          </rPr>
          <t>Gastos de Hacienda i del Tesoro</t>
        </r>
      </text>
    </comment>
    <comment ref="CF8" authorId="0">
      <text>
        <r>
          <rPr>
            <sz val="8"/>
            <color indexed="81"/>
            <rFont val="Tahoma"/>
          </rPr>
          <t>Para el de la de Hacienda i Fomento</t>
        </r>
      </text>
    </comment>
    <comment ref="DD8" authorId="0">
      <text>
        <r>
          <rPr>
            <sz val="8"/>
            <color indexed="81"/>
            <rFont val="Tahoma"/>
          </rPr>
          <t>Departamento de Hacienda (gastos de produccion y recaudacion de las rentas)</t>
        </r>
      </text>
    </comment>
    <comment ref="AC9" authorId="0">
      <text>
        <r>
          <rPr>
            <sz val="8"/>
            <color indexed="81"/>
            <rFont val="Tahoma"/>
          </rPr>
          <t>Corresponde al departamento de guerra i marina desde 1853 hasta 1855</t>
        </r>
      </text>
    </comment>
    <comment ref="CF11" authorId="0">
      <text>
        <r>
          <rPr>
            <sz val="8"/>
            <color indexed="81"/>
            <rFont val="Tahoma"/>
          </rPr>
          <t>Para gastos varios imprevistos en todos los Departamentos</t>
        </r>
      </text>
    </comment>
    <comment ref="DD13" authorId="0">
      <text>
        <r>
          <rPr>
            <sz val="8"/>
            <color indexed="81"/>
            <rFont val="Tahoma"/>
          </rPr>
          <t>El servicio de la deuda pública interior y exterior</t>
        </r>
      </text>
    </comment>
    <comment ref="DD16" authorId="0">
      <text>
        <r>
          <rPr>
            <sz val="8"/>
            <color indexed="81"/>
            <rFont val="Tahoma"/>
          </rPr>
          <t xml:space="preserve">Los compromisos contraidos i gravámenes impuestos para construccion, auxilio ó fomento de obras públicas en ejecucion
</t>
        </r>
      </text>
    </comment>
    <comment ref="BT17" authorId="0">
      <text>
        <r>
          <rPr>
            <sz val="8"/>
            <color indexed="81"/>
            <rFont val="Tahoma"/>
          </rPr>
          <t>Beneficiencia pública</t>
        </r>
      </text>
    </comment>
    <comment ref="BT19" authorId="0">
      <text>
        <r>
          <rPr>
            <sz val="8"/>
            <color indexed="81"/>
            <rFont val="Tahoma"/>
          </rPr>
          <t>Instrucción pública</t>
        </r>
      </text>
    </comment>
    <comment ref="Y42" authorId="0">
      <text>
        <r>
          <rPr>
            <sz val="8"/>
            <color indexed="81"/>
            <rFont val="Tahoma"/>
          </rPr>
          <t>Este valor no coincide con  el del cuadro No.12 de la hoja 1869 Hacienda, el valor es de 798.788</t>
        </r>
      </text>
    </comment>
  </commentList>
</comments>
</file>

<file path=xl/sharedStrings.xml><?xml version="1.0" encoding="utf-8"?>
<sst xmlns="http://schemas.openxmlformats.org/spreadsheetml/2006/main" count="14165" uniqueCount="6070">
  <si>
    <t>DOCTORADO EN HISTORIA ECONÓMICA</t>
  </si>
  <si>
    <t>AUTOR: Isidro Hernández Rodríguez</t>
  </si>
  <si>
    <t>INFORMES DE HACIENDA DE 1824 A 1915</t>
  </si>
  <si>
    <t>NOTAS</t>
  </si>
  <si>
    <t>1. Las cifras son idénticas a las que aparecen en los agregados estadísticos de los Informesde Hacienda de ese período y en algunos casos difiere de la cifra que el Secretario escribe en la explicación de la vigencia fiscal</t>
  </si>
  <si>
    <t>2. Se verificó la suma y en algunos casos no coincide como se muestra en rojo</t>
  </si>
  <si>
    <t>3. En algunos cifras se dejan algunos comentarios al cotejar el agregado con otros apartes estadísticos de los informes</t>
  </si>
  <si>
    <t>4.En la hoja de gasto se hace la anotación que al cotejar la cifra corresponde a lo aprobado, no lo ejecutado</t>
  </si>
  <si>
    <r>
      <t xml:space="preserve">5. La unidad monetaria es el </t>
    </r>
    <r>
      <rPr>
        <b/>
        <sz val="10"/>
        <color rgb="FFFF0000"/>
        <rFont val="Verdana"/>
      </rPr>
      <t>peso oro</t>
    </r>
  </si>
  <si>
    <t>Año económico contado desde el 1o de julio de 1824 hasta el 30 de junio de 1825</t>
    <phoneticPr fontId="2" type="noConversion"/>
  </si>
  <si>
    <t>Cobrado por las tesorerías</t>
    <phoneticPr fontId="2" type="noConversion"/>
  </si>
  <si>
    <t>Pesos</t>
    <phoneticPr fontId="2" type="noConversion"/>
  </si>
  <si>
    <t>Reales</t>
    <phoneticPr fontId="2" type="noConversion"/>
  </si>
  <si>
    <t>Alcabalas</t>
    <phoneticPr fontId="2" type="noConversion"/>
  </si>
  <si>
    <t xml:space="preserve"> 3/4</t>
    <phoneticPr fontId="2" type="noConversion"/>
  </si>
  <si>
    <t>Contribución Directa</t>
    <phoneticPr fontId="2" type="noConversion"/>
  </si>
  <si>
    <t>Contribución extraordinaria</t>
    <phoneticPr fontId="2" type="noConversion"/>
  </si>
  <si>
    <t>5 3/4</t>
    <phoneticPr fontId="2" type="noConversion"/>
  </si>
  <si>
    <t>Tributos de indígenas</t>
    <phoneticPr fontId="2" type="noConversion"/>
  </si>
  <si>
    <t>2 1/4</t>
    <phoneticPr fontId="2" type="noConversion"/>
  </si>
  <si>
    <t>Diezmos</t>
    <phoneticPr fontId="2" type="noConversion"/>
  </si>
  <si>
    <t>1 3/4</t>
    <phoneticPr fontId="2" type="noConversion"/>
  </si>
  <si>
    <t>Vacantes, mayores y menores</t>
    <phoneticPr fontId="2" type="noConversion"/>
  </si>
  <si>
    <t>7 3/4</t>
    <phoneticPr fontId="2" type="noConversion"/>
  </si>
  <si>
    <t>Novenos de fábricas de iglesias</t>
    <phoneticPr fontId="2" type="noConversion"/>
  </si>
  <si>
    <t xml:space="preserve"> 1/4</t>
    <phoneticPr fontId="2" type="noConversion"/>
  </si>
  <si>
    <t>Mesadas eclesiásticas</t>
    <phoneticPr fontId="2" type="noConversion"/>
  </si>
  <si>
    <t>Conventos suprimidos</t>
    <phoneticPr fontId="2" type="noConversion"/>
  </si>
  <si>
    <t>Mandas forzosas</t>
    <phoneticPr fontId="2" type="noConversion"/>
  </si>
  <si>
    <t>Hospitales sin destino</t>
    <phoneticPr fontId="2" type="noConversion"/>
  </si>
  <si>
    <t>5 1/2</t>
    <phoneticPr fontId="2" type="noConversion"/>
  </si>
  <si>
    <t>Quintos de oro y plata</t>
    <phoneticPr fontId="2" type="noConversion"/>
  </si>
  <si>
    <t>Salinas</t>
    <phoneticPr fontId="2" type="noConversion"/>
  </si>
  <si>
    <t>Papel sellado</t>
    <phoneticPr fontId="2" type="noConversion"/>
  </si>
  <si>
    <t>Aguardientes</t>
    <phoneticPr fontId="2" type="noConversion"/>
  </si>
  <si>
    <t>7 1/2</t>
    <phoneticPr fontId="2" type="noConversion"/>
  </si>
  <si>
    <t>Arrendamientos de tierras, casas y bodegas</t>
    <phoneticPr fontId="2" type="noConversion"/>
  </si>
  <si>
    <t>1 1/4</t>
    <phoneticPr fontId="2" type="noConversion"/>
  </si>
  <si>
    <t>Naipes</t>
    <phoneticPr fontId="2" type="noConversion"/>
  </si>
  <si>
    <t>Derecho de consumo</t>
    <phoneticPr fontId="2" type="noConversion"/>
  </si>
  <si>
    <t>Comisos</t>
    <phoneticPr fontId="2" type="noConversion"/>
  </si>
  <si>
    <t>Fundición</t>
    <phoneticPr fontId="2" type="noConversion"/>
  </si>
  <si>
    <t>Alcances de cuentas</t>
    <phoneticPr fontId="2" type="noConversion"/>
  </si>
  <si>
    <t>Guarapo y gallos</t>
    <phoneticPr fontId="2" type="noConversion"/>
  </si>
  <si>
    <t>Montepío militar</t>
    <phoneticPr fontId="2" type="noConversion"/>
  </si>
  <si>
    <t>7 1/4</t>
    <phoneticPr fontId="2" type="noConversion"/>
  </si>
  <si>
    <t>Montepío del ministerio</t>
    <phoneticPr fontId="2" type="noConversion"/>
  </si>
  <si>
    <t>2 1/2</t>
    <phoneticPr fontId="2" type="noConversion"/>
  </si>
  <si>
    <t>Secuestros y confiscaciones</t>
    <phoneticPr fontId="2" type="noConversion"/>
  </si>
  <si>
    <t>Camellón</t>
    <phoneticPr fontId="2" type="noConversion"/>
  </si>
  <si>
    <t>3 1/4</t>
    <phoneticPr fontId="2" type="noConversion"/>
  </si>
  <si>
    <t>Fondos del museo</t>
    <phoneticPr fontId="2" type="noConversion"/>
  </si>
  <si>
    <t>Tiendas de composición</t>
    <phoneticPr fontId="2" type="noConversion"/>
  </si>
  <si>
    <t>Productos de minas</t>
    <phoneticPr fontId="2" type="noConversion"/>
  </si>
  <si>
    <t>Contribuciones para la guerra</t>
    <phoneticPr fontId="2" type="noConversion"/>
  </si>
  <si>
    <t>Depósitos</t>
    <phoneticPr fontId="2" type="noConversion"/>
  </si>
  <si>
    <t xml:space="preserve"> 1/2</t>
    <phoneticPr fontId="2" type="noConversion"/>
  </si>
  <si>
    <t>Temporalidades</t>
    <phoneticPr fontId="2" type="noConversion"/>
  </si>
  <si>
    <t>1 1/2</t>
    <phoneticPr fontId="2" type="noConversion"/>
  </si>
  <si>
    <t>Donativos</t>
    <phoneticPr fontId="2" type="noConversion"/>
  </si>
  <si>
    <t>Aprovechamientos</t>
    <phoneticPr fontId="2" type="noConversion"/>
  </si>
  <si>
    <t>1/4</t>
    <phoneticPr fontId="2" type="noConversion"/>
  </si>
  <si>
    <t>Venduta</t>
    <phoneticPr fontId="2" type="noConversion"/>
  </si>
  <si>
    <t>4 1/4</t>
    <phoneticPr fontId="2" type="noConversion"/>
  </si>
  <si>
    <t>Bienes mostrencos</t>
    <phoneticPr fontId="2" type="noConversion"/>
  </si>
  <si>
    <t>Medias anatas seculares</t>
    <phoneticPr fontId="2" type="noConversion"/>
  </si>
  <si>
    <t>Derechos de calación de buques</t>
    <phoneticPr fontId="2" type="noConversion"/>
  </si>
  <si>
    <t>Fletes de buques</t>
    <phoneticPr fontId="2" type="noConversion"/>
  </si>
  <si>
    <t>6 1/2</t>
    <phoneticPr fontId="2" type="noConversion"/>
  </si>
  <si>
    <t>Venta de efectos, utensilios de marina y buques</t>
    <phoneticPr fontId="2" type="noConversion"/>
  </si>
  <si>
    <t>Inválidos</t>
    <phoneticPr fontId="2" type="noConversion"/>
  </si>
  <si>
    <t>Hospitalidades</t>
    <phoneticPr fontId="2" type="noConversion"/>
  </si>
  <si>
    <t>Subsidio</t>
    <phoneticPr fontId="2" type="noConversion"/>
  </si>
  <si>
    <t>Tierras baldías</t>
    <phoneticPr fontId="2" type="noConversion"/>
  </si>
  <si>
    <t>Escobilla</t>
    <phoneticPr fontId="2" type="noConversion"/>
  </si>
  <si>
    <t>Multas</t>
    <phoneticPr fontId="2" type="noConversion"/>
  </si>
  <si>
    <t>Reintegros al erario</t>
    <phoneticPr fontId="2" type="noConversion"/>
  </si>
  <si>
    <t>Cúmulo de hacienda</t>
    <phoneticPr fontId="2" type="noConversion"/>
  </si>
  <si>
    <t>Empréstitos forzosos y voluntarios</t>
    <phoneticPr fontId="2" type="noConversion"/>
  </si>
  <si>
    <t>Consolidación</t>
    <phoneticPr fontId="2" type="noConversion"/>
  </si>
  <si>
    <t>Manumisión</t>
    <phoneticPr fontId="2" type="noConversion"/>
  </si>
  <si>
    <t>3 1/2</t>
    <phoneticPr fontId="2" type="noConversion"/>
  </si>
  <si>
    <t>Seminario</t>
    <phoneticPr fontId="2" type="noConversion"/>
  </si>
  <si>
    <t>Penas de cámara</t>
    <phoneticPr fontId="2" type="noConversion"/>
  </si>
  <si>
    <t>4 3/4</t>
    <phoneticPr fontId="2" type="noConversion"/>
  </si>
  <si>
    <t>Productos de imprenta</t>
    <phoneticPr fontId="2" type="noConversion"/>
  </si>
  <si>
    <t>Productos de azogue</t>
    <phoneticPr fontId="2" type="noConversion"/>
  </si>
  <si>
    <t>Cobrado por las aduanas</t>
    <phoneticPr fontId="2" type="noConversion"/>
  </si>
  <si>
    <t>Primera clase</t>
    <phoneticPr fontId="2" type="noConversion"/>
  </si>
  <si>
    <t>Importación</t>
    <phoneticPr fontId="2" type="noConversion"/>
  </si>
  <si>
    <t>Exportación</t>
    <phoneticPr fontId="2" type="noConversion"/>
  </si>
  <si>
    <t>Consumo</t>
    <phoneticPr fontId="2" type="noConversion"/>
  </si>
  <si>
    <t>Toneladas</t>
    <phoneticPr fontId="2" type="noConversion"/>
  </si>
  <si>
    <t>Uno por ciento de atraso de deudas</t>
    <phoneticPr fontId="2" type="noConversion"/>
  </si>
  <si>
    <t>Producto de edificios</t>
    <phoneticPr fontId="2" type="noConversion"/>
  </si>
  <si>
    <t>Depósito por comiso</t>
    <phoneticPr fontId="2" type="noConversion"/>
  </si>
  <si>
    <t>Segunda clase</t>
    <phoneticPr fontId="2" type="noConversion"/>
  </si>
  <si>
    <t>Anclaje</t>
    <phoneticPr fontId="2" type="noConversion"/>
  </si>
  <si>
    <t>1/2</t>
    <phoneticPr fontId="2" type="noConversion"/>
  </si>
  <si>
    <t>Patentes de buques</t>
    <phoneticPr fontId="2" type="noConversion"/>
  </si>
  <si>
    <t>Derecho presunto</t>
    <phoneticPr fontId="2" type="noConversion"/>
  </si>
  <si>
    <t>Impuestos para hospitales militares sobre presas</t>
    <phoneticPr fontId="2" type="noConversion"/>
  </si>
  <si>
    <t>Derecho de guías</t>
    <phoneticPr fontId="2" type="noConversion"/>
  </si>
  <si>
    <t>Tercera clase</t>
    <phoneticPr fontId="2" type="noConversion"/>
  </si>
  <si>
    <t>San Lázaro</t>
    <phoneticPr fontId="2" type="noConversion"/>
  </si>
  <si>
    <t>Aduanaje</t>
    <phoneticPr fontId="2" type="noConversion"/>
  </si>
  <si>
    <t>Consulado</t>
    <phoneticPr fontId="2" type="noConversion"/>
  </si>
  <si>
    <t>Malecón</t>
    <phoneticPr fontId="2" type="noConversion"/>
  </si>
  <si>
    <t>Impuesto provisional</t>
    <phoneticPr fontId="2" type="noConversion"/>
  </si>
  <si>
    <t>Derecho de pisos</t>
    <phoneticPr fontId="2" type="noConversion"/>
  </si>
  <si>
    <t>Producto de las casas de mondeda</t>
    <phoneticPr fontId="2" type="noConversion"/>
  </si>
  <si>
    <t>De la de Bogotá</t>
    <phoneticPr fontId="2" type="noConversion"/>
  </si>
  <si>
    <t>3 3/4</t>
    <phoneticPr fontId="2" type="noConversion"/>
  </si>
  <si>
    <t>Del la de Popayán</t>
    <phoneticPr fontId="2" type="noConversion"/>
  </si>
  <si>
    <t>Cobrado por las administraciones de tabaco</t>
    <phoneticPr fontId="2" type="noConversion"/>
  </si>
  <si>
    <t>Producto en bruto del vendido de todas clases</t>
    <phoneticPr fontId="2" type="noConversion"/>
  </si>
  <si>
    <t>Cobrado en las administraciones de correos</t>
    <phoneticPr fontId="2" type="noConversion"/>
  </si>
  <si>
    <t>Producto total</t>
    <phoneticPr fontId="2" type="noConversion"/>
  </si>
  <si>
    <t>TOTAL GENERAL</t>
    <phoneticPr fontId="2" type="noConversion"/>
  </si>
  <si>
    <t>FUENTE: EXPOSICION DEL SECRETARIO DE HACIENDA PRESENTADA AL CONGRESO DE 1826</t>
    <phoneticPr fontId="2" type="noConversion"/>
  </si>
  <si>
    <t>JOSE MARIA DEL CASTILLO</t>
    <phoneticPr fontId="2" type="noConversion"/>
  </si>
  <si>
    <t>RESUMEN DE LOS RAMOS DE INGRESO Y EGRESO DE CAUDALES QUE FORMAN EL TESORO NACIONAL DE LA REPUBLICA DE COLOMBIA</t>
    <phoneticPr fontId="2" type="noConversion"/>
  </si>
  <si>
    <t>INGRESO GENERAL DE CAUDALES</t>
    <phoneticPr fontId="2" type="noConversion"/>
  </si>
  <si>
    <t>ADUANAS</t>
    <phoneticPr fontId="2" type="noConversion"/>
  </si>
  <si>
    <t>RAMOS</t>
    <phoneticPr fontId="2" type="noConversion"/>
  </si>
  <si>
    <t>VALORES</t>
    <phoneticPr fontId="2" type="noConversion"/>
  </si>
  <si>
    <t>TOTALES</t>
    <phoneticPr fontId="2" type="noConversion"/>
  </si>
  <si>
    <t>Consumo</t>
    <phoneticPr fontId="2" type="noConversion"/>
  </si>
  <si>
    <t>Pena de retardación</t>
    <phoneticPr fontId="2" type="noConversion"/>
  </si>
  <si>
    <t>Almacenaje</t>
    <phoneticPr fontId="2" type="noConversion"/>
  </si>
  <si>
    <t>Patentes</t>
    <phoneticPr fontId="2" type="noConversion"/>
  </si>
  <si>
    <t>Derecho de moneda en oro</t>
    <phoneticPr fontId="2" type="noConversion"/>
  </si>
  <si>
    <t>Derecho del anclaje</t>
    <phoneticPr fontId="2" type="noConversion"/>
  </si>
  <si>
    <t>Derecho de calación</t>
    <phoneticPr fontId="2" type="noConversion"/>
  </si>
  <si>
    <t>Diversos deudores</t>
    <phoneticPr fontId="2" type="noConversion"/>
  </si>
  <si>
    <t>Derecho de sal</t>
    <phoneticPr fontId="2" type="noConversion"/>
  </si>
  <si>
    <t>Productos del año anterior cobrados en el presente</t>
    <phoneticPr fontId="2" type="noConversion"/>
  </si>
  <si>
    <t>Productos aproximativos</t>
    <phoneticPr fontId="2" type="noConversion"/>
  </si>
  <si>
    <t>CASAS DE MONEDA</t>
    <phoneticPr fontId="2" type="noConversion"/>
  </si>
  <si>
    <t>Existencia anterior</t>
    <phoneticPr fontId="2" type="noConversion"/>
  </si>
  <si>
    <t>Valor de las rendiciones de oro</t>
    <phoneticPr fontId="2" type="noConversion"/>
  </si>
  <si>
    <t>Valor de las rendiciones de las de la plata</t>
    <phoneticPr fontId="2" type="noConversion"/>
  </si>
  <si>
    <t>Febles de oro y plata</t>
    <phoneticPr fontId="2" type="noConversion"/>
  </si>
  <si>
    <t>Valor de los bocadillos</t>
    <phoneticPr fontId="2" type="noConversion"/>
  </si>
  <si>
    <t>Líquido</t>
    <phoneticPr fontId="2" type="noConversion"/>
  </si>
  <si>
    <t>TABACOS</t>
    <phoneticPr fontId="2" type="noConversion"/>
  </si>
  <si>
    <t>Producto de tabacos de hoja</t>
    <phoneticPr fontId="2" type="noConversion"/>
  </si>
  <si>
    <t>Productos del polvo</t>
    <phoneticPr fontId="2" type="noConversion"/>
  </si>
  <si>
    <t>CORREOS</t>
    <phoneticPr fontId="2" type="noConversion"/>
  </si>
  <si>
    <t>Producto de correspondencia</t>
    <phoneticPr fontId="2" type="noConversion"/>
  </si>
  <si>
    <t>Producto de encomiendas</t>
    <phoneticPr fontId="2" type="noConversion"/>
  </si>
  <si>
    <t>Producto de certificados</t>
    <phoneticPr fontId="2" type="noConversion"/>
  </si>
  <si>
    <t>Producto del apartado</t>
    <phoneticPr fontId="2" type="noConversion"/>
  </si>
  <si>
    <t>Aproximativos</t>
    <phoneticPr fontId="2" type="noConversion"/>
  </si>
  <si>
    <t>TESORERIAS</t>
    <phoneticPr fontId="2" type="noConversion"/>
  </si>
  <si>
    <t>Existencia del año anterior</t>
    <phoneticPr fontId="2" type="noConversion"/>
  </si>
  <si>
    <t>Vendutas</t>
    <phoneticPr fontId="2" type="noConversion"/>
  </si>
  <si>
    <t>Novenos del Estado</t>
    <phoneticPr fontId="2" type="noConversion"/>
  </si>
  <si>
    <t>Derechos de fundición</t>
    <phoneticPr fontId="2" type="noConversion"/>
  </si>
  <si>
    <t>Escobillas</t>
    <phoneticPr fontId="2" type="noConversion"/>
  </si>
  <si>
    <t>Vacantes mayores y menores</t>
    <phoneticPr fontId="2" type="noConversion"/>
  </si>
  <si>
    <t>Tierras baldías</t>
    <phoneticPr fontId="2" type="noConversion"/>
  </si>
  <si>
    <t>Productos de imprentas</t>
    <phoneticPr fontId="2" type="noConversion"/>
  </si>
  <si>
    <t>Novenos de consolidación</t>
    <phoneticPr fontId="2" type="noConversion"/>
  </si>
  <si>
    <t>Nuevo espolio</t>
    <phoneticPr fontId="2" type="noConversion"/>
  </si>
  <si>
    <t>Producto de azogue</t>
    <phoneticPr fontId="2" type="noConversion"/>
  </si>
  <si>
    <t>Producto de pólvora</t>
    <phoneticPr fontId="2" type="noConversion"/>
  </si>
  <si>
    <t>Producto de urao</t>
    <phoneticPr fontId="2" type="noConversion"/>
  </si>
  <si>
    <t>Seminario de Madrid</t>
    <phoneticPr fontId="2" type="noConversion"/>
  </si>
  <si>
    <t>Patio de gallos</t>
    <phoneticPr fontId="2" type="noConversion"/>
  </si>
  <si>
    <t>Contribución directa</t>
    <phoneticPr fontId="2" type="noConversion"/>
  </si>
  <si>
    <t>Empréstito extranjero</t>
    <phoneticPr fontId="2" type="noConversion"/>
  </si>
  <si>
    <t>Contribuciones extraordinarias</t>
    <phoneticPr fontId="2" type="noConversion"/>
  </si>
  <si>
    <t>Empréstito interior</t>
    <phoneticPr fontId="2" type="noConversion"/>
  </si>
  <si>
    <t>Tiendas de composición</t>
    <phoneticPr fontId="2" type="noConversion"/>
  </si>
  <si>
    <t>Multas y condenas</t>
    <phoneticPr fontId="2" type="noConversion"/>
  </si>
  <si>
    <t>Ventas de efectos del Estado</t>
    <phoneticPr fontId="2" type="noConversion"/>
  </si>
  <si>
    <t>Contribuciones mensual y anual</t>
    <phoneticPr fontId="2" type="noConversion"/>
  </si>
  <si>
    <t>Depósitos generales y particulares</t>
    <phoneticPr fontId="2" type="noConversion"/>
  </si>
  <si>
    <t>Plata reacuñada</t>
    <phoneticPr fontId="2" type="noConversion"/>
  </si>
  <si>
    <t>Cobrado a la República del Perú</t>
    <phoneticPr fontId="2" type="noConversion"/>
  </si>
  <si>
    <t>Masa común de hacienda</t>
    <phoneticPr fontId="2" type="noConversion"/>
  </si>
  <si>
    <t>Tributos</t>
    <phoneticPr fontId="2" type="noConversion"/>
  </si>
  <si>
    <t>Medias anatas eclesiásticas</t>
    <phoneticPr fontId="2" type="noConversion"/>
  </si>
  <si>
    <t>Producto de alcabalas</t>
    <phoneticPr fontId="2" type="noConversion"/>
  </si>
  <si>
    <t>Cruzada</t>
    <phoneticPr fontId="2" type="noConversion"/>
  </si>
  <si>
    <t>Ramos ajenos</t>
    <phoneticPr fontId="2" type="noConversion"/>
  </si>
  <si>
    <t>TESORERÍA DEL MAGDALENA</t>
    <phoneticPr fontId="2" type="noConversion"/>
  </si>
  <si>
    <t>Novenos de diezmos</t>
    <phoneticPr fontId="2" type="noConversion"/>
  </si>
  <si>
    <t>Comisos</t>
    <phoneticPr fontId="2" type="noConversion"/>
  </si>
  <si>
    <t>Reintegros</t>
    <phoneticPr fontId="2" type="noConversion"/>
  </si>
  <si>
    <t>Créditos contra la República</t>
    <phoneticPr fontId="2" type="noConversion"/>
  </si>
  <si>
    <t>Depósitos de hacienda</t>
    <phoneticPr fontId="2" type="noConversion"/>
  </si>
  <si>
    <t>Subsidio</t>
    <phoneticPr fontId="2" type="noConversion"/>
  </si>
  <si>
    <t>Consolidación</t>
    <phoneticPr fontId="2" type="noConversion"/>
  </si>
  <si>
    <t>Empréstito extranjero</t>
    <phoneticPr fontId="2" type="noConversion"/>
  </si>
  <si>
    <t>Vacantes mayores</t>
    <phoneticPr fontId="2" type="noConversion"/>
  </si>
  <si>
    <t xml:space="preserve">Secuestros </t>
    <phoneticPr fontId="2" type="noConversion"/>
  </si>
  <si>
    <t>Depósitos particulares</t>
    <phoneticPr fontId="2" type="noConversion"/>
  </si>
  <si>
    <t>Temporalidades</t>
    <phoneticPr fontId="2" type="noConversion"/>
  </si>
  <si>
    <t>Mandas forzosas</t>
    <phoneticPr fontId="2" type="noConversion"/>
  </si>
  <si>
    <t>Pólvora</t>
    <phoneticPr fontId="2" type="noConversion"/>
  </si>
  <si>
    <t>Contribución extraordinaria</t>
    <phoneticPr fontId="2" type="noConversion"/>
  </si>
  <si>
    <t>Hospitalidades y estancias en ellos</t>
    <phoneticPr fontId="2" type="noConversion"/>
  </si>
  <si>
    <t>Aguardientes</t>
    <phoneticPr fontId="2" type="noConversion"/>
  </si>
  <si>
    <t>Bodegas</t>
    <phoneticPr fontId="2" type="noConversion"/>
  </si>
  <si>
    <t>Existencia del año anterior</t>
    <phoneticPr fontId="2" type="noConversion"/>
  </si>
  <si>
    <t>Ingreso total</t>
    <phoneticPr fontId="2" type="noConversion"/>
  </si>
  <si>
    <t>SECRETARIA DE ESTADO EN EL DESPACHO DE HACIENDA</t>
    <phoneticPr fontId="2" type="noConversion"/>
  </si>
  <si>
    <t xml:space="preserve">ESTADO GENERAL DEL INGRESO Y EGRESO QUE HAN TENIDO LAS RENTAS NACIONALES EN EL AÑO ECONOMICO </t>
    <phoneticPr fontId="2" type="noConversion"/>
  </si>
  <si>
    <t>CORRIDO DESDE 1º DE JULIO DE 1831 A 30 DE JUNIO DE 1832; EL CUAL SE FORMA CON ARREGLO A LOS PARTICULARES</t>
    <phoneticPr fontId="2" type="noConversion"/>
  </si>
  <si>
    <t>QUE SE HAN PRESENTADO POR LA CONTADURIA GENERAL</t>
    <phoneticPr fontId="2" type="noConversion"/>
  </si>
  <si>
    <t>INGRESO GENERAL DE TESORERIAS</t>
    <phoneticPr fontId="2" type="noConversion"/>
  </si>
  <si>
    <t>RAMOS PROPIOS DE LA HACIENDA</t>
    <phoneticPr fontId="2" type="noConversion"/>
  </si>
  <si>
    <t>RAMOS AJENOS</t>
    <phoneticPr fontId="2" type="noConversion"/>
  </si>
  <si>
    <t>TOTALES</t>
    <phoneticPr fontId="2" type="noConversion"/>
  </si>
  <si>
    <t>EGRESO GENERAL DE TESORERIAS</t>
    <phoneticPr fontId="2" type="noConversion"/>
  </si>
  <si>
    <t>PESOS</t>
    <phoneticPr fontId="2" type="noConversion"/>
  </si>
  <si>
    <t>REALES</t>
    <phoneticPr fontId="2" type="noConversion"/>
  </si>
  <si>
    <t>Quintos de fundición de oro y plata</t>
    <phoneticPr fontId="2" type="noConversion"/>
  </si>
  <si>
    <t>4 1/2</t>
    <phoneticPr fontId="2" type="noConversion"/>
  </si>
  <si>
    <t>Dieta de diputados y gastos del congreso</t>
    <phoneticPr fontId="2" type="noConversion"/>
  </si>
  <si>
    <t>6 1/4</t>
    <phoneticPr fontId="2" type="noConversion"/>
  </si>
  <si>
    <t>Sueldos y gastos civiles</t>
    <phoneticPr fontId="2" type="noConversion"/>
  </si>
  <si>
    <t>Sueldos y gastos de hacienda</t>
    <phoneticPr fontId="2" type="noConversion"/>
  </si>
  <si>
    <t>Contribución de indígenas</t>
    <phoneticPr fontId="2" type="noConversion"/>
  </si>
  <si>
    <t>1 1/4</t>
    <phoneticPr fontId="2" type="noConversion"/>
  </si>
  <si>
    <t>Idem de ejército y marina</t>
    <phoneticPr fontId="2" type="noConversion"/>
  </si>
  <si>
    <t>6 1/2</t>
    <phoneticPr fontId="2" type="noConversion"/>
  </si>
  <si>
    <t>1 1/2</t>
    <phoneticPr fontId="2" type="noConversion"/>
  </si>
  <si>
    <t>Pensiones</t>
    <phoneticPr fontId="2" type="noConversion"/>
  </si>
  <si>
    <t>Créditos pagados</t>
    <phoneticPr fontId="2" type="noConversion"/>
  </si>
  <si>
    <t>6 3/4</t>
    <phoneticPr fontId="2" type="noConversion"/>
  </si>
  <si>
    <t>Hospital de San Lázaro</t>
    <phoneticPr fontId="2" type="noConversion"/>
  </si>
  <si>
    <t>Réditos pagados</t>
    <phoneticPr fontId="2" type="noConversion"/>
  </si>
  <si>
    <t>Gastos generales</t>
    <phoneticPr fontId="2" type="noConversion"/>
  </si>
  <si>
    <t>Gastos de imprenta</t>
    <phoneticPr fontId="2" type="noConversion"/>
  </si>
  <si>
    <t>2 1/4</t>
    <phoneticPr fontId="2" type="noConversion"/>
  </si>
  <si>
    <t>3 1/2</t>
    <phoneticPr fontId="2" type="noConversion"/>
  </si>
  <si>
    <t>Gastos de papel sellado</t>
    <phoneticPr fontId="2" type="noConversion"/>
  </si>
  <si>
    <t>Hospitales sin destino</t>
    <phoneticPr fontId="2" type="noConversion"/>
  </si>
  <si>
    <t>Librado con calidad de reintegro</t>
    <phoneticPr fontId="2" type="noConversion"/>
  </si>
  <si>
    <t>Seminario de nobles de Madrid</t>
    <phoneticPr fontId="2" type="noConversion"/>
  </si>
  <si>
    <t>Suplementos a otras rentas</t>
    <phoneticPr fontId="2" type="noConversion"/>
  </si>
  <si>
    <t>Caja de indígenas de Nemocón</t>
    <phoneticPr fontId="2" type="noConversion"/>
  </si>
  <si>
    <t>Temporalidades</t>
    <phoneticPr fontId="2" type="noConversion"/>
  </si>
  <si>
    <t>Fábricas de iglesias</t>
    <phoneticPr fontId="2" type="noConversion"/>
  </si>
  <si>
    <t>Montepío ministerios</t>
    <phoneticPr fontId="2" type="noConversion"/>
  </si>
  <si>
    <t>Escobilla</t>
    <phoneticPr fontId="2" type="noConversion"/>
  </si>
  <si>
    <t>Arrendamientos de tierras</t>
    <phoneticPr fontId="2" type="noConversion"/>
  </si>
  <si>
    <t>Expolios arzobispales</t>
    <phoneticPr fontId="2" type="noConversion"/>
  </si>
  <si>
    <t>Crédito público</t>
    <phoneticPr fontId="2" type="noConversion"/>
  </si>
  <si>
    <t>Expolios de curas</t>
    <phoneticPr fontId="2" type="noConversion"/>
  </si>
  <si>
    <t>Expolios</t>
    <phoneticPr fontId="2" type="noConversion"/>
  </si>
  <si>
    <t>Hacienda en común</t>
    <phoneticPr fontId="2" type="noConversion"/>
  </si>
  <si>
    <t>7 3/4</t>
    <phoneticPr fontId="2" type="noConversion"/>
  </si>
  <si>
    <t>Hospital de San Lázaro</t>
    <phoneticPr fontId="2" type="noConversion"/>
  </si>
  <si>
    <t>5 1/4</t>
    <phoneticPr fontId="2" type="noConversion"/>
  </si>
  <si>
    <t>Alcances de cuentas</t>
    <phoneticPr fontId="2" type="noConversion"/>
  </si>
  <si>
    <t>Efectos de fincas del Estado</t>
    <phoneticPr fontId="2" type="noConversion"/>
  </si>
  <si>
    <t>Sínodo de misioneros</t>
    <phoneticPr fontId="2" type="noConversion"/>
  </si>
  <si>
    <t>Secuestros</t>
    <phoneticPr fontId="2" type="noConversion"/>
  </si>
  <si>
    <t>Alcabala de fincas raíces</t>
    <phoneticPr fontId="2" type="noConversion"/>
  </si>
  <si>
    <t>Montepío militar</t>
    <phoneticPr fontId="2" type="noConversion"/>
  </si>
  <si>
    <t>Noveno de consolidación</t>
    <phoneticPr fontId="2" type="noConversion"/>
  </si>
  <si>
    <t>Derechos de hipotecas y registro</t>
    <phoneticPr fontId="2" type="noConversion"/>
  </si>
  <si>
    <t>Bodegas del Estado</t>
    <phoneticPr fontId="2" type="noConversion"/>
  </si>
  <si>
    <t>Diez por ciento de rentas municipales</t>
    <phoneticPr fontId="2" type="noConversion"/>
  </si>
  <si>
    <t>Secuestros</t>
    <phoneticPr fontId="2" type="noConversion"/>
  </si>
  <si>
    <t>Derechos de carga sobre los efectos extranjeros que transitan por el Magdalena</t>
    <phoneticPr fontId="2" type="noConversion"/>
  </si>
  <si>
    <t>Bienes de difuntos</t>
    <phoneticPr fontId="2" type="noConversion"/>
  </si>
  <si>
    <t>CASAS DE MONEDA</t>
    <phoneticPr fontId="2" type="noConversion"/>
  </si>
  <si>
    <t>La de Bogotá, utiulidad líquida</t>
    <phoneticPr fontId="2" type="noConversion"/>
  </si>
  <si>
    <t xml:space="preserve">Los sueldos y gastos de ambas casas se han deducido del </t>
    <phoneticPr fontId="2" type="noConversion"/>
  </si>
  <si>
    <t>La de Popayán, utilidad líquida</t>
    <phoneticPr fontId="2" type="noConversion"/>
  </si>
  <si>
    <t>producto total</t>
    <phoneticPr fontId="2" type="noConversion"/>
  </si>
  <si>
    <t>ADUANAS</t>
    <phoneticPr fontId="2" type="noConversion"/>
  </si>
  <si>
    <t>Sueldos de empleados y resguardos</t>
    <phoneticPr fontId="2" type="noConversion"/>
  </si>
  <si>
    <t>Alcabala</t>
    <phoneticPr fontId="2" type="noConversion"/>
  </si>
  <si>
    <t>5 3/4</t>
    <phoneticPr fontId="2" type="noConversion"/>
  </si>
  <si>
    <t>3/4</t>
    <phoneticPr fontId="2" type="noConversion"/>
  </si>
  <si>
    <t>Gastos ordinarios y extraordinarios</t>
    <phoneticPr fontId="2" type="noConversion"/>
  </si>
  <si>
    <t>Extracción presunta</t>
    <phoneticPr fontId="2" type="noConversion"/>
  </si>
  <si>
    <t>5  1/2</t>
    <phoneticPr fontId="2" type="noConversion"/>
  </si>
  <si>
    <t>4 1/4</t>
    <phoneticPr fontId="2" type="noConversion"/>
  </si>
  <si>
    <t>Devolución de derechos de importación</t>
    <phoneticPr fontId="2" type="noConversion"/>
  </si>
  <si>
    <t>Consulado</t>
    <phoneticPr fontId="2" type="noConversion"/>
  </si>
  <si>
    <t>Devolución de derechos de alcabala</t>
    <phoneticPr fontId="2" type="noConversion"/>
  </si>
  <si>
    <t>Devolución de extracción presunta</t>
    <phoneticPr fontId="2" type="noConversion"/>
  </si>
  <si>
    <t>Devolución de derechos de consulado</t>
    <phoneticPr fontId="2" type="noConversion"/>
  </si>
  <si>
    <t>Anclaje</t>
    <phoneticPr fontId="2" type="noConversion"/>
  </si>
  <si>
    <t>Abonos por órdnes del gobierno</t>
    <phoneticPr fontId="2" type="noConversion"/>
  </si>
  <si>
    <t>Derecho de entrada de buques</t>
    <phoneticPr fontId="2" type="noConversion"/>
  </si>
  <si>
    <t>Abonos por derechos de deuda flotante</t>
    <phoneticPr fontId="2" type="noConversion"/>
  </si>
  <si>
    <t>Derecho de prácticos</t>
    <phoneticPr fontId="2" type="noConversion"/>
  </si>
  <si>
    <t>Abonos por septima parte derechos de importación</t>
    <phoneticPr fontId="2" type="noConversion"/>
  </si>
  <si>
    <t>Derecho de patente de nacionalización</t>
    <phoneticPr fontId="2" type="noConversion"/>
  </si>
  <si>
    <t>Abonos por derechos de exportación</t>
    <phoneticPr fontId="2" type="noConversion"/>
  </si>
  <si>
    <t xml:space="preserve"> 1/4</t>
    <phoneticPr fontId="2" type="noConversion"/>
  </si>
  <si>
    <t>San Lázaro</t>
    <phoneticPr fontId="2" type="noConversion"/>
  </si>
  <si>
    <t>Recaudación del derecho consular</t>
    <phoneticPr fontId="2" type="noConversion"/>
  </si>
  <si>
    <t>Abono a los capitanes de puerto</t>
    <phoneticPr fontId="2" type="noConversion"/>
  </si>
  <si>
    <t>Derecho de sales</t>
    <phoneticPr fontId="2" type="noConversion"/>
  </si>
  <si>
    <t>Abono al administrador de San Lázaro</t>
    <phoneticPr fontId="2" type="noConversion"/>
  </si>
  <si>
    <t>Derecho de tránsito</t>
    <phoneticPr fontId="2" type="noConversion"/>
  </si>
  <si>
    <t>7 1/2</t>
    <phoneticPr fontId="2" type="noConversion"/>
  </si>
  <si>
    <t>Abono al tribunal del consulado</t>
    <phoneticPr fontId="2" type="noConversion"/>
  </si>
  <si>
    <t>TABACOS</t>
    <phoneticPr fontId="2" type="noConversion"/>
  </si>
  <si>
    <t>Producto del de hoja</t>
    <phoneticPr fontId="2" type="noConversion"/>
  </si>
  <si>
    <t>Compra de tabaco en factoría y de comisos, fletes y acarreos</t>
    <phoneticPr fontId="2" type="noConversion"/>
  </si>
  <si>
    <t>Productos del de comisos</t>
    <phoneticPr fontId="2" type="noConversion"/>
  </si>
  <si>
    <t>Sueldos fijos y eventuales</t>
    <phoneticPr fontId="2" type="noConversion"/>
  </si>
  <si>
    <t>Producto de petacas</t>
    <phoneticPr fontId="2" type="noConversion"/>
  </si>
  <si>
    <t>3 3/4</t>
    <phoneticPr fontId="2" type="noConversion"/>
  </si>
  <si>
    <t>Sueldos de empleados y salarios de conductores</t>
    <phoneticPr fontId="2" type="noConversion"/>
  </si>
  <si>
    <t>1/2</t>
    <phoneticPr fontId="2" type="noConversion"/>
  </si>
  <si>
    <t>Cartas sobrantes de pago</t>
    <phoneticPr fontId="2" type="noConversion"/>
  </si>
  <si>
    <t>2 3/4</t>
    <phoneticPr fontId="2" type="noConversion"/>
  </si>
  <si>
    <t>Suplementos a las subalternas</t>
    <phoneticPr fontId="2" type="noConversion"/>
  </si>
  <si>
    <t>Ingreso general</t>
    <phoneticPr fontId="2" type="noConversion"/>
  </si>
  <si>
    <t>4 3/4</t>
    <phoneticPr fontId="2" type="noConversion"/>
  </si>
  <si>
    <t>Egreso general</t>
    <phoneticPr fontId="2" type="noConversion"/>
  </si>
  <si>
    <t>Existencia</t>
    <phoneticPr fontId="2" type="noConversion"/>
  </si>
  <si>
    <t>Fuente: Con base en Franciso Soto (1833) informe de hacienda</t>
    <phoneticPr fontId="2" type="noConversion"/>
  </si>
  <si>
    <t>ESTADO GENERAL DEL INGRESO Y EGRESO QUE HAN TENIDO LAS RENTAS DE LA NUEVA GRANADA EN TODO</t>
    <phoneticPr fontId="2" type="noConversion"/>
  </si>
  <si>
    <t>EL AÑO ECONÓMICO CONTADO DE 1º DE DICIEMBRE DE 1832 A 30 DE NOVIEMBRE DE 1833</t>
    <phoneticPr fontId="2" type="noConversion"/>
  </si>
  <si>
    <t>INGRESO GENERAL</t>
    <phoneticPr fontId="2" type="noConversion"/>
  </si>
  <si>
    <t>EGRESO GENERAL</t>
    <phoneticPr fontId="2" type="noConversion"/>
  </si>
  <si>
    <t>RAMOS</t>
    <phoneticPr fontId="2" type="noConversion"/>
  </si>
  <si>
    <t>PESOS</t>
    <phoneticPr fontId="2" type="noConversion"/>
  </si>
  <si>
    <t>REALES</t>
    <phoneticPr fontId="2" type="noConversion"/>
  </si>
  <si>
    <t>Derecho de importación</t>
    <phoneticPr fontId="2" type="noConversion"/>
  </si>
  <si>
    <t>6 1/2</t>
    <phoneticPr fontId="2" type="noConversion"/>
  </si>
  <si>
    <t>Idem de exportación</t>
    <phoneticPr fontId="2" type="noConversion"/>
  </si>
  <si>
    <t>1/4</t>
    <phoneticPr fontId="2" type="noConversion"/>
  </si>
  <si>
    <t>2 1/4</t>
    <phoneticPr fontId="2" type="noConversion"/>
  </si>
  <si>
    <t>Idem de toneladas</t>
    <phoneticPr fontId="2" type="noConversion"/>
  </si>
  <si>
    <t>Sueldos y gastos militares</t>
    <phoneticPr fontId="2" type="noConversion"/>
  </si>
  <si>
    <t>7 1/2</t>
    <phoneticPr fontId="2" type="noConversion"/>
  </si>
  <si>
    <t>Idem de prácticos</t>
    <phoneticPr fontId="2" type="noConversion"/>
  </si>
  <si>
    <t>Sueldos y gastos de marina</t>
    <phoneticPr fontId="2" type="noConversion"/>
  </si>
  <si>
    <t>Idem de nacionalización</t>
    <phoneticPr fontId="2" type="noConversion"/>
  </si>
  <si>
    <t>Gastos de plaza</t>
    <phoneticPr fontId="2" type="noConversion"/>
  </si>
  <si>
    <t>5 3/4</t>
    <phoneticPr fontId="2" type="noConversion"/>
  </si>
  <si>
    <t>Alcabala menor</t>
    <phoneticPr fontId="2" type="noConversion"/>
  </si>
  <si>
    <t>Gastos de fortificación</t>
    <phoneticPr fontId="2" type="noConversion"/>
  </si>
  <si>
    <t>Idem de fincas raíces</t>
    <phoneticPr fontId="2" type="noConversion"/>
  </si>
  <si>
    <t>5 1/2</t>
    <phoneticPr fontId="2" type="noConversion"/>
  </si>
  <si>
    <t>Gastos de hospitales</t>
    <phoneticPr fontId="2" type="noConversion"/>
  </si>
  <si>
    <t>Hipotecas y registro</t>
    <phoneticPr fontId="2" type="noConversion"/>
  </si>
  <si>
    <t>Producto de papel sellado</t>
    <phoneticPr fontId="2" type="noConversion"/>
  </si>
  <si>
    <t>Idem de fincas del Estado</t>
    <phoneticPr fontId="2" type="noConversion"/>
  </si>
  <si>
    <t>Devuelto por derecho de importación</t>
    <phoneticPr fontId="2" type="noConversion"/>
  </si>
  <si>
    <t>Diez por ciento de rentas municipales</t>
    <phoneticPr fontId="2" type="noConversion"/>
  </si>
  <si>
    <t>Idem por el de alcabala</t>
    <phoneticPr fontId="2" type="noConversion"/>
  </si>
  <si>
    <t>Producto de venduta</t>
    <phoneticPr fontId="2" type="noConversion"/>
  </si>
  <si>
    <t>Gastos de la renta de correos</t>
    <phoneticPr fontId="2" type="noConversion"/>
  </si>
  <si>
    <t>Idem de salinas</t>
    <phoneticPr fontId="2" type="noConversion"/>
  </si>
  <si>
    <t>Gastos de la renta de tabacos</t>
    <phoneticPr fontId="2" type="noConversion"/>
  </si>
  <si>
    <t>Producto de aguardiente de caña</t>
    <phoneticPr fontId="2" type="noConversion"/>
  </si>
  <si>
    <t>Derecho de tránsito</t>
    <phoneticPr fontId="2" type="noConversion"/>
  </si>
  <si>
    <t>Idem de internación</t>
    <phoneticPr fontId="2" type="noConversion"/>
  </si>
  <si>
    <t>Idem de titulos</t>
    <phoneticPr fontId="2" type="noConversion"/>
  </si>
  <si>
    <t>Utilidades de amonedación</t>
    <phoneticPr fontId="2" type="noConversion"/>
  </si>
  <si>
    <t>Producto de correos</t>
    <phoneticPr fontId="2" type="noConversion"/>
  </si>
  <si>
    <t>Producto de tabacos</t>
    <phoneticPr fontId="2" type="noConversion"/>
  </si>
  <si>
    <t>Medias anatas, mesadas y anualidades</t>
    <phoneticPr fontId="2" type="noConversion"/>
  </si>
  <si>
    <t>Producto de diezmos</t>
    <phoneticPr fontId="2" type="noConversion"/>
  </si>
  <si>
    <t>2 3/4</t>
    <phoneticPr fontId="2" type="noConversion"/>
  </si>
  <si>
    <t>Espolios arzobispales</t>
    <phoneticPr fontId="2" type="noConversion"/>
  </si>
  <si>
    <t>Aprovechamientos</t>
    <phoneticPr fontId="2" type="noConversion"/>
  </si>
  <si>
    <t>Producto de bodegas</t>
    <phoneticPr fontId="2" type="noConversion"/>
  </si>
  <si>
    <t>Hacienda en común</t>
    <phoneticPr fontId="2" type="noConversion"/>
  </si>
  <si>
    <t>Suma total</t>
    <phoneticPr fontId="2" type="noConversion"/>
  </si>
  <si>
    <t>3/4</t>
    <phoneticPr fontId="2" type="noConversion"/>
  </si>
  <si>
    <t>Fuente Con base en Soto (1834)</t>
    <phoneticPr fontId="2" type="noConversion"/>
  </si>
  <si>
    <t>Existencia de dinero en las tesorería el 30 de noviembre de 1832</t>
    <phoneticPr fontId="2" type="noConversion"/>
  </si>
  <si>
    <t>"Como la ley de 28 de mayo de 1834 dispuso que el año económico se contase de 1º de septiembre a 31 de agosto, y que las cuentas entonces corrientes habían de cerrarse el 31 de agosto de dicho año</t>
    <phoneticPr fontId="2" type="noConversion"/>
  </si>
  <si>
    <t>debo contraer a los nueve meses corridos desde 1º de diciembre de 1833 a la última fecha expresada; la manifestación de los ingresos y egresos del tesoro nacional; agreagando sin embargo el presupuesto</t>
    <phoneticPr fontId="2" type="noConversion"/>
  </si>
  <si>
    <t>de 12 meses contaderos desde 1º de septiembre del presente año al último de agosto de 1836 para los gastos que demanda el servicio nacional"</t>
    <phoneticPr fontId="2" type="noConversion"/>
  </si>
  <si>
    <t>Para nueve meses contados desde diciembre de 1833 hasta agosto de 1834</t>
    <phoneticPr fontId="2" type="noConversion"/>
  </si>
  <si>
    <t>PESOS</t>
    <phoneticPr fontId="2" type="noConversion"/>
  </si>
  <si>
    <t>Ingresos propios del ramo</t>
    <phoneticPr fontId="2" type="noConversion"/>
  </si>
  <si>
    <t>Egresos</t>
    <phoneticPr fontId="2" type="noConversion"/>
  </si>
  <si>
    <t>Diferencia</t>
    <phoneticPr fontId="2" type="noConversion"/>
  </si>
  <si>
    <t>Fuente: con base en Soto (1835)</t>
    <phoneticPr fontId="2" type="noConversion"/>
  </si>
  <si>
    <t>CUADRO COMPARATIVO DE LOS RENDIMIENTOS QUE TUVIERON LOS IMPUESTOS ESTABLECIDOS EN LA NUEVA GRANADA EN 1801, EN LOS</t>
    <phoneticPr fontId="2" type="noConversion"/>
  </si>
  <si>
    <t>QUE INMEDIATAMENTE PRECEDIERON AL DE 1810, TIEMPO DEL GOBIERNO ESPAÑOL, Y DE LAS CONTRIBUCIONES EN 1832, 33, 34 Y 35,</t>
    <phoneticPr fontId="2" type="noConversion"/>
  </si>
  <si>
    <t>TIEMPO DE LA REPÚBLICA DE LA NUEVA GRANADA</t>
    <phoneticPr fontId="2" type="noConversion"/>
  </si>
  <si>
    <t>IMPUESTOS Y CONTRIBUCIONES</t>
    <phoneticPr fontId="2" type="noConversion"/>
  </si>
  <si>
    <t>AÑO COMÚN TOMADO</t>
    <phoneticPr fontId="2" type="noConversion"/>
  </si>
  <si>
    <t>AÑO ECONÓMICO DE 1º DE JULIO DE 1831</t>
    <phoneticPr fontId="2" type="noConversion"/>
  </si>
  <si>
    <t>AÑO ECONÓMICO DE 1º DE</t>
    <phoneticPr fontId="2" type="noConversion"/>
  </si>
  <si>
    <t xml:space="preserve">AÑO ECONÓMICO DE 1º DE </t>
    <phoneticPr fontId="2" type="noConversion"/>
  </si>
  <si>
    <t xml:space="preserve">ENTRE LOS QUE </t>
    <phoneticPr fontId="2" type="noConversion"/>
  </si>
  <si>
    <t>A 30 DE JUNIO DE 1832</t>
    <phoneticPr fontId="2" type="noConversion"/>
  </si>
  <si>
    <t>DICIEMBRE DE 32 A 30 DE</t>
    <phoneticPr fontId="2" type="noConversion"/>
  </si>
  <si>
    <t xml:space="preserve">DICIEMBRE DE 33 A 31 DE AGOSTO </t>
    <phoneticPr fontId="2" type="noConversion"/>
  </si>
  <si>
    <t>SEPTIEMBRE DE 1834 A</t>
    <phoneticPr fontId="2" type="noConversion"/>
  </si>
  <si>
    <t>SEPTIEMBRE DE 1835 A</t>
    <phoneticPr fontId="2" type="noConversion"/>
  </si>
  <si>
    <t>INMEDIATAMENTE PRECEDIERON</t>
    <phoneticPr fontId="2" type="noConversion"/>
  </si>
  <si>
    <t>NOVIEMBRE DE 1833</t>
    <phoneticPr fontId="2" type="noConversion"/>
  </si>
  <si>
    <t>DE 1834, SEGÚN LA CUENTA PASADA</t>
    <phoneticPr fontId="2" type="noConversion"/>
  </si>
  <si>
    <t>31 DE AGOSTO DE 1835</t>
    <phoneticPr fontId="2" type="noConversion"/>
  </si>
  <si>
    <t>31 DE AGOSTO DE 1836</t>
    <phoneticPr fontId="2" type="noConversion"/>
  </si>
  <si>
    <t>AL DE 1810</t>
    <phoneticPr fontId="2" type="noConversion"/>
  </si>
  <si>
    <t>AL CONGRESO, Y DE 1º DE SEPTIEMBRE</t>
    <phoneticPr fontId="2" type="noConversion"/>
  </si>
  <si>
    <t>A 30 DE NOVIEMBRE DEL MISMO,</t>
    <phoneticPr fontId="2" type="noConversion"/>
  </si>
  <si>
    <t>CALCULADO SOBRE EL PRODUCTO  DE</t>
    <phoneticPr fontId="2" type="noConversion"/>
  </si>
  <si>
    <t>LOS NUEVE MESES ANTERIORES</t>
    <phoneticPr fontId="2" type="noConversion"/>
  </si>
  <si>
    <t>Suprimido</t>
    <phoneticPr fontId="2" type="noConversion"/>
  </si>
  <si>
    <t>id.</t>
    <phoneticPr fontId="2" type="noConversion"/>
  </si>
  <si>
    <t>Protectoría</t>
    <phoneticPr fontId="2" type="noConversion"/>
  </si>
  <si>
    <t>id.</t>
    <phoneticPr fontId="2" type="noConversion"/>
  </si>
  <si>
    <t>Novenos reales</t>
    <phoneticPr fontId="2" type="noConversion"/>
  </si>
  <si>
    <t>3 1/2</t>
    <phoneticPr fontId="2" type="noConversion"/>
  </si>
  <si>
    <t>Inválidos</t>
    <phoneticPr fontId="2" type="noConversion"/>
  </si>
  <si>
    <t>Quintos reales</t>
    <phoneticPr fontId="2" type="noConversion"/>
  </si>
  <si>
    <t>Fundición</t>
    <phoneticPr fontId="2" type="noConversion"/>
  </si>
  <si>
    <t>1 1/2</t>
    <phoneticPr fontId="2" type="noConversion"/>
  </si>
  <si>
    <t>Medias anatas de empleos</t>
    <phoneticPr fontId="2" type="noConversion"/>
  </si>
  <si>
    <t>Tierras</t>
    <phoneticPr fontId="2" type="noConversion"/>
  </si>
  <si>
    <t>" 1/4</t>
    <phoneticPr fontId="2" type="noConversion"/>
  </si>
  <si>
    <t>Aguardiente</t>
    <phoneticPr fontId="2" type="noConversion"/>
  </si>
  <si>
    <t>Por estanco</t>
    <phoneticPr fontId="2" type="noConversion"/>
  </si>
  <si>
    <t>Por estanco y patentes</t>
    <phoneticPr fontId="2" type="noConversion"/>
  </si>
  <si>
    <t>7 1/4</t>
    <phoneticPr fontId="2" type="noConversion"/>
  </si>
  <si>
    <t>1 1/2</t>
    <phoneticPr fontId="2" type="noConversion"/>
  </si>
  <si>
    <t>Pólvora</t>
    <phoneticPr fontId="2" type="noConversion"/>
  </si>
  <si>
    <t>Comisos</t>
    <phoneticPr fontId="2" type="noConversion"/>
  </si>
  <si>
    <t>" 1/4</t>
    <phoneticPr fontId="2" type="noConversion"/>
  </si>
  <si>
    <t>Arriendo de gallos</t>
    <phoneticPr fontId="2" type="noConversion"/>
  </si>
  <si>
    <t>Aprovechamientos de amonedación</t>
    <phoneticPr fontId="2" type="noConversion"/>
  </si>
  <si>
    <t>Recaudo por las tesorerías de provincia</t>
    <phoneticPr fontId="2" type="noConversion"/>
  </si>
  <si>
    <t>Imposiciones a censo</t>
    <phoneticPr fontId="2" type="noConversion"/>
  </si>
  <si>
    <t>Oficios vendibles</t>
    <phoneticPr fontId="2" type="noConversion"/>
  </si>
  <si>
    <t>Real subsidio</t>
    <phoneticPr fontId="2" type="noConversion"/>
  </si>
  <si>
    <t>Minas de plata, en administración de cuenta del gobierno</t>
    <phoneticPr fontId="2" type="noConversion"/>
  </si>
  <si>
    <t>Vacantes mayores</t>
    <phoneticPr fontId="2" type="noConversion"/>
  </si>
  <si>
    <t>2 1/4</t>
    <phoneticPr fontId="2" type="noConversion"/>
  </si>
  <si>
    <t>Id. menores</t>
    <phoneticPr fontId="2" type="noConversion"/>
  </si>
  <si>
    <t>Medias anatas ecleciásticas</t>
    <phoneticPr fontId="2" type="noConversion"/>
  </si>
  <si>
    <t>Mesadas ecleciásticas</t>
    <phoneticPr fontId="2" type="noConversion"/>
  </si>
  <si>
    <t>Bulas de cruzada</t>
    <phoneticPr fontId="2" type="noConversion"/>
  </si>
  <si>
    <t>Id de carne</t>
    <phoneticPr fontId="2" type="noConversion"/>
  </si>
  <si>
    <t>Tabaco</t>
    <phoneticPr fontId="2" type="noConversion"/>
  </si>
  <si>
    <t>Naipes</t>
    <phoneticPr fontId="2" type="noConversion"/>
  </si>
  <si>
    <t>Espolios</t>
    <phoneticPr fontId="2" type="noConversion"/>
  </si>
  <si>
    <t>Novenos beneficiales</t>
    <phoneticPr fontId="2" type="noConversion"/>
  </si>
  <si>
    <t>Fábrica de iglesias</t>
    <phoneticPr fontId="2" type="noConversion"/>
  </si>
  <si>
    <t>Camellón</t>
    <phoneticPr fontId="2" type="noConversion"/>
  </si>
  <si>
    <t>Seminarios de nobles</t>
    <phoneticPr fontId="2" type="noConversion"/>
  </si>
  <si>
    <t>Orden de Carlos 3º</t>
    <phoneticPr fontId="2" type="noConversion"/>
  </si>
  <si>
    <t>Hospitales sin destino</t>
    <phoneticPr fontId="2" type="noConversion"/>
  </si>
  <si>
    <t>Penas de cámaras</t>
    <phoneticPr fontId="2" type="noConversion"/>
  </si>
  <si>
    <t>Aduanas</t>
    <phoneticPr fontId="2" type="noConversion"/>
  </si>
  <si>
    <t>" 3/4</t>
    <phoneticPr fontId="2" type="noConversion"/>
  </si>
  <si>
    <t>7 3/4</t>
    <phoneticPr fontId="2" type="noConversion"/>
  </si>
  <si>
    <t>Casas de moneda</t>
    <phoneticPr fontId="2" type="noConversion"/>
  </si>
  <si>
    <t>5 1/4</t>
    <phoneticPr fontId="2" type="noConversion"/>
  </si>
  <si>
    <t>3 3/4</t>
    <phoneticPr fontId="2" type="noConversion"/>
  </si>
  <si>
    <t>Pulperías</t>
    <phoneticPr fontId="2" type="noConversion"/>
  </si>
  <si>
    <t xml:space="preserve"> </t>
    <phoneticPr fontId="2" type="noConversion"/>
  </si>
  <si>
    <t>Diezmos y vacantes</t>
    <phoneticPr fontId="2" type="noConversion"/>
  </si>
  <si>
    <t>Anualidades</t>
    <phoneticPr fontId="2" type="noConversion"/>
  </si>
  <si>
    <t>Correos</t>
    <phoneticPr fontId="2" type="noConversion"/>
  </si>
  <si>
    <t>" 1/2</t>
    <phoneticPr fontId="2" type="noConversion"/>
  </si>
  <si>
    <t>Pasos de ríos y peajes</t>
    <phoneticPr fontId="2" type="noConversion"/>
  </si>
  <si>
    <t>Bodegas</t>
    <phoneticPr fontId="2" type="noConversion"/>
  </si>
  <si>
    <t>2 3/4</t>
    <phoneticPr fontId="2" type="noConversion"/>
  </si>
  <si>
    <t>Hacienda en común</t>
    <phoneticPr fontId="2" type="noConversion"/>
  </si>
  <si>
    <t>Contribución personal de indígenas</t>
    <phoneticPr fontId="2" type="noConversion"/>
  </si>
  <si>
    <t>Producto de imprenta</t>
    <phoneticPr fontId="2" type="noConversion"/>
  </si>
  <si>
    <t>Cajas de indígenas de Enemocón</t>
    <phoneticPr fontId="2" type="noConversion"/>
  </si>
  <si>
    <t>Montepío ministerial</t>
    <phoneticPr fontId="2" type="noConversion"/>
  </si>
  <si>
    <t>Arrendamiento de tierras</t>
    <phoneticPr fontId="2" type="noConversion"/>
  </si>
  <si>
    <t>Crédito público</t>
    <phoneticPr fontId="2" type="noConversion"/>
  </si>
  <si>
    <t>Conventos suprimidos</t>
    <phoneticPr fontId="2" type="noConversion"/>
  </si>
  <si>
    <t>Efectos y fincas del Estado</t>
    <phoneticPr fontId="2" type="noConversion"/>
  </si>
  <si>
    <t>Alcabala de fincas raíces</t>
    <phoneticPr fontId="2" type="noConversion"/>
  </si>
  <si>
    <t xml:space="preserve">Noveno de consolidación </t>
    <phoneticPr fontId="2" type="noConversion"/>
  </si>
  <si>
    <t>Hipotecas y registro</t>
    <phoneticPr fontId="2" type="noConversion"/>
  </si>
  <si>
    <t>Secuestros</t>
    <phoneticPr fontId="2" type="noConversion"/>
  </si>
  <si>
    <t>Derechos por los efectos que transiten por el Magdalena</t>
    <phoneticPr fontId="2" type="noConversion"/>
  </si>
  <si>
    <t>Bienes de difuntos</t>
    <phoneticPr fontId="2" type="noConversion"/>
  </si>
  <si>
    <t>Producto de venduta</t>
    <phoneticPr fontId="2" type="noConversion"/>
  </si>
  <si>
    <t>Derechos de tránsito</t>
    <phoneticPr fontId="2" type="noConversion"/>
  </si>
  <si>
    <t>Id de internación</t>
    <phoneticPr fontId="2" type="noConversion"/>
  </si>
  <si>
    <t>Está suprimido</t>
    <phoneticPr fontId="2" type="noConversion"/>
  </si>
  <si>
    <t>Titulos</t>
    <phoneticPr fontId="2" type="noConversion"/>
  </si>
  <si>
    <t>Medias anatas, anualidades y mesadas</t>
    <phoneticPr fontId="2" type="noConversion"/>
  </si>
  <si>
    <t>Diezmos</t>
    <phoneticPr fontId="2" type="noConversion"/>
  </si>
  <si>
    <t>Decuento sobre sueldos y pensiones</t>
    <phoneticPr fontId="2" type="noConversion"/>
  </si>
  <si>
    <t>Producto de bienes embargados</t>
    <phoneticPr fontId="2" type="noConversion"/>
  </si>
  <si>
    <t>Legación romana</t>
    <phoneticPr fontId="2" type="noConversion"/>
  </si>
  <si>
    <t>Suma</t>
    <phoneticPr fontId="2" type="noConversion"/>
  </si>
  <si>
    <t>OBSERVACIONES</t>
    <phoneticPr fontId="2" type="noConversion"/>
  </si>
  <si>
    <t>1. Los datos que se han tenido a la vista para la formación de este cuadro son los siguientes:la historia de la revolución hispano-americana escrita por don Mariano Torrente, en lo relativo a los ingresos de 1801;</t>
    <phoneticPr fontId="2" type="noConversion"/>
  </si>
  <si>
    <t xml:space="preserve">    Historia de la revolución de la república de Colombia escrita por don José Manuel Restrepo, con respecto a los ingresos de un año común tomados de los últimos de la dominación española, y de las exposiciones</t>
    <phoneticPr fontId="2" type="noConversion"/>
  </si>
  <si>
    <t xml:space="preserve">    presentadas a los congresos de la Nueva Granada en los años de 1833, 34, 35 y 36 por la secretaría de hacienda en cuanto al rendimiento de las contribucione de la misma República en los años económicos a que ellas se refieren</t>
    <phoneticPr fontId="2" type="noConversion"/>
  </si>
  <si>
    <t>2. Como en los estados que presentan las dos obras citadas se hallan unos ramos unidos con otros cuando en los de la secretaría de hacienda están separados, ha sido indispensable repetir la enunciación de los mismos ramos: así,</t>
    <phoneticPr fontId="2" type="noConversion"/>
  </si>
  <si>
    <t>por ejemplo, se notan en este cuadro las siguientes partida: "Diezmos"; "Diezmos y vacantes";"Novenos reales" y "Novenos beneficiales"; todas las cuales, sin la causa mencionada, pudieran haberse reunido en una sola</t>
    <phoneticPr fontId="2" type="noConversion"/>
  </si>
  <si>
    <t>3. Si del total de los impuestos cobrados en tiempo del gobierno español, se deduce el monto de los que han sido suprimidos en el de Colombia y la Nueva Granada, y el residuo se compara cone l producto de las contribuciones</t>
    <phoneticPr fontId="2" type="noConversion"/>
  </si>
  <si>
    <t xml:space="preserve">    de esta última República, resultará una diferencia en contra de la administración española por las sumas siguientes:</t>
    <phoneticPr fontId="2" type="noConversion"/>
  </si>
  <si>
    <t>Ingresos de la Nueva Granada</t>
    <phoneticPr fontId="2" type="noConversion"/>
  </si>
  <si>
    <t>7 1/2</t>
    <phoneticPr fontId="2" type="noConversion"/>
  </si>
  <si>
    <t>3 1/4</t>
    <phoneticPr fontId="2" type="noConversion"/>
  </si>
  <si>
    <t>Año en común tomado entre los que inmediatamente precedieron al de 1810,</t>
    <phoneticPr fontId="2" type="noConversion"/>
  </si>
  <si>
    <t>deducidos los impuestos expresados</t>
    <phoneticPr fontId="2" type="noConversion"/>
  </si>
  <si>
    <t>Difererencia</t>
    <phoneticPr fontId="2" type="noConversion"/>
  </si>
  <si>
    <t>Bogotá , 1º de marzo de 1937</t>
    <phoneticPr fontId="2" type="noConversion"/>
  </si>
  <si>
    <t>Fuente: Con base en Soto (1837)</t>
    <phoneticPr fontId="2" type="noConversion"/>
  </si>
  <si>
    <t xml:space="preserve">CUENTA GENERAL DEL TESORO EN EL ULTIMO AÑO ECONÓMICO, Y PRESUPUESTO DE GASTOS PAR EL AÑO DE 1838-1839 </t>
    <phoneticPr fontId="2" type="noConversion"/>
  </si>
  <si>
    <t>EXISTENCIA DE LA CUENTA ANTERIOR</t>
    <phoneticPr fontId="2" type="noConversion"/>
  </si>
  <si>
    <t>En tabaco en especie</t>
    <phoneticPr fontId="2" type="noConversion"/>
  </si>
  <si>
    <t>En pagares de aduanas</t>
    <phoneticPr fontId="2" type="noConversion"/>
  </si>
  <si>
    <t>2 3/4</t>
    <phoneticPr fontId="2" type="noConversion"/>
  </si>
  <si>
    <t>En idem en la tesorería del Chocó</t>
    <phoneticPr fontId="2" type="noConversion"/>
  </si>
  <si>
    <t>En cartas sobrantes</t>
    <phoneticPr fontId="2" type="noConversion"/>
  </si>
  <si>
    <t>2 1/2</t>
    <phoneticPr fontId="2" type="noConversion"/>
  </si>
  <si>
    <t>En dinero efectivo</t>
    <phoneticPr fontId="2" type="noConversion"/>
  </si>
  <si>
    <t>En pagarés de tabaco</t>
    <phoneticPr fontId="2" type="noConversion"/>
  </si>
  <si>
    <t>IMPORTE DE LAS CONTRIBUCIONES</t>
    <phoneticPr fontId="2" type="noConversion"/>
  </si>
  <si>
    <t>Aduana por ramos nacionales</t>
    <phoneticPr fontId="2" type="noConversion"/>
  </si>
  <si>
    <t>3 "</t>
    <phoneticPr fontId="2" type="noConversion"/>
  </si>
  <si>
    <t>Dedúcese lo devuelto por cobrado de más por importación</t>
    <phoneticPr fontId="2" type="noConversion"/>
  </si>
  <si>
    <t>Por alcabala</t>
    <phoneticPr fontId="2" type="noConversion"/>
  </si>
  <si>
    <t>Por toneladas</t>
    <phoneticPr fontId="2" type="noConversion"/>
  </si>
  <si>
    <t>Dedúcese igualmente el importe de los pagarés existentes en las cuentas del año anterior</t>
    <phoneticPr fontId="2" type="noConversion"/>
  </si>
  <si>
    <t>por estar cargado en la primera partida de existenias, cuyo valo es el de</t>
    <phoneticPr fontId="2" type="noConversion"/>
  </si>
  <si>
    <t>5 3/4</t>
    <phoneticPr fontId="2" type="noConversion"/>
  </si>
  <si>
    <t xml:space="preserve"> 3/4</t>
    <phoneticPr fontId="2" type="noConversion"/>
  </si>
  <si>
    <t>Líquido</t>
    <phoneticPr fontId="2" type="noConversion"/>
  </si>
  <si>
    <t>5 1/4</t>
    <phoneticPr fontId="2" type="noConversion"/>
  </si>
  <si>
    <t>Tesorerías</t>
    <phoneticPr fontId="2" type="noConversion"/>
  </si>
  <si>
    <t>6 1/6</t>
    <phoneticPr fontId="2" type="noConversion"/>
  </si>
  <si>
    <t>Importe total, según documento número 1</t>
    <phoneticPr fontId="2" type="noConversion"/>
  </si>
  <si>
    <t>EGRESO, SEGÚN EL DOCUMENTO NÚMERO 2</t>
    <phoneticPr fontId="2" type="noConversion"/>
  </si>
  <si>
    <t>Tesorerías</t>
    <phoneticPr fontId="2" type="noConversion"/>
  </si>
  <si>
    <t>3 1/4</t>
    <phoneticPr fontId="2" type="noConversion"/>
  </si>
  <si>
    <t>Correos</t>
    <phoneticPr fontId="2" type="noConversion"/>
  </si>
  <si>
    <t>1 3/4</t>
    <phoneticPr fontId="2" type="noConversion"/>
  </si>
  <si>
    <t>Tabacos</t>
    <phoneticPr fontId="2" type="noConversion"/>
  </si>
  <si>
    <t>5 1/2</t>
    <phoneticPr fontId="2" type="noConversion"/>
  </si>
  <si>
    <t>Diferencia entre el producto de las contribuciones y los egresos</t>
    <phoneticPr fontId="2" type="noConversion"/>
  </si>
  <si>
    <t>Total existencia en 31 de agosto de 1837</t>
    <phoneticPr fontId="2" type="noConversion"/>
  </si>
  <si>
    <t>4 1/2</t>
    <phoneticPr fontId="2" type="noConversion"/>
  </si>
  <si>
    <t>En tabaco en especie</t>
    <phoneticPr fontId="2" type="noConversion"/>
  </si>
  <si>
    <t>En pagarés de tabaco</t>
    <phoneticPr fontId="2" type="noConversion"/>
  </si>
  <si>
    <t>En idem de aduanas</t>
    <phoneticPr fontId="2" type="noConversion"/>
  </si>
  <si>
    <t>En cartas sobrantes</t>
    <phoneticPr fontId="2" type="noConversion"/>
  </si>
  <si>
    <t>En pagarés de tesorería</t>
    <phoneticPr fontId="2" type="noConversion"/>
  </si>
  <si>
    <t>En documentos de la tesorería de  Panamá no datados</t>
    <phoneticPr fontId="2" type="noConversion"/>
  </si>
  <si>
    <t>6 3/4</t>
    <phoneticPr fontId="2" type="noConversion"/>
  </si>
  <si>
    <t>En dinero</t>
    <phoneticPr fontId="2" type="noConversion"/>
  </si>
  <si>
    <t>1/4</t>
    <phoneticPr fontId="2" type="noConversion"/>
  </si>
  <si>
    <t>En la casa de moneda de Bogotá, incluso el valro de las pastas</t>
    <phoneticPr fontId="2" type="noConversion"/>
  </si>
  <si>
    <t>7 1/4</t>
    <phoneticPr fontId="2" type="noConversion"/>
  </si>
  <si>
    <t>En la de Popayán id. id.</t>
    <phoneticPr fontId="2" type="noConversion"/>
  </si>
  <si>
    <t>En las factorías y administración de tabacos</t>
    <phoneticPr fontId="2" type="noConversion"/>
  </si>
  <si>
    <t>En las tesorerías</t>
    <phoneticPr fontId="2" type="noConversion"/>
  </si>
  <si>
    <t>En vía de unas y otras tesorerías</t>
    <phoneticPr fontId="2" type="noConversion"/>
  </si>
  <si>
    <t>En las administraciones de correos</t>
    <phoneticPr fontId="2" type="noConversion"/>
  </si>
  <si>
    <t>En las aduanas</t>
    <phoneticPr fontId="2" type="noConversion"/>
  </si>
  <si>
    <t>Dedúcese</t>
    <phoneticPr fontId="2" type="noConversion"/>
  </si>
  <si>
    <t>Por existencias de la cuenta de ramos ajenos, documento número 3</t>
    <phoneticPr fontId="2" type="noConversion"/>
  </si>
  <si>
    <t>Por suplementos a la renta de tabacos en el año de la cuenta</t>
    <phoneticPr fontId="2" type="noConversion"/>
  </si>
  <si>
    <t>" 1/4</t>
    <phoneticPr fontId="2" type="noConversion"/>
  </si>
  <si>
    <t>6 "</t>
    <phoneticPr fontId="2" type="noConversion"/>
  </si>
  <si>
    <t>4 "</t>
    <phoneticPr fontId="2" type="noConversion"/>
  </si>
  <si>
    <t>Existencia en 31 de agosto de 1837</t>
    <phoneticPr fontId="2" type="noConversion"/>
  </si>
  <si>
    <t>Producto de las contribuciones en el año económico de 1835 a 1836</t>
    <phoneticPr fontId="2" type="noConversion"/>
  </si>
  <si>
    <t>Id. en el año económico de 1836 a 1837</t>
    <phoneticPr fontId="2" type="noConversion"/>
  </si>
  <si>
    <t>Disminución</t>
    <phoneticPr fontId="2" type="noConversion"/>
  </si>
  <si>
    <t>Fuente: Con base en De Aranzazu (1838)</t>
    <phoneticPr fontId="2" type="noConversion"/>
  </si>
  <si>
    <t>Ingresos</t>
    <phoneticPr fontId="2" type="noConversion"/>
  </si>
  <si>
    <t>Déficit/superávit</t>
    <phoneticPr fontId="2" type="noConversion"/>
  </si>
  <si>
    <t>CUADRO DEMOSTRATIVO DE LA EXISTENCIA QUE HABÍA EN 1º DE SEPTIEMBRE DE 1836, Y DEL IMPORTE DE LAS CONTRIBUCIONES</t>
    <phoneticPr fontId="2" type="noConversion"/>
  </si>
  <si>
    <t>Y RENTAS DE LA REPÚBLICA EN EL AÑO ECONÓMICO CONCLUIDO EN 31 DE AGOSTO DE 1837</t>
    <phoneticPr fontId="2" type="noConversion"/>
  </si>
  <si>
    <t>En id. en la tesorería del Chocó</t>
    <phoneticPr fontId="2" type="noConversion"/>
  </si>
  <si>
    <t>RAMOS DE INGRESO</t>
    <phoneticPr fontId="2" type="noConversion"/>
  </si>
  <si>
    <t>Importación:</t>
    <phoneticPr fontId="2" type="noConversion"/>
  </si>
  <si>
    <t>Octava parte del crédito exterior granadino</t>
    <phoneticPr fontId="2" type="noConversion"/>
  </si>
  <si>
    <t>3 "</t>
    <phoneticPr fontId="2" type="noConversion"/>
  </si>
  <si>
    <t>Octava parte aplicada a la deuda flotante</t>
    <phoneticPr fontId="2" type="noConversion"/>
  </si>
  <si>
    <t>Seis octavas partes de los fondos comunes</t>
    <phoneticPr fontId="2" type="noConversion"/>
  </si>
  <si>
    <t>5 "</t>
    <phoneticPr fontId="2" type="noConversion"/>
  </si>
  <si>
    <t>Alcabala</t>
    <phoneticPr fontId="2" type="noConversion"/>
  </si>
  <si>
    <t>7 1/4</t>
    <phoneticPr fontId="2" type="noConversion"/>
  </si>
  <si>
    <t>Toneladas</t>
    <phoneticPr fontId="2" type="noConversion"/>
  </si>
  <si>
    <t>Exportación de platina</t>
    <phoneticPr fontId="2" type="noConversion"/>
  </si>
  <si>
    <t>Derecho de entrada</t>
    <phoneticPr fontId="2" type="noConversion"/>
  </si>
  <si>
    <t>Idem de prácticos</t>
    <phoneticPr fontId="2" type="noConversion"/>
  </si>
  <si>
    <t>Patentes de nacionalización de buques</t>
    <phoneticPr fontId="2" type="noConversion"/>
  </si>
  <si>
    <t>Derecho de depósito</t>
    <phoneticPr fontId="2" type="noConversion"/>
  </si>
  <si>
    <t>De cuya cantidad se deduce lo devuelto por cobrado de más</t>
    <phoneticPr fontId="2" type="noConversion"/>
  </si>
  <si>
    <t>Por importación</t>
    <phoneticPr fontId="2" type="noConversion"/>
  </si>
  <si>
    <t>" 1/2</t>
    <phoneticPr fontId="2" type="noConversion"/>
  </si>
  <si>
    <t>Por alcabala</t>
    <phoneticPr fontId="2" type="noConversion"/>
  </si>
  <si>
    <t>" 3/4</t>
    <phoneticPr fontId="2" type="noConversion"/>
  </si>
  <si>
    <t>Por toneladas</t>
    <phoneticPr fontId="2" type="noConversion"/>
  </si>
  <si>
    <t>Pagarés de la cuenta anterior</t>
    <phoneticPr fontId="2" type="noConversion"/>
  </si>
  <si>
    <t>5 1/4</t>
    <phoneticPr fontId="2" type="noConversion"/>
  </si>
  <si>
    <t>Producto de la correspondencia</t>
    <phoneticPr fontId="2" type="noConversion"/>
  </si>
  <si>
    <t>1 1/2</t>
    <phoneticPr fontId="2" type="noConversion"/>
  </si>
  <si>
    <t>Idem de encomiendas</t>
    <phoneticPr fontId="2" type="noConversion"/>
  </si>
  <si>
    <t>idem de administración de subalternas, certificados y apartado</t>
    <phoneticPr fontId="2" type="noConversion"/>
  </si>
  <si>
    <t>1/2</t>
    <phoneticPr fontId="2" type="noConversion"/>
  </si>
  <si>
    <t>De cuya cantidad se deduce el importe de las cartas sobrantes ya cargadas en la existencia</t>
    <phoneticPr fontId="2" type="noConversion"/>
  </si>
  <si>
    <t>del año anterior</t>
    <phoneticPr fontId="2" type="noConversion"/>
  </si>
  <si>
    <t>3 "</t>
    <phoneticPr fontId="2" type="noConversion"/>
  </si>
  <si>
    <t>TESORERÍAS</t>
    <phoneticPr fontId="2" type="noConversion"/>
  </si>
  <si>
    <t>Derecho de internación</t>
    <phoneticPr fontId="2" type="noConversion"/>
  </si>
  <si>
    <t>Hipotecas y registros</t>
    <phoneticPr fontId="2" type="noConversion"/>
  </si>
  <si>
    <t>2 1/4</t>
    <phoneticPr fontId="2" type="noConversion"/>
  </si>
  <si>
    <t>Papel sellado</t>
    <phoneticPr fontId="2" type="noConversion"/>
  </si>
  <si>
    <t>Venduta</t>
    <phoneticPr fontId="2" type="noConversion"/>
  </si>
  <si>
    <t>Salinas</t>
    <phoneticPr fontId="2" type="noConversion"/>
  </si>
  <si>
    <t>3/4</t>
    <phoneticPr fontId="2" type="noConversion"/>
  </si>
  <si>
    <t>Fundición y sus aprovechamientos</t>
    <phoneticPr fontId="2" type="noConversion"/>
  </si>
  <si>
    <t>Derechos de titulos</t>
    <phoneticPr fontId="2" type="noConversion"/>
  </si>
  <si>
    <t>Medias anatas, anualidades y mesadas eclesiásticas</t>
    <phoneticPr fontId="2" type="noConversion"/>
  </si>
  <si>
    <t>5 3/4</t>
    <phoneticPr fontId="2" type="noConversion"/>
  </si>
  <si>
    <t>1 "</t>
    <phoneticPr fontId="2" type="noConversion"/>
  </si>
  <si>
    <t>Descuentos sobre sueldos y pensiones</t>
    <phoneticPr fontId="2" type="noConversion"/>
  </si>
  <si>
    <t>Producto de bienes embargados</t>
    <phoneticPr fontId="2" type="noConversion"/>
  </si>
  <si>
    <t>Efectos beneficiados</t>
    <phoneticPr fontId="2" type="noConversion"/>
  </si>
  <si>
    <t>Producto de tierras baldías</t>
    <phoneticPr fontId="2" type="noConversion"/>
  </si>
  <si>
    <t>Legación romana</t>
    <phoneticPr fontId="2" type="noConversion"/>
  </si>
  <si>
    <t>Hacienda en común</t>
    <phoneticPr fontId="2" type="noConversion"/>
  </si>
  <si>
    <t>Crédito público interior</t>
    <phoneticPr fontId="2" type="noConversion"/>
  </si>
  <si>
    <t>4 1/4</t>
    <phoneticPr fontId="2" type="noConversion"/>
  </si>
  <si>
    <t>Utilidades liquidadas de la de Bogotá</t>
    <phoneticPr fontId="2" type="noConversion"/>
  </si>
  <si>
    <t>Idem, ídem de la de Popayán</t>
    <phoneticPr fontId="2" type="noConversion"/>
  </si>
  <si>
    <t>" "</t>
    <phoneticPr fontId="2" type="noConversion"/>
  </si>
  <si>
    <t>Producto del vendido para el consumo interior</t>
    <phoneticPr fontId="2" type="noConversion"/>
  </si>
  <si>
    <t>Idem del vendido para la exportación</t>
    <phoneticPr fontId="2" type="noConversion"/>
  </si>
  <si>
    <t>Idem de la venta de zurrones y petacas</t>
    <phoneticPr fontId="2" type="noConversion"/>
  </si>
  <si>
    <t>Aprovechamientos</t>
    <phoneticPr fontId="2" type="noConversion"/>
  </si>
  <si>
    <t>Reintegros</t>
    <phoneticPr fontId="2" type="noConversion"/>
  </si>
  <si>
    <t>De cuya cantidad se deduce el importe de los pagarés ya cargados en la existencia del año</t>
    <phoneticPr fontId="2" type="noConversion"/>
  </si>
  <si>
    <t xml:space="preserve">anterior, que son </t>
    <phoneticPr fontId="2" type="noConversion"/>
  </si>
  <si>
    <t>Valor de la menor existencia en especie que ha resultado en el año de esta cuenta</t>
    <phoneticPr fontId="2" type="noConversion"/>
  </si>
  <si>
    <t>comparada con la del año anterior</t>
    <phoneticPr fontId="2" type="noConversion"/>
  </si>
  <si>
    <t>4 1/4</t>
    <phoneticPr fontId="2" type="noConversion"/>
  </si>
  <si>
    <t>Total de contribuciones</t>
    <phoneticPr fontId="2" type="noConversion"/>
  </si>
  <si>
    <t>5 "</t>
    <phoneticPr fontId="2" type="noConversion"/>
  </si>
  <si>
    <t>RESUMEN GENERAL</t>
    <phoneticPr fontId="2" type="noConversion"/>
  </si>
  <si>
    <t>Existencia de la cuenta anterior</t>
    <phoneticPr fontId="2" type="noConversion"/>
  </si>
  <si>
    <t>Importe de las contribuciones y rentas nacionales</t>
    <phoneticPr fontId="2" type="noConversion"/>
  </si>
  <si>
    <t>Total general</t>
    <phoneticPr fontId="2" type="noConversion"/>
  </si>
  <si>
    <t>9 1/4</t>
    <phoneticPr fontId="2" type="noConversion"/>
  </si>
  <si>
    <t>Bogotá, 1º de marzo de 1838</t>
    <phoneticPr fontId="2" type="noConversion"/>
  </si>
  <si>
    <t>Fuente: Con base en  De Aranzazu (1838)</t>
    <phoneticPr fontId="2" type="noConversion"/>
  </si>
  <si>
    <t>CUADRO DE LOS INGRESOS Y EGRESOS DE LOS RAMOS AJENOS EN EL AÑO ECONÓMICO DE 1º DE SEPTIEMBRE DE 1836 A 31 DE AGOSTO DE 1837</t>
    <phoneticPr fontId="2" type="noConversion"/>
  </si>
  <si>
    <t>INGRESO</t>
    <phoneticPr fontId="2" type="noConversion"/>
  </si>
  <si>
    <t>EGRESO</t>
    <phoneticPr fontId="2" type="noConversion"/>
  </si>
  <si>
    <t>Quinta parte de aguardientes</t>
    <phoneticPr fontId="2" type="noConversion"/>
  </si>
  <si>
    <t>3 1/4</t>
    <phoneticPr fontId="2" type="noConversion"/>
  </si>
  <si>
    <t>Depósitos</t>
    <phoneticPr fontId="2" type="noConversion"/>
  </si>
  <si>
    <t>3 1/3</t>
    <phoneticPr fontId="2" type="noConversion"/>
  </si>
  <si>
    <t>Suplementos</t>
    <phoneticPr fontId="2" type="noConversion"/>
  </si>
  <si>
    <t>6 1/4</t>
    <phoneticPr fontId="2" type="noConversion"/>
  </si>
  <si>
    <t>San Lázaro</t>
    <phoneticPr fontId="2" type="noConversion"/>
  </si>
  <si>
    <t>6 1/2</t>
    <phoneticPr fontId="2" type="noConversion"/>
  </si>
  <si>
    <t>Entregado a los lazaretos</t>
    <phoneticPr fontId="2" type="noConversion"/>
  </si>
  <si>
    <t>Anclaje</t>
    <phoneticPr fontId="2" type="noConversion"/>
  </si>
  <si>
    <t>1/4</t>
    <phoneticPr fontId="2" type="noConversion"/>
  </si>
  <si>
    <t>DEMOSTRACIÓN</t>
    <phoneticPr fontId="2" type="noConversion"/>
  </si>
  <si>
    <t>Ingreso</t>
    <phoneticPr fontId="2" type="noConversion"/>
  </si>
  <si>
    <t>Egreso</t>
    <phoneticPr fontId="2" type="noConversion"/>
  </si>
  <si>
    <t>Existencia</t>
    <phoneticPr fontId="2" type="noConversion"/>
  </si>
  <si>
    <t>GASTOS EJECUTADOS EN EL DEPARTAMENTO DE HACIENDA DESDE EL 1 DE JULIO DE 1824 HASTA EL 30 DE JUNIO DE1825</t>
    <phoneticPr fontId="2" type="noConversion"/>
  </si>
  <si>
    <t>REALES</t>
    <phoneticPr fontId="2" type="noConversion"/>
  </si>
  <si>
    <t>Secretaría de Hacienda en sueldos y gastos</t>
    <phoneticPr fontId="2" type="noConversion"/>
  </si>
  <si>
    <t>La comisión de repartimiento de bienes nacionales</t>
    <phoneticPr fontId="2" type="noConversion"/>
  </si>
  <si>
    <t>Liquidación de la deuda nacional, doméstica y extranjera</t>
    <phoneticPr fontId="2" type="noConversion"/>
  </si>
  <si>
    <t>Dirección general de todas sus secciones</t>
    <phoneticPr fontId="2" type="noConversion"/>
  </si>
  <si>
    <t>Las tesorerías</t>
    <phoneticPr fontId="2" type="noConversion"/>
  </si>
  <si>
    <t>Las aduanas</t>
    <phoneticPr fontId="2" type="noConversion"/>
  </si>
  <si>
    <t>0 3/4</t>
    <phoneticPr fontId="2" type="noConversion"/>
  </si>
  <si>
    <t>Las administraciones de tabacos en principales sueldos y gastos</t>
    <phoneticPr fontId="2" type="noConversion"/>
  </si>
  <si>
    <t>La administración de correos en salarios de conductores, sueldos y gastos</t>
    <phoneticPr fontId="2" type="noConversion"/>
  </si>
  <si>
    <t>Total</t>
    <phoneticPr fontId="2" type="noConversion"/>
  </si>
  <si>
    <t>Nota. No se ponen los gastos de las casas de moneda por no haberse recibido más que la razón de sus productos netos</t>
    <phoneticPr fontId="2" type="noConversion"/>
  </si>
  <si>
    <t>Fuente: José María del Castillo, Informe del Secretario de Hacienda, 1826</t>
    <phoneticPr fontId="2" type="noConversion"/>
  </si>
  <si>
    <t>PRESUPUESTO PARA 1826</t>
    <phoneticPr fontId="2" type="noConversion"/>
  </si>
  <si>
    <t>MARAVEDÍ</t>
    <phoneticPr fontId="2" type="noConversion"/>
  </si>
  <si>
    <t>Presupuesto del Departamento de Relaciones Exteriores</t>
    <phoneticPr fontId="2" type="noConversion"/>
  </si>
  <si>
    <t>SECRETARIA DE RELACIONES EXTERIORES</t>
    <phoneticPr fontId="2" type="noConversion"/>
  </si>
  <si>
    <t>LEGACION EN LOS ESTADOS UNIDOS</t>
    <phoneticPr fontId="2" type="noConversion"/>
  </si>
  <si>
    <t>LEGACION EN MEJICO</t>
    <phoneticPr fontId="2" type="noConversion"/>
  </si>
  <si>
    <t>LEGACION EN GUATEMALA</t>
    <phoneticPr fontId="2" type="noConversion"/>
  </si>
  <si>
    <t>LEGACION EN EL PERU</t>
    <phoneticPr fontId="2" type="noConversion"/>
  </si>
  <si>
    <t>LEGACION EN CHILE</t>
    <phoneticPr fontId="2" type="noConversion"/>
  </si>
  <si>
    <t>LEGACION EN BUENOS AIRES</t>
    <phoneticPr fontId="2" type="noConversion"/>
  </si>
  <si>
    <t>ASAMBLEA DEL ITMO</t>
    <phoneticPr fontId="2" type="noConversion"/>
  </si>
  <si>
    <t>LeGACION QUE HAY QUE ENVIAR A BRASIL</t>
    <phoneticPr fontId="2" type="noConversion"/>
  </si>
  <si>
    <t>LEGACION EN LONDRES</t>
    <phoneticPr fontId="2" type="noConversion"/>
  </si>
  <si>
    <t>LAGACION QUE HAY QUE ENVIARSE A FRANCIA</t>
    <phoneticPr fontId="2" type="noConversion"/>
  </si>
  <si>
    <t>LEGACION EN ROMA</t>
    <phoneticPr fontId="2" type="noConversion"/>
  </si>
  <si>
    <t>LEGACION QUE HAY QUE ENVIARSE A HOLANDA</t>
    <phoneticPr fontId="2" type="noConversion"/>
  </si>
  <si>
    <t>LEGACION QUE HAY QUE ENVIARSE A DINAMARCA</t>
    <phoneticPr fontId="2" type="noConversion"/>
  </si>
  <si>
    <t>LEGACION QUE HAY QUE ENVIARSE AL BALTICO</t>
    <phoneticPr fontId="2" type="noConversion"/>
  </si>
  <si>
    <t>Para legaciones que pueden hacerse necesarias y otros gastos eventuales</t>
    <phoneticPr fontId="2" type="noConversion"/>
  </si>
  <si>
    <t>TOTAL</t>
    <phoneticPr fontId="2" type="noConversion"/>
  </si>
  <si>
    <t>Presupuesto del Departamento del Interior</t>
    <phoneticPr fontId="2" type="noConversion"/>
  </si>
  <si>
    <t>Viáticos a los Representantes por la leguas que tienen que recorrer</t>
    <phoneticPr fontId="2" type="noConversion"/>
  </si>
  <si>
    <t>Tunja</t>
    <phoneticPr fontId="2" type="noConversion"/>
  </si>
  <si>
    <t>Pamplona</t>
    <phoneticPr fontId="2" type="noConversion"/>
  </si>
  <si>
    <t>Socorro</t>
    <phoneticPr fontId="2" type="noConversion"/>
  </si>
  <si>
    <t>Casanare</t>
    <phoneticPr fontId="2" type="noConversion"/>
  </si>
  <si>
    <t>Mérida</t>
    <phoneticPr fontId="2" type="noConversion"/>
  </si>
  <si>
    <t>Trujillo</t>
    <phoneticPr fontId="2" type="noConversion"/>
  </si>
  <si>
    <t>Maracaibo</t>
    <phoneticPr fontId="2" type="noConversion"/>
  </si>
  <si>
    <t>Coro</t>
    <phoneticPr fontId="2" type="noConversion"/>
  </si>
  <si>
    <t>Barinas</t>
    <phoneticPr fontId="2" type="noConversion"/>
  </si>
  <si>
    <t>Caracas</t>
    <phoneticPr fontId="2" type="noConversion"/>
  </si>
  <si>
    <t>Barcelona</t>
    <phoneticPr fontId="2" type="noConversion"/>
  </si>
  <si>
    <t>Cumaná</t>
    <phoneticPr fontId="2" type="noConversion"/>
  </si>
  <si>
    <t>Margarita</t>
    <phoneticPr fontId="2" type="noConversion"/>
  </si>
  <si>
    <t>Guayana</t>
    <phoneticPr fontId="2" type="noConversion"/>
  </si>
  <si>
    <t>Mariquita</t>
    <phoneticPr fontId="2" type="noConversion"/>
  </si>
  <si>
    <t>Antioquia</t>
    <phoneticPr fontId="2" type="noConversion"/>
  </si>
  <si>
    <t>Cartagena</t>
    <phoneticPr fontId="2" type="noConversion"/>
  </si>
  <si>
    <t>Santa Marta</t>
    <phoneticPr fontId="2" type="noConversion"/>
  </si>
  <si>
    <t>Riohacha</t>
    <phoneticPr fontId="2" type="noConversion"/>
  </si>
  <si>
    <t>Panamá</t>
    <phoneticPr fontId="2" type="noConversion"/>
  </si>
  <si>
    <t>Veraguas</t>
    <phoneticPr fontId="2" type="noConversion"/>
  </si>
  <si>
    <t>Neiva</t>
    <phoneticPr fontId="2" type="noConversion"/>
  </si>
  <si>
    <t>Popayán</t>
    <phoneticPr fontId="2" type="noConversion"/>
  </si>
  <si>
    <t>Nóvita</t>
    <phoneticPr fontId="2" type="noConversion"/>
  </si>
  <si>
    <t>Pasto</t>
    <phoneticPr fontId="2" type="noConversion"/>
  </si>
  <si>
    <t>Quito</t>
    <phoneticPr fontId="2" type="noConversion"/>
  </si>
  <si>
    <t>Cuenca</t>
    <phoneticPr fontId="2" type="noConversion"/>
  </si>
  <si>
    <t>Loja</t>
    <phoneticPr fontId="2" type="noConversion"/>
  </si>
  <si>
    <t>Guayaquil</t>
    <phoneticPr fontId="2" type="noConversion"/>
  </si>
  <si>
    <t>Cámara de Representantes</t>
    <phoneticPr fontId="2" type="noConversion"/>
  </si>
  <si>
    <t>Secretaría de la Cámara de Representantes</t>
    <phoneticPr fontId="2" type="noConversion"/>
  </si>
  <si>
    <t>Cámara del Senado</t>
    <phoneticPr fontId="2" type="noConversion"/>
  </si>
  <si>
    <t>Poder Ejecutivo (Sueldo del Presidente y Vicepresidente)</t>
    <phoneticPr fontId="2" type="noConversion"/>
  </si>
  <si>
    <t>Secretaría del Interior</t>
    <phoneticPr fontId="2" type="noConversion"/>
  </si>
  <si>
    <t>Alta Corte de Justicia</t>
    <phoneticPr fontId="2" type="noConversion"/>
  </si>
  <si>
    <t>Corte Superior de Justicia de Cundinamarca</t>
    <phoneticPr fontId="2" type="noConversion"/>
  </si>
  <si>
    <t>Corte Superior de Justicia de Venezuela</t>
  </si>
  <si>
    <t>Corte Superior de Justicia del Orinoco</t>
  </si>
  <si>
    <t>Corte Superior de Justicia del Zulia</t>
  </si>
  <si>
    <t>Corte Superior de Justicia del Apure</t>
  </si>
  <si>
    <t>Corte Superior de Justicia del Magdalena</t>
  </si>
  <si>
    <t>Corte Superior de Justicia del Cauca</t>
  </si>
  <si>
    <t>Corte Superior de Justicia del Ecuador</t>
  </si>
  <si>
    <t>Corte Superior de Justicia de Guayaquil</t>
  </si>
  <si>
    <t>Intendencias departamentales</t>
    <phoneticPr fontId="2" type="noConversion"/>
  </si>
  <si>
    <t>Orinoco</t>
    <phoneticPr fontId="2" type="noConversion"/>
  </si>
  <si>
    <t>Venezuela</t>
    <phoneticPr fontId="2" type="noConversion"/>
  </si>
  <si>
    <t>Apure</t>
    <phoneticPr fontId="2" type="noConversion"/>
  </si>
  <si>
    <t>Zulia</t>
    <phoneticPr fontId="2" type="noConversion"/>
  </si>
  <si>
    <t>Boyacá</t>
    <phoneticPr fontId="2" type="noConversion"/>
  </si>
  <si>
    <t>Cundinamarca</t>
    <phoneticPr fontId="2" type="noConversion"/>
  </si>
  <si>
    <t>Magdalena</t>
    <phoneticPr fontId="2" type="noConversion"/>
  </si>
  <si>
    <t>Istmo</t>
    <phoneticPr fontId="2" type="noConversion"/>
  </si>
  <si>
    <t>Cauca</t>
    <phoneticPr fontId="2" type="noConversion"/>
  </si>
  <si>
    <t>Ecuador</t>
    <phoneticPr fontId="2" type="noConversion"/>
  </si>
  <si>
    <t>Asuay</t>
    <phoneticPr fontId="2" type="noConversion"/>
  </si>
  <si>
    <t>Guayaquil</t>
    <phoneticPr fontId="2" type="noConversion"/>
  </si>
  <si>
    <t>Gobiernos provinciales</t>
    <phoneticPr fontId="2" type="noConversion"/>
  </si>
  <si>
    <t>Margarita</t>
    <phoneticPr fontId="2" type="noConversion"/>
  </si>
  <si>
    <t>Apure</t>
    <phoneticPr fontId="2" type="noConversion"/>
  </si>
  <si>
    <t>Carabobo</t>
    <phoneticPr fontId="2" type="noConversion"/>
  </si>
  <si>
    <t>Coro</t>
    <phoneticPr fontId="2" type="noConversion"/>
  </si>
  <si>
    <t>Pamplona</t>
    <phoneticPr fontId="2" type="noConversion"/>
  </si>
  <si>
    <t>Socorro</t>
    <phoneticPr fontId="2" type="noConversion"/>
  </si>
  <si>
    <t>Antioquia</t>
    <phoneticPr fontId="2" type="noConversion"/>
  </si>
  <si>
    <t>Santa Marta</t>
    <phoneticPr fontId="2" type="noConversion"/>
  </si>
  <si>
    <t>Chocó</t>
    <phoneticPr fontId="2" type="noConversion"/>
  </si>
  <si>
    <t>Buenaventura</t>
    <phoneticPr fontId="2" type="noConversion"/>
  </si>
  <si>
    <t>Veragua</t>
    <phoneticPr fontId="2" type="noConversion"/>
  </si>
  <si>
    <t>Imbabura</t>
    <phoneticPr fontId="2" type="noConversion"/>
  </si>
  <si>
    <t>Chimborazo</t>
    <phoneticPr fontId="2" type="noConversion"/>
  </si>
  <si>
    <t>Jaen y Mainas</t>
    <phoneticPr fontId="2" type="noConversion"/>
  </si>
  <si>
    <t>Manaví</t>
    <phoneticPr fontId="2" type="noConversion"/>
  </si>
  <si>
    <t>Establecimientos públicos</t>
    <phoneticPr fontId="2" type="noConversion"/>
  </si>
  <si>
    <t>Colegio de San Bartolomé (Bogotá)</t>
    <phoneticPr fontId="2" type="noConversion"/>
  </si>
  <si>
    <t xml:space="preserve">  Catedrático de derecho canonico</t>
    <phoneticPr fontId="2" type="noConversion"/>
  </si>
  <si>
    <t xml:space="preserve">  Catedrático de instituta</t>
    <phoneticPr fontId="2" type="noConversion"/>
  </si>
  <si>
    <t xml:space="preserve">  Catedrático de derecho público</t>
    <phoneticPr fontId="2" type="noConversion"/>
  </si>
  <si>
    <t xml:space="preserve">  Catedrático de latinidad de mayores</t>
    <phoneticPr fontId="2" type="noConversion"/>
  </si>
  <si>
    <t xml:space="preserve">  Catedrático de latinidad de menores</t>
    <phoneticPr fontId="2" type="noConversion"/>
  </si>
  <si>
    <t xml:space="preserve">  Becas (7 cada una a $84)</t>
    <phoneticPr fontId="2" type="noConversion"/>
  </si>
  <si>
    <t>Escuelas Normales de Bogotá, Caracas y Quito</t>
    <phoneticPr fontId="2" type="noConversion"/>
  </si>
  <si>
    <t>Cátedra de anatomía en Bogotá</t>
    <phoneticPr fontId="2" type="noConversion"/>
  </si>
  <si>
    <t>Bbiliotecario de Bogotá</t>
    <phoneticPr fontId="2" type="noConversion"/>
  </si>
  <si>
    <t>Maestro de primeras letras de Bogotá</t>
    <phoneticPr fontId="2" type="noConversion"/>
  </si>
  <si>
    <t>Hacen todas estas partidas la suma de</t>
    <phoneticPr fontId="2" type="noConversion"/>
  </si>
  <si>
    <t>Mueseo de ciencias naturales</t>
    <phoneticPr fontId="2" type="noConversion"/>
  </si>
  <si>
    <t>Total presupuesto del Departamento del Interior</t>
    <phoneticPr fontId="2" type="noConversion"/>
  </si>
  <si>
    <t>Presupuesto del Departamento de Guerra</t>
    <phoneticPr fontId="2" type="noConversion"/>
  </si>
  <si>
    <t>Estados mayores</t>
    <phoneticPr fontId="2" type="noConversion"/>
  </si>
  <si>
    <t>Fuerza veterana</t>
    <phoneticPr fontId="2" type="noConversion"/>
  </si>
  <si>
    <t>Administración</t>
    <phoneticPr fontId="2" type="noConversion"/>
  </si>
  <si>
    <t>Milicias</t>
    <phoneticPr fontId="2" type="noConversion"/>
  </si>
  <si>
    <t>Retiros e inválidos</t>
    <phoneticPr fontId="2" type="noConversion"/>
  </si>
  <si>
    <t>Maestranzas</t>
    <phoneticPr fontId="2" type="noConversion"/>
  </si>
  <si>
    <t>Fortificación</t>
    <phoneticPr fontId="2" type="noConversion"/>
  </si>
  <si>
    <t>Hospitales</t>
    <phoneticPr fontId="2" type="noConversion"/>
  </si>
  <si>
    <t>Raciones</t>
    <phoneticPr fontId="2" type="noConversion"/>
  </si>
  <si>
    <t>Fábricas</t>
    <phoneticPr fontId="2" type="noConversion"/>
  </si>
  <si>
    <t>Parques</t>
    <phoneticPr fontId="2" type="noConversion"/>
  </si>
  <si>
    <t>Remontas y bagajes</t>
    <phoneticPr fontId="2" type="noConversion"/>
  </si>
  <si>
    <t>Gastos extraordinarios</t>
    <phoneticPr fontId="2" type="noConversion"/>
  </si>
  <si>
    <t>Suma total</t>
    <phoneticPr fontId="2" type="noConversion"/>
  </si>
  <si>
    <t>Presupuesto del Departamento de Marina</t>
    <phoneticPr fontId="2" type="noConversion"/>
  </si>
  <si>
    <t>Sueldos del secretario, oficiales de la secretaría de Estado del despacho de este ramo, y los gastos de ella</t>
    <phoneticPr fontId="2" type="noConversion"/>
  </si>
  <si>
    <t>Pago a empleados civiles y militares de los departamentos</t>
    <phoneticPr fontId="2" type="noConversion"/>
  </si>
  <si>
    <t>Gastos que ocasiona en un año el navío de guerra Bolívar</t>
    <phoneticPr fontId="2" type="noConversion"/>
  </si>
  <si>
    <t>Para ídem las fragatas de guerra Venezuela, Congreso, Colombia y Cundinamarca</t>
    <phoneticPr fontId="2" type="noConversion"/>
  </si>
  <si>
    <t>Para ídem las corbetas de guerra Bolívar, Ceres, Urica, Boyacá y Pichincha</t>
    <phoneticPr fontId="2" type="noConversion"/>
  </si>
  <si>
    <t>Para ídem los bergantines de guerra Independiente, Pichincha, Libertador, Chimborazo, Congreso, Carabobo y Araure</t>
    <phoneticPr fontId="2" type="noConversion"/>
  </si>
  <si>
    <t>Para ídem las goletas de guerra Independencia, Atrevida, Maracibera, Voladora, Tenerife, Padilla, Espartana, Atrevida, Rosa, Manrique y Guayaquileña</t>
    <phoneticPr fontId="2" type="noConversion"/>
  </si>
  <si>
    <t>Para ídem los pailebotes cañoneros Atrato, Apure, Meta, Independencia, Orinoco, Diligencia, Congreso, Constitución, Colombia, Presidente, Libertador, Vicepresidente y Bomboná</t>
    <phoneticPr fontId="2" type="noConversion"/>
  </si>
  <si>
    <t>Para ídem la fuerza sutil del coter Libertador, falucho Rionegro, etc.</t>
    <phoneticPr fontId="2" type="noConversion"/>
  </si>
  <si>
    <t>Para sostener cuatro arcenales y los buques de depósito</t>
    <phoneticPr fontId="2" type="noConversion"/>
  </si>
  <si>
    <t>Para proveer los almacenes principales de efectos marítimos</t>
    <phoneticPr fontId="2" type="noConversion"/>
  </si>
  <si>
    <t>Para pagar los empleados de las cuatro escuelas nauticas,proveerlas de instrumentos, etc.</t>
    <phoneticPr fontId="2" type="noConversion"/>
  </si>
  <si>
    <t>Para sostener el batallón de infantería de marina</t>
    <phoneticPr fontId="2" type="noConversion"/>
  </si>
  <si>
    <t>Suma total</t>
    <phoneticPr fontId="2" type="noConversion"/>
  </si>
  <si>
    <t>4 6/12</t>
    <phoneticPr fontId="2" type="noConversion"/>
  </si>
  <si>
    <t>Presupuesto del Departamento de Hacienda</t>
    <phoneticPr fontId="2" type="noConversion"/>
  </si>
  <si>
    <t>(Presenta ejecución presupuestal)</t>
    <phoneticPr fontId="2" type="noConversion"/>
  </si>
  <si>
    <t>PRESUPUESTO DE GASTOS PARA 1826</t>
    <phoneticPr fontId="2" type="noConversion"/>
  </si>
  <si>
    <t>Departamento de Relaciones Exteriores</t>
    <phoneticPr fontId="2" type="noConversion"/>
  </si>
  <si>
    <t>7-17</t>
    <phoneticPr fontId="2" type="noConversion"/>
  </si>
  <si>
    <t>Departamento del Interior</t>
    <phoneticPr fontId="2" type="noConversion"/>
  </si>
  <si>
    <t>Departamento de la Guerra</t>
    <phoneticPr fontId="2" type="noConversion"/>
  </si>
  <si>
    <t>Departamento de Marina</t>
    <phoneticPr fontId="2" type="noConversion"/>
  </si>
  <si>
    <t>4-17</t>
    <phoneticPr fontId="2" type="noConversion"/>
  </si>
  <si>
    <t>Departamento de Hacienda</t>
    <phoneticPr fontId="2" type="noConversion"/>
  </si>
  <si>
    <t xml:space="preserve">  El presupuesto de  gastos de este departamento asciende a</t>
    <phoneticPr fontId="2" type="noConversion"/>
  </si>
  <si>
    <t xml:space="preserve">  El interés de la deuda asciende a</t>
    <phoneticPr fontId="2" type="noConversion"/>
  </si>
  <si>
    <t xml:space="preserve">  El uno por ciento para el fondo de amortización de esta deuda</t>
    <phoneticPr fontId="2" type="noConversion"/>
  </si>
  <si>
    <t>TOTAL</t>
    <phoneticPr fontId="2" type="noConversion"/>
  </si>
  <si>
    <t>5-17</t>
    <phoneticPr fontId="2" type="noConversion"/>
  </si>
  <si>
    <t>Fuente: Con base en José María del Castillo, Informe del Secretario de Hacienda, 1826</t>
    <phoneticPr fontId="2" type="noConversion"/>
  </si>
  <si>
    <t>PRESUPUESTO DE LA SECRETARIA DE ESTADO DEL INTERIOR</t>
    <phoneticPr fontId="2" type="noConversion"/>
  </si>
  <si>
    <t>PRESUPUESTO DE LAS CANTIDADES QUE DEBEN INVERTIRSE EN EL AÑO DE 1826 EN PAGAR</t>
    <phoneticPr fontId="2" type="noConversion"/>
  </si>
  <si>
    <t>LOS SUELDOS DE LOS DIFERENTES EMPLEADOS DEL DEPARTAMENTO DEL INTERIOR</t>
    <phoneticPr fontId="2" type="noConversion"/>
  </si>
  <si>
    <t>Viáticos a los Senadores por la leguas que tienen que recorrer</t>
    <phoneticPr fontId="2" type="noConversion"/>
  </si>
  <si>
    <t>Intendencias departamentales</t>
    <phoneticPr fontId="2" type="noConversion"/>
  </si>
  <si>
    <t>Gobiernos provinciales</t>
    <phoneticPr fontId="2" type="noConversion"/>
  </si>
  <si>
    <t>Establecimientos públicos</t>
    <phoneticPr fontId="2" type="noConversion"/>
  </si>
  <si>
    <t>TOTAL DE PRESUPUESTO</t>
    <phoneticPr fontId="2" type="noConversion"/>
  </si>
  <si>
    <t>Fuente: Síntesis con base en el Informe de J.Manuel Restrepo, Secretario del Interior, Informe de 1826, pág. 38 y ss.</t>
    <phoneticPr fontId="2" type="noConversion"/>
  </si>
  <si>
    <t>EXTRACTO DE LA CUENTA DE GASTOS PARTICULARES DE SU SECRETARIA QUE PUBLICA EL SECRETARIO DEL INTERIOR</t>
    <phoneticPr fontId="2" type="noConversion"/>
  </si>
  <si>
    <t>Producto del derecho de sello exigido a los titulos expedidos en el año *</t>
    <phoneticPr fontId="2" type="noConversion"/>
  </si>
  <si>
    <t>Recibido en tesorería para gastos</t>
    <phoneticPr fontId="2" type="noConversion"/>
  </si>
  <si>
    <t>Total pesos</t>
    <phoneticPr fontId="2" type="noConversion"/>
  </si>
  <si>
    <t>Gastos de escritorio en el año</t>
    <phoneticPr fontId="2" type="noConversion"/>
  </si>
  <si>
    <t>Producto del sello</t>
    <phoneticPr fontId="2" type="noConversion"/>
  </si>
  <si>
    <t>impresión de leyes y decretos para circular</t>
    <phoneticPr fontId="2" type="noConversion"/>
  </si>
  <si>
    <t>Igual</t>
    <phoneticPr fontId="2" type="noConversion"/>
  </si>
  <si>
    <t>Producto del derecho del sello</t>
    <phoneticPr fontId="2" type="noConversion"/>
  </si>
  <si>
    <t>Total</t>
    <phoneticPr fontId="2" type="noConversion"/>
  </si>
  <si>
    <t>Gastos extraordinarios</t>
    <phoneticPr fontId="2" type="noConversion"/>
  </si>
  <si>
    <t>Impresión de leyes y decretos para circular</t>
    <phoneticPr fontId="2" type="noConversion"/>
  </si>
  <si>
    <t>* Una gran parte de los productos del papel sellado en que se extienden los titulos expedidos por esta secretaría y del</t>
    <phoneticPr fontId="2" type="noConversion"/>
  </si>
  <si>
    <t>derecho de sello no entra al fondo de gastos porque al remitirlos a los interesados  a los departamentos distantes de la</t>
    <phoneticPr fontId="2" type="noConversion"/>
  </si>
  <si>
    <t>capital  se les previene los manden enterar en las respectivas tesorerías y acompañen documento de haberlo verificado</t>
    <phoneticPr fontId="2" type="noConversion"/>
  </si>
  <si>
    <t>Fuente: Informe de J.Manuel Restrepo, Secretario del Interior, Informe de 1826, pág. 48-49</t>
    <phoneticPr fontId="2" type="noConversion"/>
  </si>
  <si>
    <t>EXTRACTO DEL PRESUPUESTO DE GASTO DEL DEPARTAMENTO DEL INTERIOR DE LA REPUBLICA DE COLOMBIA EN EL AÑO DE 1827</t>
    <phoneticPr fontId="2" type="noConversion"/>
  </si>
  <si>
    <t>Senado</t>
    <phoneticPr fontId="2" type="noConversion"/>
  </si>
  <si>
    <t>Poder ejecutivo</t>
    <phoneticPr fontId="2" type="noConversion"/>
  </si>
  <si>
    <t>Secretaria del interior</t>
    <phoneticPr fontId="2" type="noConversion"/>
  </si>
  <si>
    <t>Gastos de esta secretaría e imprsiones de leyes y decretos</t>
    <phoneticPr fontId="2" type="noConversion"/>
  </si>
  <si>
    <t>Gaceta de Colombia y otros gastos de papeles públicos</t>
    <phoneticPr fontId="2" type="noConversion"/>
  </si>
  <si>
    <t>Alta corte de justicia</t>
    <phoneticPr fontId="2" type="noConversion"/>
  </si>
  <si>
    <t>Cinco cortes superiores</t>
    <phoneticPr fontId="2" type="noConversion"/>
  </si>
  <si>
    <t>Doce intendencias, sus secretarías y doce jueces letrados de hacienda</t>
    <phoneticPr fontId="2" type="noConversion"/>
  </si>
  <si>
    <t xml:space="preserve">22 gobiernos provinciales, igual número de oficiales de secretaría, </t>
    <phoneticPr fontId="2" type="noConversion"/>
  </si>
  <si>
    <t>sus gastos y 22 jueces letrados  de hacienda</t>
    <phoneticPr fontId="2" type="noConversion"/>
  </si>
  <si>
    <t>Establecimientos de educación en varios puntos de la República</t>
    <phoneticPr fontId="2" type="noConversion"/>
  </si>
  <si>
    <t>Museo y cátedras de ciencias naturales</t>
    <phoneticPr fontId="2" type="noConversion"/>
  </si>
  <si>
    <t>Total</t>
    <phoneticPr fontId="2" type="noConversion"/>
  </si>
  <si>
    <t>Fuente: Con base en José María Restrepo (1827) Informe  del Departamento del Interior</t>
    <phoneticPr fontId="2" type="noConversion"/>
  </si>
  <si>
    <t>SON CIFRAS DEL PRESUPUESTO A APROBAR</t>
    <phoneticPr fontId="2" type="noConversion"/>
  </si>
  <si>
    <t>RESUMEN GENERAL DE GASTOS EN EL AÑO DE 1827 EN CADA UNO DE LOS DEPARTAMENTOS DE LA ADMINISTRACIÓN DE LA REPÚBLICA</t>
    <phoneticPr fontId="2" type="noConversion"/>
  </si>
  <si>
    <t>Departamento de relaciones exteriores</t>
    <phoneticPr fontId="2" type="noConversion"/>
  </si>
  <si>
    <t>Departamento del interior</t>
    <phoneticPr fontId="2" type="noConversion"/>
  </si>
  <si>
    <t>Departamento de la guerra</t>
    <phoneticPr fontId="2" type="noConversion"/>
  </si>
  <si>
    <t>Departamento de marina (1)</t>
    <phoneticPr fontId="2" type="noConversion"/>
  </si>
  <si>
    <t>Departamento de hacienda</t>
    <phoneticPr fontId="2" type="noConversion"/>
  </si>
  <si>
    <t>El interés de la deuda exterior asciende a</t>
    <phoneticPr fontId="2" type="noConversion"/>
  </si>
  <si>
    <t>El uno por ciento para el fondo de amortización de esta deuda</t>
    <phoneticPr fontId="2" type="noConversion"/>
  </si>
  <si>
    <t>1 En el caso de que hayan de equiparse y armarse todos los buques de guerra de la República, entonces el presupuesto del departamento de marina subirá a 2026422 pesos 6 reales.</t>
    <phoneticPr fontId="2" type="noConversion"/>
  </si>
  <si>
    <t>Fuente: Con base en el Informe del Secretario de Hacienda José María del Castillo (1827)</t>
    <phoneticPr fontId="2" type="noConversion"/>
  </si>
  <si>
    <t>pesos</t>
    <phoneticPr fontId="2" type="noConversion"/>
  </si>
  <si>
    <t>reales</t>
    <phoneticPr fontId="2" type="noConversion"/>
  </si>
  <si>
    <t>ingresos del tesoro de 1832</t>
    <phoneticPr fontId="2" type="noConversion"/>
  </si>
  <si>
    <t>ingresos del tesoro de 1833</t>
    <phoneticPr fontId="2" type="noConversion"/>
  </si>
  <si>
    <t>Gastos del tesoro de 1833</t>
    <phoneticPr fontId="2" type="noConversion"/>
  </si>
  <si>
    <t>Déficit o superávit</t>
    <phoneticPr fontId="2" type="noConversion"/>
  </si>
  <si>
    <t>Informe  del Secretario de Estado en el Despacho de Hacienda, Francisco Soto</t>
    <phoneticPr fontId="2" type="noConversion"/>
  </si>
  <si>
    <t>Estado General del Ingreso y Egreso que han tenido las rentas</t>
    <phoneticPr fontId="2" type="noConversion"/>
  </si>
  <si>
    <t>de la Nueva Granada en todo el año económico contado de 1o de diciembre de 1832 a 30 de noviembre de 1833</t>
    <phoneticPr fontId="2" type="noConversion"/>
  </si>
  <si>
    <t>Derecho de importación</t>
    <phoneticPr fontId="2" type="noConversion"/>
  </si>
  <si>
    <t>Idem de toneladas</t>
    <phoneticPr fontId="2" type="noConversion"/>
  </si>
  <si>
    <t>Resumen del presupuesto de gastos de cada uno de los departamentos de la administración del Estado</t>
    <phoneticPr fontId="2" type="noConversion"/>
  </si>
  <si>
    <t>reales</t>
    <phoneticPr fontId="2" type="noConversion"/>
  </si>
  <si>
    <t>Departamento del interior y relaciones exteriores</t>
    <phoneticPr fontId="2" type="noConversion"/>
  </si>
  <si>
    <t>Departamento de guerra y marina</t>
    <phoneticPr fontId="2" type="noConversion"/>
  </si>
  <si>
    <t>Departamento de hacienda</t>
    <phoneticPr fontId="2" type="noConversion"/>
  </si>
  <si>
    <t>total</t>
    <phoneticPr fontId="2" type="noConversion"/>
  </si>
  <si>
    <t>3 3/4</t>
    <phoneticPr fontId="2" type="noConversion"/>
  </si>
  <si>
    <t>Es el proyecto de presupuesto</t>
    <phoneticPr fontId="2" type="noConversion"/>
  </si>
  <si>
    <t>PRESUPUESTOS DE GASTOS PARA 1834-1835</t>
    <phoneticPr fontId="2" type="noConversion"/>
  </si>
  <si>
    <t>TOTAL</t>
    <phoneticPr fontId="2" type="noConversion"/>
  </si>
  <si>
    <t>Secretaría del Interior y Relaciones Exteriores</t>
    <phoneticPr fontId="2" type="noConversion"/>
  </si>
  <si>
    <t>Secretaría de Guerra y Marina</t>
    <phoneticPr fontId="2" type="noConversion"/>
  </si>
  <si>
    <t>Secretaría de Hacienda</t>
    <phoneticPr fontId="2" type="noConversion"/>
  </si>
  <si>
    <t>DEL PRESUPUESTO DE GASTOS PARA EL AÑO CONTADO DESDE 1º DE SEPTIEMBRE DE 1835 A ULTIMO DE AGOSTO DE 1836</t>
    <phoneticPr fontId="2" type="noConversion"/>
  </si>
  <si>
    <t>Secretaría del interior</t>
    <phoneticPr fontId="2" type="noConversion"/>
  </si>
  <si>
    <t>Secretaría de guerra y marina</t>
    <phoneticPr fontId="2" type="noConversion"/>
  </si>
  <si>
    <t>3 1/2</t>
    <phoneticPr fontId="2" type="noConversion"/>
  </si>
  <si>
    <t>Secretaría de hacienda</t>
    <phoneticPr fontId="2" type="noConversion"/>
  </si>
  <si>
    <t>Fuente: con base en Soto (1835)</t>
    <phoneticPr fontId="2" type="noConversion"/>
  </si>
  <si>
    <t>PRESUPUESTO GENERAL DE SUELDOS Y GASTOS DEL DEPARTAMENTO DEL INTERIOR Y RELACIONES EXTERIORES</t>
    <phoneticPr fontId="2" type="noConversion"/>
  </si>
  <si>
    <t>EN EL AÑO ECONÓMICO DE HACIENDA COMPRENSIVO DESDE 1º DE SEPTIEMBRE DE 1836 HASTA 31 DE AGOSTO DE 1837</t>
    <phoneticPr fontId="2" type="noConversion"/>
  </si>
  <si>
    <t xml:space="preserve">CON ARREGLO A LAS DISPOSICIONE VIGENTES </t>
    <phoneticPr fontId="2" type="noConversion"/>
  </si>
  <si>
    <t>Congreso</t>
    <phoneticPr fontId="2" type="noConversion"/>
  </si>
  <si>
    <t>Poder ejecutivo</t>
    <phoneticPr fontId="2" type="noConversion"/>
  </si>
  <si>
    <t>Gastos diplomáticos y consulares</t>
    <phoneticPr fontId="2" type="noConversion"/>
  </si>
  <si>
    <t>Poder judicial, fuera de una partida indeterminada</t>
    <phoneticPr fontId="2" type="noConversion"/>
  </si>
  <si>
    <t>Instrucción pública</t>
    <phoneticPr fontId="2" type="noConversion"/>
  </si>
  <si>
    <t>Misiones</t>
    <phoneticPr fontId="2" type="noConversion"/>
  </si>
  <si>
    <t>Gobernaciones de las provincias</t>
    <phoneticPr fontId="2" type="noConversion"/>
  </si>
  <si>
    <t>Cámaras de provincia</t>
    <phoneticPr fontId="2" type="noConversion"/>
  </si>
  <si>
    <t>Jefaturas políticas</t>
    <phoneticPr fontId="2" type="noConversion"/>
  </si>
  <si>
    <t>Periódicos provinciales</t>
    <phoneticPr fontId="2" type="noConversion"/>
  </si>
  <si>
    <t>Gatos varios y extraordinarios</t>
    <phoneticPr fontId="2" type="noConversion"/>
  </si>
  <si>
    <t>Suma total</t>
    <phoneticPr fontId="2" type="noConversion"/>
  </si>
  <si>
    <t>Fuente: Con base en De Pombo (1836) Informe al Congreso</t>
    <phoneticPr fontId="2" type="noConversion"/>
  </si>
  <si>
    <t>PRESUPUESTO  DEL 1º DE SEPTIEMBRE DE 1836 A AGOSTO DE 1837</t>
    <phoneticPr fontId="2" type="noConversion"/>
  </si>
  <si>
    <t>Secretaría del Interior y relaciones exteriores</t>
    <phoneticPr fontId="2" type="noConversion"/>
  </si>
  <si>
    <t>el de la de guera</t>
    <phoneticPr fontId="2" type="noConversion"/>
  </si>
  <si>
    <t>El de la marina</t>
    <phoneticPr fontId="2" type="noConversion"/>
  </si>
  <si>
    <t>El de la de hacienda</t>
    <phoneticPr fontId="2" type="noConversion"/>
  </si>
  <si>
    <t>Fuente: Con base en Soto (1836) Informe al Congreso</t>
    <phoneticPr fontId="2" type="noConversion"/>
  </si>
  <si>
    <t>CUADRO GENERAL DE LOS PRODUCTOS DE LAS RENTAS PROVINCIALES EN UN AÑO CONTADO</t>
    <phoneticPr fontId="2" type="noConversion"/>
  </si>
  <si>
    <t>DESDE 1º DE SEPTIEMBRE DE 1836 HASTA 31 DE AGOSTO DE 1837</t>
    <phoneticPr fontId="2" type="noConversion"/>
  </si>
  <si>
    <t>RENTAS APLICABLES A LOS GASTOS COMUNES</t>
    <phoneticPr fontId="2" type="noConversion"/>
  </si>
  <si>
    <t>RENTAS DE APLICACIÓN ESPECIAL</t>
    <phoneticPr fontId="2" type="noConversion"/>
  </si>
  <si>
    <t>PROVINCIAS</t>
    <phoneticPr fontId="2" type="noConversion"/>
  </si>
  <si>
    <t>PARA LA ENSEÑANZA PÚBLICA</t>
    <phoneticPr fontId="2" type="noConversion"/>
  </si>
  <si>
    <t>PARA LAS VÍAS DE COMUNICACIÓN</t>
    <phoneticPr fontId="2" type="noConversion"/>
  </si>
  <si>
    <t>PRODUCTOS</t>
    <phoneticPr fontId="2" type="noConversion"/>
  </si>
  <si>
    <t>CRÉDITOS</t>
    <phoneticPr fontId="2" type="noConversion"/>
  </si>
  <si>
    <t>DEUDAS</t>
    <phoneticPr fontId="2" type="noConversion"/>
  </si>
  <si>
    <t>CUARTILLOS</t>
    <phoneticPr fontId="2" type="noConversion"/>
  </si>
  <si>
    <t>Bogotá</t>
    <phoneticPr fontId="2" type="noConversion"/>
  </si>
  <si>
    <t>Buenaventura</t>
    <phoneticPr fontId="2" type="noConversion"/>
  </si>
  <si>
    <t>Cartagena</t>
    <phoneticPr fontId="2" type="noConversion"/>
  </si>
  <si>
    <t>Cauca</t>
    <phoneticPr fontId="2" type="noConversion"/>
  </si>
  <si>
    <t>Chocó</t>
    <phoneticPr fontId="2" type="noConversion"/>
  </si>
  <si>
    <t>Mariquita</t>
    <phoneticPr fontId="2" type="noConversion"/>
  </si>
  <si>
    <t>Mompós</t>
    <phoneticPr fontId="2" type="noConversion"/>
  </si>
  <si>
    <t>Panamá</t>
    <phoneticPr fontId="2" type="noConversion"/>
  </si>
  <si>
    <t>Popayán</t>
    <phoneticPr fontId="2" type="noConversion"/>
  </si>
  <si>
    <t>Vélez</t>
    <phoneticPr fontId="2" type="noConversion"/>
  </si>
  <si>
    <t>Totates</t>
    <phoneticPr fontId="2" type="noConversion"/>
  </si>
  <si>
    <t>NOTAS</t>
    <phoneticPr fontId="2" type="noConversion"/>
  </si>
  <si>
    <t>1. No se han recibido las noticias oportunamente pedidas a las gobernaciones de Casanare y Panamá</t>
    <phoneticPr fontId="2" type="noConversion"/>
  </si>
  <si>
    <t xml:space="preserve">2.  En la columna de créditos a favor de las rentas aplicadas para las vías de comunicación se han incluido lo que cada provincia (ilegilbe) en 31 de agosto </t>
    <phoneticPr fontId="2" type="noConversion"/>
  </si>
  <si>
    <t xml:space="preserve">    por las porciones de derecho nacional de caminos, estas porciones, ascendentes a 230.420 reales, o $28.803 (ilegible) integramente satisfechas</t>
    <phoneticPr fontId="2" type="noConversion"/>
  </si>
  <si>
    <t>Bogotá, marzo 3 de 1838</t>
    <phoneticPr fontId="2" type="noConversion"/>
  </si>
  <si>
    <t xml:space="preserve">Fuente: Con base en De Pombo (1838)  </t>
    <phoneticPr fontId="2" type="noConversion"/>
  </si>
  <si>
    <t>CUADRO GENERAL DE LOS GASTOS HECHOS CON LAS RENTAS PRIVINCIALES COMUNES Y DE</t>
    <phoneticPr fontId="2" type="noConversion"/>
  </si>
  <si>
    <t>APLICACIÓN ESPECIAL, DURANTE EL AÑO CONTADO DESDE 1º DE SEPTIEMBRE DE 1836 HASTA 31 DE AGOSTO DE 1837</t>
    <phoneticPr fontId="2" type="noConversion"/>
  </si>
  <si>
    <t>FONDOS COMUNES</t>
    <phoneticPr fontId="2" type="noConversion"/>
  </si>
  <si>
    <t>FONDO DE APLICACIÓN ESPECIAL</t>
    <phoneticPr fontId="2" type="noConversion"/>
  </si>
  <si>
    <t>PARA LA ENSEÑANZA PÚBLICA</t>
    <phoneticPr fontId="2" type="noConversion"/>
  </si>
  <si>
    <t>PARA LAS VIAS DE COMUNICACIÓN</t>
    <phoneticPr fontId="2" type="noConversion"/>
  </si>
  <si>
    <t xml:space="preserve">GASTOS DE RECAUDACIÓN </t>
    <phoneticPr fontId="2" type="noConversion"/>
  </si>
  <si>
    <t>EGRESOS</t>
    <phoneticPr fontId="2" type="noConversion"/>
  </si>
  <si>
    <t>CUARTILLOS</t>
    <phoneticPr fontId="2" type="noConversion"/>
  </si>
  <si>
    <t>NOTAS</t>
    <phoneticPr fontId="2" type="noConversion"/>
  </si>
  <si>
    <t>1. No se han recibido noticias oportunamente pedidas a las gobernaciones de Casanare y Panamá</t>
    <phoneticPr fontId="2" type="noConversion"/>
  </si>
  <si>
    <t>2. En las partidas de egresos no se comprenden los gastos comunes de recaudación, especificados en columna separada</t>
    <phoneticPr fontId="2" type="noConversion"/>
  </si>
  <si>
    <t>Bogotá, marzo 2 de 1832</t>
    <phoneticPr fontId="2" type="noConversion"/>
  </si>
  <si>
    <t>PRESUPUESTO GENERAL DE SUELDOS Y GASTOS PARA EL AÑO ECONÓMICO DE HACIENDA COMPRENDIDO</t>
    <phoneticPr fontId="2" type="noConversion"/>
  </si>
  <si>
    <t>DESDE 1º DE SEPTIEMBRE DE 1838 HASTA 31 DE AGOSTO DE 1839</t>
    <phoneticPr fontId="2" type="noConversion"/>
  </si>
  <si>
    <t>Secretaría del interior</t>
    <phoneticPr fontId="2" type="noConversion"/>
  </si>
  <si>
    <t xml:space="preserve">  Congreso</t>
    <phoneticPr fontId="2" type="noConversion"/>
  </si>
  <si>
    <t xml:space="preserve">  Poder ejecutivo</t>
    <phoneticPr fontId="2" type="noConversion"/>
  </si>
  <si>
    <t xml:space="preserve">  Gastos diplomáticos y consulares</t>
    <phoneticPr fontId="2" type="noConversion"/>
  </si>
  <si>
    <t xml:space="preserve">   Poder judicial</t>
    <phoneticPr fontId="2" type="noConversion"/>
  </si>
  <si>
    <t xml:space="preserve">  Gobernaciones de las provincias</t>
    <phoneticPr fontId="2" type="noConversion"/>
  </si>
  <si>
    <t xml:space="preserve">  Cámaras de provincia</t>
    <phoneticPr fontId="2" type="noConversion"/>
  </si>
  <si>
    <t xml:space="preserve">  Jefaturas políticas</t>
    <phoneticPr fontId="2" type="noConversion"/>
  </si>
  <si>
    <t xml:space="preserve">  Instrucción pública</t>
    <phoneticPr fontId="2" type="noConversion"/>
  </si>
  <si>
    <t xml:space="preserve">  Miasiones</t>
    <phoneticPr fontId="2" type="noConversion"/>
  </si>
  <si>
    <t xml:space="preserve">  Gastos varios y extraordinarios</t>
    <phoneticPr fontId="2" type="noConversion"/>
  </si>
  <si>
    <t xml:space="preserve"> Total suma</t>
    <phoneticPr fontId="2" type="noConversion"/>
  </si>
  <si>
    <t>7 1/4</t>
    <phoneticPr fontId="2" type="noConversion"/>
  </si>
  <si>
    <t xml:space="preserve">  Guerra</t>
    <phoneticPr fontId="2" type="noConversion"/>
  </si>
  <si>
    <t xml:space="preserve">    Sueldos y gastos de la secretaría de guerra y marina</t>
    <phoneticPr fontId="2" type="noConversion"/>
  </si>
  <si>
    <t xml:space="preserve">    Sueldos y gastos del esgtado mayor general</t>
    <phoneticPr fontId="2" type="noConversion"/>
  </si>
  <si>
    <t xml:space="preserve">    Sueldos de los generales y coroneles en servicio</t>
    <phoneticPr fontId="2" type="noConversion"/>
  </si>
  <si>
    <t xml:space="preserve">    Sueldos y gastos de las jefaturas militares y comandancias en jefes de columnas</t>
    <phoneticPr fontId="2" type="noConversion"/>
  </si>
  <si>
    <t xml:space="preserve">    Sueldos y gastos de las comandancias de fortalezas y castillos</t>
    <phoneticPr fontId="2" type="noConversion"/>
  </si>
  <si>
    <t xml:space="preserve">    Sueldos y gastos del ramo de ingenieros</t>
    <phoneticPr fontId="2" type="noConversion"/>
  </si>
  <si>
    <t xml:space="preserve">    Sueldos y gastos de los parques y maestranzas</t>
    <phoneticPr fontId="2" type="noConversion"/>
  </si>
  <si>
    <t xml:space="preserve">    Sueldos y gastos de la fuerza permanente</t>
    <phoneticPr fontId="2" type="noConversion"/>
  </si>
  <si>
    <t xml:space="preserve">    Sueldos y gastos de la guardia nacional</t>
    <phoneticPr fontId="2" type="noConversion"/>
  </si>
  <si>
    <t xml:space="preserve">    Pensiones de los generales, jefes y oficiales</t>
    <phoneticPr fontId="2" type="noConversion"/>
  </si>
  <si>
    <t xml:space="preserve">    Pensiones de los individuos de tropa inválidos</t>
    <phoneticPr fontId="2" type="noConversion"/>
  </si>
  <si>
    <t xml:space="preserve">    Pensiones de las viudas de algunos militares</t>
    <phoneticPr fontId="2" type="noConversion"/>
  </si>
  <si>
    <t xml:space="preserve">    Sueldos y gastos de los hospitales militares</t>
    <phoneticPr fontId="2" type="noConversion"/>
  </si>
  <si>
    <t xml:space="preserve">    Sueldos y gastos de las escuelas militares</t>
    <phoneticPr fontId="2" type="noConversion"/>
  </si>
  <si>
    <t xml:space="preserve">    Pago de deudas</t>
    <phoneticPr fontId="2" type="noConversion"/>
  </si>
  <si>
    <t xml:space="preserve">    Gastos varios</t>
    <phoneticPr fontId="2" type="noConversion"/>
  </si>
  <si>
    <t xml:space="preserve">   Suma</t>
    <phoneticPr fontId="2" type="noConversion"/>
  </si>
  <si>
    <t xml:space="preserve">  Marina</t>
    <phoneticPr fontId="2" type="noConversion"/>
  </si>
  <si>
    <t xml:space="preserve">    Comandancia de marina de Cartagena</t>
    <phoneticPr fontId="2" type="noConversion"/>
  </si>
  <si>
    <t xml:space="preserve">    Arcenal de idem.</t>
    <phoneticPr fontId="2" type="noConversion"/>
  </si>
  <si>
    <t xml:space="preserve">    Escuela militar de marina</t>
    <phoneticPr fontId="2" type="noConversion"/>
  </si>
  <si>
    <t xml:space="preserve">    Capitanías de puerto</t>
    <phoneticPr fontId="2" type="noConversion"/>
  </si>
  <si>
    <t>2 3/16</t>
    <phoneticPr fontId="2" type="noConversion"/>
  </si>
  <si>
    <t xml:space="preserve">    Compañía de infantería de marina</t>
    <phoneticPr fontId="2" type="noConversion"/>
  </si>
  <si>
    <t xml:space="preserve">     Marina activa</t>
    <phoneticPr fontId="2" type="noConversion"/>
  </si>
  <si>
    <t xml:space="preserve">    Cuatro goletas</t>
    <phoneticPr fontId="2" type="noConversion"/>
  </si>
  <si>
    <t>3 4/16</t>
    <phoneticPr fontId="2" type="noConversion"/>
  </si>
  <si>
    <t xml:space="preserve">    Cuatro pailebotes</t>
    <phoneticPr fontId="2" type="noConversion"/>
  </si>
  <si>
    <t>2 4/16</t>
    <phoneticPr fontId="2" type="noConversion"/>
  </si>
  <si>
    <t xml:space="preserve">    Cinco flecheras</t>
    <phoneticPr fontId="2" type="noConversion"/>
  </si>
  <si>
    <t>7 8/16</t>
    <phoneticPr fontId="2" type="noConversion"/>
  </si>
  <si>
    <t xml:space="preserve">    Sosten de un pontón</t>
    <phoneticPr fontId="2" type="noConversion"/>
  </si>
  <si>
    <t xml:space="preserve">    Limpia del canal de Bocachica</t>
    <phoneticPr fontId="2" type="noConversion"/>
  </si>
  <si>
    <t xml:space="preserve">    Retiros y pensiones</t>
    <phoneticPr fontId="2" type="noConversion"/>
  </si>
  <si>
    <t xml:space="preserve">    Adquisición de buques</t>
    <phoneticPr fontId="2" type="noConversion"/>
  </si>
  <si>
    <t xml:space="preserve">    Para las pensiones de retiros e inválidos que puedan ocurrir</t>
    <phoneticPr fontId="2" type="noConversion"/>
  </si>
  <si>
    <t xml:space="preserve">    en el próximo año económico de hacienda y deban </t>
    <phoneticPr fontId="2" type="noConversion"/>
  </si>
  <si>
    <t xml:space="preserve">     declararse a oficiales e inválidos de tropa</t>
    <phoneticPr fontId="2" type="noConversion"/>
  </si>
  <si>
    <t xml:space="preserve">    Suma total</t>
    <phoneticPr fontId="2" type="noConversion"/>
  </si>
  <si>
    <t>Secretaría de hacienda</t>
    <phoneticPr fontId="2" type="noConversion"/>
  </si>
  <si>
    <t xml:space="preserve">  Secretaría de hacienda</t>
    <phoneticPr fontId="2" type="noConversion"/>
  </si>
  <si>
    <t xml:space="preserve">  Oficinas generales de hacienda</t>
    <phoneticPr fontId="2" type="noConversion"/>
  </si>
  <si>
    <t xml:space="preserve">  Tesorerías y oficinas anexas</t>
    <phoneticPr fontId="2" type="noConversion"/>
  </si>
  <si>
    <t xml:space="preserve">   Aduanas y resguardos</t>
    <phoneticPr fontId="2" type="noConversion"/>
  </si>
  <si>
    <t xml:space="preserve">  Renta de tabacos</t>
    <phoneticPr fontId="2" type="noConversion"/>
  </si>
  <si>
    <t xml:space="preserve">  Renta de correos</t>
    <phoneticPr fontId="2" type="noConversion"/>
  </si>
  <si>
    <t xml:space="preserve">   Jubilaciones</t>
    <phoneticPr fontId="2" type="noConversion"/>
  </si>
  <si>
    <t xml:space="preserve">   Deudas</t>
    <phoneticPr fontId="2" type="noConversion"/>
  </si>
  <si>
    <t>1 1/4</t>
    <phoneticPr fontId="2" type="noConversion"/>
  </si>
  <si>
    <t xml:space="preserve">      A diezmos</t>
    <phoneticPr fontId="2" type="noConversion"/>
  </si>
  <si>
    <t xml:space="preserve"> " 1/2</t>
    <phoneticPr fontId="2" type="noConversion"/>
  </si>
  <si>
    <t xml:space="preserve">     En virtud de la  Ley de 30 de abril de 1835</t>
    <phoneticPr fontId="2" type="noConversion"/>
  </si>
  <si>
    <t xml:space="preserve">      No comprendidas en ella</t>
    <phoneticPr fontId="2" type="noConversion"/>
  </si>
  <si>
    <t>" 3/4</t>
    <phoneticPr fontId="2" type="noConversion"/>
  </si>
  <si>
    <t xml:space="preserve">   Reditos de principales impuestos sobre fincas del Estado</t>
    <phoneticPr fontId="2" type="noConversion"/>
  </si>
  <si>
    <t xml:space="preserve">  Gastos eventuales</t>
    <phoneticPr fontId="2" type="noConversion"/>
  </si>
  <si>
    <t xml:space="preserve">  Total</t>
    <phoneticPr fontId="2" type="noConversion"/>
  </si>
  <si>
    <t>1 1/2</t>
    <phoneticPr fontId="2" type="noConversion"/>
  </si>
  <si>
    <t>Fuente: Con bae en De Aranzazu (1838)</t>
    <phoneticPr fontId="2" type="noConversion"/>
  </si>
  <si>
    <t>Año económico del 1º de septiembre de 1839 a 31 de agosto de 1840</t>
    <phoneticPr fontId="37" type="noConversion"/>
  </si>
  <si>
    <t>Pesos</t>
    <phoneticPr fontId="37" type="noConversion"/>
  </si>
  <si>
    <t>reales</t>
    <phoneticPr fontId="37" type="noConversion"/>
  </si>
  <si>
    <t>CARGO</t>
    <phoneticPr fontId="37" type="noConversion"/>
  </si>
  <si>
    <t>Existencia de la cuenta anterior</t>
    <phoneticPr fontId="37" type="noConversion"/>
  </si>
  <si>
    <t xml:space="preserve">  En tabacos en especie  á principios </t>
    <phoneticPr fontId="37" type="noConversion"/>
  </si>
  <si>
    <t>3/4</t>
    <phoneticPr fontId="37" type="noConversion"/>
  </si>
  <si>
    <t xml:space="preserve">  De lo que quedó adeudado  de las contribuciones i  rentas nacionales</t>
    <phoneticPr fontId="37" type="noConversion"/>
  </si>
  <si>
    <t>1/4</t>
    <phoneticPr fontId="37" type="noConversion"/>
  </si>
  <si>
    <t>En dinero</t>
    <phoneticPr fontId="37" type="noConversion"/>
  </si>
  <si>
    <t>Ingreso al Tesoro en efectivo por contribuciones y rentas nacionales</t>
    <phoneticPr fontId="37" type="noConversion"/>
  </si>
  <si>
    <t xml:space="preserve">Lo que ha quedado adeudado por producto de los mismos , en el año de la </t>
    <phoneticPr fontId="37" type="noConversion"/>
  </si>
  <si>
    <t>SUMA</t>
    <phoneticPr fontId="37" type="noConversion"/>
  </si>
  <si>
    <t>DATA</t>
    <phoneticPr fontId="37" type="noConversion"/>
  </si>
  <si>
    <t>Gastos jenerales del Tesoro</t>
    <phoneticPr fontId="37" type="noConversion"/>
  </si>
  <si>
    <t>"</t>
    <phoneticPr fontId="37" type="noConversion"/>
  </si>
  <si>
    <t>Diferencia entre el tabaco vendido de la existencia en especie del año</t>
    <phoneticPr fontId="37" type="noConversion"/>
  </si>
  <si>
    <t xml:space="preserve">anterior, i la existencia </t>
    <phoneticPr fontId="37" type="noConversion"/>
  </si>
  <si>
    <t>Lo que quedó adeudado por producto de las contribuciones i rentas nacional</t>
    <phoneticPr fontId="37" type="noConversion"/>
  </si>
  <si>
    <t>en el año anterior, parte cobrado y cargado en la partida de ingreso, i parte</t>
    <phoneticPr fontId="37" type="noConversion"/>
  </si>
  <si>
    <t>que pasa á deudas por cobrar de años anteriores</t>
    <phoneticPr fontId="37" type="noConversion"/>
  </si>
  <si>
    <t>Existencia en 31 de agosto de 1840</t>
    <phoneticPr fontId="37" type="noConversion"/>
  </si>
  <si>
    <t>El ingreso efectivo por contribuciones del año</t>
    <phoneticPr fontId="37" type="noConversion"/>
  </si>
  <si>
    <t>1/2</t>
    <phoneticPr fontId="37" type="noConversion"/>
  </si>
  <si>
    <t>Por recaudo de deudas de años anteriores</t>
    <phoneticPr fontId="37" type="noConversion"/>
  </si>
  <si>
    <t>Mariano Calbo, esposición que hace el Secretario de Estado en el Despacho de Hacienda sobre los negocios de su departamento al Congreso Constitucional de la Nueva Granada en 1841</t>
    <phoneticPr fontId="37" type="noConversion"/>
  </si>
  <si>
    <t>PRESUPUESTO 1841 - 1842</t>
    <phoneticPr fontId="37" type="noConversion"/>
  </si>
  <si>
    <t>Departamento del Interior i Relaciones Esteriores</t>
    <phoneticPr fontId="37" type="noConversion"/>
  </si>
  <si>
    <t>Para el de Guerra</t>
    <phoneticPr fontId="37" type="noConversion"/>
  </si>
  <si>
    <t>Para el de Marina</t>
    <phoneticPr fontId="37" type="noConversion"/>
  </si>
  <si>
    <t>Para Hacienda</t>
    <phoneticPr fontId="37" type="noConversion"/>
  </si>
  <si>
    <t>Total</t>
    <phoneticPr fontId="37" type="noConversion"/>
  </si>
  <si>
    <t>INGRESOS</t>
    <phoneticPr fontId="37" type="noConversion"/>
  </si>
  <si>
    <t>EGRESOS</t>
    <phoneticPr fontId="37" type="noConversion"/>
  </si>
  <si>
    <t>Ingreso de ramos ajenos</t>
    <phoneticPr fontId="37" type="noConversion"/>
  </si>
  <si>
    <t>Existencia del año anterior</t>
    <phoneticPr fontId="37" type="noConversion"/>
  </si>
  <si>
    <t>Hospital de leprosos</t>
    <phoneticPr fontId="37" type="noConversion"/>
  </si>
  <si>
    <t xml:space="preserve">Lazaretos </t>
    <phoneticPr fontId="37" type="noConversion"/>
  </si>
  <si>
    <t>Quinta parte de aguardientes</t>
    <phoneticPr fontId="37" type="noConversion"/>
  </si>
  <si>
    <t>San Lázaro</t>
    <phoneticPr fontId="37" type="noConversion"/>
  </si>
  <si>
    <t>Desima parte de aguardientes</t>
    <phoneticPr fontId="37" type="noConversion"/>
  </si>
  <si>
    <t>Anclaje</t>
    <phoneticPr fontId="37" type="noConversion"/>
  </si>
  <si>
    <t>Derecho de caminos</t>
    <phoneticPr fontId="37" type="noConversion"/>
  </si>
  <si>
    <t>Derechos de caminos</t>
    <phoneticPr fontId="37" type="noConversion"/>
  </si>
  <si>
    <t>Depósitos</t>
    <phoneticPr fontId="37" type="noConversion"/>
  </si>
  <si>
    <t>Suplementos</t>
    <phoneticPr fontId="37" type="noConversion"/>
  </si>
  <si>
    <t>Suplementos</t>
    <phoneticPr fontId="37" type="noConversion"/>
  </si>
  <si>
    <t>Existencia para la cuenta siguiente</t>
    <phoneticPr fontId="37" type="noConversion"/>
  </si>
  <si>
    <t>Fondo de cuerpos militares</t>
    <phoneticPr fontId="37" type="noConversion"/>
  </si>
  <si>
    <t xml:space="preserve">CUADRO No. 1 </t>
  </si>
  <si>
    <t>CUENTA JENERAL</t>
  </si>
  <si>
    <t>DE LOS GASTOS DEL TESORO DE LA REPUBLICA I DE SUS AHORROS DESDE 1.o DE SEPTIEMBRE DE 1841 HASTA 31 DE AGOSTO DE 1942</t>
  </si>
  <si>
    <t>DEPARTAMENTO DEL INTERIOR I RELACIONES ESTERIORES</t>
  </si>
  <si>
    <t>Cantidades decretadas por la lei de 22 de Mayo de 1841.</t>
  </si>
  <si>
    <t>Gastado.</t>
  </si>
  <si>
    <t>Ahorrado.</t>
  </si>
  <si>
    <t>Por la 1.a cantidad del artículo 1.o de la lei de gastos.</t>
  </si>
  <si>
    <t>Por la 2.a ……..</t>
  </si>
  <si>
    <t>Por la 3.a ……..</t>
  </si>
  <si>
    <t>Por la 4.a ……..</t>
  </si>
  <si>
    <t>Por la 5.a ……..</t>
  </si>
  <si>
    <t>Por la 6.a ……..</t>
  </si>
  <si>
    <t>Por la 7.a ……..</t>
  </si>
  <si>
    <t>Por la 8.a ……..</t>
  </si>
  <si>
    <t>Por la 9.a ……..</t>
  </si>
  <si>
    <t>Por la 10.a ……..</t>
  </si>
  <si>
    <t>Por la 11.a ……..</t>
  </si>
  <si>
    <t>Por la 12.a ……..</t>
  </si>
  <si>
    <t>Por la 13.a ……..</t>
  </si>
  <si>
    <t>SUMA PROVISIONAL</t>
  </si>
  <si>
    <t>DEPARTAMENTO DE HACIENDA</t>
  </si>
  <si>
    <t>Por la 14.a ……..</t>
  </si>
  <si>
    <t>Por la 15.a ……..</t>
  </si>
  <si>
    <t>Por la 16.a ……..</t>
  </si>
  <si>
    <t>Por la 17.a ……..</t>
  </si>
  <si>
    <t>Por la 18.a ……..</t>
  </si>
  <si>
    <t>Por la 19.a ……..</t>
  </si>
  <si>
    <t>Por la 20.a ……..</t>
  </si>
  <si>
    <t>Por la 21.a ……..</t>
  </si>
  <si>
    <t>Por la 22.a ……..</t>
  </si>
  <si>
    <t>Por la 23.a ……..</t>
  </si>
  <si>
    <t>Por la 24.a ……..</t>
  </si>
  <si>
    <t>Por la 25.a ……..</t>
  </si>
  <si>
    <t>Por la 26.a ……..</t>
  </si>
  <si>
    <t>Por la 27.a ……..</t>
  </si>
  <si>
    <t>Por la 28.a ……..</t>
  </si>
  <si>
    <t>Por la 29.a ……..</t>
  </si>
  <si>
    <t>Por la 30.a ……..</t>
  </si>
  <si>
    <t>Por la 31.a ……..</t>
  </si>
  <si>
    <t>Por la 32.a ……..</t>
  </si>
  <si>
    <t>Por la 33.a ……..</t>
  </si>
  <si>
    <t>Por la 34.a ……..</t>
  </si>
  <si>
    <t>Por la 35.a ……..</t>
  </si>
  <si>
    <t>Por la 36.a ……..</t>
  </si>
  <si>
    <t>Por la 37.a ……..</t>
  </si>
  <si>
    <t>Por la 38.a ……..</t>
  </si>
  <si>
    <t>Por la 39.a ……..</t>
  </si>
  <si>
    <t>Por la 40.a ……..</t>
  </si>
  <si>
    <t>Por la 41.a ……..</t>
  </si>
  <si>
    <t>Por la 42.a ……..</t>
  </si>
  <si>
    <t>Por la 43.a ……..</t>
  </si>
  <si>
    <t>Por la 44.a ……..</t>
  </si>
  <si>
    <t>Por la 45.a ……..</t>
  </si>
  <si>
    <t>Por la 46.a ……..</t>
  </si>
  <si>
    <t>Por la 47.a ……..</t>
  </si>
  <si>
    <t>Por la 48.a ……..</t>
  </si>
  <si>
    <t>Por la 49.a ……..</t>
  </si>
  <si>
    <t>Por la 50.a ……..</t>
  </si>
  <si>
    <t>TOTAL</t>
  </si>
  <si>
    <t xml:space="preserve">CUADRO No. 2 </t>
  </si>
  <si>
    <t>CONTRIBUCIONES Y RENTAS</t>
  </si>
  <si>
    <t>1842-1843</t>
  </si>
  <si>
    <t>Aduanas</t>
  </si>
  <si>
    <t>Correos</t>
  </si>
  <si>
    <t>Casas de monedas</t>
  </si>
  <si>
    <t>Tabacos</t>
  </si>
  <si>
    <t>Ramos de tesorerias</t>
  </si>
  <si>
    <t>Ramos Ajenos</t>
  </si>
  <si>
    <t>Reconocimiento</t>
    <phoneticPr fontId="0" type="noConversion"/>
  </si>
  <si>
    <t>Efectivo</t>
    <phoneticPr fontId="0" type="noConversion"/>
  </si>
  <si>
    <t>CUADRO No. 3</t>
  </si>
  <si>
    <t>DISTRIBUCIÓN DEL PRODUCTO DE LAS RENTAS NACIONALES</t>
  </si>
  <si>
    <t>CUENTA JENERAL DEL TESORO</t>
  </si>
  <si>
    <t>CARGO</t>
  </si>
  <si>
    <t xml:space="preserve">Ecsistencia de la cuenta del año anterior </t>
  </si>
  <si>
    <t>El tabaco en especie a principal i costos</t>
  </si>
  <si>
    <t>En lo que se quedo adeudando de las contribuciones i rentas nacionales por fin de dicho año</t>
  </si>
  <si>
    <t>En billetes de amortización de moneda</t>
  </si>
  <si>
    <t>En documentos de Tesorerias de hacienda no datados</t>
  </si>
  <si>
    <t>En dinero</t>
  </si>
  <si>
    <t>Dejado de cargar a la ecsistencia de tabaco, por falta de datos</t>
  </si>
  <si>
    <t>Producto de las contribuciones nacionales en el último año</t>
  </si>
  <si>
    <t xml:space="preserve">Derechos de aduanas </t>
  </si>
  <si>
    <t>Renta de correos</t>
  </si>
  <si>
    <t>Utilidad de las dos casas de moneda</t>
  </si>
  <si>
    <t>Renta de tabaco</t>
  </si>
  <si>
    <t>Contribuciones y rentas que se recaudan en las Tesorerias</t>
  </si>
  <si>
    <t>Producto de los ramos ajenos con inclusion de los suplementos y depositos</t>
  </si>
  <si>
    <t>Recaudos por contribuciones de años anteriores</t>
  </si>
  <si>
    <t>Importe de las contribuciones i rentas que se han recaudado en el último año, correspondiente a los anteriores</t>
  </si>
  <si>
    <t>Cartas de crédito</t>
  </si>
  <si>
    <t>Valor de las cartas de crédito emitidas á favor de los empleados civiles i de hacienda, por la parte de sueldo que se les ha retenido</t>
  </si>
  <si>
    <t>Valor de las cartas de crédito emitidas á favor de los empleados militares, por parte de sueldo que se les ha retenido</t>
  </si>
  <si>
    <t>DATA</t>
  </si>
  <si>
    <t>Gastos jenerales del tesoro</t>
  </si>
  <si>
    <t>Diferencia entre la cantidad ecsistente en deudas por fin del año anterior, i la que de las mismas deudas queda ecsistente por fin del último año económico, cuya suma se deduce por quedar comprendida en los 745,334 ps 3 3/4 rs. De lo recaudado años anteriores</t>
  </si>
  <si>
    <t>Diferencia entre el valor del tabaco que ecsistia por fin fel año de 1942, i el que ecsiste por fin del año de 1843, todo á principal i costo, i cuya suma se deduce por quedar incluida en el producto total de la renta del tabaco.</t>
  </si>
  <si>
    <t>Valor de la partida de cargo por documentos de Tesorerias de hacienda no datados, que queda incluida en la de 745,334 ps 3 3/4 rs. De lo cobrado de años anteriores, habiéndose comprendido igualmente en la relacion de gastos del tesoro, los pagos hechos con aquellos documento.</t>
  </si>
  <si>
    <t>Ecsistencia</t>
  </si>
  <si>
    <t>Esta ecsistencia consiste</t>
  </si>
  <si>
    <t>En billetes de Tesoreria recibidos en pago de la 5.a parte de aguardientes</t>
  </si>
  <si>
    <t>En deudas á favor del tesoro por contribuciones i rentas correspondientes al año económico que acabó en 31 de agosto de 1842</t>
  </si>
  <si>
    <t>En deudas á favor del tesoro por las cotribuciones i rentas correspondientes al año que acabó en igual fecha de 1843</t>
  </si>
  <si>
    <t>En lo que se ha quedado adeudado de los ramos ajenos</t>
  </si>
  <si>
    <t>En pagares de tabaco para esportacion, ecsistentes en la Tesoreria de Mariquita</t>
  </si>
  <si>
    <t>En el valor de las cartas sobrantes en las administraciones de correos</t>
  </si>
  <si>
    <t>En el valor del tabaco ecsistente, á principal i costo</t>
  </si>
  <si>
    <t>En el valor de unos pagares de aduana, ecsistentes en la Tesoreria de la provincia de Casanare</t>
  </si>
  <si>
    <t>En las Tesorerias de hacienda</t>
  </si>
  <si>
    <t>En la casa de moneda de Bogotá, inclusive el valor de las pastas</t>
  </si>
  <si>
    <t>En la de Popayan, en los mismos términos.</t>
  </si>
  <si>
    <t>En las administraciones de correos</t>
  </si>
  <si>
    <t>En las administraciones de tabaco.</t>
  </si>
  <si>
    <t>En las factorias</t>
  </si>
  <si>
    <t>CUADRO No. 4</t>
  </si>
  <si>
    <t>ADUANAS</t>
  </si>
  <si>
    <t>Cuadro que manifiesta lo que han producido los derechos de importacion, alcabala, caminos i demas que se cobran en las aduanas de la República, conforme á las leyes, en el año económico concluido en el 31 de Agosto de 1843, con conclusion de los de anclaje y San Lázaro</t>
  </si>
  <si>
    <t>PROVINCIAS      PUERTOS</t>
  </si>
  <si>
    <t>5/8 partes aplicadas á gastos comunes.</t>
  </si>
  <si>
    <t>1/8 parte aplicada al crédito esterior.</t>
  </si>
  <si>
    <t>1/8 parte aplicada á la deuda flotante.</t>
  </si>
  <si>
    <t>1/8 parte aplicada á sueldos civiles retenidos.</t>
  </si>
  <si>
    <t>Alcabala de importacon liquida</t>
  </si>
  <si>
    <t>1/5 parte de alcabala aplicada al crédito interior</t>
  </si>
  <si>
    <t>Derecho de caminos</t>
  </si>
  <si>
    <t>2 por 100 aplicado á sueldos militares</t>
  </si>
  <si>
    <t>Derecho de toneladas.</t>
  </si>
  <si>
    <t>Derecho de entrada.</t>
  </si>
  <si>
    <t>Derecho de nacionalizacion de buq.</t>
  </si>
  <si>
    <t>Hacienda en comun.</t>
  </si>
  <si>
    <t>Derecho de depósito</t>
  </si>
  <si>
    <t>Derecho de esportacion de platina</t>
  </si>
  <si>
    <t>Producto de comisos.</t>
  </si>
  <si>
    <t>Premios de demora.</t>
  </si>
  <si>
    <t>5. i esportacion de oro en el  Itsmo</t>
  </si>
  <si>
    <t>Custodia de buques en sus estadias.</t>
  </si>
  <si>
    <t>Total cobrado.</t>
  </si>
  <si>
    <t>Total en deuda.</t>
  </si>
  <si>
    <t>Total de las contribuciones.</t>
  </si>
  <si>
    <t>COBRADO</t>
  </si>
  <si>
    <t>SE DEBE.</t>
  </si>
  <si>
    <t>PESOS. RS.</t>
  </si>
  <si>
    <t>PESOS. R.S</t>
  </si>
  <si>
    <r>
      <rPr>
        <i/>
        <sz val="11"/>
        <color indexed="8"/>
        <rFont val="Calibri"/>
        <family val="2"/>
      </rPr>
      <t>Buenaventura</t>
    </r>
    <r>
      <rPr>
        <sz val="10"/>
        <rFont val="Verdana"/>
      </rPr>
      <t>…Buenaventura</t>
    </r>
  </si>
  <si>
    <r>
      <rPr>
        <i/>
        <sz val="11"/>
        <color indexed="8"/>
        <rFont val="Calibri"/>
        <family val="2"/>
      </rPr>
      <t>Catajena</t>
    </r>
    <r>
      <rPr>
        <sz val="10"/>
        <rFont val="Verdana"/>
      </rPr>
      <t>………..Cartajena</t>
    </r>
  </si>
  <si>
    <r>
      <rPr>
        <i/>
        <sz val="11"/>
        <color indexed="8"/>
        <rFont val="Calibri"/>
        <family val="2"/>
      </rPr>
      <t>Chocó</t>
    </r>
    <r>
      <rPr>
        <sz val="10"/>
        <rFont val="Verdana"/>
      </rPr>
      <t>…………….Atrato</t>
    </r>
  </si>
  <si>
    <t xml:space="preserve">              ……….. Panamá</t>
  </si>
  <si>
    <r>
      <rPr>
        <i/>
        <sz val="11"/>
        <color indexed="8"/>
        <rFont val="Calibri"/>
        <family val="2"/>
      </rPr>
      <t>Panamá</t>
    </r>
    <r>
      <rPr>
        <sz val="10"/>
        <rFont val="Verdana"/>
      </rPr>
      <t>…………Chágres</t>
    </r>
  </si>
  <si>
    <t xml:space="preserve">              ………...Portobelo</t>
  </si>
  <si>
    <r>
      <rPr>
        <i/>
        <sz val="11"/>
        <color indexed="8"/>
        <rFont val="Calibri"/>
        <family val="2"/>
      </rPr>
      <t>Pamplona</t>
    </r>
    <r>
      <rPr>
        <sz val="10"/>
        <rFont val="Verdana"/>
      </rPr>
      <t>……..Cúcuta</t>
    </r>
  </si>
  <si>
    <r>
      <rPr>
        <i/>
        <sz val="11"/>
        <color indexed="8"/>
        <rFont val="Calibri"/>
        <family val="2"/>
      </rPr>
      <t>Pasto</t>
    </r>
    <r>
      <rPr>
        <sz val="10"/>
        <rFont val="Verdana"/>
      </rPr>
      <t>…….…..….Tumaco</t>
    </r>
  </si>
  <si>
    <t xml:space="preserve">          ………….…Túquerres                   </t>
  </si>
  <si>
    <r>
      <rPr>
        <i/>
        <sz val="11"/>
        <color indexed="8"/>
        <rFont val="Calibri"/>
        <family val="2"/>
      </rPr>
      <t>Riohacha</t>
    </r>
    <r>
      <rPr>
        <sz val="10"/>
        <rFont val="Verdana"/>
      </rPr>
      <t>……….Riohacha</t>
    </r>
  </si>
  <si>
    <r>
      <rPr>
        <i/>
        <sz val="11"/>
        <color indexed="8"/>
        <rFont val="Calibri"/>
        <family val="2"/>
      </rPr>
      <t>Santamarta…...</t>
    </r>
    <r>
      <rPr>
        <sz val="10"/>
        <rFont val="Verdana"/>
      </rPr>
      <t>Santamarta</t>
    </r>
  </si>
  <si>
    <t xml:space="preserve">                …….…Bocas del Toro</t>
  </si>
  <si>
    <r>
      <t>Veraguas</t>
    </r>
    <r>
      <rPr>
        <sz val="10"/>
        <rFont val="Verdana"/>
      </rPr>
      <t>…….…David</t>
    </r>
  </si>
  <si>
    <t xml:space="preserve">                …….…Montijo</t>
  </si>
  <si>
    <t>NOTAS----1.a En este cuadro no se han comprendido 3,844 pesos importe del derecho de anclaje i 8,796 pesos 3 reales correspondientes al derecho de San Lázaro, porque teniendo estos ramos una aplicación especial por la lei, se han cargado en el cuadro de ramos ajenos.</t>
  </si>
  <si>
    <t xml:space="preserve">                2. a Los derechos causados en la aduana de las Bocas deToro, correspondes á los últimos cuatro meses, del año económico; los de la Buenaventura á 10 meses, porque son los únicos estados que se han recibido, i los de la del Atrato, á los cuatro primeros meses del año que estuvo abierto el puerto.</t>
  </si>
  <si>
    <t xml:space="preserve">                3.a  No se incluyen los productos de las aduanas de Arauca i Guanapalo, porque no se han recibido los datos correspondientes.</t>
  </si>
  <si>
    <t>CUADRO No. 5</t>
  </si>
  <si>
    <t>TESORERIAS</t>
  </si>
  <si>
    <t>Cuadro que manifiesta el importe de las contribuciones i rentas que se han causado en las tesorerias de hacienda de la República, desde el día de Septiembre de 1842 hasta 31 de Agosto de 1843, con espresion de lo que ellas se ha recaudado i lo que se ha quedado adeudando.</t>
  </si>
  <si>
    <t>OFICINAS</t>
  </si>
  <si>
    <t>Hipotecas i rejistro.</t>
  </si>
  <si>
    <t>Bienes embargados.</t>
  </si>
  <si>
    <t>Producto de papel sellado.</t>
  </si>
  <si>
    <t>Producto liquido del ramo de aguardientes.</t>
  </si>
  <si>
    <t>Producto del ramo de salinas.</t>
  </si>
  <si>
    <t>Noveno de consolidacion.</t>
  </si>
  <si>
    <t>Novenos del Estado.</t>
  </si>
  <si>
    <t>Vacantes mayores i menores.</t>
  </si>
  <si>
    <t>Quintos de oro i plata</t>
  </si>
  <si>
    <t>Derecho de fundicion.</t>
  </si>
  <si>
    <t>Utilidades de amonedacion.</t>
  </si>
  <si>
    <t>Producto de bodegas.</t>
  </si>
  <si>
    <t>Sellos de titulos.</t>
  </si>
  <si>
    <t>Legacion romana.</t>
  </si>
  <si>
    <t>Aprovechamientos.</t>
  </si>
  <si>
    <t>Efectos beneficiados.</t>
  </si>
  <si>
    <t>Derecho de internacion.</t>
  </si>
  <si>
    <t>Multas.</t>
  </si>
  <si>
    <t>Reintegros.</t>
  </si>
  <si>
    <t>Venta de impresos.</t>
  </si>
  <si>
    <t>Sello de patentes.</t>
  </si>
  <si>
    <t>Cuarta episcopal del tesoro</t>
  </si>
  <si>
    <t>Emprésitos.</t>
  </si>
  <si>
    <t>Réditos de capitales.</t>
  </si>
  <si>
    <t>Alcances de cuentas.</t>
  </si>
  <si>
    <t>Haber en diezmos.</t>
  </si>
  <si>
    <t>Bienes mostrencos.</t>
  </si>
  <si>
    <t>Producto de fincas del Estado.</t>
  </si>
  <si>
    <t>Producto de cal.</t>
  </si>
  <si>
    <t>Venta de azogue.</t>
  </si>
  <si>
    <t>Bienes de difuntos.</t>
  </si>
  <si>
    <t>Arrendamiento de presidarios.</t>
  </si>
  <si>
    <t>Comisos.</t>
  </si>
  <si>
    <t>Producto de escobilla.</t>
  </si>
  <si>
    <t>Derecho de prácticos.</t>
  </si>
  <si>
    <t>Producto de platina.</t>
  </si>
  <si>
    <t>Producto de imprenta.</t>
  </si>
  <si>
    <t>Donativos.</t>
  </si>
  <si>
    <t>Esportacion de mineral concentrado.</t>
  </si>
  <si>
    <t>Confiscaciones.</t>
  </si>
  <si>
    <t>Totales de lo cobrado.</t>
  </si>
  <si>
    <t>Totales de la deuda.</t>
  </si>
  <si>
    <t>TOTALES JENERALES</t>
  </si>
  <si>
    <t>DEUDA.</t>
  </si>
  <si>
    <t>Tesoreria jeneral</t>
  </si>
  <si>
    <t>De Antioquia</t>
  </si>
  <si>
    <t>De Bogotá</t>
  </si>
  <si>
    <t>De la Buenaventura</t>
  </si>
  <si>
    <t>De Cartajena</t>
  </si>
  <si>
    <t>De Casanare</t>
  </si>
  <si>
    <t>Del Cauca</t>
  </si>
  <si>
    <t>Del Chocó</t>
  </si>
  <si>
    <t>De Mariquita</t>
  </si>
  <si>
    <t>De Monpos</t>
  </si>
  <si>
    <t>De Neiva</t>
  </si>
  <si>
    <t>De Pamplona</t>
  </si>
  <si>
    <t>De Panamá</t>
  </si>
  <si>
    <t>De Pasto</t>
  </si>
  <si>
    <t>De Popayan</t>
  </si>
  <si>
    <t>De Riohacha</t>
  </si>
  <si>
    <t>De Santamarta</t>
  </si>
  <si>
    <t>De Socorro</t>
  </si>
  <si>
    <t>De Tunja</t>
  </si>
  <si>
    <t>De Velez</t>
  </si>
  <si>
    <t>De Veraguas</t>
  </si>
  <si>
    <t>Totales</t>
  </si>
  <si>
    <t>CUADRO No. 6</t>
  </si>
  <si>
    <t>RAMOS AJENOS</t>
  </si>
  <si>
    <t>Cuadro que manifiesta lo que han producido los ramos ajenos en el año económico de 1.o de Septiembre de 1842 á 31 de Agosto de 1843, con especificacion de lo recaudado i existente en deudas</t>
  </si>
  <si>
    <t>RAMOS</t>
  </si>
  <si>
    <t>Recaudado</t>
  </si>
  <si>
    <t xml:space="preserve">Existente en deudas </t>
  </si>
  <si>
    <t>Total producto</t>
  </si>
  <si>
    <t>Derecho de San Lázaro</t>
  </si>
  <si>
    <t>Derecho de anclaje</t>
  </si>
  <si>
    <t>Décima parte de aguardientes para casa de castigo</t>
  </si>
  <si>
    <t>Quinta parte de aguardiente para rentas comunales</t>
  </si>
  <si>
    <t>Dos i tres cuartos por ciento del producto de aguardientes aplicado á los lazaretos</t>
  </si>
  <si>
    <t>Derecho para hospitales de leprosos</t>
  </si>
  <si>
    <t>Depósitos</t>
  </si>
  <si>
    <t>Suplementos</t>
  </si>
  <si>
    <t>TOTALES</t>
  </si>
  <si>
    <t>CUADRO No. 7</t>
  </si>
  <si>
    <t>RENTA DE DIEZMOS.</t>
  </si>
  <si>
    <t>Cuadro que manifiesta los ingresos i egresos, existencias i deudas de la renta de diezmos en el año económico contado desde 1.o de septiembre de 1844 hasta 31 de agosto de 1845.</t>
  </si>
  <si>
    <t>DIÓCESIS</t>
  </si>
  <si>
    <t>EXISTENCIA EN 31 DE AGOSTO DE 1844</t>
  </si>
  <si>
    <t>INGRESOS.</t>
  </si>
  <si>
    <t>EGRESOS.</t>
  </si>
  <si>
    <t>EXISTENCIA EN 31 DE AGOSTO DE 1845</t>
  </si>
  <si>
    <t>DEUDAS.</t>
  </si>
  <si>
    <t>Antioquia</t>
  </si>
  <si>
    <t>Bogotá</t>
  </si>
  <si>
    <t>Cartajena</t>
  </si>
  <si>
    <t>Pamplona</t>
  </si>
  <si>
    <t>Panamá</t>
  </si>
  <si>
    <t>Popayan</t>
  </si>
  <si>
    <t>Santamarta</t>
  </si>
  <si>
    <t>CUADRO No. 8</t>
  </si>
  <si>
    <t>DIVERSAS RENTAS NACIONALES</t>
  </si>
  <si>
    <t>Cuadro de los productos que han tenido las tesorerias de hacienda de la República en el año económico que principio en 1.o septiembre de 1844 i concluyó en 31 de agosto de 1845.</t>
  </si>
  <si>
    <t>Aguardientes</t>
  </si>
  <si>
    <t>Alcabala de importacion</t>
  </si>
  <si>
    <t>Alcances de cuentas</t>
  </si>
  <si>
    <t>Anualidad y media anata</t>
  </si>
  <si>
    <t>Aprovechamientos i efectos beneficiados</t>
  </si>
  <si>
    <t>Arrendamiento de fincas del Estado</t>
  </si>
  <si>
    <t>Bienes embargados</t>
  </si>
  <si>
    <t>Caminos</t>
  </si>
  <si>
    <t>Comisos</t>
  </si>
  <si>
    <t>Derecho de almacenaje</t>
  </si>
  <si>
    <t>Dercho de fundicion</t>
  </si>
  <si>
    <t>Derecho de internacion de sal i efectos estranjeros</t>
  </si>
  <si>
    <t>Derecho de prácticos</t>
  </si>
  <si>
    <t>Derecho de sello de títulos</t>
  </si>
  <si>
    <t>Derecho de titulos</t>
  </si>
  <si>
    <t>Esportacion de mineral concentrado</t>
  </si>
  <si>
    <t>Haber en diezmos de miembros del Congreso</t>
  </si>
  <si>
    <t>Hacienda en comun</t>
  </si>
  <si>
    <t>Hipotecas i rejistros</t>
  </si>
  <si>
    <t>Intereses de demora</t>
  </si>
  <si>
    <t>Lazaretos</t>
  </si>
  <si>
    <t>Legacion Romana</t>
  </si>
  <si>
    <t>Mitad de amolumentos de capitanias de puerto</t>
  </si>
  <si>
    <t>Multas</t>
  </si>
  <si>
    <t>Papel sellado</t>
  </si>
  <si>
    <t>Recibido directamente en las tesorerias de guerra</t>
  </si>
  <si>
    <t>Reintegros</t>
  </si>
  <si>
    <t>Sello de patentes</t>
  </si>
  <si>
    <t>Utilidades deamonedacion, por las que directamente han tenido las tesorerías</t>
  </si>
  <si>
    <t>Total</t>
  </si>
  <si>
    <t>Cuadro comparativo del producto de las rentas nacionales en los dos ultimos años economicos.</t>
  </si>
  <si>
    <t>Ramos en que ha habido aumento.</t>
  </si>
  <si>
    <t>Producto de 1842 á 1843.</t>
  </si>
  <si>
    <t>Producto de 1843 á 1844.</t>
  </si>
  <si>
    <t>Diferencia a favor del último año.</t>
  </si>
  <si>
    <t>Diferencia en contra del último año.</t>
  </si>
  <si>
    <t>Renta de amonedacion</t>
  </si>
  <si>
    <t xml:space="preserve">   "       de salinas</t>
  </si>
  <si>
    <t xml:space="preserve">   "       de tabacos</t>
  </si>
  <si>
    <t xml:space="preserve">   "       de aguardientes</t>
  </si>
  <si>
    <t xml:space="preserve">   "       de hipotecas i rejistros</t>
  </si>
  <si>
    <t>Derecho de internacion</t>
  </si>
  <si>
    <t>Derecho de sello de títulos i patentes</t>
  </si>
  <si>
    <t>Ramos en que ha habido disminución</t>
  </si>
  <si>
    <t>Quintos i fundicion</t>
  </si>
  <si>
    <t>Haber en diezmos</t>
  </si>
  <si>
    <t>Emprésitos</t>
  </si>
  <si>
    <t>Donativos</t>
  </si>
  <si>
    <t>Venta de cal</t>
  </si>
  <si>
    <t>Ramos diversos</t>
  </si>
  <si>
    <t>Diferencia á favor del año de 1843 á 1844</t>
  </si>
  <si>
    <t>CUADRO No. 2</t>
  </si>
  <si>
    <t>CUENTA JENERAL DEL TESORO DE LA NUEVA GRANADA</t>
  </si>
  <si>
    <t>Año económico  de 1.o de septiembre de 1843 á 31 de agosto de 1844</t>
  </si>
  <si>
    <t xml:space="preserve">Existencia por fin de la cuenta del año anterior </t>
  </si>
  <si>
    <t>En billetes de tesorería recibidos en pago de la quinta parte de aguardiente</t>
  </si>
  <si>
    <t>En deudas á favor del tesoro existentes en pagares de aduana, de tesorerias i aguardientes</t>
  </si>
  <si>
    <t>En pagares de tabaco vendido para la esportacion</t>
  </si>
  <si>
    <t>En el valor de las cartas existentes en las administraciones de correos</t>
  </si>
  <si>
    <t>En el valor principal i costos del tabaco existente en las administraciones i demas oficinas de la renta</t>
  </si>
  <si>
    <t>En pagares de aduana existentes en la tesoreria de Casanare</t>
  </si>
  <si>
    <t>En dinero en la tesorerias, casas de moneda, factorias i administraciones principales de tabacos i correos</t>
  </si>
  <si>
    <t>Existencia en dinero i documentos de buenas cuentas no comprendidos en la data del año pasado, i que, según la relacion de gastos, quedaron en las comisarias de guerra</t>
  </si>
  <si>
    <t>Dejado de cargar á la existencia de tabaco en especie</t>
  </si>
  <si>
    <t>Cobrado por deudas de años anteriores, no comprendidas en los cuadros de existencias en deudas de los mismos años, a saber:</t>
  </si>
  <si>
    <t>Por noveno de consolidacion</t>
  </si>
  <si>
    <t>Por novenos del Estado</t>
  </si>
  <si>
    <t>Por vacantes mayores i menores</t>
  </si>
  <si>
    <t>Pr id. de hospitales</t>
  </si>
  <si>
    <t>Por anualidades i medias annatas</t>
  </si>
  <si>
    <t>Por mesadas eclesiásticas</t>
  </si>
  <si>
    <t>Por cuarta episcopal</t>
  </si>
  <si>
    <t>Por órden suprimida</t>
  </si>
  <si>
    <t>Por derecho de fundicion</t>
  </si>
  <si>
    <t>Por rejistros</t>
  </si>
  <si>
    <t>Por quintos</t>
  </si>
  <si>
    <t>Por reintegros</t>
  </si>
  <si>
    <t>Por correos</t>
  </si>
  <si>
    <t>Por venta de azogue</t>
  </si>
  <si>
    <t>Por alcances de cuentas</t>
  </si>
  <si>
    <t>Por tabacos</t>
  </si>
  <si>
    <t>Por ramos de hacienda en comun</t>
  </si>
  <si>
    <t>Por utilidades de amonedacion</t>
  </si>
  <si>
    <t>Por reintegro de salinas</t>
  </si>
  <si>
    <t>Producto de las contribuciones nacionales en el año de esta cuenta</t>
  </si>
  <si>
    <t>De la renta de aduanas en dinero i pagares</t>
  </si>
  <si>
    <t>De la de correos</t>
  </si>
  <si>
    <t>De la de amonedacion</t>
  </si>
  <si>
    <t>De la de tabacos</t>
  </si>
  <si>
    <t>Producto de las rentas que se recaudan directamente por las tesorerías de hacienda</t>
  </si>
  <si>
    <t xml:space="preserve">Producto de las salinas que se administran por cuenta de la Republica </t>
  </si>
  <si>
    <t xml:space="preserve">Ingresos en el tesoro por suplementos i depósitos </t>
  </si>
  <si>
    <t>Relacion jeneral de los gastos del Tesoro</t>
  </si>
  <si>
    <t>Dedúcense de esta suma la de 51,445 pesos 5 reales á que asciende la parte de sueldos retenida á los empleados civiles (45,569-5 1/4) i militares (5,875-7 3/4), cuya suma aparece en la relacion como satisfecha en dinero, habiéndolo sido en documentos de crédito amortizables confome á la lei</t>
  </si>
  <si>
    <t>Pagado por premios á Powles, Illigworth i compalia por barras de plata</t>
  </si>
  <si>
    <t>Valor de los billetes de amortizacion de moneda que aparecen en la primera partida de la existencia del año anterior i que fueron dados al fuego en la ciudad de Santamarta en día 23 de agosto de 1844, por órden del Poder Ejecutivo</t>
  </si>
  <si>
    <t>Diferencia entre el valor de tabaco existente por la de 1844, cuya partida se deduce por quedar incluida en el producto total de la venta de tabaco</t>
  </si>
  <si>
    <t>Existencias</t>
  </si>
  <si>
    <t>Estas existencias consisten:</t>
  </si>
  <si>
    <t>En deudas de aduanas de años anteriores, según resulta de la siguiente comparacion:</t>
  </si>
  <si>
    <t>Deudas que quedaron existentes en 31 de agosto de 1843, según la memoria del año pasado</t>
  </si>
  <si>
    <t>Recaudado en el año de esta cuenta por tal motivo</t>
  </si>
  <si>
    <t>Queda vijente en deudas de años anteriores</t>
  </si>
  <si>
    <t>En diferentes efectos, impresos, resagos de contribuciones por recaudar, alcances de cuentas i demas deudas del ramo de hacienda en comun</t>
  </si>
  <si>
    <t>En billetes de recnocimiento</t>
  </si>
  <si>
    <t>En pagares de aduana en la tesorería de Casanare</t>
  </si>
  <si>
    <t>En deudas a favor del tesoro por la rentas que se recaudan en las tesorerias i correspondientes al último año económico</t>
  </si>
  <si>
    <t>En pagares de aduana de plazos no cumplidos i de la misma procedencia</t>
  </si>
  <si>
    <t>En pagares de tabaco para la esportacion existentes en la tesorería de Mariquita</t>
  </si>
  <si>
    <t>En tabaco en especie á principal i costos</t>
  </si>
  <si>
    <t>En cartas sobrantes en las administraciones de correos</t>
  </si>
  <si>
    <t>En dinero a saber:</t>
  </si>
  <si>
    <t>En las tesorerias de hacienda</t>
  </si>
  <si>
    <t xml:space="preserve">En casas de moneda de Bogotá i Popayan, inclusive el valor de las pastas </t>
  </si>
  <si>
    <t>En la administracion i factorias de tabacos</t>
  </si>
  <si>
    <t>En via de las administraciones á las factorias</t>
  </si>
  <si>
    <t>En las comisarias de guerra</t>
  </si>
  <si>
    <t>En via de la tesorería jeneral para las tesorerias de provincia</t>
  </si>
  <si>
    <t>Cuadro de los productos y gastos que ha xxxxx de principio  en 1.o de Septiembre de 1843 i concluyó en 31 de Agosto de 1844.</t>
  </si>
  <si>
    <t>EGRESOS</t>
  </si>
  <si>
    <t>DIFERENCIAS</t>
  </si>
  <si>
    <t>ADUANAS I RESGUARDOS</t>
  </si>
  <si>
    <t>Importacion.</t>
  </si>
  <si>
    <t>Alcabala.</t>
  </si>
  <si>
    <t>Dos por ciento dieron al pago  de sueldos militares retenidos.</t>
  </si>
  <si>
    <t>Caminos.</t>
  </si>
  <si>
    <t>Depositos y almacenaje.</t>
  </si>
  <si>
    <t>Entrada.</t>
  </si>
  <si>
    <t>Rejistro i nacionalizacion de buques</t>
  </si>
  <si>
    <t>Prémios de demora.</t>
  </si>
  <si>
    <t>San Lazaro i anclaje.</t>
  </si>
  <si>
    <t>TOTAL DE INGRESOS.</t>
  </si>
  <si>
    <t>Sueldos de los empleados de aduanas i resguardos. Gastos de escritorio i local.</t>
  </si>
  <si>
    <t>Gastos estraordinarios.</t>
  </si>
  <si>
    <t>TOTAL DE EGRESOS.</t>
  </si>
  <si>
    <t>Diferencia á favor de la renta entre los ingresos i egresos.</t>
  </si>
  <si>
    <t>Diferencia en contra de la renta entre los ingresos i egresos.</t>
  </si>
  <si>
    <t>Arauca</t>
  </si>
  <si>
    <t>Atrato</t>
  </si>
  <si>
    <t>Bocas del Toro</t>
  </si>
  <si>
    <t>Buenaventura</t>
  </si>
  <si>
    <t>Chágres</t>
  </si>
  <si>
    <t>Cúcuta</t>
  </si>
  <si>
    <t>David</t>
  </si>
  <si>
    <t>Guanapalo</t>
  </si>
  <si>
    <t>Iscuandé</t>
  </si>
  <si>
    <t>Matuntubo</t>
  </si>
  <si>
    <t>Montijo</t>
  </si>
  <si>
    <t>Portobelo</t>
  </si>
  <si>
    <t>Riohacha</t>
  </si>
  <si>
    <t>Tumaco</t>
  </si>
  <si>
    <t>Túquerres</t>
  </si>
  <si>
    <t>Resúmen de la cuenta jeneral de ingresos i egresos de la tesoreria jeneral i de las provinciales de hacienda en el año económico de 1844 á 1845.</t>
  </si>
  <si>
    <t>CARGO JENERAL.</t>
  </si>
  <si>
    <t>Existencia en dinero i documentos de pago en fin de agosto de 1844</t>
  </si>
  <si>
    <t>Pesos</t>
  </si>
  <si>
    <t>Recaudado directamente por las tesorerías, de productos del año</t>
  </si>
  <si>
    <t>Id. Por resagos de años anteriores (Id.)</t>
  </si>
  <si>
    <t>Recaudado por las aduanas (Id.)</t>
  </si>
  <si>
    <t>Recaudado por las oficinas de correos, de productos del año  (Id.)</t>
  </si>
  <si>
    <t>Recaudado por las administraciones de salinas, de productos del año  (Id.)</t>
  </si>
  <si>
    <t>Recaudado por las administraciones de tabaco, de productos del año  (Id.)</t>
  </si>
  <si>
    <t>DATA JENERAL</t>
  </si>
  <si>
    <t>Viáticos, dietas i gastos del Congreso</t>
  </si>
  <si>
    <t>Sueldos i gastos del Poder Ejecutivo</t>
  </si>
  <si>
    <t>Id. del departamento de Relaciones Esteriores</t>
  </si>
  <si>
    <t>Id. del departamento de lo Interior</t>
  </si>
  <si>
    <t>Id. del departamento de Hacienda</t>
  </si>
  <si>
    <t>Id. del departamento de guerra</t>
  </si>
  <si>
    <t>Gastos varios de los cuatro departamentos</t>
  </si>
  <si>
    <t>Gastos estraordinarios de id</t>
  </si>
  <si>
    <t>Pago de deudas; á saber:</t>
  </si>
  <si>
    <t>Por deuda flotante</t>
  </si>
  <si>
    <t>Por cartas de crédito amortizadas, de sueldos retenidos civiles i de hacienda</t>
  </si>
  <si>
    <t>Por id. id. de sueldos militares</t>
  </si>
  <si>
    <t>Por id. id. de la nueva deuda de suministros de guerra</t>
  </si>
  <si>
    <t>Por deuda á los cosecheros de tabaco de Ambalema</t>
  </si>
  <si>
    <t>Por id. de emprésitos</t>
  </si>
  <si>
    <t>Por sueldos i gastos de años anteriores, subsidio para pago de intereses de la deuda consolidada interior i otros motivos</t>
  </si>
  <si>
    <t>Por reintegros á la renta de diezmos, de suplementos para la del tabaco</t>
  </si>
  <si>
    <t>Por id. particulares</t>
  </si>
  <si>
    <t>Cargo jeneral</t>
  </si>
  <si>
    <t>Data jeneral</t>
  </si>
  <si>
    <t>Existencia que debia resultar</t>
  </si>
  <si>
    <t>Existencia efectiva en dinero i documentos de pago en las tesorerias, en 31 de agosto de 1845</t>
  </si>
  <si>
    <t>Diferencia, que proviene sin duda de error en la data</t>
  </si>
  <si>
    <t>CUADRO COMPARATIVO</t>
  </si>
  <si>
    <t>Ramos en que hubo aumento.</t>
  </si>
  <si>
    <t>Producto de 1844 á 1845.</t>
  </si>
  <si>
    <t>Aumento en el 2.o Año.</t>
  </si>
  <si>
    <t>Derechos de títulos y patentes</t>
  </si>
  <si>
    <t>Hipotecas i rejistro</t>
  </si>
  <si>
    <t>Salinas</t>
  </si>
  <si>
    <t>Tabaco</t>
  </si>
  <si>
    <t>Ramos en que hubo disminucion.</t>
  </si>
  <si>
    <t>Disminucion en el 2.o Año.</t>
  </si>
  <si>
    <t>Amonedacion</t>
  </si>
  <si>
    <t>Internacion de efectos estranjeros</t>
  </si>
  <si>
    <t>Quintos de oro i fundicion</t>
  </si>
  <si>
    <t>Disminucion de ingresos en unos ramos</t>
  </si>
  <si>
    <t>Aumento de ingresos en otros</t>
  </si>
  <si>
    <t>Aparece como diferencia contra el último año.</t>
  </si>
  <si>
    <t>Ahorro en costos de Produccion</t>
  </si>
  <si>
    <t>En el ramo de aduanas</t>
  </si>
  <si>
    <t>En el de amonedacion</t>
  </si>
  <si>
    <t>En el de correos</t>
  </si>
  <si>
    <t>En el de salinas</t>
  </si>
  <si>
    <t>En el de tabacos</t>
  </si>
  <si>
    <t>Que suman</t>
  </si>
  <si>
    <t>Diferencia contra el último año</t>
  </si>
  <si>
    <t xml:space="preserve">CUADRO No. 4 </t>
  </si>
  <si>
    <t>PRESUPUESTO GENERAL DE GASTOS.</t>
  </si>
  <si>
    <t>Para el año económico de 1846 á 1847</t>
  </si>
  <si>
    <t>Para el departamiento de gobierno                                          $</t>
  </si>
  <si>
    <t>Para el de Relaciones Esteriores i Mejoras internas</t>
  </si>
  <si>
    <t>Para el de Guerra</t>
  </si>
  <si>
    <t>Para el de Hacienda, inclusos 100.000 pesos para gastos estraordinarios de los cuatro departamentos</t>
  </si>
  <si>
    <t>Total presupuesto 1845</t>
  </si>
  <si>
    <t>Diferencia</t>
  </si>
  <si>
    <t>PRESUPUESTO DEL DEPARTAMENTO DE HACIENDA</t>
  </si>
  <si>
    <t>Contaduría jeneral</t>
  </si>
  <si>
    <t>Dirección del crédito nacional</t>
  </si>
  <si>
    <t>Tesorerías</t>
  </si>
  <si>
    <t>Vijías i prácticos, que antes presuponia la Secretaría de Guerra</t>
  </si>
  <si>
    <t>Renta del tabaco, incluyendo la contaduría especial del ramo i los gastos de edificios para las factorías</t>
  </si>
  <si>
    <t>Renta de moneda, con determinadas cantidades para los gastos de fielatura i fundicion</t>
  </si>
  <si>
    <t>Oficinas de fundicion</t>
  </si>
  <si>
    <t>Renta de correos, aumentando lo necesario para los nuevamente establecidos</t>
  </si>
  <si>
    <t>Resguardo terrestre</t>
  </si>
  <si>
    <t>Pensiones de jubilacion, sin comprender las de los pensionados empleados que solo gozan el sueldo del empleo</t>
  </si>
  <si>
    <t>Alcances de cuentas i devoluciones de aduanas</t>
  </si>
  <si>
    <t>Mejora i conservacion de edificios del Estado</t>
  </si>
  <si>
    <t>Crédito nacional i pagos especiales de deudas</t>
  </si>
  <si>
    <t>QUE MANIFIESTA LOS INGRESOS QUE TUVIERON LAS TESORERIAS JENERAL Y PROVINCIALES DE HACIENDA EN EL AÑO ECONOMICO TRANSCURRIDO DEL 1.o DE SEPTIEMBRE DE 1844 A 31 DE AGOSTO DE 1845.</t>
  </si>
  <si>
    <t>Ramos recaudados por la tesoreria jeneral i tesorerias provinciales de hacienda</t>
  </si>
  <si>
    <t>Ingresos por el año de la cuenta</t>
  </si>
  <si>
    <t>Ingresos por deudas de años anteriores</t>
  </si>
  <si>
    <t>TOTAL Ingresos en cajas</t>
  </si>
  <si>
    <t>Anualidad i media anata</t>
  </si>
  <si>
    <t>Arrendamiento de fincas del Estado, no pertenecientes al crédito nacional</t>
  </si>
  <si>
    <t>Depósito de montepio</t>
  </si>
  <si>
    <t>Derecho de fundicion</t>
  </si>
  <si>
    <t>Derecho de internacion de sal i de efectos estranjeros</t>
  </si>
  <si>
    <t>Derecho de títulos</t>
  </si>
  <si>
    <t>Haber de la República en la renta de diezmos</t>
  </si>
  <si>
    <t>Hipotecas i registro</t>
  </si>
  <si>
    <t>Legacion romana</t>
  </si>
  <si>
    <t>Mesada eclesiastica</t>
  </si>
  <si>
    <t>Mitad de emolumentos de capitanias de puerto</t>
  </si>
  <si>
    <t>Producto de bodegas</t>
  </si>
  <si>
    <t>Sueldos retenidos</t>
  </si>
  <si>
    <t>Suplementos y depósitos</t>
  </si>
  <si>
    <t>Por utilidades de amonedacion, comprendidas las de las casas de moneda i las de la Tesoreria Jeneral</t>
  </si>
  <si>
    <t>Por aduanas</t>
  </si>
  <si>
    <t>Por salinas, comprendidos los arrendamientos i el derecho de 8 reales sobre cada 10 arrobas</t>
  </si>
  <si>
    <t>Por tabaco</t>
  </si>
  <si>
    <t>RENTA DE ADUANAS.</t>
  </si>
  <si>
    <t>Cuadro de los productos i gastos que ha tenido dicha renta en el año económico que principió en el 1.o de septiembre de 1844 i concluyó en 31 de agosto de 1845</t>
  </si>
  <si>
    <t>DIFERENCIAS.</t>
  </si>
  <si>
    <t>Toneladas.</t>
  </si>
  <si>
    <t>Almacenaje.</t>
  </si>
  <si>
    <t>Nacionalizacion de buques.</t>
  </si>
  <si>
    <t>Multas i aprovechamientos.</t>
  </si>
  <si>
    <t>Esportacion de platina.</t>
  </si>
  <si>
    <t>Depósitos.</t>
  </si>
  <si>
    <t>Entrada, anclaje i San Lázaro.</t>
  </si>
  <si>
    <t>Custodia de buques.</t>
  </si>
  <si>
    <t>Total de ingresos.</t>
  </si>
  <si>
    <t>Sueldos de los empleados de  aduanas, gastos de escritorio i local.</t>
  </si>
  <si>
    <t>Total de egresos.</t>
  </si>
  <si>
    <t>Diferencias a favor de la renta entre los ingresos i egresos.</t>
  </si>
  <si>
    <t>Diferencias en contra de la renta entre los ingresos i egresos.</t>
  </si>
  <si>
    <t>Barbacoas</t>
  </si>
  <si>
    <t>Diferencia á favor  de la renta entre los ingresos i egresos</t>
  </si>
  <si>
    <t>CONTRIBUCIONES NACIONALES A CARGO DEL DIRECTOR JENERAL DE VENTAS</t>
  </si>
  <si>
    <t>Año economico finalizado en 31 de agosto de 1848</t>
  </si>
  <si>
    <t>Derechos causados a favor de dichas rentas</t>
  </si>
  <si>
    <t>DEJÓ DE RECAUDARSE</t>
  </si>
  <si>
    <t>En el año de 1845 a 1846</t>
  </si>
  <si>
    <t>En el año de 1846 a 1847</t>
  </si>
  <si>
    <t>Componen</t>
  </si>
  <si>
    <t>Deducido lo recaudado por los años de 1845 a 1847</t>
  </si>
  <si>
    <t>De lo recaudado por el año de 47 a 48</t>
  </si>
  <si>
    <t>Quedó por recaudar en fin del año</t>
  </si>
  <si>
    <t>A saber:</t>
  </si>
  <si>
    <t>Por los años de 45 a 47</t>
  </si>
  <si>
    <t>Por el año de 47 a 48</t>
  </si>
  <si>
    <t>Ascendió lo causado a deber en el mismo año económico por las rentas que están bajo la Direccion de Impuestos según los datos que han podido adquirirse a la suma de</t>
  </si>
  <si>
    <t>Que unida a las de años anteriores</t>
  </si>
  <si>
    <t>Suma</t>
  </si>
  <si>
    <t>De que se ha recaudado</t>
  </si>
  <si>
    <t>I quedan en saldo por recaudar a favor del  Tesero</t>
  </si>
  <si>
    <t>Ingreso efectivo en el Tesoro por las diferentes contribuciones</t>
  </si>
  <si>
    <t>Por ventas</t>
  </si>
  <si>
    <t>Por impuestos</t>
  </si>
  <si>
    <t>Suman</t>
  </si>
  <si>
    <r>
      <t xml:space="preserve">Por los balances del Mayor de la contabilidad general para el año económico de Hacienda de 47 a 48, que acompaño al presente informe número 1o, paraece que la cuenta denominada </t>
    </r>
    <r>
      <rPr>
        <b/>
        <sz val="11"/>
        <color indexed="8"/>
        <rFont val="Calibri"/>
        <family val="2"/>
      </rPr>
      <t>Capital del Tesoro</t>
    </r>
    <r>
      <rPr>
        <sz val="10"/>
        <rFont val="Verdana"/>
      </rPr>
      <t xml:space="preserve"> dio un saldo favorable de reales  </t>
    </r>
  </si>
  <si>
    <t>En esta forma:</t>
  </si>
  <si>
    <t>Salfos a favor del Tesoro Rs.</t>
  </si>
  <si>
    <t>13/24</t>
  </si>
  <si>
    <t>Por deudas de contribuyentes por recaudar en 31 de agosto de 1848.  Correspondientes a rentas causadas a deber antes de 1o de septiembre de 1846</t>
  </si>
  <si>
    <t>Correspondientes a rentas de 1846 a 1847</t>
  </si>
  <si>
    <t>Correspondientes a rentas de 1847 a 1848</t>
  </si>
  <si>
    <t>Total de las rentas por recaudar en 31 de agosto de 1848</t>
  </si>
  <si>
    <t>Además los siguientes:</t>
  </si>
  <si>
    <t>En poder de corresponsables de la extinguida Tesoreria General de la República</t>
  </si>
  <si>
    <t>En recibos de anticipaciones de sueldos y otras anticipaciones</t>
  </si>
  <si>
    <t>En alcances por pagar deducidos contra empleados y otras acreeencias</t>
  </si>
  <si>
    <t>En el principal de la deuda de Rafael Garcia Tejada</t>
  </si>
  <si>
    <t>En poder de Baring Hermanos y Compañía</t>
  </si>
  <si>
    <t>En letras por cobrar</t>
  </si>
  <si>
    <t>En las cajas de los responsables del erario</t>
  </si>
  <si>
    <t>En vías de una a otras cajas</t>
  </si>
  <si>
    <t>En fallas en remesas</t>
  </si>
  <si>
    <t>Activo del Tesoro en 31 de agosto de 1848</t>
  </si>
  <si>
    <t>Saldos en contra del Tesoro</t>
  </si>
  <si>
    <t>Por deudas de contribuyentes por recaudar en 31 de agosto de 1848 en esta forma:</t>
  </si>
  <si>
    <t>Por servicios prestados antes del 1o de septiembre de 1846</t>
  </si>
  <si>
    <t>Por servicios prestados en el año económico de 1846 a 1847</t>
  </si>
  <si>
    <t>Por servicios prestados en el año económico de 1847 a 1848</t>
  </si>
  <si>
    <t>Totoal de los gastos por pagar en 31 de agosto de 1848</t>
  </si>
  <si>
    <t>Además, había en contra del Tesoro en el mismo día 31 de agosto de 1848 los siguientes saldos:</t>
  </si>
  <si>
    <t>Adeudado a corresponsables del erario</t>
  </si>
  <si>
    <t>A varios responsables del erario</t>
  </si>
  <si>
    <t>A Juan de Francisco Martín, Wilson y Schloos su cuena de empréstito de 1,216,000 reales, resto de capital</t>
  </si>
  <si>
    <t>A Juan de Francisco Martín, Wilson y Schloos su cuena de empréstito al seis por ciento, resto  de capital</t>
  </si>
  <si>
    <t>A Powles, Wilson y Compañía su cuenta de empréstito al uno por ciiento, resto de capital</t>
  </si>
  <si>
    <t>A los mismos su cuento de seis décimos en el empréstico de un millón de reales, resto de capital</t>
  </si>
  <si>
    <t>A Montoya, Sáenz y Compañía, su cuenta de cuadro décimos en el mismo empréstito, resto de capital</t>
  </si>
  <si>
    <t>Por capital de vales flotantes</t>
  </si>
  <si>
    <t>De nueva deuda adminsible en pago de contribuciones</t>
  </si>
  <si>
    <t>De billetes de la extinguida Tesoreria General de la República</t>
  </si>
  <si>
    <t>De billetes de amortización de macuquina</t>
  </si>
  <si>
    <t>De créditos librados de la extinguida Tesoreria General</t>
  </si>
  <si>
    <t>De empréstito voluntario</t>
  </si>
  <si>
    <t>De cartas de nueva deuda por empréstitos y suministros</t>
  </si>
  <si>
    <t>De cartas de créditos civiles</t>
  </si>
  <si>
    <t>De cartas de créditos militares</t>
  </si>
  <si>
    <t>De libranzas de la Dirección General de Tesorerias</t>
  </si>
  <si>
    <t>De libranzas de abono contras las Aduanas</t>
  </si>
  <si>
    <t>De libranzas generales de pago</t>
  </si>
  <si>
    <t>Pasivo del  Tesoro en 31 de agosto de 1848</t>
  </si>
  <si>
    <t>19/24</t>
  </si>
  <si>
    <t>Comparación</t>
  </si>
  <si>
    <t>Activo</t>
  </si>
  <si>
    <t>Pasivo</t>
  </si>
  <si>
    <t>Capital</t>
  </si>
  <si>
    <t>18/24</t>
  </si>
  <si>
    <t>Informe del Secretario de Hacienda de 1852</t>
    <phoneticPr fontId="37" type="noConversion"/>
  </si>
  <si>
    <t>Murilo Toro. Manuel, Escritos Económicos, págs. 72, 73 y 74</t>
  </si>
  <si>
    <t>RENTAS 1 DE SEPTIEMBRE DE 1850 A 31 DE AGOSTO DE 1851</t>
  </si>
  <si>
    <t>Producto de derechos de importanción reconocidos con arreglos a la tarifa de la Ley de 14 de junio de 1847</t>
  </si>
  <si>
    <t>Diez por ciento de recargo decretado por la Ley de 29 de mayo de 1849</t>
  </si>
  <si>
    <t>Derecho de toneladas</t>
  </si>
  <si>
    <t>Producto delos ramos de depósito, nacionalización de buques, derechos de práctico y exportación</t>
  </si>
  <si>
    <t>Producto de efectos decomisados y de premios de demora en los pagos</t>
  </si>
  <si>
    <t>Los saldos pendientes del años económico de 1849 a 1850 recaudados en el año último ascendian a</t>
  </si>
  <si>
    <t>El total recaudado durante el mismo año alcanza a</t>
  </si>
  <si>
    <t>Y los saldos pendientes en pagarés de plazo no cumplido, y que deben recaudarse en el presente a</t>
  </si>
  <si>
    <t>Murilo Toro. Manuel, Escritos Económicos, págs. 86 y 87</t>
  </si>
  <si>
    <t>PRODUCTO BRUTO DE LOS VARIOS DERECHOS COBRADOS EN LAS ADUANAS</t>
  </si>
  <si>
    <t>AÑOS ECONÓMICOS</t>
  </si>
  <si>
    <t>DERECHOS DE IMPORTACIÓN</t>
  </si>
  <si>
    <t>ALCABALA</t>
  </si>
  <si>
    <t>DERECHOS SUPRIMIDOS</t>
  </si>
  <si>
    <t>DERECHOS VARIOS EXISTENTES HOY</t>
  </si>
  <si>
    <t>Rs</t>
  </si>
  <si>
    <t>1831 a 1832</t>
  </si>
  <si>
    <t>1832 a 1833</t>
  </si>
  <si>
    <t>1833 a 1834</t>
  </si>
  <si>
    <t>1834 a 1835</t>
  </si>
  <si>
    <t>1835 a 1836</t>
  </si>
  <si>
    <t>1836 a 1837</t>
  </si>
  <si>
    <t>1837 a 1838</t>
  </si>
  <si>
    <t>1838 a 1839</t>
  </si>
  <si>
    <t>1839 a 1840</t>
  </si>
  <si>
    <t>1840 a 1841</t>
  </si>
  <si>
    <t>1841 a 1842</t>
  </si>
  <si>
    <t>1842 a 1843</t>
  </si>
  <si>
    <t>1843 a 1844</t>
  </si>
  <si>
    <t>1844 a 1845</t>
  </si>
  <si>
    <t>1845 a 1846</t>
  </si>
  <si>
    <t>1846 a 1847</t>
  </si>
  <si>
    <t>1847 a 1848</t>
  </si>
  <si>
    <t>1848 a 1849</t>
  </si>
  <si>
    <t>1849 a 1850</t>
  </si>
  <si>
    <t>1850 a 1851</t>
  </si>
  <si>
    <t>Murilo Toro. Manuel, Escritos Económicos, págs. 90</t>
  </si>
  <si>
    <t>CORREOS</t>
    <phoneticPr fontId="37" type="noConversion"/>
  </si>
  <si>
    <t>PRODUCTO BRUTO</t>
  </si>
  <si>
    <t>AUMENTO SOBRE EL PRODUCTO DEL AÑO ANTERIOR</t>
  </si>
  <si>
    <t>DISMINUCION SOBRE EL PRODUCTO DEL AÑO ANTERIOR</t>
  </si>
  <si>
    <t>1850 A 1851</t>
  </si>
  <si>
    <t>Murilo Toro. Manuel, Escritos Económicos, págs. 97</t>
  </si>
  <si>
    <t>Comparativo de las rentas descentralizadas, con los gastos que son a cargo de las provincias a virtud de la lei de 20 de abril de 1850, o conforme a los respectivos Presupuestos de gastos, i a las distribuciones hechas por el Poder Ejecutivo.</t>
  </si>
  <si>
    <t>RENTAS DESCENTRALIZADAS</t>
  </si>
  <si>
    <t>Aguardientes (Presupuesto Nacional)</t>
  </si>
  <si>
    <t>Diezmos (Presupuesto Nacional)</t>
  </si>
  <si>
    <t>Exportacion de mineral concentrado (P. N.)</t>
  </si>
  <si>
    <t>Hipotecas i Rejistros (P. N.)</t>
  </si>
  <si>
    <t>Internacion de mercancias (P. N.)</t>
  </si>
  <si>
    <t>Idem de sales (P. N.)</t>
  </si>
  <si>
    <t>Quintos de oro (P. N.)</t>
  </si>
  <si>
    <t>GASTOS NACIONALES A CARGO DE LAS PROVINCIAS.</t>
  </si>
  <si>
    <t>Gobernacion (Personal i Material)</t>
  </si>
  <si>
    <t>(a )</t>
  </si>
  <si>
    <t>Tribunales (P. i M.)</t>
  </si>
  <si>
    <t>(b )</t>
  </si>
  <si>
    <t>Ministerio público (Fiscales)</t>
  </si>
  <si>
    <t>Culto (distribucion del Poder Ejecutivo)</t>
  </si>
  <si>
    <t>(c )</t>
  </si>
  <si>
    <t>Judicaturas de circuito (P. i M.) fijo de 26 provincias)</t>
  </si>
  <si>
    <t>(d )</t>
  </si>
  <si>
    <t>Idem de idem (aproximacion de 9 provincias</t>
  </si>
  <si>
    <t>(e )</t>
  </si>
  <si>
    <t>Diferencia a favor de las rentas provinciales</t>
  </si>
  <si>
    <t>NOTAS. (a ) En esta suma se comprende la de 219,600 reales en que se calculan aproximativamente los gastos de Personal i Material de las Gobernaciones de las provoncias. últimamente creadas, tomando por base el gasto de una de las antiguas menores.</t>
  </si>
  <si>
    <t xml:space="preserve">  (b ) Monto de los gastos fijos de 22 Tribunales extablecidos en la República, según las dotaciones que señala la lei i las alteraciones que han hecho en los sueldos i gastos de Material de cada uno, las Camaras de provincia en virtud de las facultades que les confiere la lei de 20 de abril de 1850.</t>
  </si>
  <si>
    <t xml:space="preserve">  (c ) Solamente Arzobispo, Obispos y Catedrales, (Personal i Material), pues los Curas de almas aunque son pagados las rentas provinciales, no es gasto que hacen por consecuencia de las rentas cedidas.</t>
  </si>
  <si>
    <t xml:space="preserve">  (d ) Gastos conocidos de las Judicaturas de 26 provincias de que hai datos.</t>
  </si>
  <si>
    <t xml:space="preserve">  (e ) Gastos por aproximacion de la Judicaturas de nueve provincias de que no se han recibido datos.</t>
  </si>
  <si>
    <t>INFORME: ESPOSICION QUE EL SECRETARIO DE ESTADO DEL DESPACHO DE HACIENDA 1858</t>
  </si>
  <si>
    <t>INGRESOS que ha habido en la República, correspondientes a los años económicos de 1851 a 1855, según aparece de la cuenta jeneral del presupuesto i del Tesoro, en dicha época.</t>
  </si>
  <si>
    <t>RENTAS</t>
  </si>
  <si>
    <t>1851.</t>
  </si>
  <si>
    <t>1852.</t>
  </si>
  <si>
    <t>1853.</t>
  </si>
  <si>
    <t>1854.</t>
  </si>
  <si>
    <t>1855.</t>
  </si>
  <si>
    <t>Aduanas                                                  $</t>
  </si>
  <si>
    <t>Arriendo de minas</t>
  </si>
  <si>
    <t>Bienes nacionales</t>
  </si>
  <si>
    <t>Censos, alquileres i premios</t>
  </si>
  <si>
    <t>Diezmos</t>
  </si>
  <si>
    <t>Internacion de sales</t>
  </si>
  <si>
    <t>Impuestos varios</t>
  </si>
  <si>
    <t>Monedas</t>
  </si>
  <si>
    <t>Pensiones civiles</t>
  </si>
  <si>
    <t>Producto de rentas sin determinar</t>
  </si>
  <si>
    <t>Redencion de censos</t>
  </si>
  <si>
    <t>Rentas de producto accidental</t>
  </si>
  <si>
    <t>Sello i derecho de títulos</t>
  </si>
  <si>
    <t>Venta de vales de Nueva deuda Flotante</t>
  </si>
  <si>
    <t>Deuda de Perú</t>
  </si>
  <si>
    <t>Suman las Rentas</t>
  </si>
  <si>
    <t>Corresponsales de los Responsables del Erario</t>
  </si>
  <si>
    <t>Total ingresos</t>
  </si>
  <si>
    <t>GASTOS hechos en la República correspondiente a los años económicos de 1851 a 1855, según aparece de la cuenta jeneral de Presupuesto i del tesoro, en dicha época.</t>
  </si>
  <si>
    <t>Departamento de la Deuda nacional</t>
  </si>
  <si>
    <t>Departamento de Gobierno</t>
  </si>
  <si>
    <t>Departamento de Relaciones Esteriores</t>
  </si>
  <si>
    <t>Departamento de del Interior</t>
  </si>
  <si>
    <t>Departamento de Justicia</t>
  </si>
  <si>
    <t>Departamento de Guerra</t>
  </si>
  <si>
    <t>Departamento de Marina</t>
  </si>
  <si>
    <t>Departamento de Obras Públicas</t>
  </si>
  <si>
    <t>Departamento de Beneficiencia i Recompensas</t>
  </si>
  <si>
    <t>Departamento de Agricultura, minas, manufacturas i comercio</t>
  </si>
  <si>
    <t>Departamento de Instrucción pública</t>
  </si>
  <si>
    <t>Departamento del culto</t>
  </si>
  <si>
    <t>Departamento de Gastos de Hacienda i del Tesoro</t>
  </si>
  <si>
    <t>Departamento de Gastos sin determinar</t>
  </si>
  <si>
    <t>Suman los Departamentos</t>
  </si>
  <si>
    <t>Total de los Departamentos</t>
  </si>
  <si>
    <t>Gastos sin legalizar</t>
  </si>
  <si>
    <t>Conmocion interior (1851)</t>
  </si>
  <si>
    <t>Id.     Id (1854)</t>
  </si>
  <si>
    <t>Anticipaciones</t>
  </si>
  <si>
    <t>Total de gastos sin legalizar</t>
  </si>
  <si>
    <t>Corresponsales de los Responsables de Erario</t>
  </si>
  <si>
    <t>Fallas en las cajas de los Responsables del Erario</t>
  </si>
  <si>
    <t>Ajencia fiscal de Lóndres</t>
  </si>
  <si>
    <t>Documentos de Deuda flotante</t>
  </si>
  <si>
    <t>Id.                   de Deuda civil</t>
  </si>
  <si>
    <t>Id.                   de Deuda militar</t>
  </si>
  <si>
    <t>Total egresos</t>
  </si>
  <si>
    <t xml:space="preserve">CUADRO No. 3 </t>
  </si>
  <si>
    <t>Aduanas.</t>
  </si>
  <si>
    <t>Contribucion año económico de 1856 a 1857, comparado con el que tuvo en el de 1855 a 1856.</t>
  </si>
  <si>
    <t>RAMOS.</t>
  </si>
  <si>
    <t>1856.</t>
  </si>
  <si>
    <t>1857.</t>
  </si>
  <si>
    <t>AUMENTO.</t>
  </si>
  <si>
    <t>DISMINUCION.</t>
  </si>
  <si>
    <t>Derechos de importacion</t>
  </si>
  <si>
    <t>Id.             de  esportacion</t>
  </si>
  <si>
    <t>Id.             de  tonelada</t>
  </si>
  <si>
    <t>Id.             de  prático</t>
  </si>
  <si>
    <t>Id.             de  depósito</t>
  </si>
  <si>
    <t>Id.             de  nacionalizacion</t>
  </si>
  <si>
    <t>Prémios i aprovechamientos</t>
  </si>
  <si>
    <t>Diminucion</t>
  </si>
  <si>
    <t>Contribucion de Aduanas</t>
  </si>
  <si>
    <t>Derecho de:</t>
  </si>
  <si>
    <t>IMPORTACION</t>
  </si>
  <si>
    <t>ESPORTACION</t>
  </si>
  <si>
    <t>Aumento</t>
  </si>
  <si>
    <t>Salinas.</t>
  </si>
  <si>
    <t>Adiministradas por cuenta de la República i dadas en arrendamiento, año económico de 1856 a 1857.</t>
  </si>
  <si>
    <t>COMPACTADA</t>
  </si>
  <si>
    <t>VIJUA</t>
  </si>
  <si>
    <t>CALDERO</t>
  </si>
  <si>
    <t>Kilógs.</t>
  </si>
  <si>
    <t>AÑOS</t>
  </si>
  <si>
    <t>RENTAS.</t>
  </si>
  <si>
    <t>GASTOS.</t>
  </si>
  <si>
    <t>SUPERAVIT.</t>
  </si>
  <si>
    <t>DEFICIT.</t>
  </si>
  <si>
    <t xml:space="preserve">1848 a 1849 </t>
  </si>
  <si>
    <t>1851 a 1852</t>
  </si>
  <si>
    <t>1852 a 1853</t>
  </si>
  <si>
    <t>1853 a 1854</t>
  </si>
  <si>
    <t>1854 a 1855</t>
  </si>
  <si>
    <t>1855 a 1856</t>
  </si>
  <si>
    <t>1856 a 1857</t>
  </si>
  <si>
    <t>Esceso de las rentas sobre los gastos</t>
  </si>
  <si>
    <t>Capital del Tesoro en 1º de septiembre de 1846</t>
  </si>
  <si>
    <t>Superavit numérico en 31 agosto de 1857</t>
  </si>
  <si>
    <t>De esta suma hai que deducir:</t>
  </si>
  <si>
    <t>1º El valor de las emisiones de vales flotantes</t>
  </si>
  <si>
    <t>2º El valor de los gastos correspondientes a las cuentas particulares no incluidas por los comisionados en la cuenta jeneral del Presupuesto i Tesoro, de 1850 a 1856</t>
  </si>
  <si>
    <t>Déficit que resulta ántes de hacer los traspasos que se propones en el proyecto de lei de cuentas</t>
  </si>
  <si>
    <t>Traspaso al débito de la cuenta jeneral del Presupuesto i del Tesoro, de 1857 a 1858, con arreglo al artículo 5º del citado proyecto, i que proviene de los gastos allí especificados que no han podido imputarse a ningun Presupuesto</t>
  </si>
  <si>
    <t>Déficit en 31 de agosto de 1857</t>
  </si>
  <si>
    <t>I si se agrega valor de las anticipaciones por legalizar en esa fecha que figuran en el activo del Tesoro, aunque la mayor parte son un verdadero gastom las cuales ascienden a la suma de</t>
  </si>
  <si>
    <t xml:space="preserve">Se obtendrá el déficit en 31 de agosto de 1857 que es de </t>
  </si>
  <si>
    <t xml:space="preserve">      En los años de 1846 a 1851, produjeron las rentas                                                                  $</t>
  </si>
  <si>
    <t xml:space="preserve">      Se deducen los ingresos estraordinarios:</t>
  </si>
  <si>
    <t>Por manumision</t>
  </si>
  <si>
    <t>Por redencion de censos sobre el Tesoro</t>
  </si>
  <si>
    <t>Divisible en 5 años</t>
  </si>
  <si>
    <t>Esta cantidad da un término medio o año comun de                                $</t>
  </si>
  <si>
    <t>En los años de 1851 a 1857, produjeron las rentas                                      $</t>
  </si>
  <si>
    <t>Se deducen los ingresos estraordinarios:</t>
  </si>
  <si>
    <t xml:space="preserve">      Por redencion de censos</t>
  </si>
  <si>
    <t xml:space="preserve">      Por la deudaque pagó el Perú</t>
  </si>
  <si>
    <t xml:space="preserve">      Por venta de vales flotantes</t>
  </si>
  <si>
    <t>Divisible en 6 años</t>
  </si>
  <si>
    <t>Haciendo, pues, la comparacion de los dos periodos, resulta:</t>
  </si>
  <si>
    <t>1º Que el producto medio de las rentas en los 5 años transcurridos de 1846 a 1851, fue en cada año de</t>
  </si>
  <si>
    <t>2º Que el mismo producto en los 6 años de 1851 a 1857, fue de</t>
  </si>
  <si>
    <t xml:space="preserve">3º Que la diferencia anual en contra del segundo periodo, ha sido de </t>
  </si>
  <si>
    <t>RENTAS ABOLIDAS</t>
  </si>
  <si>
    <t>Producto de 1846 a 1851</t>
  </si>
  <si>
    <t>Suma anual que dejó de ingresar de 1851 a 1857.</t>
  </si>
  <si>
    <t>Dos por ciento de pensiones civiles</t>
  </si>
  <si>
    <t>Internacion de mercancías</t>
  </si>
  <si>
    <t>Peaje, pasaje y pontazgo</t>
  </si>
  <si>
    <t>Hipotecas y rejistro</t>
  </si>
  <si>
    <t>Menor rendimiento de las rentas que quedaron</t>
  </si>
  <si>
    <t>Igual a la diferencia anual en contra del segundo período</t>
  </si>
  <si>
    <t>RENTAS EXISTENTES</t>
  </si>
  <si>
    <t>Producto de 1851 a 1857.</t>
  </si>
  <si>
    <t>Año comun o término medio.</t>
  </si>
  <si>
    <t>Esportacion de quina i tabaco</t>
  </si>
  <si>
    <t>Diversos ingresos</t>
  </si>
  <si>
    <t>Ingresos por rentas abolidas</t>
  </si>
  <si>
    <t>CUADRO No. 9</t>
  </si>
  <si>
    <t>GASTOS</t>
  </si>
  <si>
    <t>En los años de 1846 a 1851 ascendieron los gastos a                                                                      $</t>
  </si>
  <si>
    <t>Se agrega:</t>
  </si>
  <si>
    <t>El valor de las emisiones de vales flotantes en los mismos años</t>
  </si>
  <si>
    <t>Total divisible en 5 años</t>
  </si>
  <si>
    <t>Esta cantidad dá un término medio o año comun de</t>
  </si>
  <si>
    <t>En los años de 1851 a 1857, ascendieron los gastos a                                                                     $</t>
  </si>
  <si>
    <t xml:space="preserve">El valor de las emisiones de vales flotantes </t>
  </si>
  <si>
    <t>Los gastos que no se incluyeron en la cuenta formada por los comisionados señores Ortega i Guerra Azuola</t>
  </si>
  <si>
    <t>Los que no pudieron incluirse en los respectivos Presupuestos</t>
  </si>
  <si>
    <t>Se deducen los gastos estraordinarios del Departamento de Guerra, en 1851 i 1854, calculados por aproximacion, en</t>
  </si>
  <si>
    <t>Total divisible en 6 años                                                                                                                    $</t>
  </si>
  <si>
    <t>Esta cantidad da un término medio o año comun de                                                                     $</t>
  </si>
  <si>
    <t>1º Que el monto de los gastos nacionales en los cinco años transcurridos de 1846 a 1851, fue en cada año de $</t>
  </si>
  <si>
    <t>2º Que los que se hicieron en cada uno de los seis años de 1851 a 1857, sin contar los estraordinarios, montaron a</t>
  </si>
  <si>
    <t>3º Que la diferencia anual o menor gasto en el segundo periodo, fue de</t>
  </si>
  <si>
    <t>Esta diferencia se esplica por la desaparicion en el Presupuesto de gastos de los Departamentos que fueron descentralizados, a saber: parte del de Gobierno, el del Interior, parte del de Justicia, el de Agricultura, Minas, Manufacturas i Comercio, el de Instruccion pública, el de Culto, parte del de Beneficiencia i Recompensas, i parte del de Hacienda i el del Tesoro por recaudacion i administracion de las rentas abolidas.</t>
  </si>
  <si>
    <t>Suponiendo , pues, que el menor gasto que se obtuvo equivaliese a la suma dejó de ser de cargo de la Nacion por los Departamentos descentralizados i suprimidos, la compensacion de las diferencias en los don períodos es como sigue:</t>
  </si>
  <si>
    <t>Diferencia anualo menor producto de las rentas en el segundo periodo, respecto del primero</t>
  </si>
  <si>
    <t>Diferencia anual o menor gasto en el segundo período, respecto al primero</t>
  </si>
  <si>
    <t>Déficit anual en el segundo período</t>
  </si>
  <si>
    <t>Este déficit se cubrió con los recursos estraordinarios producidos por la redencion de censos, la venta de vales flotantes, el cobro de la deuda del Perú, i los emprésitos que se hicieron por los cuales se emitieron vales flotantes que se están pagando en las Aduanas.</t>
  </si>
  <si>
    <t>CUADRO No. 10</t>
  </si>
  <si>
    <t>Comparacion de las rentas i los gastos.</t>
  </si>
  <si>
    <t>Demostracion por saldos</t>
  </si>
  <si>
    <t>Primer periodo de 1846 a 1851.</t>
  </si>
  <si>
    <t>Superavit numérico del año de 1848 a 1849</t>
  </si>
  <si>
    <t>Id.                          Id. del de 1849 a 1850</t>
  </si>
  <si>
    <t xml:space="preserve">                                                                                                                                                            $</t>
  </si>
  <si>
    <t>Déficit del año de 1846 a 1847</t>
  </si>
  <si>
    <t xml:space="preserve">Id.                Id. de 1847 a 1848 </t>
  </si>
  <si>
    <t>Id.                Id. de 1850 a 1851</t>
  </si>
  <si>
    <t>Vales flotantes emitidos de 46 a 51</t>
  </si>
  <si>
    <t>Sobrante en 31 de agosto de 1851                                                                                                     $</t>
  </si>
  <si>
    <t>Segundo período de 1851 a 1857.</t>
  </si>
  <si>
    <t>Superavit del año de 1852 a 1853</t>
  </si>
  <si>
    <t>Id.                Id. de 1854 a 1855</t>
  </si>
  <si>
    <t>Id.                Id. de 1855 a 1856</t>
  </si>
  <si>
    <t>Id.                Id. de 1856 a 1857</t>
  </si>
  <si>
    <t>Déficit del año de 1851 a 1852</t>
  </si>
  <si>
    <t xml:space="preserve">Id.                Id. de 1853 a 1854 </t>
  </si>
  <si>
    <t>Vales flotantes emitidos de 51 a 57</t>
  </si>
  <si>
    <t>Gastos no computados por los señores comisionados Ortega i Guerra Azuola</t>
  </si>
  <si>
    <t>Gastos no incluidos en ningun Presupuesto.</t>
  </si>
  <si>
    <t>Déficit en 31 de agosto de 1857                                                                     $</t>
  </si>
  <si>
    <t>Demostracion por ingresos i egresos jenerales.</t>
  </si>
  <si>
    <t>Producto ordinario de las contribuciones</t>
  </si>
  <si>
    <t>Ingresos estraordinarios de manumision i redencion de censos sobre el Tesoro</t>
  </si>
  <si>
    <r>
      <t xml:space="preserve">Suma </t>
    </r>
    <r>
      <rPr>
        <u/>
        <sz val="11"/>
        <color indexed="8"/>
        <rFont val="Calibri"/>
        <family val="2"/>
      </rPr>
      <t>$</t>
    </r>
  </si>
  <si>
    <t>Gastos hechos i vales espedidos en el mismo período</t>
  </si>
  <si>
    <t>Sobrante en  agosto de 1851                                                                                                               $</t>
  </si>
  <si>
    <t>Ingresos estraordinarios de manumision i redencion de censos sobre el Tesoro, por la deuda que pagó el Perú, i por venta de vales flotantes</t>
  </si>
  <si>
    <t xml:space="preserve">Este déficit se forma: 1º de los dividendos vencidos i no pagados de la deuda esterior: 2º de los vales flotantes que existian en circulacion al cerrarse la cuenta; i 3º de las demas deudas de siversas procedencias cuyo pago no se hizo en la misma fecha. </t>
  </si>
  <si>
    <t>CUADRO No. 11</t>
  </si>
  <si>
    <t>RENTAS I CONTRIBUCIONES.</t>
  </si>
  <si>
    <t>Año económico de 1º de setiembre de 1857 a 31 de agosto de 1858.</t>
  </si>
  <si>
    <t>Ferrocarril de Panamá</t>
  </si>
  <si>
    <t>Aprovechamientos</t>
  </si>
  <si>
    <t>CUADRO No. 12</t>
  </si>
  <si>
    <t>1856 A 1857.</t>
  </si>
  <si>
    <t>1857 A 1858</t>
  </si>
  <si>
    <t>AUMENTO</t>
  </si>
  <si>
    <t>DISMINUCION</t>
  </si>
  <si>
    <t>Drchos. de importacion.</t>
  </si>
  <si>
    <t>Id. de  esportacion</t>
  </si>
  <si>
    <t>Id. de  tonelada</t>
  </si>
  <si>
    <t>Id. de  práctico</t>
  </si>
  <si>
    <t>Id. de  depósito</t>
  </si>
  <si>
    <t>Id. de  nacionalización</t>
  </si>
  <si>
    <t>Premios y aprovechamientos</t>
  </si>
  <si>
    <t xml:space="preserve">                                                                                                                         $</t>
  </si>
  <si>
    <t>Derecho de esportacion año 1856 a 1857</t>
  </si>
  <si>
    <t>Derecho de esportacion año 1857 a 1858</t>
  </si>
  <si>
    <t>CUADRO No. 13</t>
  </si>
  <si>
    <t>I. Situacion activa i pasiva del Tesoro en 1º se setiembre de 1849.</t>
  </si>
  <si>
    <t>(Balance de entrada)</t>
  </si>
  <si>
    <t>ACTIVO.</t>
  </si>
  <si>
    <t>(SERVICIO DE 1832 A 1846) -- RENTAS POR RECAUDAR.</t>
  </si>
  <si>
    <t>Crédito que estaban radicados en las oficinas de Hacienda.</t>
  </si>
  <si>
    <t>Aduanas                                                                                                                                               $</t>
  </si>
  <si>
    <t>Peaje, pasaje i pontazgo</t>
  </si>
  <si>
    <t>Manumision</t>
  </si>
  <si>
    <t>Rentas abolidas</t>
  </si>
  <si>
    <t>SERVICIO DE 1846 A 1847 -- RENTAS POR RECAUDAR</t>
  </si>
  <si>
    <t>SERVICIO DE 1847 A 1848 -- RENTAS POR RECAUDAR</t>
  </si>
  <si>
    <t>Dos por ciento para pensiones civiles</t>
  </si>
  <si>
    <t>SERVICIO DE 1848 A 1849 -- RENTAS POR RECAUDAR</t>
  </si>
  <si>
    <t>Arriendo de salinas</t>
  </si>
  <si>
    <t>Total de las rentas por recaudar en 1º de setiembre de 1849                                                          $</t>
  </si>
  <si>
    <t>Cuentas del servicio del Tesoro.</t>
  </si>
  <si>
    <t>Corresponsales                                                                                              $</t>
  </si>
  <si>
    <t>Anticipaciones por reintegrar</t>
  </si>
  <si>
    <t>Alcances i acreencias</t>
  </si>
  <si>
    <t>Rafael Garcia Tejada</t>
  </si>
  <si>
    <t>Baring hermanos</t>
  </si>
  <si>
    <t>Letras por cobrar</t>
  </si>
  <si>
    <t>Existencia en caja en 1º de stbre. De 1849</t>
  </si>
  <si>
    <t>Cantidades en via de unas a otras cajas</t>
  </si>
  <si>
    <t>Falla en las remesas de unas a otras cajas</t>
  </si>
  <si>
    <t>Falla en la Caja de la Administracion de salinas de Zipaquirá por robo del 12 de mayo de 1849</t>
  </si>
  <si>
    <t>Activo correspondiente a las cuentas del servicio del Tesoro                 $</t>
  </si>
  <si>
    <t>Total activo en 1º de setiembre de 1849                                                                                            $</t>
  </si>
  <si>
    <t>PASIVO.</t>
  </si>
  <si>
    <t>SERVICIO DE 1832 A 1846</t>
  </si>
  <si>
    <t>Gastos por pagar.</t>
  </si>
  <si>
    <t>Deuda nacional</t>
  </si>
  <si>
    <t>Gobierno</t>
  </si>
  <si>
    <t>Relaciones Esteriores</t>
  </si>
  <si>
    <t>Interior</t>
  </si>
  <si>
    <t>Justicia</t>
  </si>
  <si>
    <t>Guerra</t>
  </si>
  <si>
    <t>Obras públicas</t>
  </si>
  <si>
    <t>Instrucción pública</t>
  </si>
  <si>
    <t>Culto</t>
  </si>
  <si>
    <t>Beneficiencia i recompensas</t>
  </si>
  <si>
    <t>Gastos de Hacienda i recompensas</t>
  </si>
  <si>
    <t>Gastos estraordinarios jenerales</t>
  </si>
  <si>
    <t>SERVICIO DE 1846 A 1847</t>
  </si>
  <si>
    <t>Agricultura, minas, manufacturas i comercio</t>
  </si>
  <si>
    <t>SERVICIO DE 1847 A 1848</t>
  </si>
  <si>
    <t>Marina</t>
  </si>
  <si>
    <t>SERVICIO DE 1848 A 1849</t>
  </si>
  <si>
    <t>Saldos por pagar en 1º de setiembre de 1849 de los gastos de 1832 a 1849</t>
  </si>
  <si>
    <t>Adeudado a corresponsales</t>
  </si>
  <si>
    <t>Fondos particulares de los responsables</t>
  </si>
  <si>
    <t>Corresponsales particulares</t>
  </si>
  <si>
    <t>Vales flotantes en circulacion</t>
  </si>
  <si>
    <t>Libranzas en circulacion</t>
  </si>
  <si>
    <t>Total pendiente en 1º de setiembre de 1849 por cuentas del servicio del Tesoro</t>
  </si>
  <si>
    <t>Total pasivo en 1º de setiembre de 1849                                                                                           $</t>
  </si>
  <si>
    <t>COMPARACION.</t>
  </si>
  <si>
    <t xml:space="preserve">Total pasivo en id. id                                                                                      </t>
  </si>
  <si>
    <t>Capital del Tesoro en id. Id                                                                                                               $</t>
  </si>
  <si>
    <t>Este mismo "Capital Tesoro" en 1º de setiembre de 1849 resulta de la cuenta del Mayor que lleva ese nombre, de la manera siguiente:</t>
  </si>
  <si>
    <t>Total Débito (Mayor folio 257)</t>
  </si>
  <si>
    <t>Total Crédito (id. Id.)</t>
  </si>
  <si>
    <t>Diferencia                                                                                                                                            $</t>
  </si>
  <si>
    <t>Agregando al saldo en crédito lo que en la misma fecha dan por saldo las cuentas de los "Presupuestos de gastosm su cuenta de créditos lejislativos", que es de</t>
  </si>
  <si>
    <t>I rebajando del crédito:</t>
  </si>
  <si>
    <t xml:space="preserve">1º El saldo de la misma fecha de las cuentas de los "Presupuestos de rentas, se cuenta de créditos lejislativos," que es de </t>
  </si>
  <si>
    <t>I 2º El saldo en la misma fecha de las cuentas jenerales de los Presupuestos, que es de</t>
  </si>
  <si>
    <t>Se obtendrá por diferencia el mismo capital demostrado arriba, que es de                                 $</t>
  </si>
  <si>
    <t>CUADRO No. 14</t>
  </si>
  <si>
    <t>II. Reconocimiento activos i pasivos imputables al servicio de 1849 a 1850.</t>
  </si>
  <si>
    <t>RECONOCIMIENTOS ACTIVOS.-- RENTAS NACIONALES</t>
  </si>
  <si>
    <t>Impuestos varios o rentas de producto accidental</t>
  </si>
  <si>
    <t>Total de las rentas reconocidas del servicio de 1849 a 1850                      $</t>
  </si>
  <si>
    <t>RECONOCIMIENTOS PASIVOS.-- GASTOS NACIONALES</t>
  </si>
  <si>
    <t>Instrucción publica</t>
  </si>
  <si>
    <t>Gastos de Hacienda i del Tesoro</t>
  </si>
  <si>
    <t>Total de los gastos reconocidos del servicio do 1849 a 1850                     $</t>
  </si>
  <si>
    <t>RESUMEN</t>
  </si>
  <si>
    <t>Activo                                                                                                              $</t>
  </si>
  <si>
    <t>Superavit especial del año del 1849 a 1850                                                  $</t>
  </si>
  <si>
    <t>CUADRO No. 15</t>
  </si>
  <si>
    <t>III. PRESUPUESTOS LEJISLATIVOS DE RENTAS I DE GASTOS</t>
  </si>
  <si>
    <t>de 1847 a 1848, 1848 a 1849 a 1850, i su rectificacion al terminar la vijencia de ellos en 31 de agosto de 1851, con arreglo a la lei de 3 de junio de 1850 prorogando el plazo de varias vijencias económicas.</t>
  </si>
  <si>
    <t>Presupuestos de 1847 a 1848.</t>
  </si>
  <si>
    <t>NOMBRES DE LAS RENTAS</t>
  </si>
  <si>
    <t>Presupuesto lejislativo de las rentas</t>
  </si>
  <si>
    <t>Rentas causadas a deber definitivamente</t>
  </si>
  <si>
    <t>Calculado de mas de lo producido realmente.</t>
  </si>
  <si>
    <t>Calculado de ménor de los producido realmente.</t>
  </si>
  <si>
    <t>Calculado de ménos de lo producido realmente</t>
  </si>
  <si>
    <t>Internacion de mercancias</t>
  </si>
  <si>
    <t>Venta de edificios del Estado</t>
  </si>
  <si>
    <t>Diferencia liquida (calculado de mas)                                   $</t>
  </si>
  <si>
    <t>CUADRO No. 16</t>
  </si>
  <si>
    <t>NOMBRE DE LOS DEPARTAMENTOS DE GASTOS.</t>
  </si>
  <si>
    <t xml:space="preserve">Presupuesto lejislativo </t>
  </si>
  <si>
    <t>Gastos causados a deber definitivamente</t>
  </si>
  <si>
    <t>Calculado de mas de lo gastado realmente.</t>
  </si>
  <si>
    <t>Calculado de ménos de lo gastado realmente</t>
  </si>
  <si>
    <t>Relac. Esteriores</t>
  </si>
  <si>
    <t>Agricultura, minas &amp;</t>
  </si>
  <si>
    <t>Gasto de Hacienda i del Tesoro</t>
  </si>
  <si>
    <t>(a)</t>
  </si>
  <si>
    <t>Diferencia liquida (calculado de mas)                     $</t>
  </si>
  <si>
    <t>(a) Exceso proveniente de gastos que, votados por aproximacion por el Congreso i para los cuales el Poder Ejecutivo no estendió el correspondiente decreto abriendo los respectivos créditos suplemestales, se hicieron sin embargo en atencion a aquella circustancia, aunque sin cumplirse con los requisitos por la lei.</t>
  </si>
  <si>
    <t>CUADRO No. 17</t>
  </si>
  <si>
    <t>Presupuestos de 1848 a 1849.</t>
  </si>
  <si>
    <t>NOMBRES DE LAS RENTAS.</t>
  </si>
  <si>
    <t>Presupuesto lejislativo.</t>
  </si>
  <si>
    <t>Rentas causadas a deber definitivamente.</t>
  </si>
  <si>
    <t>Calculado de mas de lo producido.</t>
  </si>
  <si>
    <t>Calculado de ménos de lo producido.</t>
  </si>
  <si>
    <t>Rentas de producto accidental i multas</t>
  </si>
  <si>
    <t>Diferencia liquida (calculado de mas)                            $</t>
  </si>
  <si>
    <t>NOMBRES DE LOS DEPARTAMENTOS DE GASTOS.</t>
  </si>
  <si>
    <t>Gastos causados a deber definitivamente.</t>
  </si>
  <si>
    <t>Calculado de mas.</t>
  </si>
  <si>
    <t>Calculado de ménos.</t>
  </si>
  <si>
    <t>Diferencia liquida (calculada de mas)                                  $</t>
  </si>
  <si>
    <t>CUADRO No. 18</t>
  </si>
  <si>
    <t>Presupuestos de 1849 a 1850</t>
  </si>
  <si>
    <t>Calculado de mas de lo producidorealmente.</t>
  </si>
  <si>
    <t>Calculado de ménos de lo producido relamente.</t>
  </si>
  <si>
    <t>Impuestos varios i multas</t>
  </si>
  <si>
    <t>Calculado de mas  de lo gastado realmente.</t>
  </si>
  <si>
    <t>Calculado de ménos  de lo gastado realmente.</t>
  </si>
  <si>
    <t>(a) De esta suma gastada de mas sobre lo votado por el Congreso, es responsable conforme a la lei, el Secretario de Gobierno, ordenador principal de esta clase de gastos.</t>
  </si>
  <si>
    <t>CUADRO No. 19</t>
  </si>
  <si>
    <t>RESUMEN DE LAS DIFERENCIAS.</t>
  </si>
  <si>
    <t>EN RENTAS.</t>
  </si>
  <si>
    <t>EN GASTOS.</t>
  </si>
  <si>
    <t>Presu.º lejislativo de 1847 a 1848.</t>
  </si>
  <si>
    <t xml:space="preserve">                               de 1848 a 1849</t>
  </si>
  <si>
    <t xml:space="preserve">                                de 1849 a 1850</t>
  </si>
  <si>
    <t>Superávit liquido</t>
  </si>
  <si>
    <t>CUADRO No. 20</t>
  </si>
  <si>
    <t>IV DEFICIT ESPECIAL CORRESPONDIENTE A LOS PRESUPUESTOS</t>
  </si>
  <si>
    <t>de 1847 a 1848 i superávit de los Presupuestos de 1848 a 1849 i 1849 a 1850.</t>
  </si>
  <si>
    <t>El Presupuesto lejislativo de Rentas para el año de 1847 a 1848 suma</t>
  </si>
  <si>
    <t>El id, id. de Gastos para el mismo año suma</t>
  </si>
  <si>
    <t>Luego el déficit calculado era de</t>
  </si>
  <si>
    <t>Pero como de ese deben rebajarse los</t>
  </si>
  <si>
    <t>diferencia favorable en la comparacion entre los créditos lejislativos i lo que realmente se causó a deber en rentas i en gastos como se ha demostrado arriba</t>
  </si>
  <si>
    <t>Resulta el déficit especial para el año de 1847 a 1848 de</t>
  </si>
  <si>
    <t>El Presupuesto lejislativo de Rentas para el año de 1848 a 1849 suma</t>
  </si>
  <si>
    <t>El id, id. de Gastos para el id, id. suma</t>
  </si>
  <si>
    <t>Luego el superávit calculado era de</t>
  </si>
  <si>
    <t>Pero como a ese superávit deben añadirse los</t>
  </si>
  <si>
    <t>diferencia favorable en la comparacion entre los créditos lejislativos i lo que realmente se causó a deber en rentas i en gastos como se ha demostrado</t>
  </si>
  <si>
    <t>Resulta el superávit especial para el año de 1848 a 1849 de</t>
  </si>
  <si>
    <t>El Presupuesto lejislativo de Rentas para el año de 1849 a 1850 suma</t>
  </si>
  <si>
    <t xml:space="preserve">El id, id. de Gastos de id, id. suma </t>
  </si>
  <si>
    <t>Pero como de ese déficit deben rebajarse los</t>
  </si>
  <si>
    <t>Resulta el superávit especial para el año de 1849 a 1850</t>
  </si>
  <si>
    <t>Superávit especial del Presupuesto de 1848 a 1849</t>
  </si>
  <si>
    <t>Id, id, id. de 1849 a 1850</t>
  </si>
  <si>
    <t>Déficit  especial del Presupuesto de 1847 a 1848</t>
  </si>
  <si>
    <t>Superávit liquido correspondiente a los tres Presupuestos</t>
  </si>
  <si>
    <t>DEMOSTRACION DE CAPITAL DEL TESORO EN 31 DE AGOSTO DE 1850.</t>
  </si>
  <si>
    <t>Capital del Tesoro en 1º de setiembre de 1849</t>
  </si>
  <si>
    <t>Se deduce lo que correspondiendo a Balance de entrada está incluido en los $942,732--752 ms. Que son</t>
  </si>
  <si>
    <t>Quedan por consiguiente</t>
  </si>
  <si>
    <t>Seuperávit liquido correspondiente a los tres Presupuestos</t>
  </si>
  <si>
    <t>Se deduce el saldo desfavorable de la cuenta del Presupuesto del año de 1846 a 1847</t>
  </si>
  <si>
    <t>i el valor de las emisiones hechas pr la Subdireccion del Crédito nacional</t>
  </si>
  <si>
    <t>Capital del Tesoro en 31 de agosto de 1850</t>
  </si>
  <si>
    <t>CUADRO No. 21</t>
  </si>
  <si>
    <t>V. -- Cuentas de caja i cartera de los Responsables del Erario en el año económico de Hacienda de 1849 a 1850.</t>
  </si>
  <si>
    <t>INGRESOS</t>
  </si>
  <si>
    <t>Existencias en caja i en cartera en 1º de setiembre de 1849</t>
  </si>
  <si>
    <t>Recaudado por las Aduanas</t>
  </si>
  <si>
    <t>Por rentas (1846 a 1850)</t>
  </si>
  <si>
    <t>De corresponsales</t>
  </si>
  <si>
    <t>Por anticipaciones reembolsadas</t>
  </si>
  <si>
    <t xml:space="preserve">                   Recaudado por las Administraciones jenerales de Hacienda de distrito:</t>
  </si>
  <si>
    <t>Por rentas (1832 a 1850)</t>
  </si>
  <si>
    <t>De Rafael García Tejada, por capital</t>
  </si>
  <si>
    <t>De Tesorerias jenerales de pago, enterado por ellas</t>
  </si>
  <si>
    <t>Por libranzas jiradas</t>
  </si>
  <si>
    <t>Por remesas de otras cajas</t>
  </si>
  <si>
    <t>Por fondos particulares de los administradores</t>
  </si>
  <si>
    <t xml:space="preserve">                   Recaudado por las Admones. Jrales. De Hacienda de provincia:</t>
  </si>
  <si>
    <t>Por anticipaciones reintegradas</t>
  </si>
  <si>
    <t>De billetes puestos en circulacion</t>
  </si>
  <si>
    <t>De factores de tabaco</t>
  </si>
  <si>
    <t>De Tesoreros subalternos su cuenta de documentos en depósito</t>
  </si>
  <si>
    <t>De tesoreros subalternos, su cuenta de caja</t>
  </si>
  <si>
    <t>De los Administradores de distrito     id</t>
  </si>
  <si>
    <t>De tesoreros jenerales de distrito        id</t>
  </si>
  <si>
    <t>De libranzas jiradas</t>
  </si>
  <si>
    <t>Por fallas en remesas</t>
  </si>
  <si>
    <t>Recaudado por las Administraciones jenerales de Hacienda de salinas:</t>
  </si>
  <si>
    <t>Por rentas (1849 a 1850)</t>
  </si>
  <si>
    <t>De administadores de salinas, su cuenta de pagarés de mineros</t>
  </si>
  <si>
    <t xml:space="preserve">                   Recaudado por los Administradores principales de Correos:</t>
  </si>
  <si>
    <t xml:space="preserve">                   Recaudado por los Administradores de las casas de moneda:</t>
  </si>
  <si>
    <t>Por rentas (1848 a 1850)</t>
  </si>
  <si>
    <t>Por anticipaciones, alcances i acreencias reintegradas</t>
  </si>
  <si>
    <t xml:space="preserve">                   Recaudado por los Tesoreros jenerales de pago:</t>
  </si>
  <si>
    <t>De Tesoreros subalternos de pago</t>
  </si>
  <si>
    <t>De Tesoreros particulares de guerra</t>
  </si>
  <si>
    <t>Por billetes en circulacion</t>
  </si>
  <si>
    <t xml:space="preserve">                   Recaudado por los Tesoreros subalternos de pago</t>
  </si>
  <si>
    <t>Enteros hechos por los Factores i pagadores jenerales</t>
  </si>
  <si>
    <t xml:space="preserve">                   Recaudado por los Factores de tabaco</t>
  </si>
  <si>
    <t>Por rentas (1847 a 1848)</t>
  </si>
  <si>
    <t>De Tesorerías subalternas de pago</t>
  </si>
  <si>
    <t>Recaudado por los Administradores de Hacienda, su cuenta de caja i Pagarés de la Junta directiva del Dique</t>
  </si>
  <si>
    <t>Enterado por los Administradores principales de Hacienda</t>
  </si>
  <si>
    <t>Recaudado por los Administradores de salinas, su cuenta de pagarés mineros</t>
  </si>
  <si>
    <t>Enterado por los Administradores de salinas</t>
  </si>
  <si>
    <t>Recaudado por los Administradores principales de provincia, su cuenta de documentos de depósito</t>
  </si>
  <si>
    <t>Total ingresos                                                                                               $</t>
  </si>
  <si>
    <t>RESUMEN DE LOS INGRESOS</t>
  </si>
  <si>
    <t xml:space="preserve">Existencia </t>
  </si>
  <si>
    <t>Rentas (1832 a 1850)</t>
  </si>
  <si>
    <t>Corresponsales</t>
  </si>
  <si>
    <t>García Tejada</t>
  </si>
  <si>
    <t>Libranzas</t>
  </si>
  <si>
    <t>Remesas</t>
  </si>
  <si>
    <t>Billetes</t>
  </si>
  <si>
    <t>Fallas</t>
  </si>
  <si>
    <t>Fondos particulares</t>
  </si>
  <si>
    <t>Responsables del Erario. Enterado por ellos</t>
  </si>
  <si>
    <t>Total de los ingresos                                                                                  $</t>
  </si>
  <si>
    <t xml:space="preserve">                    Pagado por los Administradores de la aduana.</t>
  </si>
  <si>
    <t>Por gastos (1848 a 1850)</t>
  </si>
  <si>
    <t>Por libranzas jenerales de pago</t>
  </si>
  <si>
    <t>Por libranzas de abono</t>
  </si>
  <si>
    <t>Por cartas de nueva deuda</t>
  </si>
  <si>
    <t>Por id. de crédito civiles</t>
  </si>
  <si>
    <t>Por id. de militares</t>
  </si>
  <si>
    <t>Por billetes de Tesorería</t>
  </si>
  <si>
    <t>Por vales flotantes</t>
  </si>
  <si>
    <t>Por anticipaciones</t>
  </si>
  <si>
    <t>Por corresponsales</t>
  </si>
  <si>
    <t>Por Montoya, Sáenz i Compañía</t>
  </si>
  <si>
    <t>Por remesas</t>
  </si>
  <si>
    <t xml:space="preserve">                   Pagado por los Administradores jenerales de Hacienda de distrito</t>
  </si>
  <si>
    <t>Por gastos (1847 a 1850)</t>
  </si>
  <si>
    <t>Por billetes</t>
  </si>
  <si>
    <t>Por id de crédito militares</t>
  </si>
  <si>
    <t>Pasado a otros responsables</t>
  </si>
  <si>
    <t xml:space="preserve">                   Pagado por los Administradores jenerales de Hacienda de provincia</t>
  </si>
  <si>
    <t>Por gastos (1832 a 1850)</t>
  </si>
  <si>
    <t>Por cartas de crédito, civiles</t>
  </si>
  <si>
    <t>Por id. de nueva deuda</t>
  </si>
  <si>
    <t>Por id. de la direccion de Tesorerías</t>
  </si>
  <si>
    <t>Por créditos librados de la estinguida Tesorrería jeneral</t>
  </si>
  <si>
    <t>Por letras por cobrar</t>
  </si>
  <si>
    <t>Por Baring i hemanos de Lóndres</t>
  </si>
  <si>
    <t>Por corresponsales, pagado por cuenta de ellos</t>
  </si>
  <si>
    <t xml:space="preserve">                   Pagado por los Administradores de salinas su cuenta de caja i pagarés</t>
  </si>
  <si>
    <t>Por libranzas</t>
  </si>
  <si>
    <t xml:space="preserve">                   Pagado por los Administradores principales de Correos</t>
  </si>
  <si>
    <t xml:space="preserve">                   Pagado por los Administradores de las Casas de moneda</t>
  </si>
  <si>
    <t>Por corresponsales, pagado a ellos</t>
  </si>
  <si>
    <t>Pagado de los Tesoreros jenerales de pago, su cuenta de caja i pagares</t>
  </si>
  <si>
    <t>Pagado por las Tesorerías subalternas de pago:</t>
  </si>
  <si>
    <t>Pagado por las Tesorerías particulares de Guerra:</t>
  </si>
  <si>
    <t>Pagado por los factores de tabaco:</t>
  </si>
  <si>
    <t>Pagado por los Administradores de salinas, su cuenta de pagarés de mineros</t>
  </si>
  <si>
    <t>Pagado por los Tesoreros subalternos de pago, su cuenta de documentos en depósito</t>
  </si>
  <si>
    <t xml:space="preserve">                       Total de los egresos                                                                                                 $</t>
  </si>
  <si>
    <t>Existencias en 31 de agosto de 1850</t>
  </si>
  <si>
    <t>En documentos en depósito</t>
  </si>
  <si>
    <t xml:space="preserve">                       Total igual al de los ingresos                                                                                   $</t>
  </si>
  <si>
    <t>RESUMEN DE LOS EGRESOS</t>
  </si>
  <si>
    <t>Gastos (1832 a 1850)</t>
  </si>
  <si>
    <t>Libranzas jenerales de pago</t>
  </si>
  <si>
    <t>Id. de abono</t>
  </si>
  <si>
    <t>Cartas de nueva deuda</t>
  </si>
  <si>
    <t>Cartas de crédito, civiles</t>
  </si>
  <si>
    <t>Id. Id. militares</t>
  </si>
  <si>
    <t>Billetes de Tesorería</t>
  </si>
  <si>
    <t>Vales flotantes</t>
  </si>
  <si>
    <t>Cartas de la Direccion de Tesorerías</t>
  </si>
  <si>
    <t>Créditos librados de la Tesorería jeneral</t>
  </si>
  <si>
    <t>Montoya, Sáenz i Compañía</t>
  </si>
  <si>
    <t>Baring hermanos i Compañía</t>
  </si>
  <si>
    <t>Fallas en remesas</t>
  </si>
  <si>
    <t>Responsables del Erario-- pasado a otros</t>
  </si>
  <si>
    <t>Suma igual a las de los ingresos                                                                                                   $</t>
  </si>
  <si>
    <t>CUADRO No. 22</t>
  </si>
  <si>
    <t>VI. -- Situacion activa i pasiva del Tesoro en 31 de agosto de 1850.</t>
  </si>
  <si>
    <t>(Balance de salida.)</t>
  </si>
  <si>
    <t>Rentas nacionales por recaudar (1832 a 1850)</t>
  </si>
  <si>
    <t>Corresponsales de la Tesorería jeneral de la República</t>
  </si>
  <si>
    <t>Anticipaciones, alcances i acreencias</t>
  </si>
  <si>
    <t>Rafael García Tejada, su cuenta por resto de capital</t>
  </si>
  <si>
    <t>Existencias en caja i en cartera en 31 de agosto de 1850</t>
  </si>
  <si>
    <t>Cantidades en via en 31 de agosto de 1850</t>
  </si>
  <si>
    <t>Fallas en cajas de los responsables del Erario</t>
  </si>
  <si>
    <t>Corresponsales de las Administraciones jenerales de Hacienda</t>
  </si>
  <si>
    <t>Cuentas particulares.</t>
  </si>
  <si>
    <t>Montoya, Sáenz i Compañía, su cuenta de compra de existencias de tabaco</t>
  </si>
  <si>
    <t xml:space="preserve">Francisco María Valenzuela, su cuenta de id, id.  </t>
  </si>
  <si>
    <t>Powles, Wilson i Compañía, su cuenta por el resto de 1.252,000 K. de tabaco entregados</t>
  </si>
  <si>
    <t>Montoya. Sáenz i compañía su cuenta de</t>
  </si>
  <si>
    <t>Baring hermanos i Compañía, su cuenta jeneral</t>
  </si>
  <si>
    <t>Los mismos su cuenta de depósitos en intereses de la Deuda esterior</t>
  </si>
  <si>
    <t>Los mismos su cuenta especial</t>
  </si>
  <si>
    <t>Total del activo                                                                                                                                   $</t>
  </si>
  <si>
    <t>Gastos nacionales por pagar (1832 a 1850)</t>
  </si>
  <si>
    <t>Billetes de Tesorería en circulacion</t>
  </si>
  <si>
    <t>Corresponsales -- adeudado a ellos</t>
  </si>
  <si>
    <t>Fondos particulares de los responsables del Erario</t>
  </si>
  <si>
    <t>De Francisco Martin, Wilson i Scholss, su cuenta de emprésito al 8 por ciento</t>
  </si>
  <si>
    <t>De Francisco Martin, Wilson i Scholss, su cuenta de emprésito al 6 por ciento</t>
  </si>
  <si>
    <t>Powles, Wilson i Compañía, su cuenta de emprésito al 12 por ciento</t>
  </si>
  <si>
    <t>Vales flotantes en circulacion, capital en circulacion</t>
  </si>
  <si>
    <t>Cartas de nueva deuda por emprésitos i suministros, capital en circulacion</t>
  </si>
  <si>
    <t>Id. de créditos militares</t>
  </si>
  <si>
    <t xml:space="preserve">Id. de id. civiles </t>
  </si>
  <si>
    <t>Libranzas jenerales de pago por cubrir</t>
  </si>
  <si>
    <t>Total pasivo                                                                                                                                       $</t>
  </si>
  <si>
    <t>Luego el capital del Tesoro en 31 de agosto de 1850 era, según queda demostrado, de</t>
  </si>
  <si>
    <t>Suma igual a las del activo</t>
  </si>
  <si>
    <t>CUADRO No. 23</t>
  </si>
  <si>
    <t>I. CUENTAS JENERALES DE LOS PRESUPUESTOS DE 1850 A 1856.</t>
  </si>
  <si>
    <t>formadas por los comisionados señores Segundo Ortega i Ramon Guerra Azuola.</t>
  </si>
  <si>
    <t>Es el Balance de salida de la cuenta terminada en 31 de agosto de 1850, i como se ha dicho anteriormente, el activo asciende a la suma de</t>
  </si>
  <si>
    <t>i el pasivo a la de</t>
  </si>
  <si>
    <t>Dejando a favor de la cuenta de capital de Tesoro la de                         $</t>
  </si>
  <si>
    <t>II -- Reconocimientos activos i pasivos imputables a los servicios correspondientes a los años económicos trascurridos desde 1º de septiembre de 1850 hasta 31 de agosto de 1856.</t>
  </si>
  <si>
    <t>RECONOCIMIENTOS DE ACTIVOS.---- SERVICIO DE 1850 A 1851.</t>
  </si>
  <si>
    <t>Rentas nacionales.</t>
  </si>
  <si>
    <t>Billetes nacionales</t>
  </si>
  <si>
    <t>Arrendamiento de Minas</t>
  </si>
  <si>
    <t>Rentas sin determinar</t>
  </si>
  <si>
    <t>SERVICIO DE 1851 A 1852</t>
  </si>
  <si>
    <t>Minas de esmeraldas</t>
  </si>
  <si>
    <t>Venta de vales de nueva deuda flotante</t>
  </si>
  <si>
    <t>SERVICIO DE 1852 A 1853</t>
  </si>
  <si>
    <t>SERVICIO DE 1853 A 1854</t>
  </si>
  <si>
    <t>Deuda del Perú</t>
  </si>
  <si>
    <t>SERVICIO DE 1854 A 1855</t>
  </si>
  <si>
    <t>Aprovechamientos, censos alquileres i premios</t>
  </si>
  <si>
    <t>Deuda del Perú, complemento de los dos millones</t>
  </si>
  <si>
    <t>Caminos, peaje, pasaje y pontazgo</t>
  </si>
  <si>
    <t>SERVICIO DE 1855 A 1856.</t>
  </si>
  <si>
    <t>ADICIONALES AL SERVICIO DE 1855 A 1856.</t>
  </si>
  <si>
    <t xml:space="preserve">                                                                              Total de los reconocimientos activos                   </t>
  </si>
  <si>
    <t>GASTOS RECONOCIDOS---SERVICIO DE 1850 A 1851.</t>
  </si>
  <si>
    <t>Agricultura, minas, manufactura i comercio</t>
  </si>
  <si>
    <t>Departamentos sin determinar</t>
  </si>
  <si>
    <t>Guerra i marina</t>
  </si>
  <si>
    <t>Departamentos sin clasificar</t>
  </si>
  <si>
    <t>Total de los reconocimientos pasivos                                                                 $</t>
  </si>
  <si>
    <t>RESUMEN.</t>
  </si>
  <si>
    <t>Total de los reconocimientos activos</t>
  </si>
  <si>
    <t>Total de id. pasivos</t>
  </si>
  <si>
    <t>Superávit especial del Presupuesto de 1850 a 1856</t>
  </si>
  <si>
    <t>Este superávit por años se esplica de la manera siguiente:</t>
  </si>
  <si>
    <t>Superávit</t>
  </si>
  <si>
    <t>Déficit</t>
  </si>
  <si>
    <t>Rentas causadas (1850 a 1851)</t>
  </si>
  <si>
    <t>Gastos causados (1850 a 1851)</t>
  </si>
  <si>
    <t>Rentas causadas (1851 a 1852)</t>
  </si>
  <si>
    <t>Gastos causados (1851 a 1852)</t>
  </si>
  <si>
    <t>Rentas causadas (1852 a 1853)</t>
  </si>
  <si>
    <t>Gastos causados (1852 a 1853)</t>
  </si>
  <si>
    <t>Rentas causadas (1853 a 1854)</t>
  </si>
  <si>
    <t>Gastos causados (1853 a 1854)</t>
  </si>
  <si>
    <t>Rentas causadas (1854 a 1855)</t>
  </si>
  <si>
    <t>Gastos causados (1854 a 1855)</t>
  </si>
  <si>
    <t>Rentas causadas (1855 a 1856)</t>
  </si>
  <si>
    <t>Gastos causados (1855 a 1856)</t>
  </si>
  <si>
    <t>Superávit liquido de los seis Presupuestos $</t>
  </si>
  <si>
    <t>Se deduce el valor de la emision de vales flotantes por ventas i conversion de deuda consolidada, deducido lo que quedó en calidad de prenda en poder de particulares (64,200$) i con inclusion del valor de la deuda flotante que figura en rentas, vendida en los años de 51 a 52, 52 a 53 i 55 a 56</t>
  </si>
  <si>
    <t>Déficit en 31 de agosto de los seis Presupuestos.</t>
  </si>
  <si>
    <t>Deduciendo de este déficit especial de los seis Presupuestos es superávit que existia en 1º de setiembre de 1850, que era de</t>
  </si>
  <si>
    <t>Se obtendrá el superávit que quedó en 31 de agosto de 1856, que es de</t>
  </si>
  <si>
    <t>CUADRO No. 24</t>
  </si>
  <si>
    <t>PRODUCTOS.</t>
  </si>
  <si>
    <t>DIFERENCIAS EN EL 2º año.</t>
  </si>
  <si>
    <t>Año de 1857 a 1858</t>
  </si>
  <si>
    <t>Año de 1858 a 1859</t>
  </si>
  <si>
    <t>En mas.</t>
  </si>
  <si>
    <t>En ménos.</t>
  </si>
  <si>
    <t>Esportacion de tabaco i quina</t>
  </si>
  <si>
    <t>Timbre nacional</t>
  </si>
  <si>
    <t>Aprovechamientos e impuestos varios</t>
  </si>
  <si>
    <t>Diferencia en aumento                                                                               $</t>
  </si>
  <si>
    <t>CUADRO No. 25</t>
  </si>
  <si>
    <t>Cuenta de las operaciones efectuadas en el año económico de Hacienda terminado en 31 de agosto de 1858.</t>
  </si>
  <si>
    <t>Valores en Caja i Cartera en 1º de setiembre de 1857:</t>
  </si>
  <si>
    <t>Numerario i materias de oro i plata (XIIIº)</t>
  </si>
  <si>
    <t>Letras por cobrar por la Tesoreria jeneral</t>
  </si>
  <si>
    <t>RENTAS I CONTRIBUCIONES</t>
  </si>
  <si>
    <t>Derechos que estaban por recaudar en 1º de setiembre de 1857.</t>
  </si>
  <si>
    <t>Derechos liquidados en el año de 1857 a 1858.</t>
  </si>
  <si>
    <t>Totales de los derechos liquidados hasta 31 de agosto de 1858.</t>
  </si>
  <si>
    <t>Derechos recaudados en todo el año económico de Hacienda terminado en 31 de agosto de 1858</t>
  </si>
  <si>
    <t>Residuos por recaudar en 31 de agosto de 1858</t>
  </si>
  <si>
    <t xml:space="preserve">Esportacion  </t>
  </si>
  <si>
    <t>Empresa del Ferrocarril</t>
  </si>
  <si>
    <t>OPERACIONES DE TESORERÍA</t>
  </si>
  <si>
    <t>Recaudado en el año por cuenta de corresponsales.</t>
  </si>
  <si>
    <t>En las Casas de moneda (introductores de metales preciosos)</t>
  </si>
  <si>
    <t>En las mismas por cuenta del fondo especial de Manumision</t>
  </si>
  <si>
    <t>En las Administraciones principales de Correos por depósitos i manumision</t>
  </si>
  <si>
    <t>En las Administraciones de Aduana por id</t>
  </si>
  <si>
    <t>En las Administraciones de Salinas por id</t>
  </si>
  <si>
    <t>En la Tesorería jeneral                        por id</t>
  </si>
  <si>
    <t>Por emprésitos</t>
  </si>
  <si>
    <t>Por cuenta de los herederos de Manuel Laverde</t>
  </si>
  <si>
    <t>ANTICIPACIONES, ALCANCES I ACREENCIAS REEMBOLSADAS.</t>
  </si>
  <si>
    <t>Por reintegrar en 1º de septiembre de 1857.</t>
  </si>
  <si>
    <t>Efectuadas en el año de 1857 a 1858.</t>
  </si>
  <si>
    <t>Totales de las efectuadas hasta 31 de agosto de 1858.</t>
  </si>
  <si>
    <t>Reembolsadas en el año de 1857 a 1858.</t>
  </si>
  <si>
    <t>Por reintegrar en 31 de agosto de 1858.</t>
  </si>
  <si>
    <t>Anticipaciones jenerales</t>
  </si>
  <si>
    <t>Anticipaciones especiales</t>
  </si>
  <si>
    <t>Fallas en las Cajas de los Responsables del Erario, $.ª</t>
  </si>
  <si>
    <t>Anticipaciones sobre dividendos</t>
  </si>
  <si>
    <t>Juan N. Núñez Conto</t>
  </si>
  <si>
    <t>José Maria Grau</t>
  </si>
  <si>
    <t>Montoya, Sáenz i C.ª</t>
  </si>
  <si>
    <t>Mosquera i C.ª</t>
  </si>
  <si>
    <t>La Compañía de vapores de Santamarta</t>
  </si>
  <si>
    <t>Juan B. Elvers</t>
  </si>
  <si>
    <t>Baring H. de Lóndres</t>
  </si>
  <si>
    <t>Id. sç de dividendos</t>
  </si>
  <si>
    <t>Id. sç especial</t>
  </si>
  <si>
    <t>Luis Réyes</t>
  </si>
  <si>
    <t>Pedro A. Herran</t>
  </si>
  <si>
    <t>El cura de las Niéves</t>
  </si>
  <si>
    <t>Ercilia Guzman</t>
  </si>
  <si>
    <t>R. Roldan i C. Várgas</t>
  </si>
  <si>
    <t xml:space="preserve">Letras por cobrar </t>
  </si>
  <si>
    <t>Montepío militar</t>
  </si>
  <si>
    <t>El Estado de Santander</t>
  </si>
  <si>
    <t>VALES LIBRANZAS EMITIDOS.</t>
  </si>
  <si>
    <t>Vales flotantes de 1ª a 9ª CLASE</t>
  </si>
  <si>
    <t>Libranzas de la Tesorería jeneral contra sí misma</t>
  </si>
  <si>
    <t>TRASMISION DE FONDOS</t>
  </si>
  <si>
    <t>En vía en 1º de setiembre de 1857</t>
  </si>
  <si>
    <t>Remitidos en el año de 1857 a 1858</t>
  </si>
  <si>
    <t>Totales de los fondos remitidos.</t>
  </si>
  <si>
    <t>Recibido en el año de 1857 a 1858</t>
  </si>
  <si>
    <t>En vía en 31 de agosto de 1858.</t>
  </si>
  <si>
    <t>Remesas de unas a otras Cajas</t>
  </si>
  <si>
    <t>Anulacion de créditos pasivos (figuran en los egresos en las cuentas de emprésitos i Corresponsales) a virtud de órden circular de la Tesorería jeneral de 26 de setiembre de 1857, número 334, dirijida a los Pagadores nacionales, mandándoles saldar por el Tesoro las cuentas de emprésitos que figuraban en sus libros</t>
  </si>
  <si>
    <t>Total de los ingresos</t>
  </si>
  <si>
    <t>GASTOS NACIONALES</t>
  </si>
  <si>
    <t>Gastos que estaban por pagar en 1º de setiembre de 1857.</t>
  </si>
  <si>
    <t>Gastos liquidados en todo el año de 1857 a 1858.</t>
  </si>
  <si>
    <t>Totales de los gastos liquidados hasta 31 de agosto de 1858.</t>
  </si>
  <si>
    <t>Gastos pagados en todo el año terminado en 31 de agosto de 1858</t>
  </si>
  <si>
    <t>Residuos por pagar en 31 de agosto de 1858.</t>
  </si>
  <si>
    <t>Deuda Nacional</t>
  </si>
  <si>
    <t>Guerra i Marina</t>
  </si>
  <si>
    <t>Obras Públicas</t>
  </si>
  <si>
    <t>Beneficiencia i Recompensas</t>
  </si>
  <si>
    <t>Pagado en el año por cuenta de corresponsales.</t>
  </si>
  <si>
    <t>Saldo adeudado a ellos en 1º de setiembre de 1857</t>
  </si>
  <si>
    <t>Recaudado por su cuenta en el año de 1857 a 1858.</t>
  </si>
  <si>
    <t>Total a favor de corresponsales en 31 de agosto 1858.</t>
  </si>
  <si>
    <t>Pagado a ellos en el año 1857 a 1858</t>
  </si>
  <si>
    <t>Saldo a favor de corresponsales en 31 de agosto 1858.</t>
  </si>
  <si>
    <t>De las Casas de Moneda sç de metales</t>
  </si>
  <si>
    <t>De las Casas de id. (Manumision)</t>
  </si>
  <si>
    <t>De las Administraciones de Correos</t>
  </si>
  <si>
    <t>De las id. de Aduanas</t>
  </si>
  <si>
    <t>De las id. de Salinas</t>
  </si>
  <si>
    <t>De la Tesorería jeneral</t>
  </si>
  <si>
    <t>Herederos de Manuel Laverde</t>
  </si>
  <si>
    <t>ANTICIPACIONES, ALCANCES I ACREENCIA EFECTUADAS.</t>
  </si>
  <si>
    <t>Id,                      especiales</t>
  </si>
  <si>
    <t>Fallas en las Cajas de los Responsables del Erario</t>
  </si>
  <si>
    <t>Baring, Hermanos de Lóndres</t>
  </si>
  <si>
    <t>Id.                             su cuenta de dividendos</t>
  </si>
  <si>
    <t>VALES I LIBRANZAS PAGADOS.</t>
  </si>
  <si>
    <t>Por pagar en 1º de setiembre de 1857.</t>
  </si>
  <si>
    <t>Emitidas en el año de 1857 a 1858.</t>
  </si>
  <si>
    <t>Totales en 31 de agosto de 1858.</t>
  </si>
  <si>
    <t>Cubiertas en el año de 1857 a 1858.</t>
  </si>
  <si>
    <t>Por cubrir en 31 de agostos de 1858.</t>
  </si>
  <si>
    <t>Id. de crédito civiles</t>
  </si>
  <si>
    <t>Id.        Id.       militares</t>
  </si>
  <si>
    <t>Libranzas jenerales</t>
  </si>
  <si>
    <t>Id. de la Tesorería jeneral su cuenta</t>
  </si>
  <si>
    <t>Remitidos</t>
  </si>
  <si>
    <t>Total de los egresos.</t>
  </si>
  <si>
    <t>EXISTENCIAS EN 31 DE AGOSTO DE 1858.</t>
  </si>
  <si>
    <t xml:space="preserve">En las Casas de Moneda </t>
  </si>
  <si>
    <t>En las Administraciones principales de Correos</t>
  </si>
  <si>
    <t>En las id.                                                de Aduanas</t>
  </si>
  <si>
    <t>En las id.                                                de Salinas</t>
  </si>
  <si>
    <t>En la Tesorería jeneral</t>
  </si>
  <si>
    <t>En letras por cobrar en la Tesorería jeneral</t>
  </si>
  <si>
    <t>Suma igual  a las de los ingresos</t>
  </si>
  <si>
    <t>MEMORIA DE HACIENDA DE 1861</t>
  </si>
  <si>
    <t>Años económicos.</t>
  </si>
  <si>
    <t>Producto bruto.</t>
  </si>
  <si>
    <t>Gastos.</t>
  </si>
  <si>
    <t>Producto líquido.</t>
  </si>
  <si>
    <t>PESOS.</t>
  </si>
  <si>
    <t>Milésimos.</t>
  </si>
  <si>
    <t>1857 a 1858</t>
  </si>
  <si>
    <t>1858 a 1859</t>
  </si>
  <si>
    <t>1859 a 1860</t>
  </si>
  <si>
    <t>Presupuesto de Rentas s/c de cómputos lejislativos (1858.)</t>
  </si>
  <si>
    <t>DENOMINACION DE LAS RENTAS.</t>
  </si>
  <si>
    <t>CÓMPUTOS LEJISLATIVOS.</t>
  </si>
  <si>
    <t>Reconocimientos efectuados sobre los cómputos lejislativos</t>
  </si>
  <si>
    <t>En el primer año de vijencia (1857 a 1858).</t>
  </si>
  <si>
    <t>En el segundo año de vijencia (1858 a 1859)</t>
  </si>
  <si>
    <t>TOTALES.</t>
  </si>
  <si>
    <t>EN MAS.</t>
  </si>
  <si>
    <t>EN MÉNOS.</t>
  </si>
  <si>
    <t>Derecho de tránsito por el Itsmo</t>
  </si>
  <si>
    <t>Empresa de Ferrocarril</t>
  </si>
  <si>
    <t>Totales                     $</t>
  </si>
  <si>
    <t>Diferencia líquida en ménos que pasa al Débito de la Cuenta jeneral del Presupuesto (1858)</t>
  </si>
  <si>
    <t>Presupuesto de Gastos s/c de cómputos lejislativos (1858.)</t>
  </si>
  <si>
    <t>DENOMINACION DE LOS GASTOS.</t>
  </si>
  <si>
    <t>Gastos de vijencias espiradas (Culto)</t>
  </si>
  <si>
    <t>Diferencia líquida en ménos que pasa al Crédito de la Cuenta jeneral del Presupuesto (1858)</t>
  </si>
  <si>
    <t>Cuenta definitiva de las rentas i contribuciones nacionales causadas durante el año ecónomico transcurrido desde 1º de setiembre de 1857 hasta 31 de agosto de 1858, liquidadas durante él i en el año de 1858 a 1859.</t>
  </si>
  <si>
    <t>RENTAS I CONTRIBUCIONES NACIONALES.</t>
  </si>
  <si>
    <t>Cómputos lejislativos del Presupuesto de Rentas (1857 a 1858).</t>
  </si>
  <si>
    <t>Derechos reconocidos sobre las rentas i contribuciones nacionales durante los dos años de la vijencia del Presupuesto de 1857 a 1858.</t>
  </si>
  <si>
    <t>Recaudos efectuados durante los dos años de la vijencia del Presupuesto de rentas para el servicio de 1857 a 1858.</t>
  </si>
  <si>
    <t>Entre los cómputos lejislativos i los derechos reconocidos.</t>
  </si>
  <si>
    <t>Entre los derechos reconocidos i los reconocidos efectuados.</t>
  </si>
  <si>
    <t>Si a los</t>
  </si>
  <si>
    <t>Se añade lo quedó por recaudar en 31 de agosto de 1859, correspondiente a servicios anteriores al de 1857 a 1858, cuyo pormenor en el sigueinte:</t>
  </si>
  <si>
    <t>Por Aduanas (1832 a 1857)</t>
  </si>
  <si>
    <t>Por pPapel sellado (1832 a 1857)</t>
  </si>
  <si>
    <t>Por bienes nacionales (1832 a 1857)</t>
  </si>
  <si>
    <t>Por correos  (1832 a 1857)</t>
  </si>
  <si>
    <t>Por aprovechamientos  (1832 a 1857)</t>
  </si>
  <si>
    <t>Por renta de producto accidental  (1832 a 1857)</t>
  </si>
  <si>
    <t xml:space="preserve">Se obtentrá el mismo saldo que consta en el pliego de Balances por los servicios de 1832 a 1858, que es de </t>
  </si>
  <si>
    <t>Cuenta definitiva de los gastos nacionales causados durante el año ecónomico transcurrido desde 1º de setiembre de 1857 hasta 31 de agosto de 1858, liquidados durante él i en el año de 1858 a 1859.</t>
  </si>
  <si>
    <t>DEPARTAMENTOS DE GASTOS.</t>
  </si>
  <si>
    <t>Créditos lejislativos del Presupuesto de Gastos de 1857 a 1858.</t>
  </si>
  <si>
    <t>Derechos reconocidos sobre los gastos nacionales durante los dos años de la vijencia del Presupuesto de 1857 a 1858.</t>
  </si>
  <si>
    <t>Pagos efectuados durante la vijencia del Presupuesto de gastos para el servicio de 1857 a 1858.</t>
  </si>
  <si>
    <t>DIFERENCIAS ENTRE LOS CREDITOS LEJISLATIVOS I DERECHOS RECONOCIDOS.</t>
  </si>
  <si>
    <t>Entre los derechos reconocidos i los pagos efectuados.</t>
  </si>
  <si>
    <t>Se añade lo que quedo por pagarse en 31 de agosto de 1859 correspondiente a servicios anteriores al de 1857 a 1858, i cuyo pormenor en el siguiente:</t>
  </si>
  <si>
    <t>(32 a 57) Deuda nacional</t>
  </si>
  <si>
    <t xml:space="preserve">       "       Gobierno</t>
  </si>
  <si>
    <t xml:space="preserve">       "       Relaciones Esteriores</t>
  </si>
  <si>
    <t xml:space="preserve">       "       Justicia</t>
  </si>
  <si>
    <t xml:space="preserve">       "       Guerra i Marina</t>
  </si>
  <si>
    <t xml:space="preserve">       "       Obras Públicas</t>
  </si>
  <si>
    <t xml:space="preserve">       "       Culto</t>
  </si>
  <si>
    <t xml:space="preserve">       "       Beneficiencia i recompensas</t>
  </si>
  <si>
    <t xml:space="preserve">       "       Gastos de Hacienda i del Tesoro</t>
  </si>
  <si>
    <t>MEMORIA DE HACIENDA AÑO ECONOMICO 1869-1870</t>
  </si>
  <si>
    <t>Producto de las rentas i contribuciones</t>
  </si>
  <si>
    <t>Tierras baldías (bosques nacionales)</t>
  </si>
  <si>
    <t>Totales         $</t>
  </si>
  <si>
    <t>Division proporcional de estas contribuciones</t>
  </si>
  <si>
    <t>Las aduanas producen el</t>
  </si>
  <si>
    <t>54 por 100</t>
  </si>
  <si>
    <t>Las salinas, el</t>
  </si>
  <si>
    <t>27 por 100</t>
  </si>
  <si>
    <t>El ferrocarril, el</t>
  </si>
  <si>
    <t xml:space="preserve">  9 por 100</t>
  </si>
  <si>
    <t>Los correos, el</t>
  </si>
  <si>
    <t xml:space="preserve">  2 por 100</t>
  </si>
  <si>
    <t>La amonedacion, el</t>
  </si>
  <si>
    <t xml:space="preserve">  1 por 100</t>
  </si>
  <si>
    <t>Los bienes nacionales, el</t>
  </si>
  <si>
    <t>Los aprovechamientos i tierra baldías, el</t>
  </si>
  <si>
    <t xml:space="preserve">  6 por 100</t>
  </si>
  <si>
    <t>Total   $</t>
  </si>
  <si>
    <t>HACIENDA Y FOMENTO</t>
  </si>
  <si>
    <t>1851 a 1852.</t>
  </si>
  <si>
    <t>1869 a 1870.</t>
  </si>
  <si>
    <t>Aumento.</t>
  </si>
  <si>
    <t>Disminucion.</t>
  </si>
  <si>
    <t>Tierras baldías</t>
  </si>
  <si>
    <t>Ferrocarril</t>
  </si>
  <si>
    <t>1864 a 1865</t>
  </si>
  <si>
    <t>1865 a 1866</t>
  </si>
  <si>
    <t>1866 a 1867</t>
  </si>
  <si>
    <t>1867 a 1868</t>
  </si>
  <si>
    <t>1868 a 1869</t>
  </si>
  <si>
    <t>Gasto en educación</t>
  </si>
  <si>
    <t>En Cundinamarca</t>
  </si>
  <si>
    <t>En Antioquia</t>
  </si>
  <si>
    <t>En el Cauca</t>
  </si>
  <si>
    <t>En Santander</t>
  </si>
  <si>
    <t>En Boyacá</t>
  </si>
  <si>
    <t>En Bolivar</t>
  </si>
  <si>
    <t>En el Tolima, Panamá i Magdalena</t>
  </si>
  <si>
    <t xml:space="preserve">CUADRO No. 5 </t>
  </si>
  <si>
    <t>El consumo de licores espirituosos está gravado en el pais con impuestos que producen</t>
  </si>
  <si>
    <t>A la Nacion</t>
  </si>
  <si>
    <t>Al Estado de Antioquia</t>
  </si>
  <si>
    <t>Al de Santander</t>
  </si>
  <si>
    <t>Al de Bolívar</t>
  </si>
  <si>
    <t>Al del Magdalena</t>
  </si>
  <si>
    <t>Al del Tolima</t>
  </si>
  <si>
    <t>Total                 $</t>
  </si>
  <si>
    <t>Presupuestos de rentas i gastos de los Estados en el año de 1869 a 1870, o en el de 1870 puramente respecto de algunos.</t>
  </si>
  <si>
    <t>ESTADOS</t>
  </si>
  <si>
    <t>Presupuesto de rentas</t>
  </si>
  <si>
    <t>Presupuesto de gastos</t>
  </si>
  <si>
    <t>Deuda.</t>
  </si>
  <si>
    <t>1. Antioquia</t>
  </si>
  <si>
    <t>2. Bolívar</t>
  </si>
  <si>
    <t>3. Boyacá</t>
  </si>
  <si>
    <t>4. Cauca</t>
  </si>
  <si>
    <t>5. Cundinamarca</t>
  </si>
  <si>
    <t>6. Magdalena</t>
  </si>
  <si>
    <t>7. Panamá</t>
  </si>
  <si>
    <t>8. Santander</t>
  </si>
  <si>
    <t>9. Tolima</t>
  </si>
  <si>
    <t>Totales     $</t>
  </si>
  <si>
    <t>1. Producto efectivo de la mitad de las rentas en el bienio de 1868 a 69 i presupuesto de la mitad de los gastos de 1868 a 1869.</t>
  </si>
  <si>
    <t>2. Presupuesto de 1870</t>
  </si>
  <si>
    <t>3. Presupuesto de 1871.</t>
  </si>
  <si>
    <t>4. Presupuesto para la mitad del bienio de 1870 i 1871.</t>
  </si>
  <si>
    <t>5. Presupuesto para 1871, con contribuciones nuevas o antiguas recargadas, cuyo producto no está demostrado aún por los hechos. Se ha computado ademas el producto de los peajes jenerales sobre efectos del pais i el que guarda los efectos estranjeros, cuyas partidas no figuran en el presupuesto de rentas, ni su inversion en el de gastos. Tambien se ha aumentado el subsidio de la renta de salinas para los caminos.</t>
  </si>
  <si>
    <t>6. Recaudos i gastos efectivos en 1869.</t>
  </si>
  <si>
    <t>7. Presupuesto para 1869, ya verificado en la práctica.</t>
  </si>
  <si>
    <t>8. Presupuesto para 1871, perfectamente apoyado en la práctica.</t>
  </si>
  <si>
    <t>9. Presupuesto para 1871, aún no bien ensayado.</t>
  </si>
  <si>
    <t>Gravámen especial por cabeza.</t>
  </si>
  <si>
    <t>ESTADOS.</t>
  </si>
  <si>
    <t>Poblacion.</t>
  </si>
  <si>
    <t>Contribucion.</t>
  </si>
  <si>
    <t>Rata por cabeza de poblacion. $</t>
  </si>
  <si>
    <t>Antioquia (censo de 1870)</t>
  </si>
  <si>
    <t>Bolívar (1864)</t>
  </si>
  <si>
    <t>Boyacá (1864)</t>
  </si>
  <si>
    <t>Cauca (1864)</t>
  </si>
  <si>
    <t>Cundinamarca (1870)</t>
  </si>
  <si>
    <t>Magdalena (1870)</t>
  </si>
  <si>
    <t>Panamá (1864)</t>
  </si>
  <si>
    <t>Santander (1870)</t>
  </si>
  <si>
    <t>Tolima (1870)</t>
  </si>
  <si>
    <t>Las formas de contribucion en que el Presupuesto de rentas de 1869 a 1870 esta dividido.</t>
  </si>
  <si>
    <t>Impuesto directo sobre la industria, el capital o la renta mueble                                             $</t>
  </si>
  <si>
    <t>Impuesto territorial</t>
  </si>
  <si>
    <t xml:space="preserve">                sobre el consumo de mercacías estranjeras</t>
  </si>
  <si>
    <t xml:space="preserve">                sobre el consumo de cacao, tabaco, anis i otros efectos del pais</t>
  </si>
  <si>
    <t>Impuesto sobre los aguardientes i licores destilados</t>
  </si>
  <si>
    <t xml:space="preserve">                sobre el degüello del ganado mayor i menor</t>
  </si>
  <si>
    <t>Contribucion pecuaria (es decir, sobre la cria de ganados)</t>
  </si>
  <si>
    <t>Rejistro i anotacion de instrumentos públicos</t>
  </si>
  <si>
    <t>Subsidios del Gobieron Nacional</t>
  </si>
  <si>
    <t xml:space="preserve">                 de los distritos</t>
  </si>
  <si>
    <t>Producto de bienes del los Estados</t>
  </si>
  <si>
    <t>Emprésitos, billetes &amp;.ª</t>
  </si>
  <si>
    <t>Peajes</t>
  </si>
  <si>
    <t>Totales          $</t>
  </si>
  <si>
    <t>Situacion fiscal en el año 1851</t>
  </si>
  <si>
    <t>Rentas.</t>
  </si>
  <si>
    <t>Bolívar</t>
  </si>
  <si>
    <t>3. cauca</t>
  </si>
  <si>
    <t>Cundinamarca</t>
  </si>
  <si>
    <t>4. Magdalena</t>
  </si>
  <si>
    <t>5. Panamá</t>
  </si>
  <si>
    <t>Santander</t>
  </si>
  <si>
    <t>Tolima</t>
  </si>
  <si>
    <t>Totales    $</t>
  </si>
  <si>
    <t>1. Faltan los datos de las provincias de Antioquia i Córdova: la cifra que se designó es la de Medellin i las otras reunidas darian $60,000 de rentas a lo sumo.</t>
  </si>
  <si>
    <t>2. Datos de la provincia de Tundama solamente: la de Tunja daria a los sumo $25,000 de renta.</t>
  </si>
  <si>
    <t>3. Este dato se compone de los presupuestos de la de Barbacoas, cauca, Chocó i Popayan. Faltan las de Pasto i Túquerres que, reunidas, darian $45,000 de renta.</t>
  </si>
  <si>
    <t>4. Datos de Riohacha i Valledupar únicamente, faltando Santamarta, que produciria $25,000.</t>
  </si>
  <si>
    <t>5. Provincias de Chiriquí, Veráguas i Panamá, faltando Azuero que produciria $16.000.</t>
  </si>
  <si>
    <t>La procedencia de estas rentas se dividia así:</t>
  </si>
  <si>
    <t>Contribuciones directas sobre la renta</t>
  </si>
  <si>
    <t xml:space="preserve">                          indirectas</t>
  </si>
  <si>
    <t>Total         $</t>
  </si>
  <si>
    <t>I los gastos se dividian principalmente así:</t>
  </si>
  <si>
    <t>Asistencia pública</t>
  </si>
  <si>
    <t>Caminos i obras públicas</t>
  </si>
  <si>
    <t>Culto (a cargo entónces del Gobierno)</t>
  </si>
  <si>
    <t>Administracion de justicia</t>
  </si>
  <si>
    <t>Poderes Lejislativo i Ejecutivo i gastos de recaudacion i contabilidad</t>
  </si>
  <si>
    <t>Total             $</t>
  </si>
  <si>
    <t>PRESUPUESTOS DE RENTAS.</t>
  </si>
  <si>
    <t>En 1856.</t>
  </si>
  <si>
    <t>1868 a 1869.</t>
  </si>
  <si>
    <t>Boyacá</t>
  </si>
  <si>
    <t>Cauca</t>
  </si>
  <si>
    <t>Magdalena</t>
  </si>
  <si>
    <t>Total     $</t>
  </si>
  <si>
    <t>Inversion de la rentas de los Estados 1869 a 1870.</t>
  </si>
  <si>
    <t>CAPITULOS DE GASTOS.</t>
  </si>
  <si>
    <t>1º Asambleas lejislativas</t>
  </si>
  <si>
    <t>2º Poder Ejecutivo</t>
  </si>
  <si>
    <t>3º Administracion de justicia</t>
  </si>
  <si>
    <t>4º policía, cárceles i establecimientos de castigo</t>
  </si>
  <si>
    <t>5º Recaudacion i contabilidad de rentas i pagos</t>
  </si>
  <si>
    <t>6º Deuda pública</t>
  </si>
  <si>
    <t>7º Fuerza pública</t>
  </si>
  <si>
    <t>8º Instrucción pública</t>
  </si>
  <si>
    <t>9º Caminos</t>
  </si>
  <si>
    <t>10. Obras públicas (edificios &amp;.ª)</t>
  </si>
  <si>
    <t>11. Correos</t>
  </si>
  <si>
    <t>12. Auxilio jeneral a las rentas de los distritos</t>
  </si>
  <si>
    <t>13. Beneficiencia pública</t>
  </si>
  <si>
    <t>14. Gastos varios</t>
  </si>
  <si>
    <t>Total de gastos votados       $</t>
  </si>
  <si>
    <t>Comparacion Inversion de la rentas de los Estados entre 1851 a 1852--1869 a 1870.</t>
  </si>
  <si>
    <t>OBJETOS DE GASTO.</t>
  </si>
  <si>
    <t>1869 1870.</t>
  </si>
  <si>
    <t>Poderes Lejislativo i Ejecutivo, i recaudacion de rentas &amp;.ª $</t>
  </si>
  <si>
    <t>Policía, cárceles i establecimientos de castigo</t>
  </si>
  <si>
    <t>Beneficiencia pública</t>
  </si>
  <si>
    <t>Deuda pública, fuerza pública i gastos varios</t>
  </si>
  <si>
    <t>Totales       $</t>
  </si>
  <si>
    <t>CUADRO sinóptico de los presupuestos de gastos de los Estados 1871</t>
  </si>
  <si>
    <t>NATURALEZA DE LOS GASTOS</t>
  </si>
  <si>
    <t>Antioquia.</t>
  </si>
  <si>
    <t>Bolivar.</t>
  </si>
  <si>
    <t>Boyacá.</t>
  </si>
  <si>
    <t>Cauca.</t>
  </si>
  <si>
    <t>Cundinamarca.</t>
  </si>
  <si>
    <t>Magdalena.</t>
  </si>
  <si>
    <t>Panamá.</t>
  </si>
  <si>
    <t>Santander.</t>
  </si>
  <si>
    <t>Tolima.</t>
  </si>
  <si>
    <t>Poder Lejislativo</t>
  </si>
  <si>
    <t>Poder Ejecutivo i Jefes departamentales</t>
  </si>
  <si>
    <t>Poder judicial</t>
  </si>
  <si>
    <t>policía, cárceles i establecimientos de castigo</t>
  </si>
  <si>
    <t>Fuerza pública</t>
  </si>
  <si>
    <t>Recaudacion de rentas</t>
  </si>
  <si>
    <t>Deuda pública</t>
  </si>
  <si>
    <t>Obras públicas (edificios)</t>
  </si>
  <si>
    <t>Ausilio a los distritos</t>
  </si>
  <si>
    <t>Gastos varios</t>
  </si>
  <si>
    <t>CUADRO sinóptico de las diferentes contribuciones en los Estados.</t>
  </si>
  <si>
    <t>Contribucion directa sobre la industria i el capital</t>
  </si>
  <si>
    <t>Contribucion directa sobre la propiedad territorial</t>
  </si>
  <si>
    <t>Aguardiente &amp;.ª</t>
  </si>
  <si>
    <t>Derechos de consumo sobre mercancías estranjeras</t>
  </si>
  <si>
    <t>Derechos de consumo sobre frutos del pais</t>
  </si>
  <si>
    <t>Derechos de degüello</t>
  </si>
  <si>
    <t>Contribucion pecunaria</t>
  </si>
  <si>
    <t>Rejistro i anotacion</t>
  </si>
  <si>
    <t>Subsidio nacional</t>
  </si>
  <si>
    <t>Subsidio de distritos</t>
  </si>
  <si>
    <t>Bienes del Estado</t>
  </si>
  <si>
    <t xml:space="preserve">Rentas varias </t>
  </si>
  <si>
    <t>Rentas i gastos de los Estados.</t>
  </si>
  <si>
    <t>TOTALES.   $</t>
  </si>
  <si>
    <t>MEMORIA DEL SECRETARIO DEL TESORO Y CREDITO 1870</t>
  </si>
  <si>
    <t>Ingreso aproximado de caudales, por cada uno de los ramos,  en el año 1868 a 1869</t>
  </si>
  <si>
    <t>Derechos de toneladas</t>
  </si>
  <si>
    <t>Bienes desamortizados</t>
  </si>
  <si>
    <t>Forrocarril de Panamá</t>
  </si>
  <si>
    <t>Ingresos varios</t>
  </si>
  <si>
    <t>$</t>
  </si>
  <si>
    <t>Derechos de Aduana (1868 a 1869)</t>
  </si>
  <si>
    <t>Derechos liquidados en (1867 a 1868)</t>
  </si>
  <si>
    <t>Total recaudos (1868 a 1869)</t>
  </si>
  <si>
    <t>Pagares cuatro últimos meses</t>
  </si>
  <si>
    <t>Renta disponible Aduanas</t>
  </si>
  <si>
    <t>Distribución de la recaudacion efectiva de caudales</t>
  </si>
  <si>
    <t>en el año 1868 a 1869</t>
  </si>
  <si>
    <t>Deuda esterior antigua</t>
  </si>
  <si>
    <t>Robinson i Fleming y Barnett e hijos</t>
  </si>
  <si>
    <t>Vales 5ª clase tambein llamados vales Mackintosh</t>
  </si>
  <si>
    <t>Billetes de Panamá</t>
  </si>
  <si>
    <t>Deuda interior consolidada</t>
  </si>
  <si>
    <t>Renta de aprovechamientos recaudada en dinero</t>
  </si>
  <si>
    <t>Bonos sin interes por intereses</t>
  </si>
  <si>
    <t>Libranzas por créditos extranjeros</t>
  </si>
  <si>
    <t>Arrendamiento minas de Muzo</t>
  </si>
  <si>
    <t>Emprésito de 1863</t>
  </si>
  <si>
    <t>Camino de Buenaventura</t>
  </si>
  <si>
    <t>Bonos flotantes del 3 por 100</t>
  </si>
  <si>
    <t>Billetes de Tesorería de antigua emision i documentos asimilados a ellos</t>
  </si>
  <si>
    <t>Billetes de Tesorería de 1866</t>
  </si>
  <si>
    <t>Total de las rentas especialmente gravadas a favor de la deuda nacional i otros servicios</t>
  </si>
  <si>
    <t>Relacion de Gastos 1868 a 1869</t>
  </si>
  <si>
    <t>DEPARTAMENTO DE LA DEUDA NACIONAL.</t>
  </si>
  <si>
    <t>Pensiones pagaderas en dinero</t>
  </si>
  <si>
    <t>DEPARTAMENTO DEL TESORO.</t>
  </si>
  <si>
    <t>Secretaría del Tesoro, personal i material</t>
  </si>
  <si>
    <t>Oficina jeneral de cuentas, id. Id</t>
  </si>
  <si>
    <t>Tesorería jeneral, id. Id</t>
  </si>
  <si>
    <t>DEPARTAMENTO DE BIENES DESAMORTIZADOS.</t>
  </si>
  <si>
    <t>Personal i material del servicio i gastos varios</t>
  </si>
  <si>
    <t>DEPARTAMENTO DE OBRAS PÚBLICAS.</t>
  </si>
  <si>
    <t>Construccion i reparacion de edificios</t>
  </si>
  <si>
    <t>DEPARTAMENTO DE LO INTERIOR.</t>
  </si>
  <si>
    <t>Congreso, personal, material i viáticos</t>
  </si>
  <si>
    <t>Poder Ejecutivo</t>
  </si>
  <si>
    <t>Secretaría del ramo, personal i material</t>
  </si>
  <si>
    <t>Gastos de imprenta</t>
  </si>
  <si>
    <t>Territorios, personal, material e imprevistos</t>
  </si>
  <si>
    <t>Gastos imprevistos</t>
  </si>
  <si>
    <t>DEPARTAMENTO DE RELACIONES ESTERIORES.</t>
  </si>
  <si>
    <t>Gastos diplomáticos</t>
  </si>
  <si>
    <t>Gastos consulares</t>
  </si>
  <si>
    <t>DEPARTAMENTO DE JUSTICIA.</t>
  </si>
  <si>
    <t>Corte Suprema, personal i material</t>
  </si>
  <si>
    <t>Ministerio público, id.  Id</t>
  </si>
  <si>
    <t>DEPARTAMENTO DE INSTRUCCIÓN PÚBLICA.</t>
  </si>
  <si>
    <t>Universidad nacional, personal i gastos varios</t>
  </si>
  <si>
    <t>DEPARTAMENTO DE BENEFICIENCIA I RECOMPENSAS.</t>
  </si>
  <si>
    <t>Subvencion Panamá i Magdalena, i otros gastos</t>
  </si>
  <si>
    <t>DEPARTAMENTO DE GASTOS DE HACIENDA.</t>
  </si>
  <si>
    <t>Secretaría de ramo, personal i material</t>
  </si>
  <si>
    <t>Aduanas, personal, material i gastos varios</t>
  </si>
  <si>
    <t>Aduanas intérpretes, vijías i prácticos</t>
  </si>
  <si>
    <t>Administracion e inspeccion de salinas</t>
  </si>
  <si>
    <t>Wlaboracion i aprehension de sales</t>
  </si>
  <si>
    <t>Amonedacion, personal i material</t>
  </si>
  <si>
    <t>Resguardo de rentas</t>
  </si>
  <si>
    <t>Id. en los vapores Colombia i Bolívar</t>
  </si>
  <si>
    <t>DEPARTAMENTO DE FOMENTO.</t>
  </si>
  <si>
    <t>Gastos varios, por telégrafo, publicacion de la Flora colombiana, subvencion a Boyacá sobre el producto de las salinas ubicadas en el mismo Estado, i otros menores</t>
  </si>
  <si>
    <t>DEPARTAMENTO DE CORREOS.</t>
  </si>
  <si>
    <t>Personal i material de oficinas</t>
  </si>
  <si>
    <t>Transporte de correspondencia i encomiendas</t>
  </si>
  <si>
    <t>DEPARTAMENTO DE GUERRA I MARINA.</t>
  </si>
  <si>
    <t>Secretaría, personal i material</t>
  </si>
  <si>
    <t>Sueldos de la Guardia colombiana</t>
  </si>
  <si>
    <t>Material de la misma i hospitales</t>
  </si>
  <si>
    <t>Escuela náutica</t>
  </si>
  <si>
    <t>Total de lo causado a deber por pensiones i servicios prestados durante el año económico de 1868 a 1869</t>
  </si>
  <si>
    <t>Liquidado a favor de la deuda nacional i otro compromisos</t>
  </si>
  <si>
    <t>Reconocimientos por gastos del personal i material del respectivo servicio</t>
  </si>
  <si>
    <t>Total de los gastos correspondientes al año económico de 1868 a 1869</t>
  </si>
  <si>
    <t xml:space="preserve">El monto de las rentas i contribuciones alcanzó a </t>
  </si>
  <si>
    <t>Déficit                               $</t>
  </si>
  <si>
    <t>PENSIONES A 1870</t>
  </si>
  <si>
    <t>Total pensiones</t>
  </si>
  <si>
    <t>Pago Total mensual</t>
  </si>
  <si>
    <t>Militares de la Independencia que gozan de pension, i de los asimilados a estos para los efectos de pago.</t>
  </si>
  <si>
    <t>Los que forman el depósito de inválidos hasta el 31 de diciembre de 1869.</t>
  </si>
  <si>
    <t>PENSIONES A 1869</t>
  </si>
  <si>
    <t>Pago Total</t>
  </si>
  <si>
    <t>Civiles i militares de los Estados Unidos de Colombia reconocidos hasta 31 de diciembre de 1869.</t>
  </si>
  <si>
    <t>CUADROS comparativos del Presupuesto de rentas i gastos del año económico de 1863 a 1864.</t>
  </si>
  <si>
    <t>DENOMINACION de las RENTAS.</t>
  </si>
  <si>
    <t>Presupuesto lejislativo de rentas.</t>
  </si>
  <si>
    <t>Rentas causadas a deber.</t>
  </si>
  <si>
    <t>Rentas recaudadas.</t>
  </si>
  <si>
    <t>Reconocimientos hechos en la vijencia económica de 1865 a 1866, correspondientes a la de 1863 a 1864.</t>
  </si>
  <si>
    <t>Recaudos hechos en la vijencia económica de 1865 a 1866, correspondientes a la de 1863 a 1864.</t>
  </si>
  <si>
    <t>TOTALES de los reconocimientos.</t>
  </si>
  <si>
    <t>TOTALES de los recaudos.</t>
  </si>
  <si>
    <t>Diferencias por cobrar en 31 de agosto de 1866.</t>
  </si>
  <si>
    <t>Arrendamiento de bienes desamortizados</t>
  </si>
  <si>
    <t>Derecho de título</t>
  </si>
  <si>
    <t>Empresa de ferrocarril</t>
  </si>
  <si>
    <t>NOMBRES de los DEPARTAMENTOS.</t>
  </si>
  <si>
    <t>Presupuesto lejislativo de gastos.</t>
  </si>
  <si>
    <t>Reconocimientos contra el Tesoro.</t>
  </si>
  <si>
    <t>Pagos ejecutados a los acreedores.</t>
  </si>
  <si>
    <t>Reconocimientos hechos contra el Tesoro en la vijencia económica de 1865 a 1866, correspondientes a la de 1863 a 1864.</t>
  </si>
  <si>
    <t>Pagos efectuados a los acreedores públicos en la vijencia económica de 1865 a 1866, correspondientes a las de 1863 a 1864.</t>
  </si>
  <si>
    <t>TOTALES de los pagos efectuados.</t>
  </si>
  <si>
    <t>Diferencias por pagar en 31 de agosto de 1866.</t>
  </si>
  <si>
    <t>Tesoro</t>
  </si>
  <si>
    <t>(*)</t>
  </si>
  <si>
    <t>Gastos de hacienda</t>
  </si>
  <si>
    <t>* Difiere en $667-400 milésimos la suma por pagar de este departamento, de la que el mismo arroja en el Balance jeneral mayor. Proviene esto, de que la cuenta anterior figuran varios anómalos que hacen aparecer menor de lo que es realmente, la cantidad que el Gobierno adeuda a los acreedores públicos, a virtud de reconocimientos imputarles al citado Departamento.</t>
  </si>
  <si>
    <t>CUADROS comparativos del Presupuesto de rentas i gastos del año económico de 1864 a 1865.</t>
  </si>
  <si>
    <t>Reconocimientos hechos en la vijencia económica de 1865 a 1866, correspondientes a la de 1864 a 1865.</t>
  </si>
  <si>
    <t>Recaudos hechos en la vijencia económica de 1865 a 1866, correspondientes a la de 1864 a 1865.</t>
  </si>
  <si>
    <t>Reconocimientos hechos contra el Tesoro en la vijencia económica de 1865 a 1866, correspondientes a la de 1864 a 1865.</t>
  </si>
  <si>
    <t>Pagos efectuados a los acreedores públicos en la vijencia económica de 1865 a 1866, correspondientes a las de 1864 a 1865.</t>
  </si>
  <si>
    <t>CUADROS Comparativos del Presupuesto de rentas i gastos del año económico de 1865 a 1866.</t>
  </si>
  <si>
    <t>Rentas por cobrar en 31 de agosto de 1866.</t>
  </si>
  <si>
    <t>Diferencia en mas de lo producido.</t>
  </si>
  <si>
    <t>Diferencia en ménos de lo producido.</t>
  </si>
  <si>
    <t>Rentas de bienes desamortizados</t>
  </si>
  <si>
    <t>Saldos contra el Tesoro en 31 de agosto de 1866.</t>
  </si>
  <si>
    <t>Calculado de mas de lo reconocido.</t>
  </si>
  <si>
    <t>Calculado de ménos de lo reconocido.</t>
  </si>
  <si>
    <t>Fomento</t>
  </si>
  <si>
    <t>Rentas en 1865 a 1866</t>
  </si>
  <si>
    <t>Gastos en el mismo año</t>
  </si>
  <si>
    <t>NOTA-- Las anticipaciones verificadas en el año económico de 1865 a 1866, ascendieron a $659,862-782  1/2 milésimos-Bogotá, enero 19 de 1869</t>
  </si>
  <si>
    <t>CUADROS Comparativos del Presupuesto de rentas i gastos en el trienio transcurrido de setiembre 1º de 1863 a 31 de agosto de 1866.</t>
  </si>
  <si>
    <t>Presupuesto lejislativo de rentas de 1863 a 1864 de 1864 a 1865 i de 1865 a 1866.</t>
  </si>
  <si>
    <t>Rentas reconocidas en el trienio de 1863 a 1866</t>
  </si>
  <si>
    <t>Rentas recaudadas en el trienio de 1863 a 1866</t>
  </si>
  <si>
    <t>Rentas por cobrar en 31 de agosto de 1866, correspondientes al citado trienio.</t>
  </si>
  <si>
    <t>Diferencia en mas de lo producido en el citado trienio.</t>
  </si>
  <si>
    <t>Diferencia en ménos de lo producido  en el citado trienio.</t>
  </si>
  <si>
    <t>Presupuesto lejislativo de gastos de 1863 a 1864, de 1864 a 1865 i de 1865 a 1866.</t>
  </si>
  <si>
    <t>Reconocimientos contra el Tesoro en el trienio de 1863 a 1866.</t>
  </si>
  <si>
    <t>Pagos ejecutados a los acreedores en el trienio de 1863 a 1866.</t>
  </si>
  <si>
    <t>Saldos contra el Tesoro en 31 de agosto de 1866, correspondientes al citado trienio.</t>
  </si>
  <si>
    <t>Calculado de mas de lo reconocido en el mismo trienio.</t>
  </si>
  <si>
    <t>Calculado de ménos de lo reconocido en el mismo trienio.</t>
  </si>
  <si>
    <t>Resultados especiales de los Presupuestos lejislativos de rentas i gastos de cada uno de los año económicos de 1863 a 1864. de 1864 a 1865, de 1865 a1866, i del trienio formado con los Presupuestos de las tres citadas vijencias económicas.</t>
  </si>
  <si>
    <t>PRESUPUESTO DE 1863 A 1864.</t>
  </si>
  <si>
    <t>El Presupuesto lejislativo de gastos para el año económico de 1863 a 1864, según la liquidacion del Poder Ejecutivo</t>
  </si>
  <si>
    <t>Los créditos adicionales que votó la lei de 29 de abril de 1864, ascienden a</t>
  </si>
  <si>
    <t>Total              $</t>
  </si>
  <si>
    <t>El presupuesto de rentas de 1863 a 1864, suma</t>
  </si>
  <si>
    <t xml:space="preserve">Luego el déficit defectivo alcanzaria a </t>
  </si>
  <si>
    <t>Pero como las rentas nacionales de 1863 a 1864, produjeron la suma de</t>
  </si>
  <si>
    <t>I los gastos del mismo año solo ascienden a la cantidad de</t>
  </si>
  <si>
    <t>Hubo un superavit  efectivo en el año econñomico citado, de</t>
  </si>
  <si>
    <t>PRESUPUESTO DE 1864 A 1865.</t>
  </si>
  <si>
    <t>El Presupuesto lejislativo de gastos para el año económico de 1864 a 1865, suma</t>
  </si>
  <si>
    <t xml:space="preserve">Los créditos adicionales votados por la lei de 22 de mayo de 1865 para las vijencias económicas de 1863 a 1864 i de 1864 a 1865, que se hacen figurar totalmente en la vijencia de 1864 a 1865, ascendieron a </t>
  </si>
  <si>
    <t>El presupuesto de rnetas de 1864 a 1865, suma</t>
  </si>
  <si>
    <t>Luego el déficit defectivo seria de</t>
  </si>
  <si>
    <t>Pero como las rentas nacionales en dicho año económico produjeron la suma de</t>
  </si>
  <si>
    <t>I los gastos del mismo año solo alcanzaron a</t>
  </si>
  <si>
    <t>Resultó un superavit efectivo en el año 1864 a 1865 de</t>
  </si>
  <si>
    <t>PRESUPUESTO DE 1865 A 1866.</t>
  </si>
  <si>
    <t>El Presupuesto lejislativo de gastos para el año económico de 1865 a 1866, suma</t>
  </si>
  <si>
    <t>El Presupuesto de rentas en ese mismo año económico suma</t>
  </si>
  <si>
    <t>Pero como las rentas nacionales en el año económico de 1865 a 1866 ascendieron a la suma de</t>
  </si>
  <si>
    <t>I los gastos públicos en el mismo año económico solo alcanzaron a la suma de</t>
  </si>
  <si>
    <t>En vez de haber déficit, hubo un superavit especial efectivo de</t>
  </si>
  <si>
    <t>TRIENIO DE 1863 A 1866.</t>
  </si>
  <si>
    <t>Los Presupuestos lejislativos de gastos en el trienio económico de 1º de setiembre de 1863 a 31 de agosto de 1866 ascienden a</t>
  </si>
  <si>
    <t>Los Presupuestos lejislativos de rentas en el mismo trienio de 1863 a 1866, suman</t>
  </si>
  <si>
    <t>Luego el déficit defectivo resultante en el citado trienio, seria de</t>
  </si>
  <si>
    <t>Pero como las rentas nacionales en el trienio económico espresado, alcanzaron a la suma de</t>
  </si>
  <si>
    <t>I los gastos públicos verificados en el mismo trienio, solo llegaron a la suma de</t>
  </si>
  <si>
    <t>Es evidente que léjos de haber déficit en el citado trienio hai un superavit especial i efectivo de</t>
  </si>
  <si>
    <t>Cuentas de caja i cartera de los responsables del erario en el año económico de 1865 a 1866.</t>
  </si>
  <si>
    <t>EXISTENCIAS EN CAJA I CARTERA EN 1º DE SETIEMBRE DE 1865.</t>
  </si>
  <si>
    <t>En las Administraciones de aduana</t>
  </si>
  <si>
    <t>En las Administraciones de las casas de moneda</t>
  </si>
  <si>
    <t>En las Administraciones de salinas</t>
  </si>
  <si>
    <t>En la Ajencia jeneral de bienes desamortizados</t>
  </si>
  <si>
    <t>En la Direccion jeneral i ajencias principales de correos</t>
  </si>
  <si>
    <t>En la Legacion de Colombia en Washington</t>
  </si>
  <si>
    <t>En la Tesorería jeneral de la Union</t>
  </si>
  <si>
    <t>RECAUDADO POR LA TESORERÍA JENERAL.</t>
  </si>
  <si>
    <t>Por rentas nacionales (1864 a 1865)</t>
  </si>
  <si>
    <t>Por rentas nacionales (1865 a 1866)</t>
  </si>
  <si>
    <t>Por suplementos del camino de Buenaventura</t>
  </si>
  <si>
    <t>Por documentos contra el Tesoro</t>
  </si>
  <si>
    <t>Por libranzas antioqueñas</t>
  </si>
  <si>
    <t>Por el 15 por ciento de producto de salinas</t>
  </si>
  <si>
    <t>Por corresponsales de la Tesorería jeneral de la Union</t>
  </si>
  <si>
    <t>Por depósitos</t>
  </si>
  <si>
    <t>Por suplementos</t>
  </si>
  <si>
    <t>RECAUDADO POR LAS ADMINISTRACIONES DE ADUANAS.</t>
  </si>
  <si>
    <t>Por libranzas a cobrar</t>
  </si>
  <si>
    <t>RECAUDADO POR LAS ADMINISTRACIONES DE CORREOS.</t>
  </si>
  <si>
    <t>Por rentas nacionales (1862 a 1863)</t>
  </si>
  <si>
    <t>Por rentas nacionales (1863 a 1864)</t>
  </si>
  <si>
    <t>RECAUDADO POR LA LEGACION EN WASHINGTON.</t>
  </si>
  <si>
    <t>RECAUDADO POR LAS ADMINISTRACIONES DE LAS CASAS DE MONEDA.</t>
  </si>
  <si>
    <t>Por corresponsales de las casas de moneda</t>
  </si>
  <si>
    <t>RECAUDADO POR LA AJENCIA JENERAL DE BIENES DESAMORTIZADOS.</t>
  </si>
  <si>
    <t>RECAUDADO POR LAS ADMINISTRACIONES DE SALINAS.</t>
  </si>
  <si>
    <t xml:space="preserve">Total de los ingresos </t>
  </si>
  <si>
    <t>RESUMEN DE LOS INGRESOS.</t>
  </si>
  <si>
    <t>Existencias en 1º de setiembre de 1865.</t>
  </si>
  <si>
    <t>Suplementos del camino de Buenaventura</t>
  </si>
  <si>
    <t>Documentos contra el Tesoro</t>
  </si>
  <si>
    <t>Libranzas antioqueñas</t>
  </si>
  <si>
    <t>15 por 100 del producto de salinas</t>
  </si>
  <si>
    <t>Corresponsales de la Tesorería jeneral de la Union</t>
  </si>
  <si>
    <t>Libranzas por cobrar</t>
  </si>
  <si>
    <t>Corresponsales de las casas de moneda</t>
  </si>
  <si>
    <t>Total del resumen    $</t>
  </si>
  <si>
    <t>PAGADO POR LA TESORERÍA JENERAL DE LA UNION.</t>
  </si>
  <si>
    <t>Por gastos nacionales (servicio de 1864 a 1865)</t>
  </si>
  <si>
    <t>Por gastos nacionales (servicio de 1865 a 1866)</t>
  </si>
  <si>
    <t>Por documentos de crédito contra el Tesoro</t>
  </si>
  <si>
    <t>Por pagos hechos a los Estados</t>
  </si>
  <si>
    <t>Por emprésitos consignados en otras oficinas</t>
  </si>
  <si>
    <t>Por el 15 por ciento de producto de salinas (Remesas)</t>
  </si>
  <si>
    <t>Por vijencias económicas espiradas</t>
  </si>
  <si>
    <t xml:space="preserve">Por corresponsales de la Tesorería jeneral </t>
  </si>
  <si>
    <t>PAGADO POR LAS ADMINISTRACIONES DE ADUANAS.</t>
  </si>
  <si>
    <t>Por gastos nacionales (servicio de 1860 a 1861)</t>
  </si>
  <si>
    <t>Por gastos nacionales (servicio de 1861 a 1862)</t>
  </si>
  <si>
    <t>Por gastos nacionales (servicio de 1862 a 1863)</t>
  </si>
  <si>
    <t>Por gastos nacionales (servicio de 1863 a 1864)</t>
  </si>
  <si>
    <t>Por subvencion a Panamá</t>
  </si>
  <si>
    <t>Por vales de 1ª clase</t>
  </si>
  <si>
    <t>Por intereses i descuentos</t>
  </si>
  <si>
    <t>PAGADO POR LAS ADMINISTRACIONES DE CORREOS.</t>
  </si>
  <si>
    <t>Por gastos nacionales (servicio de 1859 a 1860)</t>
  </si>
  <si>
    <t>PAGADO POR LA LEGACION EN WASHINGTON.</t>
  </si>
  <si>
    <t>PAGADO POR LAS ADMINISTRACIONES DE LAS CASAS DE MONEDA.</t>
  </si>
  <si>
    <t>PAGADO POR LA AJENCIA JENERAL DE BIENES DESAMORTIZADOS.</t>
  </si>
  <si>
    <t>PAGADO POR LAS ADMINISTRACIONES DE SALINAS.</t>
  </si>
  <si>
    <t>Por bonos flotantes de 3 por 100</t>
  </si>
  <si>
    <t>Poe libranzas</t>
  </si>
  <si>
    <t>Por sumplementos</t>
  </si>
  <si>
    <t>EXISTENCIAS EN CAJA I CARTERA EN 31 DE AGOSTO DE 1866.</t>
  </si>
  <si>
    <t>En las administraciones de aduanas</t>
  </si>
  <si>
    <t>Totales de los egresos    $</t>
  </si>
  <si>
    <t>RESÚMEN DE LOS EGRESOS.</t>
  </si>
  <si>
    <t>Gastos nacionales (1859 a 1860)</t>
  </si>
  <si>
    <t>Gastos nacionales (1860 a 1861)</t>
  </si>
  <si>
    <t>Gastos nacionales (1861 a 1862)</t>
  </si>
  <si>
    <t>Gastos nacionales (1862 a 1863)</t>
  </si>
  <si>
    <t>Gastos nacionales (1863 a 1864)</t>
  </si>
  <si>
    <t>Gastos nacionales (1864 a 1865)</t>
  </si>
  <si>
    <t>Gastos nacionales (1865 a 1866)</t>
  </si>
  <si>
    <t>Documentos de crédito contra el Tesoro</t>
  </si>
  <si>
    <t>Pagos hechos a los Estados</t>
  </si>
  <si>
    <t>Emprésitos consignados en otras oficinas</t>
  </si>
  <si>
    <t>Remesas del 15 por 100 del producto de salinas</t>
  </si>
  <si>
    <t>Vijencias económicas espiradas</t>
  </si>
  <si>
    <t xml:space="preserve">Corresponsales de la Tesorería jeneral </t>
  </si>
  <si>
    <t>Subvencion a Panamá</t>
  </si>
  <si>
    <t>Vales de 5ª clase</t>
  </si>
  <si>
    <t>Intereses i descuentos</t>
  </si>
  <si>
    <t>Libranzas a cobrar</t>
  </si>
  <si>
    <t>Existencias en el 31 de agosto de 1866</t>
  </si>
  <si>
    <t>Suma igual a la de los ingresos</t>
  </si>
  <si>
    <t>Situacion activa in pasiva del Tesoro en 31 de agosto de 1866.</t>
  </si>
  <si>
    <t>BALANCE DE SALIDA.</t>
  </si>
  <si>
    <t>RENTAS POR RECAUDAR (1863 A 1864)</t>
  </si>
  <si>
    <t>En la de Santamarta</t>
  </si>
  <si>
    <t>En la casa de moneda de Bogotá</t>
  </si>
  <si>
    <t>En la aduana de Quibdó</t>
  </si>
  <si>
    <t>Bienes nacionales.</t>
  </si>
  <si>
    <t>En la ajencia principal de correos de Boyacá (Tunja)</t>
  </si>
  <si>
    <t>Correos.</t>
  </si>
  <si>
    <t>En la ajencia pral de Santander (Cúcuta)</t>
  </si>
  <si>
    <t>En la ajencia principal del Cauca (Cali)</t>
  </si>
  <si>
    <t>RENTAS POR RECAUDAR (1864 A 1865)</t>
  </si>
  <si>
    <t>En la de Riohacha</t>
  </si>
  <si>
    <t>RENTAS POR RECAUDAR (1865 A 1866)</t>
  </si>
  <si>
    <t>En la de Tumaco</t>
  </si>
  <si>
    <t>En la ajencia principal de correos de Atioquia (Medellin)</t>
  </si>
  <si>
    <t>En la aduana de Cúcuta</t>
  </si>
  <si>
    <t>Bienes desamortizados.</t>
  </si>
  <si>
    <t>SUMAS EN VIA EN 31 DE AGOSTO DE 1866.</t>
  </si>
  <si>
    <t>De la Tesorería jeneral a las siguientes oficinas:</t>
  </si>
  <si>
    <t>A la de Cartajena</t>
  </si>
  <si>
    <t>A la de Santamarta</t>
  </si>
  <si>
    <t>A la de Buenaventura</t>
  </si>
  <si>
    <t>A la de Cúcuta</t>
  </si>
  <si>
    <t>A la de Riohacha</t>
  </si>
  <si>
    <t>A la de Arauca</t>
  </si>
  <si>
    <t>A las de Sabanilla</t>
  </si>
  <si>
    <t>A la direccion jeneral del ramo</t>
  </si>
  <si>
    <t>A la ajencia principal de Tunja</t>
  </si>
  <si>
    <t>A la ajencia principal de Natagaima</t>
  </si>
  <si>
    <t>A la ajencia principal de Panamá</t>
  </si>
  <si>
    <t>A la ajencia principal de Cali</t>
  </si>
  <si>
    <t>A la ajencia principal de Santamarta</t>
  </si>
  <si>
    <t>A la ajencia principal de Popayan</t>
  </si>
  <si>
    <t>A la ajencia principal de Cucuta</t>
  </si>
  <si>
    <t>Monedas.</t>
  </si>
  <si>
    <t>A las casa de moneda de Popayan</t>
  </si>
  <si>
    <t>A las de Sirguasá i Sismosá</t>
  </si>
  <si>
    <t>A las de Chita i Muneque</t>
  </si>
  <si>
    <t>De las diguientes oficinas a las Tesirería jeneral:</t>
  </si>
  <si>
    <t>De la de Quibdó</t>
  </si>
  <si>
    <t>De la de Cúcuta</t>
  </si>
  <si>
    <t>De la de Sabanilla</t>
  </si>
  <si>
    <t>De la de Santamarta</t>
  </si>
  <si>
    <t>De la de Tumaco</t>
  </si>
  <si>
    <t>De la ajencia principal de Honda</t>
  </si>
  <si>
    <t>De la ajencia principal de Panamá</t>
  </si>
  <si>
    <t>De la ajencia principal de Popayan</t>
  </si>
  <si>
    <t>De la ajencia principal de Cartajena</t>
  </si>
  <si>
    <t>De la ajencia principal de Medellin</t>
  </si>
  <si>
    <t>De las de Sirguasá y Sismosá</t>
  </si>
  <si>
    <t>De la aduana de Cartajena:</t>
  </si>
  <si>
    <t>A la administracion principal de correos de Panamá</t>
  </si>
  <si>
    <t>De la aduana de Quibdó:</t>
  </si>
  <si>
    <t>A la ajencia principal de correos de Popayan</t>
  </si>
  <si>
    <t>A la ajencia principal de correos de Cali</t>
  </si>
  <si>
    <t>De la aduana de Tumaco:</t>
  </si>
  <si>
    <t>De la aduana de Cúcuta:</t>
  </si>
  <si>
    <t>A la ajencia principal de correos de Cúcuta</t>
  </si>
  <si>
    <t>A la ajencia principal de correos de Socorro</t>
  </si>
  <si>
    <t>De la aduana de Sabanilla:</t>
  </si>
  <si>
    <t>A la ajencia principal de correos de Medellin</t>
  </si>
  <si>
    <t>Reconocimientos hechos en la vijencia económica de 1866 a 1867, correspondientes a la de 1863 a 1864.</t>
  </si>
  <si>
    <t>Recaudos hechos en la vijencia económica de 1866 a 1867, correspondientes a la de 1863 a 1864.</t>
  </si>
  <si>
    <t>Diferencias por cobrar en 31 de agosto de 1867.</t>
  </si>
  <si>
    <t>Reconocimientos hechos contra el Tesoro en la vijencia económica de 1866 a 1867, correspondientes a la de 1863 a 1864.</t>
  </si>
  <si>
    <t>Pagos efectuados a los acreedores públicos en la vijencia económica de 1866 a 1867, correspondientes a las de 1863 a 1864.</t>
  </si>
  <si>
    <t>Diferencias por pagar en 31 de agosto de 1867.</t>
  </si>
  <si>
    <t>Reconocimientos hechos en la vijencia económica de 1866 a 1867, correspondientes a la de 1864 a 1865.</t>
  </si>
  <si>
    <t>Recaudos hechos en la vijencia económica de 1866 a 1867, correspondientes a la de 1864 a 1865.</t>
  </si>
  <si>
    <t>Pagos ejecutados a los acreedores públicos.</t>
  </si>
  <si>
    <t>Reconocimientos hechos contra el Tesoro en la vijencia económica de 1866 a 1867, correspondientes a la de 1864 a 1865.</t>
  </si>
  <si>
    <t>Pagos efectuados a los acreedores públicos en la vijencia económica de 1866 a 1867, correspondientes a las de 1864 a 1865.</t>
  </si>
  <si>
    <t>TOTALES de los pagos.</t>
  </si>
  <si>
    <t>CUADROS comparativos del Presupuesto de rentas i gastos del año económico de 1865 a 1866.</t>
  </si>
  <si>
    <t>Reconocimientos hechos en la vijencia económica de 1866 a 1867, correspondientes a la de 1865 a 1866.</t>
  </si>
  <si>
    <t>Recaudos hechos en la vijencia económica de 1866 a 1867, correspondientes a la de 1865 a 1866.</t>
  </si>
  <si>
    <t>Renta de bienes desamortizados</t>
  </si>
  <si>
    <t>Reconocimientos hechos contra el Tesoro en la vijencia económica de 1866 a 1867, correspondientes a la de 1865 a 1866.</t>
  </si>
  <si>
    <t>Pagos efectuados a los acreedores públicos en la vijencia económica de 1866 a 1867, correspondientes a las de 1865 a 1866.</t>
  </si>
  <si>
    <t>CUADROS comparativos del Presupuesto de rentas i gastos del año económico de 1866 a 1867.</t>
  </si>
  <si>
    <t>Rentas de nueva creacion.</t>
  </si>
  <si>
    <t>Totales de las rentas primitivas i de las nuevamente creadas.</t>
  </si>
  <si>
    <t>Rentas causadas a deber en 31 de agosto de 1867.</t>
  </si>
  <si>
    <t>Diferencia en mas de lo calculado.</t>
  </si>
  <si>
    <t>Diferencia en ménos de lo calculado.</t>
  </si>
  <si>
    <t>Créditos suplementales i estraordinarios abiertos por el P.E.</t>
  </si>
  <si>
    <t>Totales de los créditos lejislativos i ejecutivos.</t>
  </si>
  <si>
    <t>Reconocimientos hechos contra el Tesoro.</t>
  </si>
  <si>
    <t>Pagos efectuados a los acreedores públicos.</t>
  </si>
  <si>
    <t>Saldos contra el Tesoro en 31 de agosto de 1867.</t>
  </si>
  <si>
    <t>Calculado de mas de lo votado por el Congreso i apropiados pos el P. Ejecutivo.</t>
  </si>
  <si>
    <t>Calculado de ménos de lo apropiado por el Congreso i por el Poder Ejecutivo.</t>
  </si>
  <si>
    <t>Rentas en 1866 a 1867</t>
  </si>
  <si>
    <t>Gastos en 1866 a 1867</t>
  </si>
  <si>
    <t>Superavit</t>
  </si>
  <si>
    <t xml:space="preserve">NOTA-- Las anticipaciones verificadas durante el año económico de 1866 a 1867, ascendieron a $690,945-745 ms. de los cuales se legalizaron $452,139-010 ms. </t>
  </si>
  <si>
    <t>CUADROS Comparativos del Presupuesto de rentas i gastos, correspondientes a cuatrienio transcurrido de 1º de setiembre de 1863 a 31 de agosto de 1867.</t>
  </si>
  <si>
    <t>Presupuesto lejislativo de rentas de 1863 a 1864 de 1864 a 1865, de 1865 a 1866 i de 1866 a 1867.</t>
  </si>
  <si>
    <t>Reconocimiento hechos a favor del Tesoro durante el cuatrienio mencionado.</t>
  </si>
  <si>
    <t>Rentas recaudadas durante el mismo cuatrienio.</t>
  </si>
  <si>
    <t>Rentas por cobrar en 31 de agosto de 1867, correspondientes al citado cuatrienio.</t>
  </si>
  <si>
    <t>Diferencia en mas de lo calculado en el mismo cuatrienio.</t>
  </si>
  <si>
    <t>Diferencia en ménos de lo calculado  en el  mismo cuatrienio.</t>
  </si>
  <si>
    <t>Presupuesto lejislativo de gastos de 1863 a 1864, de 1864 a 1865, de 1865 a 1866 i de 1866 a 1867.</t>
  </si>
  <si>
    <t>Reconocimientos hechos a cargo del Tesoro durante el cuatrienio mencionado.</t>
  </si>
  <si>
    <t>Pagos efectuados a los acreedores públicos durante el cuatrienio.</t>
  </si>
  <si>
    <t>Saldos contra el Tesoro en 31 de agosto de 1867, correspondientes al cuatrienio.</t>
  </si>
  <si>
    <t>Calculado de mas de lo reconocido en él cuatrienio.</t>
  </si>
  <si>
    <t>Calculado de ménos de lo reconocido en el mismo cuatrienio.</t>
  </si>
  <si>
    <t>MEMORIA DE HACIENDA  DE 1870</t>
  </si>
  <si>
    <t>Liquidacion del presupuesto de rentas.</t>
  </si>
  <si>
    <t>Aduanas -- Producto presupuesto</t>
  </si>
  <si>
    <t>Tiene esta renta los siguientes gravámenes fijos, establecidos por disposiciones lejislativas, cuyo total debe descontarse del producto presupuesto.</t>
  </si>
  <si>
    <t>37 1/2 por 100, para el pago de la antigua deuda interior, según el convenio de 25 de marzo de 1861</t>
  </si>
  <si>
    <t>7  1/2 po 10, para el pago de la deuda reconocida a favor de Robinson i Fleming i Barnet e hijo según convenio de 1868</t>
  </si>
  <si>
    <t>5 por 100, para el pago de los créditos reconocidos a favor de estranjeros por sentencias de la Corte Suprema federal, según el decreto lejislativo de 18 de mayo de 1869</t>
  </si>
  <si>
    <t>5 por 100, para el pago de las espropiaciones hechas a los estanjeros, de acuerdo con la resolucion ejecutiva de 16 de diciembre de 1867</t>
  </si>
  <si>
    <t>25 por 100, para el pago de los intereses dela deuda interior consolidada, según lo dispuesto en el artículo 8º de la lei de 3 de junio de 1868, orgánica del Crédito nacional</t>
  </si>
  <si>
    <t>5 por 100, para la amortizacion de los vales sin interes mandados emitir en pago de intereses por el artículo 12 de la lei arriba citada</t>
  </si>
  <si>
    <t>10 por 100, por aproximacion se calculan para gasto de administracion</t>
  </si>
  <si>
    <t>El producto líquido de las Aduanas de Buenaventura, Tumaco i Turbo, deducido el 37  1/2 por 100 para la deuda interior i 10 por 100 para gastos de administracion, está destinado al pago del emprésito de 1.000,000 para el camino de Buenaventura</t>
  </si>
  <si>
    <t>PARTE LIBRE</t>
  </si>
  <si>
    <t>Producto presupuesto de la Aduana de Cúcuta</t>
  </si>
  <si>
    <t>95 por 100 de gravámen</t>
  </si>
  <si>
    <t>Mitad, o sea 2  1/2 por 100 del producto bruto, para el camino de Cúcuta al Magdalena</t>
  </si>
  <si>
    <t>Salinas---Producto presupuesto</t>
  </si>
  <si>
    <t>Esta renta está gravada con lo siguiente:</t>
  </si>
  <si>
    <t>15 por 100, para el pago del emprésito de 1.000,000 para el camino de ruedas de Buenaventura Cali</t>
  </si>
  <si>
    <t>10 por 100, para distribuir entre los Estados que tengan derecho a la parte que les corresponda sobre la renta de sales, según la disposicion del artículo 2º de la lei de 24 de mayo de 1869 "sobre salinas"</t>
  </si>
  <si>
    <t>25 por 100, en que se computan aproximadamente los gastos de elaboracion i administracion de esta renta</t>
  </si>
  <si>
    <t>Internacion de sales---Producto presupuesto</t>
  </si>
  <si>
    <t>Tiene esta renta el 50 por 100 de gravámen, según las dispocisiones de la lei de 24 de mayo de 1869, "sobre salinas"</t>
  </si>
  <si>
    <t>Ferrocarril de Panamá---Producto presupuesto</t>
  </si>
  <si>
    <t>Subvencio al Estado de Panamá (contrato de venta de reservas)</t>
  </si>
  <si>
    <t>Correos---Producto presupuesto</t>
  </si>
  <si>
    <t xml:space="preserve">               Producto</t>
  </si>
  <si>
    <t xml:space="preserve">               Gastos</t>
  </si>
  <si>
    <t xml:space="preserve">               Déficit</t>
  </si>
  <si>
    <t>Amonedacion---Producto presupuesto</t>
  </si>
  <si>
    <t>Bienes nacionales---Producto presupuesto</t>
  </si>
  <si>
    <t>Ingresos varios i aprovechamientos</t>
  </si>
  <si>
    <t>Se deduce el déficit en las rentas de:</t>
  </si>
  <si>
    <t>Renta efectiva                                                                                                                    $</t>
  </si>
  <si>
    <t>Renta disponible</t>
  </si>
  <si>
    <t>SECCION PRIMERA--Aduanas</t>
  </si>
  <si>
    <t>Año económico 1868 a 1869</t>
  </si>
  <si>
    <t>I-- Cómputos jenerales</t>
  </si>
  <si>
    <t>El producto de las Aduanas ha sido                                               $</t>
  </si>
  <si>
    <t>Los gastos que han causado son</t>
  </si>
  <si>
    <t>Producto líquido</t>
  </si>
  <si>
    <t>La suma computada por la lei de presupuestos como rendimiento de esta renta fue</t>
  </si>
  <si>
    <t>La diferencia obtenida ascendiendo este cómputo</t>
  </si>
  <si>
    <t>Comparado los productos del último año con los del anterior:</t>
  </si>
  <si>
    <t>1868 a 1869, producto</t>
  </si>
  <si>
    <t>1867 a 1868, producto</t>
  </si>
  <si>
    <t>Diferencia o aumento del último año</t>
  </si>
  <si>
    <t>Renta de Aduana, de 1866 a 1867</t>
  </si>
  <si>
    <t>Aumento comparado con el último año</t>
  </si>
  <si>
    <t>Las importaciones en especie alcanzan a k.</t>
  </si>
  <si>
    <t>I en el año anterior habian alcanzado a k.</t>
  </si>
  <si>
    <t xml:space="preserve">Dando un aumento de </t>
  </si>
  <si>
    <t>Cálculo al que deben agregarse los kilógramos importados por las Aduanas de Carlosama i Turbo de que no hai datos completos, i que tomando los del año anterior, sin aumento proporcional, dan</t>
  </si>
  <si>
    <t>Siendo el aumento efectivo de   K.</t>
  </si>
  <si>
    <t>MEMORIA DE HACIENDA (1872)</t>
  </si>
  <si>
    <t>Producto de las rentas i contribuciones nacionales, durante el año económico de 1870 a 1871</t>
  </si>
  <si>
    <t>Salinas (Venta en las Administraciones nacionales)</t>
  </si>
  <si>
    <t>Monedas. (Casas de Bogotá i Popayan)</t>
  </si>
  <si>
    <t>Bienes nacionales venta i arrendamiento (dinero)</t>
  </si>
  <si>
    <t>Bienes desamortizados (arrendamiento)</t>
  </si>
  <si>
    <t>Id.           Id.                       (venta por bonos)</t>
  </si>
  <si>
    <t>Tierras baldías (arrendamiento)</t>
  </si>
  <si>
    <t>Telégrafo</t>
  </si>
  <si>
    <t>Total           $</t>
  </si>
  <si>
    <t>Cálculo de rentas del ministro en el último año.</t>
  </si>
  <si>
    <t>Aprovechamientos (enterados en dinero)</t>
  </si>
  <si>
    <t xml:space="preserve">Total </t>
  </si>
  <si>
    <t>IMPOSICION EN GRAN BRETAÑA</t>
  </si>
  <si>
    <t>Años.</t>
  </si>
  <si>
    <t>Valor de la riqueza total, raiz i mueble.</t>
  </si>
  <si>
    <t>Produccion anual total.</t>
  </si>
  <si>
    <t>Por cabeza de poblacion. $</t>
  </si>
  <si>
    <t>a.  $</t>
  </si>
  <si>
    <t>b.</t>
  </si>
  <si>
    <t>c.</t>
  </si>
  <si>
    <t>d.</t>
  </si>
  <si>
    <t>e.</t>
  </si>
  <si>
    <t>f.</t>
  </si>
  <si>
    <t>g.</t>
  </si>
  <si>
    <t>h.</t>
  </si>
  <si>
    <t>i.</t>
  </si>
  <si>
    <t>j.</t>
  </si>
  <si>
    <t xml:space="preserve">             a. Cálculo de Mr. Joseph Lowe. b. Sir W. Pulfeney. c. Mr. Colquhoun. d. Mr. Wr. Elder. e. Mr. Joseph Lowe. f. Mr. Pablo Pebrer. g. Mr. G. R. Porter. h. Mer. Elder. i. Mr. Leone Leví. j. Mr. Elder.</t>
  </si>
  <si>
    <t>PAISES.</t>
  </si>
  <si>
    <t>Producion anual</t>
  </si>
  <si>
    <t>Rata proporcional entre la produccion i los impuestos</t>
  </si>
  <si>
    <t>Gran Bretaña en 1861</t>
  </si>
  <si>
    <t>12 por 100</t>
  </si>
  <si>
    <t>Estados Unidos en 1870</t>
  </si>
  <si>
    <t>Colombia</t>
  </si>
  <si>
    <t>TARIFA DE ADUANAS Y RECAUDO 1871</t>
  </si>
  <si>
    <t>Peso.</t>
  </si>
  <si>
    <t>Derechos. $</t>
  </si>
  <si>
    <t>Telas de algodón finas i pintadas ($ 0,45)  Ks</t>
  </si>
  <si>
    <t>Id.      Blancas a (0.20)</t>
  </si>
  <si>
    <t>Id.      de lana a (0,45)</t>
  </si>
  <si>
    <t>Id.      de lino (0,45)</t>
  </si>
  <si>
    <t>Id.      de cáñamo (0,20)</t>
  </si>
  <si>
    <t>Id.      de seda</t>
  </si>
  <si>
    <t>Id.      de diversos hilos (0,45)</t>
  </si>
  <si>
    <t>GOBIERNO NACIONAL CHILE - INGRESOS</t>
  </si>
  <si>
    <t>1861                                 $</t>
  </si>
  <si>
    <t>MEMORIA DE HACIENDA 1873</t>
  </si>
  <si>
    <t>Estimación de Gastos de la administracion pública año 1873.</t>
  </si>
  <si>
    <t>Para el servicio de la Secretaría de lo Interior i Relaciones Esteriores</t>
  </si>
  <si>
    <t>Para el de la de Hacienda i Fomento</t>
  </si>
  <si>
    <t>Para el de la del Tesoro i Crédito nacional</t>
  </si>
  <si>
    <t>Para el de la de Guerra i Marina</t>
  </si>
  <si>
    <t>Para gastos varios imprevistos en todos los Departamentos</t>
  </si>
  <si>
    <t>Suma               $</t>
  </si>
  <si>
    <t>Comparacion.</t>
  </si>
  <si>
    <t>Producto de las rentas                                                    $</t>
  </si>
  <si>
    <t>Importe de los gastos</t>
  </si>
  <si>
    <t>Diferencia a favor de las rentas        $</t>
  </si>
  <si>
    <t>Productos i gastos Aduanas año económico de 1871 a 1872.</t>
  </si>
  <si>
    <t>Productos de las Aduanas</t>
  </si>
  <si>
    <t>Gastos de las Aduanas</t>
  </si>
  <si>
    <t>Déficit de algunas Aduanas</t>
  </si>
  <si>
    <t>Producto líquido para la Nacion</t>
  </si>
  <si>
    <t>Pormenores de los productos.</t>
  </si>
  <si>
    <t>Los derechos de importacion i demas ingresos que constituyen la renta de Aduanas, se distribuyeron en el año de 1871 a 1872 del modo siguiente:</t>
  </si>
  <si>
    <t>ADUANAS.</t>
  </si>
  <si>
    <t>DERECHOS DE IMPORTACION.</t>
  </si>
  <si>
    <t>Multas i recargos por castigo.</t>
  </si>
  <si>
    <t>Productos de los comisos.</t>
  </si>
  <si>
    <t>Otros productos.</t>
  </si>
  <si>
    <t>De sal.</t>
  </si>
  <si>
    <t>De 2ª clase.</t>
  </si>
  <si>
    <t>De 3ª clase.</t>
  </si>
  <si>
    <t>De 4ª clase.</t>
  </si>
  <si>
    <t>Total.</t>
  </si>
  <si>
    <t>Sabanilla</t>
  </si>
  <si>
    <t>Tolú</t>
  </si>
  <si>
    <t>Carlosama</t>
  </si>
  <si>
    <t>Riosucio</t>
  </si>
  <si>
    <t>El Viento</t>
  </si>
  <si>
    <t>Peso de las mercaderias importadas.</t>
  </si>
  <si>
    <t>El peso de las mercaderías importadas por cada una de las aduanas ha sido:</t>
  </si>
  <si>
    <t>1ª CLASE.</t>
  </si>
  <si>
    <t>2ª CLASE.</t>
  </si>
  <si>
    <t>3º CLASE.</t>
  </si>
  <si>
    <t>4ª CLASE</t>
  </si>
  <si>
    <t>SAL.</t>
  </si>
  <si>
    <t>TOTAL.</t>
  </si>
  <si>
    <t>Libre.</t>
  </si>
  <si>
    <t>5 centavos.</t>
  </si>
  <si>
    <t>20 centavos.</t>
  </si>
  <si>
    <t>45 centavos.</t>
  </si>
  <si>
    <t>Kilógramos.</t>
  </si>
  <si>
    <t>Gs.</t>
  </si>
  <si>
    <t xml:space="preserve">Totales     </t>
  </si>
  <si>
    <t>MEMORIA DE HACIENDA 1874</t>
  </si>
  <si>
    <t>Producto de las rentas nacionales en el año económico anterior (1873)</t>
  </si>
  <si>
    <t>Casas de moneda (aproximacion)</t>
  </si>
  <si>
    <t>Telégrafos</t>
  </si>
  <si>
    <t>Bienes desamortizados (aproximacion)</t>
  </si>
  <si>
    <t>Total    $</t>
  </si>
  <si>
    <t>Gastos imputables al mismo periodo fiscal</t>
  </si>
  <si>
    <t>Gastos reconocidos y por reconocer, correspondientes a la Secretaría de lo Interior i Relaciones Esteriores, cuyos comprobantes han sido presentados  $</t>
  </si>
  <si>
    <t>Id. a la de Hacienda i Fomento</t>
  </si>
  <si>
    <t>Id. a la de Guerra i Marina</t>
  </si>
  <si>
    <t>Id. a la del Tesoro i Crédito nacional</t>
  </si>
  <si>
    <t>Gastos cuyos comprobantes están por presentarse (aproximacion)</t>
  </si>
  <si>
    <t>Total producto de las rentas</t>
  </si>
  <si>
    <t>Suma de los gastos</t>
  </si>
  <si>
    <t>Saldo a favor del Tesoro             $</t>
  </si>
  <si>
    <t>Pormenor de los productos en el último año económico es el siguiente:</t>
  </si>
  <si>
    <t>San Andres i San Luis de Providencia</t>
  </si>
  <si>
    <t>Productos</t>
  </si>
  <si>
    <t>AÑO DE 1871 A 1872.</t>
  </si>
  <si>
    <t>AÑO DE 1872 A 1873.</t>
  </si>
  <si>
    <t xml:space="preserve">Diferencia en mas             </t>
  </si>
  <si>
    <t>GASTOS -- Los gastos de las Aduanas fueron: (1874)</t>
  </si>
  <si>
    <t>Sueldos de los empleados de la Aduana</t>
  </si>
  <si>
    <t>Sueldos del Resguardo i de los vijias.</t>
  </si>
  <si>
    <t>Sueldos de los interpretes i prácticos</t>
  </si>
  <si>
    <t>Gastos de material.</t>
  </si>
  <si>
    <t>Gastos varios.</t>
  </si>
  <si>
    <t>FIJOS.</t>
  </si>
  <si>
    <t>EVENTUALES.</t>
  </si>
  <si>
    <t>carlosama</t>
  </si>
  <si>
    <t>Comparados estos gastos con los del año anterior resulta:</t>
  </si>
  <si>
    <t>Otros gastos.</t>
  </si>
  <si>
    <t>Diferencia líquida</t>
  </si>
  <si>
    <t>Mas.</t>
  </si>
  <si>
    <t>Menos.</t>
  </si>
  <si>
    <t>El producto líquido de las aduanas fue:</t>
  </si>
  <si>
    <t>En 1871 a 1872.</t>
  </si>
  <si>
    <t>En 1872 a 1873.</t>
  </si>
  <si>
    <t>Producto.</t>
  </si>
  <si>
    <t>Déficit.</t>
  </si>
  <si>
    <t>Comparado el peso de cada clase con el de las mercaderías importadas en el año anterior, resulta:</t>
  </si>
  <si>
    <t>DIFERENCIAS LIQUIDAS</t>
  </si>
  <si>
    <t>Diferencia.</t>
  </si>
  <si>
    <t>Kmos.</t>
  </si>
  <si>
    <t>VALOR DE LAS MERCADERÍAS IMPORTADAS:</t>
  </si>
  <si>
    <t>DIFERENCIAS EN EL ÚLTIMO AÑO.</t>
  </si>
  <si>
    <t>EN MENOS.</t>
  </si>
  <si>
    <t>cúcuta</t>
  </si>
  <si>
    <t>NATURALEZA DE LAS MERCADERÍAS IMPORTADAS.</t>
  </si>
  <si>
    <t>ARTÍCULOS.</t>
  </si>
  <si>
    <t>AÑO DE 1872 A 1873</t>
  </si>
  <si>
    <t>AÑO DE 1870 A 1871.</t>
  </si>
  <si>
    <t>Alimentos preparados</t>
  </si>
  <si>
    <t>Alimentos sin preparar</t>
  </si>
  <si>
    <t>Alumbrado</t>
  </si>
  <si>
    <t>Armas, pólvora, fulminantes i demas elementos de guerra</t>
  </si>
  <si>
    <t>Artículos de calzado</t>
  </si>
  <si>
    <t>Artículos para vestido, escepto telas sin cortar</t>
  </si>
  <si>
    <t>Calzado de todas las clases</t>
  </si>
  <si>
    <t>Caucho manufacturado</t>
  </si>
  <si>
    <t>Cerveza</t>
  </si>
  <si>
    <t>Condimentos</t>
  </si>
  <si>
    <t>Cristales i vidrios</t>
  </si>
  <si>
    <t>Drogas i medicinas</t>
  </si>
  <si>
    <t>Herramientas</t>
  </si>
  <si>
    <t>Instrumentos de música</t>
  </si>
  <si>
    <t>Instrumentos de otras clases</t>
  </si>
  <si>
    <t>Licores</t>
  </si>
  <si>
    <t>Loza</t>
  </si>
  <si>
    <t>Materiales de construccion</t>
  </si>
  <si>
    <t>Máquinas</t>
  </si>
  <si>
    <t>Menaje de casa</t>
  </si>
  <si>
    <t>Metales manufacturados</t>
  </si>
  <si>
    <t>Metales sin manufacturar</t>
  </si>
  <si>
    <t>Monedas de oro i plata</t>
  </si>
  <si>
    <t>Objetos de arte (Bellas artes)</t>
  </si>
  <si>
    <t>Objetos de aseo</t>
  </si>
  <si>
    <t>Objetos de enseñanza</t>
  </si>
  <si>
    <t>Materiales de ferrocarriles, telégrafos &amp;.ª &amp;.ª</t>
  </si>
  <si>
    <t>Porcelana</t>
  </si>
  <si>
    <t>Sal</t>
  </si>
  <si>
    <t>Telas de todas materias</t>
  </si>
  <si>
    <t>Utiles de escritorio</t>
  </si>
  <si>
    <t>Vinos</t>
  </si>
  <si>
    <t>Objetos varios</t>
  </si>
  <si>
    <t>ESPORTACIONES---El peso i el valor de las esportaciones fueron los siguientes:</t>
  </si>
  <si>
    <t>Esportaciones en el año económico de 1872 a 1873.</t>
  </si>
  <si>
    <t>Diferencias con respecto al año anterior.</t>
  </si>
  <si>
    <t>Valores.</t>
  </si>
  <si>
    <t>Pesos.</t>
  </si>
  <si>
    <t>Cs.</t>
  </si>
  <si>
    <t>El producto de la renta de Salinas en comparación con el año anterior aumento un  $:</t>
  </si>
  <si>
    <t>AÑOS.</t>
  </si>
  <si>
    <t>Cantidades de tierras adjudicadas</t>
  </si>
  <si>
    <t>Hectareas.</t>
  </si>
  <si>
    <t>Metros cuadrados.</t>
  </si>
  <si>
    <t>MEMORIA DEL SECRETARIO DE HACIENDA Y FOMENTO 1875</t>
  </si>
  <si>
    <t>Año económico 1873 a 1874.</t>
  </si>
  <si>
    <t>Superávit de la vijencia económica anterior, según los resultados del la cuenta jenral formada en la Secretaría del Tesoro $</t>
  </si>
  <si>
    <t>Producto de las rentas en el año económico de 1873 a 1874 (aproximacion)    $</t>
  </si>
  <si>
    <t>Suma    $</t>
  </si>
  <si>
    <t>Producto que en número redondos se descompone así:</t>
  </si>
  <si>
    <t>Casas de Moneda</t>
  </si>
  <si>
    <t>Ingresos vários</t>
  </si>
  <si>
    <t>Total de las rentas        $</t>
  </si>
  <si>
    <t>Monto de los gastos en dinero correspondientes a toda la vijencia económica de 1873 a 1874, según la cuenta que ha formado la Secretaría del Tesoro (aproximacion)</t>
  </si>
  <si>
    <t>Deduciendo esta suma de la de</t>
  </si>
  <si>
    <t>Queda a favor del Tesoro un saldo de     $</t>
  </si>
  <si>
    <t>Resúmen del movimiento del comercio esterior relacionado con las aduanas de la Union en el año económico de 1873 a 1874.</t>
  </si>
  <si>
    <t>EMBARCACIONES</t>
  </si>
  <si>
    <t>BULTOS.</t>
  </si>
  <si>
    <t>Peso de las mercaderias.</t>
  </si>
  <si>
    <t>VALORES.</t>
  </si>
  <si>
    <t>Producto i gasto de las Aduanas.</t>
  </si>
  <si>
    <t>Han entrado.</t>
  </si>
  <si>
    <t>Han salido.</t>
  </si>
  <si>
    <t>Importados.</t>
  </si>
  <si>
    <t>Esportados.</t>
  </si>
  <si>
    <t>Importadas.</t>
  </si>
  <si>
    <t>Esportadas.</t>
  </si>
  <si>
    <t>Producto liquido.</t>
  </si>
  <si>
    <t>Nº</t>
  </si>
  <si>
    <t>Toneladas</t>
  </si>
  <si>
    <t>Número.</t>
  </si>
  <si>
    <t>*</t>
  </si>
  <si>
    <t>**</t>
  </si>
  <si>
    <t>***</t>
  </si>
  <si>
    <t>* Esta partida se ha tomado del respectivo dato anual, por no haberse recibido algunos mensuales.</t>
  </si>
  <si>
    <t>** Faltan los datos de esportacion por esta aduana en agosto i los de importacion en junio, julio i agosto. Tampoco se tiene el dato anual.</t>
  </si>
  <si>
    <t>*** Suma deducido el déficit</t>
  </si>
  <si>
    <t>NOTA-- A última hora se han recibido algunos de los datos que figuran en el cuadro.</t>
  </si>
  <si>
    <t xml:space="preserve">Cs. </t>
  </si>
  <si>
    <t xml:space="preserve">Pesos. </t>
  </si>
  <si>
    <t>Totales      $</t>
  </si>
  <si>
    <t>MEMORIA DEL SECRETARIO DEL TESORO I CRÉDITO NACIONAL 1875</t>
  </si>
  <si>
    <t>GASTOS DE LA VIJENCIA ECONOMICA DE 1872 A 1873.</t>
  </si>
  <si>
    <t>Gastos de Hacienda</t>
  </si>
  <si>
    <t>Deducido Pagos a bienes desamortizados</t>
  </si>
  <si>
    <t xml:space="preserve">Total de gastos hechos en dinero   $ </t>
  </si>
  <si>
    <t>GASTOS DE LA VIJENCIA ECONOMICA DE 1873 A 1874.</t>
  </si>
  <si>
    <t>Suma     $</t>
  </si>
  <si>
    <t>Saldos que en 31 de agosto último quedaron pendientes a cargo del Tesoro, según la cuenta de Ordenacion de gastos</t>
  </si>
  <si>
    <t>Saldos por pagar que no han sido cubiertos</t>
  </si>
  <si>
    <t>Suma total        $</t>
  </si>
  <si>
    <t>RENTAS DE LA VIJENCIA ECONOMICA DE 1872 A 1873.</t>
  </si>
  <si>
    <t>Empresa de ferrocarril de Pánama</t>
  </si>
  <si>
    <t>Derecho de internacion de sales</t>
  </si>
  <si>
    <t>Venta de bienes desamortizados</t>
  </si>
  <si>
    <t>Suma                    $</t>
  </si>
  <si>
    <t>Saldos que quedaron por cobrar al fin del primer año i de los nuevos reconocimientos que se hicieron a favor del Tesoro, como sigue:</t>
  </si>
  <si>
    <t>Suma total               $</t>
  </si>
  <si>
    <t>Recaudado en documentos de crédito público i los aprovechamientos del Tesoro en la amortizacion de documentos de esta misma clase:</t>
  </si>
  <si>
    <t>Total de las rentas en dinero            $</t>
  </si>
  <si>
    <t>Existencias en caja i cartera el 31 de agosto de 1872:</t>
  </si>
  <si>
    <t>Pagarés i letras</t>
  </si>
  <si>
    <t>Caja</t>
  </si>
  <si>
    <t>Suma                 $</t>
  </si>
  <si>
    <t>RENTAS DE LA VIJENCIA ECONOMICA DE 1873 A 1874.</t>
  </si>
  <si>
    <t>Rentas de las aduanas de Cartajena i Carlosama, de las Administraciones de Hacienda de Popayan, Cali, Cartajena i Panamá i de la casa de la moneda de Popayan. (aproximación)</t>
  </si>
  <si>
    <t>Saldos por cobrar al 31 de agosto de 1874</t>
  </si>
  <si>
    <t>Reconocimientos a favor del Tesoro en próroga de la vijencia. (aproximación)</t>
  </si>
  <si>
    <t>Total de las rentas</t>
  </si>
  <si>
    <t>Recaudado en documentos de crédito público i aprovechamientos obtenidos en la amortizacion de documentos de esta misma clase:</t>
  </si>
  <si>
    <t>Total de las rentas en dinero    $</t>
  </si>
  <si>
    <t>SITUACION DEL TESORO POR LOS RESULTADOS DE LA VIJENCIA DE 1872 A 1873.</t>
  </si>
  <si>
    <t>Existencias en caja i cartera el 31 de agosto de 1872       $</t>
  </si>
  <si>
    <t>Producto de las rentas en dinero en toda la vijencia económica de 1872 a 1873.</t>
  </si>
  <si>
    <t>Gastos hechos en dinero en toda la vijencia</t>
  </si>
  <si>
    <t>Diferencia entre las rentas i los gastos                                                                        $</t>
  </si>
  <si>
    <t>Existencia en caja i cartera e el 31 de agosto de 1873:</t>
  </si>
  <si>
    <t>En metálico                                                                          $</t>
  </si>
  <si>
    <t>En pagarés i letras por cobrar</t>
  </si>
  <si>
    <t>En documentos de crédito</t>
  </si>
  <si>
    <t>Suma                               $</t>
  </si>
  <si>
    <t>SITUACION DEL TESORO POR LOS RESULTADOS DE LA VIJENCIA DE 1873 A 1874.</t>
  </si>
  <si>
    <t>Superávit de la vijencia anterior                                          $</t>
  </si>
  <si>
    <t>Producto en dinero de las rentas en toda la vijencia de 1873 a 1874</t>
  </si>
  <si>
    <t>Gastos en dinero en toda la vijencia</t>
  </si>
  <si>
    <t>Diferencia entre las rentas i los gastos          $</t>
  </si>
  <si>
    <t>Tal es el superávit que arroja la comparacion de los gastos de la vijencia económica de 1873 a 1874 con la totalidad de los fondos que en numerario ha tenido el Gobierno; i que puede descomponerse así:</t>
  </si>
  <si>
    <t>Superávit de la vijencia anterior</t>
  </si>
  <si>
    <t>Diferencia entre las rentas i los gastos  en la vijencia de 1873 a 1874</t>
  </si>
  <si>
    <t>Suma                                                  $</t>
  </si>
  <si>
    <t>Existencia en caja i cartera e el 31 de agosto de 1874:</t>
  </si>
  <si>
    <t xml:space="preserve">             En la Tesoreria jeneral:</t>
  </si>
  <si>
    <t>Dinero</t>
  </si>
  <si>
    <t xml:space="preserve">             En las otras oficinas de que se tiene conocimiento</t>
  </si>
  <si>
    <t>Pagarés</t>
  </si>
  <si>
    <t>Valor de los instalamientos del ferrocarril de Panamá</t>
  </si>
  <si>
    <t>Monedas de cobre cuyo valor no está incluido en las partidas anteriores i que estaban acuñadas en la indicada fecha.</t>
  </si>
  <si>
    <t>Las remesas de las aduanas a la Tesorería jeneral que estaban en via en la misma fecha, que se recibieron despues de ella i de las cuales se habian descargado las oficinas remitentes, sin que al mismo tiempo pudiera descargarse de si importe la oficina a que se destinaban.</t>
  </si>
  <si>
    <t>MEMORIA DEL SECRETARIO DE HACIENDA Y FOMENTO 1876</t>
  </si>
  <si>
    <t>SALINAS</t>
  </si>
  <si>
    <t>Producto bruto año económico de 1873 a 1874   $</t>
  </si>
  <si>
    <t xml:space="preserve">Producto bruto año económico de 1874 a 1875   $ </t>
  </si>
  <si>
    <t>Ventas año económico 1873 a 1874                      Ks.</t>
  </si>
  <si>
    <t>Ventas año económico 1874 a 1875                      Ks.</t>
  </si>
  <si>
    <t>Número de kilógramos de sal vendida y producto de las ventas</t>
  </si>
  <si>
    <t>AÑO DE 1873 A 1874</t>
  </si>
  <si>
    <t>AÑO DE 1874 A 1875.</t>
  </si>
  <si>
    <t>PRODUCTOS EN 1873 A 1874</t>
  </si>
  <si>
    <t>PRODUCTOS EN 1874 A 1875.</t>
  </si>
  <si>
    <t>Ks.</t>
  </si>
  <si>
    <t>Ps</t>
  </si>
  <si>
    <t>Ps.</t>
  </si>
  <si>
    <t>Totales jenerales</t>
  </si>
  <si>
    <t>Producto i gastos SALINAS año económico de 1873 a 1874.</t>
  </si>
  <si>
    <t>Gasto económico de 1873 a 1874   $</t>
  </si>
  <si>
    <t>CUADRO que manifiesta las sumas liquidadas en las aduanas por derechos primitivos de importacion i las liquidadas por derechos adicionales,</t>
  </si>
  <si>
    <t>DERECHO PRIMITIVO.</t>
  </si>
  <si>
    <t>DERECHO ADICIONAL.</t>
  </si>
  <si>
    <t>Sumas              $</t>
  </si>
  <si>
    <t>CUADRO comparativo de los productos de las aduanas en los años económicos de 1873 a 1874 i 1874 a 1875, i de estos últimos con las sumas presupuestas por el poder Lejislativo.</t>
  </si>
  <si>
    <t>Productos en 1873 a 1874.</t>
  </si>
  <si>
    <t>Cantidades presupuestas para 1874 a 1875, por el Poder Lejislativo.</t>
  </si>
  <si>
    <t>Productos en 1874 a 1875.</t>
  </si>
  <si>
    <t>Entre los productos de los dos años.</t>
  </si>
  <si>
    <t>Entre los productos del último año i las sumas propuestas.</t>
  </si>
  <si>
    <t>Mayor en el último año.</t>
  </si>
  <si>
    <t>Menor en el último año.</t>
  </si>
  <si>
    <t>Mayores productos</t>
  </si>
  <si>
    <t>Menores productos</t>
  </si>
  <si>
    <t>Totales            $</t>
  </si>
  <si>
    <t>* Veánse las advertencias puestas al pié del "resúmen de los productos de Aduanas" que se halla en la pájina XIX.</t>
  </si>
  <si>
    <t>CUADRO comparativo de los gastos de las Aduanas en los años económicos de 1873 a 1874 i 1874 a 1875.</t>
  </si>
  <si>
    <t>GASTOS en 1873 a 1874.</t>
  </si>
  <si>
    <t>GASTOS en 1874 a 1875.</t>
  </si>
  <si>
    <t>Mayores gastos en el último año.</t>
  </si>
  <si>
    <t>Menores gastos en el último año.</t>
  </si>
  <si>
    <t>Ademas de los gastos que espresa este cuadro, se hizo el de $2,984--10, en el vapor "Vijilante"</t>
  </si>
  <si>
    <t>La diferencia en los gastos proviene principalmente de las mayores restriciones decretadas en el último año. La cifra de estas asciende a $ 901,530--85, i en el año anterior fue de $4,734--71 1/2</t>
  </si>
  <si>
    <t>Año económico de 1874 a 1875 --- Movimiento de la especie --- Ingresos.</t>
  </si>
  <si>
    <t>ADMINISTRACIONES.</t>
  </si>
  <si>
    <t>Existencias en 1º de Sbre.</t>
  </si>
  <si>
    <t>Sales recibidas de los elaboradores.</t>
  </si>
  <si>
    <t>Sales aprehendidas</t>
  </si>
  <si>
    <t>Compactada.</t>
  </si>
  <si>
    <t>Vijua.</t>
  </si>
  <si>
    <t>Caldero.</t>
  </si>
  <si>
    <t>Agua salada.</t>
  </si>
  <si>
    <t xml:space="preserve">                 ……………….. Cipaquirá</t>
  </si>
  <si>
    <t xml:space="preserve">                 ……………….. Nemocon</t>
  </si>
  <si>
    <t>Cipaquirá……………….. Tausa</t>
  </si>
  <si>
    <t xml:space="preserve">                 ……………….. Sesquilé</t>
  </si>
  <si>
    <t xml:space="preserve">                 ……………….. Gachetá</t>
  </si>
  <si>
    <t xml:space="preserve">        Totales</t>
  </si>
  <si>
    <t>Boyacá………………….. Chita i Muneque</t>
  </si>
  <si>
    <t xml:space="preserve">              ………………….. Pajarito</t>
  </si>
  <si>
    <t xml:space="preserve">                                       Cumaral i Upin</t>
  </si>
  <si>
    <t xml:space="preserve">        Totales jenerales</t>
  </si>
  <si>
    <t>Año económico de 1874 a 1875 --- Movimiento de la especie  --- Egresos.</t>
  </si>
  <si>
    <t>ADMINISTRACIONES</t>
  </si>
  <si>
    <t>SALES VENDIDAS</t>
  </si>
  <si>
    <t>Existencia en 31 de agosto.</t>
  </si>
  <si>
    <t>De las recibidas.</t>
  </si>
  <si>
    <t>De las decomisadas.</t>
  </si>
  <si>
    <t xml:space="preserve">Gs. </t>
  </si>
  <si>
    <t xml:space="preserve">                                       Almacen en Sogamoso</t>
  </si>
  <si>
    <t>A Sogamoso se hicieron las siguientes remesas:</t>
  </si>
  <si>
    <t>COMPACTADA.</t>
  </si>
  <si>
    <t>VIJUA.</t>
  </si>
  <si>
    <t>Por la salina de Cipaquirá</t>
  </si>
  <si>
    <t>Kgmos.</t>
  </si>
  <si>
    <t>Id.      Id.       Id.  Nemocon</t>
  </si>
  <si>
    <t>Id.</t>
  </si>
  <si>
    <t>Id.      Id.       Id.  Sesquilé</t>
  </si>
  <si>
    <t>Estas sumas agregadas a las cantidades vendidas i a la existencia en 31 de agosto, hacen las de las sales recibidas de los Elaboradores.</t>
  </si>
  <si>
    <t>Año económico de 1874 a 1875 --- Movimiento del caudal.</t>
  </si>
  <si>
    <t>Producto de la sal vendida.</t>
  </si>
  <si>
    <t>Producto de remate de vehiculos i sal decomisada.</t>
  </si>
  <si>
    <t>Gastos de elaboracion.</t>
  </si>
  <si>
    <t>Gastos de administracion.</t>
  </si>
  <si>
    <t>Gastos de resguardo.</t>
  </si>
  <si>
    <t>Gastos de aprehencion.</t>
  </si>
  <si>
    <t>Prodto. Líquido.</t>
  </si>
  <si>
    <t>a</t>
  </si>
  <si>
    <t>c</t>
  </si>
  <si>
    <t>b</t>
  </si>
  <si>
    <t>a. En esta casilla figuran los sueldos de los empleados del Resguardo en Santana i Coello.</t>
  </si>
  <si>
    <t>b. No están incluidos en esta suma los gastos en obras públicas en las cinco Administraciones, que ascendieron a $737-55.</t>
  </si>
  <si>
    <t>c. En esta casilla están incluidos los medios sueldos pagados  a empleados que has obtenido licencia por enfermedad, que ascendieron a $604-40.</t>
  </si>
  <si>
    <t>MEMORIA DEL SECRETARIO DE HACIENDA I FOMENTO 1877</t>
  </si>
  <si>
    <t>Productos de las Aduanas, su progreso o decadencia en los últimos años.</t>
  </si>
  <si>
    <t>1870 a 1871.</t>
  </si>
  <si>
    <t>1871 a 1872.</t>
  </si>
  <si>
    <t>1872 a 1873.</t>
  </si>
  <si>
    <t>1873 a 1874.</t>
  </si>
  <si>
    <t>1874 a 1875.</t>
  </si>
  <si>
    <t>1875 a 1876.</t>
  </si>
  <si>
    <t>Totales.</t>
  </si>
  <si>
    <t>Número de bultos i peso de las mercaderías importadas por cada Aduana, i sus respectivos valores.</t>
  </si>
  <si>
    <t>NUMERO DE BULTOS</t>
  </si>
  <si>
    <t>PESO DE LAS MERCADERIAS.</t>
  </si>
  <si>
    <t>3ª CLASE.</t>
  </si>
  <si>
    <t>4ª CLASE.</t>
  </si>
  <si>
    <t>5ª CLASE.</t>
  </si>
  <si>
    <t>Número de Kilógramos de sal vendida en cada una de las salinas i el producto de las ventas en el año económico de 1875 a 1876, comparado con en año económico 1874 1875.</t>
  </si>
  <si>
    <t>AÑO DE 1874 a 1875.</t>
  </si>
  <si>
    <t>AÑO DE 1875 a 1876.</t>
  </si>
  <si>
    <t>PRODUCTOS EN 1874 a 1875.</t>
  </si>
  <si>
    <t>PRODUCTOS EN 1875 a 1876.</t>
  </si>
  <si>
    <t>Kilógrams.</t>
  </si>
  <si>
    <t>Cipaquirá</t>
  </si>
  <si>
    <t>Nemocon</t>
  </si>
  <si>
    <t>Tausa</t>
  </si>
  <si>
    <t>Sesquilé</t>
  </si>
  <si>
    <t>Gachetá</t>
  </si>
  <si>
    <t>Chita i Muneque</t>
  </si>
  <si>
    <t>Pajarito</t>
  </si>
  <si>
    <t>Almacen en Sogamoso</t>
  </si>
  <si>
    <t>Cumaral i Upin</t>
  </si>
  <si>
    <t>Salinas varias</t>
  </si>
  <si>
    <t>Productos i gastos año económico 1875 a 1876</t>
  </si>
  <si>
    <t>SALINAS.</t>
  </si>
  <si>
    <t>PRODUCTO BRUTO.</t>
  </si>
  <si>
    <t>PRODUCTO LIQUIDO.</t>
  </si>
  <si>
    <t>Ciopaquirá</t>
  </si>
  <si>
    <t>Almacen en Sigamoso</t>
  </si>
  <si>
    <t xml:space="preserve">Totales </t>
  </si>
  <si>
    <t>Gastos  1874 a 1875</t>
  </si>
  <si>
    <t>Gastos  1875 a 1876</t>
  </si>
  <si>
    <t>Producto líquido salinas 1874 a 1875</t>
  </si>
  <si>
    <t>Producto líquido salinas 1875 a 1876</t>
  </si>
  <si>
    <t>MEMORIA DEL SECRETARIO DEL TESORO I CRÉDITO NACIONAL  1877</t>
  </si>
  <si>
    <t>RENTAS DE LA VIJENCIA ECONOMICA DE 1874 A 1875.</t>
  </si>
  <si>
    <t>Aduanas                                                                                $</t>
  </si>
  <si>
    <t>Empresa del ferrocarril de Panamá</t>
  </si>
  <si>
    <t>Renta de Correos</t>
  </si>
  <si>
    <t>Renta de Bienes desamortizados</t>
  </si>
  <si>
    <t>Empresa de telégrafo</t>
  </si>
  <si>
    <t>Venta de Bienes desamortizados</t>
  </si>
  <si>
    <t>Cuentas de algunas oficinas de Hacienda que no se recibieron a tiempo</t>
  </si>
  <si>
    <t>Saldos por cobrar i nuevos reconociemientos a favor del Tesoro:</t>
  </si>
  <si>
    <t>Empresa de ferrocarril de Panamá</t>
  </si>
  <si>
    <t>En el producto de las rentas figuran algunas partidas que no representan recaudos en dinero sino en documentos de crédito, i otras que provienen de los aprovechamientos que obtiene en Tesoro en la cancelacion de documentos por la diferencia entre su valor nominal i el precio a que se amortizan. Esas sumas, que deben deducirse para hallar el rendimiento en dinero de las rentas, son las que siguen:</t>
  </si>
  <si>
    <t>Diferencia           $</t>
  </si>
  <si>
    <t>Que representa el ingreso en dinero que ha tenido el Tesoro durante la vijencia mencionada, al comenzar la cual habia, procedente de la anterior, una existencia en Caja i Cartera de</t>
  </si>
  <si>
    <t>Que agregada al importe de lo recaudado, da un total de                                              $</t>
  </si>
  <si>
    <t>Agregando a esta suma el importe de los ingresos efectuados por reconocimientos a favor del Tesoro, correspondientes a vijencias anteriores, los cuales ingresos alcanzaron a   $</t>
  </si>
  <si>
    <t>Se tendra un total de</t>
  </si>
  <si>
    <t>Es éste monto el de los recursos efectivos de que la Administracion pudo disponer para las atenciones del servicio público en el período fiscal a que se refieren estos computos, habiendo quedado un saldo por cobrar, correspondiente a la misma vijencia, de</t>
  </si>
  <si>
    <t>Total                             $</t>
  </si>
  <si>
    <t>CUADRO No.2</t>
  </si>
  <si>
    <t>GASTOS DE LA VIJENCIA ECONOMICA DE 1874 A 1875.</t>
  </si>
  <si>
    <t>Hacienda</t>
  </si>
  <si>
    <t>Esta suma debe aumentarse con el valor de las anticipaciones por gastos que quedaron sin legalizar al fin de la vigencia</t>
  </si>
  <si>
    <t>Total                            $</t>
  </si>
  <si>
    <t>Situacion del Tesoro al terminar la vijencia económica de 1874 a 1875.</t>
  </si>
  <si>
    <t>Existencias en caja i Cártera en 31 de agosto de 1874   $</t>
  </si>
  <si>
    <t>Ingresos en dinero en toda la vijencia</t>
  </si>
  <si>
    <t>Saldo por cobrar</t>
  </si>
  <si>
    <t>Gastos hechos en dinero durante el mismo período</t>
  </si>
  <si>
    <t>Rentas de la vijencia</t>
  </si>
  <si>
    <t>Gastos</t>
  </si>
  <si>
    <t>Sobrante                                                                                                                                     $</t>
  </si>
  <si>
    <t>Acumulado a este superávit demostrado de</t>
  </si>
  <si>
    <t>Las existencias en caja i Cartera</t>
  </si>
  <si>
    <t>I el saldo por cobrar</t>
  </si>
  <si>
    <t>Queda comprobado el superávit de                                                                                     $</t>
  </si>
  <si>
    <t>RENTAS DE LA VIJENCIA ECONOMICA DE 1875 A 1876.</t>
  </si>
  <si>
    <t>Empresa de  ferrocarril de Panamá</t>
  </si>
  <si>
    <t>Empresa de ferrocarril de Bolívar</t>
  </si>
  <si>
    <t>Aprovehcamientos</t>
  </si>
  <si>
    <t>Aproximacion del producto de las rentas no recibidas debido al estado de guerra.</t>
  </si>
  <si>
    <t xml:space="preserve">Aduanas                                                                                </t>
  </si>
  <si>
    <t>Saldos por cobrar en 31 de agosto de 1876:</t>
  </si>
  <si>
    <t xml:space="preserve">Aduanas                                                                               </t>
  </si>
  <si>
    <t>Reconocimientos a favor del Tesoro</t>
  </si>
  <si>
    <t>El total de las rentas en esta vijencia será por tanto de                                                  $</t>
  </si>
  <si>
    <t>Deduciendo los ingresos en documentos de crédito, i los aprovechamientos que no representan entradas en dinero.</t>
  </si>
  <si>
    <t>Queda un residuo de                              $</t>
  </si>
  <si>
    <t>CUADRO No.4</t>
  </si>
  <si>
    <t>GASTOS DE LA VIJENCIA ECONOMICA DE 1875 A 1876.</t>
  </si>
  <si>
    <t>Saldo por anticipaciones por gastos hechos en el primer año de la vijencia que quedaron sin legalizar el 31 de agosto.</t>
  </si>
  <si>
    <t>Total  de gastos                       $</t>
  </si>
  <si>
    <t>Situacion del Tesoro en 31 de agosto de 1876.</t>
  </si>
  <si>
    <t>Superávit de la vijencia de 1874 a 1875                            $</t>
  </si>
  <si>
    <t>Ingresos en dinero hasta 31 de agosto de 1876</t>
  </si>
  <si>
    <t>Gastos en dinero en el primer año de la vijencia</t>
  </si>
  <si>
    <t>MEMORIA DEL SECRETARIO DE HACIENDA I FOMENTO 1878</t>
  </si>
  <si>
    <t>Peso de las mercaderias importadas</t>
  </si>
  <si>
    <t>LIBRES.</t>
  </si>
  <si>
    <t>KMOS.</t>
  </si>
  <si>
    <t>GRS.</t>
  </si>
  <si>
    <t>Barranquilla</t>
  </si>
  <si>
    <t>Artículos esportados e importados.</t>
  </si>
  <si>
    <t>Bultos importados</t>
  </si>
  <si>
    <t>Bultos esportados</t>
  </si>
  <si>
    <t>VALOR de los importados</t>
  </si>
  <si>
    <t>VALOR de los esportados</t>
  </si>
  <si>
    <t>MEMORIA DEL SECRETARIO DEL TESORO I CRÉDITO NACIONAL  1878</t>
  </si>
  <si>
    <t>Ferrocarril de Bolívar</t>
  </si>
  <si>
    <t>Saldos por cobrar i nuevos reconocimientos a favor del Tesoro:</t>
  </si>
  <si>
    <t>Total          $</t>
  </si>
  <si>
    <t>Recaudos hechos en documentos de crédito i los aprovechamientos a favor del Tesoro en los remates de la deuda interior i prorateo de ordenes de pago  por pensiones:</t>
  </si>
  <si>
    <t>Diferencia                      $</t>
  </si>
  <si>
    <t>Agréganse las siguientes partidas:</t>
  </si>
  <si>
    <t>La existencia en Caja i Cartera el 31 de agosto de 1875, proveniente en la vijencia anterior</t>
  </si>
  <si>
    <t>Reconocimientos a favor del Tesoro, correspondientes a vijencias anteriores</t>
  </si>
  <si>
    <t>Saldo por cobrar perteneciente a la vijencia</t>
  </si>
  <si>
    <t>Suma                              $</t>
  </si>
  <si>
    <t>Los gastos sin legalizar correspondientes a la misma vijencia importan</t>
  </si>
  <si>
    <t>Se cubrieron tambien gastos correspondientes a la vijencia anterior por valor de</t>
  </si>
  <si>
    <t>Total                                  $</t>
  </si>
  <si>
    <t>Que representa los egresos en dinero durante la vijencia.</t>
  </si>
  <si>
    <t>Los créditos Lejislativos i Ejecutivos ascienden a                                                                        $</t>
  </si>
  <si>
    <t>Sumados los gastos legalizados i las anticipaciones sin legalizar correspondientes a la vijencia</t>
  </si>
  <si>
    <t>Deduciendo esta partida de la anterior, aparece una diferencia de                                       $</t>
  </si>
  <si>
    <t>Situacion del Tesoro al espirar la vijencia de 1875 a 1876:</t>
  </si>
  <si>
    <t>Ingresos en dinero en toda la vijencia                                                                                          $</t>
  </si>
  <si>
    <t>Existencia en Caja i Cartera en 31 de agosto de 1875</t>
  </si>
  <si>
    <t>Saldos por cobrar</t>
  </si>
  <si>
    <t xml:space="preserve">Gastos hechos en dinero </t>
  </si>
  <si>
    <t>Comparando esta diferencia con las existencias en Caja i Cartera en 31 de agosto de 1876</t>
  </si>
  <si>
    <t>Resulta un residuo de          $</t>
  </si>
  <si>
    <t>RENTAS DE LA VIJENCIA ECONOMICA DE 1876 A 1877.</t>
  </si>
  <si>
    <t>Empresa del ferrocarril de Bolívar</t>
  </si>
  <si>
    <t>Peaje nacional</t>
  </si>
  <si>
    <t>De este total quedó por recaudar la suma de                                                                              $</t>
  </si>
  <si>
    <t>Diferencia                             $</t>
  </si>
  <si>
    <t>Que representa el ingreso en dinero proveniente de las Rentas de la vijencia de 1876 a 1877</t>
  </si>
  <si>
    <t>Con el fin de calcular los recursos efectivos de la nacion:</t>
  </si>
  <si>
    <t>Existencia en Caja i Cartera en 31 de agosto de 1876                                                               $</t>
  </si>
  <si>
    <t>Recaudos efectuados correspondientes a la vijencia anterior</t>
  </si>
  <si>
    <t>Suma ingresada por emprésito forzoso</t>
  </si>
  <si>
    <t>Id. id. emprésitos i suministros volutarios</t>
  </si>
  <si>
    <t>GASTOS DE LA VIJENCIA ECONOMICA DE 1876 A 1877.</t>
  </si>
  <si>
    <t>Se cubrieron, ademas,  gastos correspondientes a la vijencia de 1875 a 1876 por valor de</t>
  </si>
  <si>
    <t>Comparando los ingresos con los egresos, se tendrá en siguiente resultado:</t>
  </si>
  <si>
    <t>Ingresos                  $</t>
  </si>
  <si>
    <t>Egresos                   $</t>
  </si>
  <si>
    <t>De la diferencia resultante a favor de las rentas, existia en Caja i cartera al terminar la vijencia la suma de       $</t>
  </si>
  <si>
    <t>Queda todavía un residuo a favor de las rentas por valor de                                                   $</t>
  </si>
  <si>
    <t>Que representa los gastos hechos por los Habilitados de la Guardia colombiana que no han rendido cuentas.</t>
  </si>
  <si>
    <t>Agregando a esta suma los gastos que afectan el Departamento de Guerra, según el pormenor espresado arriba, i que ascienden a</t>
  </si>
  <si>
    <t>se tendrá el total de gastos de guerra hechos con fondos nacionales, i que es el de          $</t>
  </si>
  <si>
    <t>Situacion del Tesoro al espirar la vijencia de 1876 a 1877:</t>
  </si>
  <si>
    <t>Rentas recaudadas                                                                                                                           $</t>
  </si>
  <si>
    <t>Gastos verificados</t>
  </si>
  <si>
    <t>Déficit                        $</t>
  </si>
  <si>
    <t>Para cubrir este déficit habia:</t>
  </si>
  <si>
    <t>Existencias  en 31 de agosto de 1876                               $</t>
  </si>
  <si>
    <t>Rentas recaudadas de 1875 a 1876</t>
  </si>
  <si>
    <t>Emprésitos forzoso i voluntario</t>
  </si>
  <si>
    <t>Saldo a favor del Tesoro                                         $</t>
  </si>
  <si>
    <t>Con este saldo se cubrieron gasto de la vijencia de 1875 a 1876 por valor de</t>
  </si>
  <si>
    <t>Que representa la existencia en Caja i Cartera en 31 de agosto de 1877</t>
  </si>
  <si>
    <t>MEMORIA DEL SECRETARIO DEL TESORO I CRÉDITO NACIONAL  1879</t>
  </si>
  <si>
    <t>Total de lo reconocido                            $</t>
  </si>
  <si>
    <t>De los anteriores reconocimientos i demas saldos por cobrar, se recaudó la suma de $3.927,884--778, como pasa a espresarse:</t>
  </si>
  <si>
    <t>Vijencia de 1872 a 1873</t>
  </si>
  <si>
    <t>Vijencia de 1873 a 1874</t>
  </si>
  <si>
    <t>Vijencia de 1874 a 1875</t>
  </si>
  <si>
    <t>Vijencia de 1875 a 1876</t>
  </si>
  <si>
    <t>Vijencia de 1876 a 1877</t>
  </si>
  <si>
    <t>Total                                $</t>
  </si>
  <si>
    <t>Aparte de los recursos ordinarios para hacer frente a los gastos de la Administracion durante la vijencia, ingresaron a  las arcas nacionales las siguientes sumas:</t>
  </si>
  <si>
    <t>Por emprésito forzoso</t>
  </si>
  <si>
    <t>Por emprésito voluntario</t>
  </si>
  <si>
    <t>Tambien se reconocieron las siguientes sumas:</t>
  </si>
  <si>
    <t>Por cuenta de otras vijencias</t>
  </si>
  <si>
    <t>Abono al emprésito de G. M. Totten</t>
  </si>
  <si>
    <t>Emprésito del Banco de Bogotá</t>
  </si>
  <si>
    <t>Remesas a los Habilitados de la Guardia Colombiana</t>
  </si>
  <si>
    <t>Amortizacion de la Deuda interior</t>
  </si>
  <si>
    <t>Id                                 id.       esterior</t>
  </si>
  <si>
    <t>Por emprésitos i suministros voluntarios</t>
  </si>
  <si>
    <t>Recapitulando los cálculos precedentes se tendrá el siguiente resultado:</t>
  </si>
  <si>
    <t>RENTAS DE LA VIJENCIA ECONOMICA DE 1877 A 1878.</t>
  </si>
  <si>
    <t xml:space="preserve">De la anterior suma quedó por recaudar la de              $ </t>
  </si>
  <si>
    <t>Es de advertir que en este total está incluida la suma de $743,281--225, que representa los aprovechamientos obtenidos en los remates de documentos de deuda pública, prorateo de pensiones, conversion de documentos i sobrantes cedidos a favor del Tesoro. La espresada suma se ha comprendido en la partida de Ingresos varios.</t>
  </si>
  <si>
    <t>Ingrensaron tambien las siguientes sumas durante el año económico a que me refiero, a saber:</t>
  </si>
  <si>
    <t>Recaudos obtenidos pertenecientes a vijencias anteriores</t>
  </si>
  <si>
    <t>Emprésito forzoso i voluntario</t>
  </si>
  <si>
    <t>GASTOS DE LA VIJENCIA ECONOMICA DE 1877 A 1878.</t>
  </si>
  <si>
    <t>Se cubrieron,  además, los siguientes gastos:</t>
  </si>
  <si>
    <t>Correspondientes a la vijencia de 1876 a 1877</t>
  </si>
  <si>
    <t>A buena cuenta del emprésito de G. M. Totten</t>
  </si>
  <si>
    <t>Emprésito de José Andreis</t>
  </si>
  <si>
    <t>Emprésitos i suministros voluntarios</t>
  </si>
  <si>
    <t>Descuentos</t>
  </si>
  <si>
    <t>Deuda esterior</t>
  </si>
  <si>
    <t>Deuda interior</t>
  </si>
  <si>
    <t>Agregando a esa suma los gastos hechos por los Habilitados de la Guardia Colombiana i empleados de hacienda que no han rendido sus cuentas, cuyo total asciende á</t>
  </si>
  <si>
    <t>Se tendrá el de                                                                                                                         $</t>
  </si>
  <si>
    <t>Recapitulando los datos anteriores, se obtiene el siguiente resultado:</t>
  </si>
  <si>
    <t>Ingresos</t>
  </si>
  <si>
    <t>Existencia en Caja i Cartera al empezar la vijencia</t>
  </si>
  <si>
    <t>Diferencia                                  $</t>
  </si>
  <si>
    <t>Que representa las existencias en Caja i Cartera el 31 de agosto de 1878.</t>
  </si>
  <si>
    <t>MEMORIA DEL SECRETARIO DE HACIENDA I FOMENTO 1879</t>
  </si>
  <si>
    <t>PRODUCTO DE LAS RENTAS.</t>
  </si>
  <si>
    <t>El producto de las rentas i contribuciones en el año económico de 1877 a 1878.</t>
  </si>
  <si>
    <t>Gastos de recaudacion</t>
  </si>
  <si>
    <t xml:space="preserve">Producto         </t>
  </si>
  <si>
    <t>En los ingresos varios figuran como aprovechamientos las utilidades obtenidas en el valor nominal de los documentos de deuda pública amortizados en remates, i en el prorateo de las pensiones comunes, que suman</t>
  </si>
  <si>
    <t>Líquido          $</t>
  </si>
  <si>
    <t>ADUANAS. $</t>
  </si>
  <si>
    <t>SALINAS.        $</t>
  </si>
  <si>
    <t>Producto año económico de 1877 a 1878       $</t>
  </si>
  <si>
    <t>PRODUCTO LÍQUIDO.</t>
  </si>
  <si>
    <t>DÉFICIT.</t>
  </si>
  <si>
    <t>Totales                          $</t>
  </si>
  <si>
    <t xml:space="preserve">Neto                      </t>
  </si>
  <si>
    <t>Durante el año se importaron 1.782,347 bultos, que pesaron 17.613,057--973 kilógramos, los cuales, según las clases de la tarifa, se distribuyen de esta manera:</t>
  </si>
  <si>
    <t xml:space="preserve">    Kgs.</t>
  </si>
  <si>
    <t>gms.</t>
  </si>
  <si>
    <t xml:space="preserve">1ª Libres                                                          </t>
  </si>
  <si>
    <t xml:space="preserve">     Gravados</t>
  </si>
  <si>
    <t>2ª</t>
  </si>
  <si>
    <t>3ª</t>
  </si>
  <si>
    <t>4ª</t>
  </si>
  <si>
    <t>5ª</t>
  </si>
  <si>
    <t>Kgs.</t>
  </si>
  <si>
    <t>Número de kilógramos de sal vendidos en las salinas nacionales i su producto en el año económico de 1877 a 1878, comparado con los resultados del año anterior.</t>
  </si>
  <si>
    <t>AÑO DE 1876 A 1877.</t>
  </si>
  <si>
    <t>AÑO DE 1877 A 1878.</t>
  </si>
  <si>
    <t>PRODUCTO EN 1876 A 1877</t>
  </si>
  <si>
    <t>PRODUCTO EN 1877 A 1878</t>
  </si>
  <si>
    <t>KILÓGRAMOS.</t>
  </si>
  <si>
    <t>G.s</t>
  </si>
  <si>
    <t>C.s</t>
  </si>
  <si>
    <t xml:space="preserve">Totales               </t>
  </si>
  <si>
    <t>Chámeza</t>
  </si>
  <si>
    <t>Almacen de Sogamoso</t>
  </si>
  <si>
    <t>Camaral i Upin</t>
  </si>
  <si>
    <t>RESÚMEN.</t>
  </si>
  <si>
    <t>En el Territorio de San Martin</t>
  </si>
  <si>
    <t>Totales jenerales.</t>
  </si>
  <si>
    <t>PORMENOR DE PRODUCTOS U GASTOS 1877 A 1878.</t>
  </si>
  <si>
    <t>Tanto por ciento del gasto de produccion.</t>
  </si>
  <si>
    <t>Totales               $</t>
  </si>
  <si>
    <t>MEMORIA DEL SECRETARIO DEL TESORO I CRÉDITO NACIONAL  1880</t>
  </si>
  <si>
    <t>Por vijencias</t>
  </si>
  <si>
    <t xml:space="preserve">Aduans </t>
  </si>
  <si>
    <t>Vijencia de 1877 a 1878</t>
  </si>
  <si>
    <t>Total vijencias anteriores</t>
  </si>
  <si>
    <t>De los anteriores datos se deduce lo siguiente:</t>
  </si>
  <si>
    <t>Créditos reconocidos a favor del Tesoro, correspondientes a la vijencia de 1877 a 1878</t>
  </si>
  <si>
    <t>Cómputos lejislativos del Presupuesto de Rentas de la misma vijencia</t>
  </si>
  <si>
    <t>Diferencia en mas de lo calculado                                                                       $</t>
  </si>
  <si>
    <t>Del anterior total hai que deducir los saldos que quedaron por pagarse, los cuales montan la suma de</t>
  </si>
  <si>
    <t>Diferencia                                 $</t>
  </si>
  <si>
    <t>Se hicieron, ademas, los siguientes pagos:</t>
  </si>
  <si>
    <t>Gastos por anticipacion, i que no fueron legalizados en el primer año de la vijencia</t>
  </si>
  <si>
    <t>Por cuenta de vijencias económicas espiradas</t>
  </si>
  <si>
    <t>Por cuenta de emprésitos</t>
  </si>
  <si>
    <t>Abono al capital de la Deuda esterior</t>
  </si>
  <si>
    <t>Amortizacion de la Deuda interior i flotante</t>
  </si>
  <si>
    <t>Gastos hechos por algunos responsables del Erario que no han rendido sus cuentas (aproximacion)</t>
  </si>
  <si>
    <t>Recapitulando los datos anteriores, correspondientes a la vijencia de 1877 a 1878, se obtendrá el siguiente  resultado:</t>
  </si>
  <si>
    <t>Ingresos por rentas ordinarias                         $</t>
  </si>
  <si>
    <t>Existencias en Caja i Cartera al principiar la vijencia</t>
  </si>
  <si>
    <t>Egresos según el pormenor espresado arriba</t>
  </si>
  <si>
    <t>Diferencia                               $</t>
  </si>
  <si>
    <t>Que representa las existencias en Caja i Cartera al terminar la vijencia de 1877 a 1878.</t>
  </si>
  <si>
    <t>CUADRO No.3</t>
  </si>
  <si>
    <t>RENTAS DE LA VIJENCIA ECONOMICA DE 1878 A 1879.</t>
  </si>
  <si>
    <t>Peaje del Magdalena</t>
  </si>
  <si>
    <t>Del anterior total quedó por recaudar la suma de                                      $</t>
  </si>
  <si>
    <t>Diferencia                                $</t>
  </si>
  <si>
    <t>Ingresaron tambien las siguientes sumas durante la vijencia a que me refiero, a saber:</t>
  </si>
  <si>
    <t>Recaudos obtenidos pertenecientes a vijencias anteriores                             $</t>
  </si>
  <si>
    <t>Emprésitos del Banco de Bogotá</t>
  </si>
  <si>
    <t>El total de las Rentas presupuestas asciende a</t>
  </si>
  <si>
    <t>I las que se reconocieron a favor del Tesoro, según los cálculos precedentes, a</t>
  </si>
  <si>
    <t>Que proviene del aumento de las rentas de Aduanas, Correos, Ferrocarril de Bolivar, Salinas e Ingresos varios.</t>
  </si>
  <si>
    <t>GASTOS DE LA VIJENCIA ECONOMICA DE 1878 A 1879.</t>
  </si>
  <si>
    <t>Agricultura nacional</t>
  </si>
  <si>
    <t>Tambien se cubrieron los siguientes créditos:</t>
  </si>
  <si>
    <t xml:space="preserve">A cuenta de saldos correspondientes a vijencias económicas espiradas </t>
  </si>
  <si>
    <t>Por cuenta de emprésitos.</t>
  </si>
  <si>
    <t>Por descuentos</t>
  </si>
  <si>
    <t xml:space="preserve">Al anterior total hai que agregar los gastos hechos por los habilitados de la Guardia Colombiana i demas empleados que no han rendido sus cuentas, los cuales ascienden a </t>
  </si>
  <si>
    <t>Suma                                  $</t>
  </si>
  <si>
    <t>En vista de los anteriores datos se obtiene el siguiente resultado:</t>
  </si>
  <si>
    <t>Existencia en Caja i Cartera al principiar la vijencia</t>
  </si>
  <si>
    <t>Egresos</t>
  </si>
  <si>
    <t>Que representa las existencias en Caja i Cartera al espirar la vijencia de 1878 a 1879.</t>
  </si>
  <si>
    <t>CUADRO No.5</t>
  </si>
  <si>
    <t>PENSIONES 1880</t>
  </si>
  <si>
    <t xml:space="preserve">Cantidad. </t>
  </si>
  <si>
    <t>Pension Mensual.</t>
  </si>
  <si>
    <t>Pension Anual.</t>
  </si>
  <si>
    <t>Militares de la Independencia</t>
  </si>
  <si>
    <t>Depósito de invalidos</t>
  </si>
  <si>
    <t>Invalidos a quienes se les concedió temporalmente la pension, con la obligacion de comprobar anual o mensualmente su invalidez; formalidad que han omitido, i por tanto se han borrado del cuadro jeneral de inválidos, no obstante que algunos de ellos puedan comprobar el derecho a seguir percibiendo pension del Tesoro.</t>
  </si>
  <si>
    <t>Relijiosas esclaustradas</t>
  </si>
  <si>
    <t>Asmililados a empleados civiles.</t>
  </si>
  <si>
    <t>Pensionados comunes.</t>
  </si>
  <si>
    <t>Concedidas por leyes especiales i por resoluciones ejecutivas.</t>
  </si>
  <si>
    <t>Pensionados fallecidos durante el año 1879, i de algunos a quienes les ha caducado su derecho por haber llegado a la mayor edad &amp;c.</t>
  </si>
  <si>
    <t>CUADRO No.6</t>
  </si>
  <si>
    <t>RESÚMEN DE LOS CUADROS DE PENSIONADOS</t>
  </si>
  <si>
    <t>CLASES.</t>
  </si>
  <si>
    <t>Depósito de inválidos</t>
  </si>
  <si>
    <t>Invalidez temporal que ha caducado para el caso que compueben seguir inválidos (aproximacion).</t>
  </si>
  <si>
    <t>Monjas esclaustradas</t>
  </si>
  <si>
    <t>Asimilados a empleados</t>
  </si>
  <si>
    <t>Depósito de pensionados comunes</t>
  </si>
  <si>
    <t>Totales                            $</t>
  </si>
  <si>
    <t>CUADRO No.7</t>
  </si>
  <si>
    <t>CUENTA de ordenacion de gastos de las Secretarías de Estado en toda la vijencia económica de 1877 a 1878.</t>
  </si>
  <si>
    <t>CAPÍTULOS DEL PRESUPUESTO.</t>
  </si>
  <si>
    <t>Créditos lejislativos i ejecutivos.</t>
  </si>
  <si>
    <t>Créditos reconocidos.</t>
  </si>
  <si>
    <t>Créditos pagados.</t>
  </si>
  <si>
    <t>Saldos anulados.</t>
  </si>
  <si>
    <t>Saldos por pagar.</t>
  </si>
  <si>
    <t>1º Senado de Plenipotenciarios (P).</t>
  </si>
  <si>
    <t>2º Senado de Plenipotenciarios (M).</t>
  </si>
  <si>
    <t>3º Cámara de Representantes (P).</t>
  </si>
  <si>
    <t>4º Cámara de Representantes (M).</t>
  </si>
  <si>
    <t>5º Viáticos de los miembros del Congreso</t>
  </si>
  <si>
    <t>6º Poder ejecutivo (P. i G. V. )</t>
  </si>
  <si>
    <t>7º Secretaría de lo Interior i Relaciones Esteriores (P)</t>
  </si>
  <si>
    <t>8º Id       id.      Id.     (M)</t>
  </si>
  <si>
    <t>9º Impresiones oficiales</t>
  </si>
  <si>
    <t>10. Gastos varios imprevistos</t>
  </si>
  <si>
    <t>11. Territorios nacionales (P)</t>
  </si>
  <si>
    <t>12. Alquiler de locales i útiles de escritorio para id</t>
  </si>
  <si>
    <t>13. Gastos varios en id</t>
  </si>
  <si>
    <t>Sumas                       $</t>
  </si>
  <si>
    <t>1º Corte Suprema federal (P)</t>
  </si>
  <si>
    <t>2º Corte Suprema federal (M)</t>
  </si>
  <si>
    <t>3º Ministerio público (P)</t>
  </si>
  <si>
    <t>4º Ministerio público (M)</t>
  </si>
  <si>
    <t>5º Establecimientos de castigo</t>
  </si>
  <si>
    <t>6º Gastos varios</t>
  </si>
  <si>
    <t>1º Servicio diplómatico</t>
  </si>
  <si>
    <t>2º Servicio consular</t>
  </si>
  <si>
    <t>3º Gastos varios</t>
  </si>
  <si>
    <t>4º Gastos varios imprevistos</t>
  </si>
  <si>
    <t>1º Universidad nacional (P i G. V)</t>
  </si>
  <si>
    <t>2º Instrucción primaria (P. i M)</t>
  </si>
  <si>
    <t>Único. Gastos varios</t>
  </si>
  <si>
    <t>Suma                        $</t>
  </si>
  <si>
    <t>DEPARTAMENTO DE GUERRA.</t>
  </si>
  <si>
    <t>1º Secretaría de Guerra i Marina (P)</t>
  </si>
  <si>
    <t>2º Secretaría de Guerra i Marina (M)</t>
  </si>
  <si>
    <t>3º Sueldos de actividad de la Guardia Colombiana</t>
  </si>
  <si>
    <t>4º Guardia Colombiana (M)</t>
  </si>
  <si>
    <t>5º Hospitales militares</t>
  </si>
  <si>
    <t>6º Guarda - parques (P i M)</t>
  </si>
  <si>
    <t>7º Gastos varios</t>
  </si>
  <si>
    <t>1º Administraciones principales i subalternas de Hacienda nacional (P)</t>
  </si>
  <si>
    <t>2º Administraciones principales i subalternas de Hacienda nacional (M)</t>
  </si>
  <si>
    <t>3º Transporte de correspondencia i encomiendas (P)</t>
  </si>
  <si>
    <t>4º Transporte de correspondencia i encomiendas (M)</t>
  </si>
  <si>
    <t>5º Transporte de correspondencia i encomiendas (G. V.)</t>
  </si>
  <si>
    <t>7º Telégrafos (P)</t>
  </si>
  <si>
    <t>8º Telégrafos (M)</t>
  </si>
  <si>
    <t>1º Secretaría de Hacienda i Fomento (personal)</t>
  </si>
  <si>
    <t>2º Id.     id.      Id.(material)</t>
  </si>
  <si>
    <t>3º Aduanas (personal)</t>
  </si>
  <si>
    <t>4º     Id.   (material)</t>
  </si>
  <si>
    <t>5º     Id.   (gastos varios)</t>
  </si>
  <si>
    <t>6º Intérpretes (personal)</t>
  </si>
  <si>
    <t>7º Administraciones de Salinas (P)</t>
  </si>
  <si>
    <t>8º Id       id,  (material i gastos v.)</t>
  </si>
  <si>
    <t>9º Monedas (personal)</t>
  </si>
  <si>
    <t>10. Id. (material)</t>
  </si>
  <si>
    <t>11. Resguardo de rentas</t>
  </si>
  <si>
    <t>12. Restituciones</t>
  </si>
  <si>
    <t>13. Gastos varios previstos e imprevistos</t>
  </si>
  <si>
    <t>ÚNICO. Gastos varios</t>
  </si>
  <si>
    <t>DEPARTAMENTO DE DEUDA NACIONAL.</t>
  </si>
  <si>
    <t>1º Deuda esterior</t>
  </si>
  <si>
    <t>2º Amortizacion de la deuda interior</t>
  </si>
  <si>
    <t>3º Renta nominal privilejiada</t>
  </si>
  <si>
    <t>4º Renta nominal comun</t>
  </si>
  <si>
    <t>5º Pensiones privilejiadas</t>
  </si>
  <si>
    <t>6º Pensiones comunes</t>
  </si>
  <si>
    <t>1º Secretaría del Tesoro i Crédito nacional (P)</t>
  </si>
  <si>
    <t>2º Id. Id. Id (M)</t>
  </si>
  <si>
    <t>3º Oficina jeneral de Cuentas (P)</t>
  </si>
  <si>
    <t>4º Id. Id. Id. (M)</t>
  </si>
  <si>
    <t>5º Tesorería jeneral (P)</t>
  </si>
  <si>
    <t>6º Id. Id. (M)</t>
  </si>
  <si>
    <t>7º Gastos varios estraordinarios</t>
  </si>
  <si>
    <t>1º Ajencias subalternas de Bienes desamortizados (P)</t>
  </si>
  <si>
    <t>2º Bienes desamortizados (M)</t>
  </si>
  <si>
    <t>4º Ajencias principales de Bienes desamortizados (P)</t>
  </si>
  <si>
    <t>DEPARTAMENTO DE OBRAS PUBLICAS.</t>
  </si>
  <si>
    <t>1º Edificios de la Nacion</t>
  </si>
  <si>
    <t>2º Gastos varios</t>
  </si>
  <si>
    <t>RESÚMEN de las cuentas de ordenacion de gastos de las Secretarias de Estado en toda la vijencia económica de 1877 a 1878.</t>
  </si>
  <si>
    <t>SECRETARÍA DE LO INTERIOR I RELACIONES ESTERIORES.</t>
  </si>
  <si>
    <t xml:space="preserve">Departamento de lo Interior </t>
  </si>
  <si>
    <t xml:space="preserve">Departamento de Justicia </t>
  </si>
  <si>
    <t xml:space="preserve">Departamento de Relaciones Esteriores </t>
  </si>
  <si>
    <t xml:space="preserve">Departamento de Instrucción Pública </t>
  </si>
  <si>
    <t xml:space="preserve">Departamento de Beneficiencia i recompensas </t>
  </si>
  <si>
    <t>SECRETARÍA DE GUERRA I MARINA.</t>
  </si>
  <si>
    <t xml:space="preserve">Departamento de Guerra </t>
  </si>
  <si>
    <t xml:space="preserve">Departamento de Correos </t>
  </si>
  <si>
    <t>SECRETARÍA DE HACIENDA I FOMENTO.</t>
  </si>
  <si>
    <t xml:space="preserve">Departamento de Gastos de Hacienda </t>
  </si>
  <si>
    <t xml:space="preserve">Departamento de Fomento </t>
  </si>
  <si>
    <t>SECRETARÍA DEL TESORO I CRÉDITO NACIONAL.</t>
  </si>
  <si>
    <t xml:space="preserve">Departamento del Tesoro </t>
  </si>
  <si>
    <t xml:space="preserve">Departamento de bienes desamortizados </t>
  </si>
  <si>
    <t xml:space="preserve">Departamento de obras publicas </t>
  </si>
  <si>
    <t>Totales                                $</t>
  </si>
  <si>
    <t>CUADRO No.8</t>
  </si>
  <si>
    <t>CUENTA de ordenacion de gastos de las Secretarías de Estado, correspondiente a un año de la vijencia económica de 1878 a 1879.</t>
  </si>
  <si>
    <t>Saldos disponibles.</t>
  </si>
  <si>
    <t xml:space="preserve"> </t>
  </si>
  <si>
    <t>12. Territorios nacionales</t>
  </si>
  <si>
    <t>13. Territorios nacionales (gastos varios)</t>
  </si>
  <si>
    <t>12. Ferrocarril i telégrafo de Bolívar i embarcaciones de propiedad nacional (personal)</t>
  </si>
  <si>
    <t>13. Id,   id.    Id.  (material)</t>
  </si>
  <si>
    <t>14. Restituciones</t>
  </si>
  <si>
    <t>15. Gastos varios previstos e imprevistos</t>
  </si>
  <si>
    <t>16. Inspeccion de marina fluvial</t>
  </si>
  <si>
    <t>DEPARTAMENTO DE AGRICULTURA NACIONAL.</t>
  </si>
  <si>
    <t>RESÚMEN de las cuentas de ordenacion de gastos de las Secretarias de Estado en año de vijencia económica de 1877 a 1878.</t>
  </si>
  <si>
    <t xml:space="preserve">Departamento de Agricultura nacional </t>
  </si>
  <si>
    <t>MEMORIA DEL SECRETARIO DE HACIENDA I FOMENTO 1880</t>
  </si>
  <si>
    <t>Rentas nacionales  1878 - 1879</t>
  </si>
  <si>
    <t>1. Aduanas</t>
  </si>
  <si>
    <t>2. Salinas</t>
  </si>
  <si>
    <t>3. Bienes nacionales</t>
  </si>
  <si>
    <t>4. Empresa de Ferrocarril de Panamá</t>
  </si>
  <si>
    <t>5. Empresa de Ferrocarril de Bolívar</t>
  </si>
  <si>
    <t>6. Embarcaciones de propiedad nacional</t>
  </si>
  <si>
    <t>7. Bienes desamortizados</t>
  </si>
  <si>
    <t>8. Amonedacion</t>
  </si>
  <si>
    <t>9. Correos</t>
  </si>
  <si>
    <t>10. Telégrafos</t>
  </si>
  <si>
    <t>11. Ingresos varios (por alcances y reintegros)</t>
  </si>
  <si>
    <t>12. Emprésitos, contribuciones de guerra y devolucion de fincas raíces</t>
  </si>
  <si>
    <t>13. Peaje de Magdalena</t>
  </si>
  <si>
    <t xml:space="preserve">                                                                                $</t>
  </si>
  <si>
    <t>Producto en Telégrafos 1877 a 1878                                                  $</t>
  </si>
  <si>
    <t>Producto en Telégrafos 1878 a 1879                                                  $</t>
  </si>
  <si>
    <t>Producto Casa de Moneda en Bogotá</t>
  </si>
  <si>
    <t>Producto Casa de Moneda en Popayan</t>
  </si>
  <si>
    <t>Producto en Salinas 1877 a 1878                           $</t>
  </si>
  <si>
    <t>Producto en Salinas 1878 a 1879                           $</t>
  </si>
  <si>
    <t>Renta de Aduanas 1877 a 1878                                        $</t>
  </si>
  <si>
    <t>Renta de Aduanas 1878 a 1879                                        $</t>
  </si>
  <si>
    <t>PRODUCTO ADUANAS AÑO 1877 A 1878 - 1878 A 1879.</t>
  </si>
  <si>
    <t>PRODUCTO EN 1877 Á  1878.</t>
  </si>
  <si>
    <t>PRODUCTO EN 1878 Á  1879.</t>
  </si>
  <si>
    <t>AUMENTO EN 1878 Á 1879</t>
  </si>
  <si>
    <t>DISMINUCION EN 1878 Á 1879</t>
  </si>
  <si>
    <t>Aumento en 1878 á 1879 en 100 unidades.</t>
  </si>
  <si>
    <t>Disminucion en 1878 á 1879 en 100 unidades.</t>
  </si>
  <si>
    <t>Cartagena</t>
  </si>
  <si>
    <t>Santa Marta</t>
  </si>
  <si>
    <t>Movimiento del comercio de importacion, en cuanto se relaciona con la tarifa.</t>
  </si>
  <si>
    <t>Kilogramos.</t>
  </si>
  <si>
    <t>1ª clase</t>
  </si>
  <si>
    <t>2ª  id.</t>
  </si>
  <si>
    <t>3ª  id.</t>
  </si>
  <si>
    <t>4ª  id.</t>
  </si>
  <si>
    <t>5ª  id.</t>
  </si>
  <si>
    <t>PORMENOR DE PRODUCTOS Y GASTOS.</t>
  </si>
  <si>
    <t>TANTO POR 100 DEL GASTO DE PRODUCCION.</t>
  </si>
  <si>
    <t>Chita y Muneque</t>
  </si>
  <si>
    <t>Almacen en Santa Rosa</t>
  </si>
  <si>
    <t>Cumaral y Upin</t>
  </si>
  <si>
    <t>DISTRIBUCION DE LAS CONTRIBUCIONES</t>
  </si>
  <si>
    <t>CONTRABACION DE ADUANAS.</t>
  </si>
  <si>
    <t>CONTRIBUCION DE SALINAS.</t>
  </si>
  <si>
    <t>TOTAL DE CONTRIBUCIONES.</t>
  </si>
  <si>
    <t>Totales                      $</t>
  </si>
  <si>
    <t xml:space="preserve">CUADRO No. 6 </t>
  </si>
  <si>
    <t>MOVIMIENTO DEL COMERCIO ESTERIOR</t>
  </si>
  <si>
    <t>RELACIONADO CON TODAS LAS ADUANAS.*</t>
  </si>
  <si>
    <t>1878 Á 1879</t>
  </si>
  <si>
    <t>EMBARCACIONES.</t>
  </si>
  <si>
    <t>PESO DE LAS MERCADERÍAS.</t>
  </si>
  <si>
    <t>HAN ENTRADO.</t>
  </si>
  <si>
    <t>HAN SALIDO.</t>
  </si>
  <si>
    <t>IMPORTADOS.</t>
  </si>
  <si>
    <t>ESPORTADOS.</t>
  </si>
  <si>
    <t>IMPORTADAS.</t>
  </si>
  <si>
    <t>ANIMALES VIVOS.</t>
  </si>
  <si>
    <t>ESPORTADAS.</t>
  </si>
  <si>
    <t>DE VELA.</t>
  </si>
  <si>
    <t>DE VAPOR.</t>
  </si>
  <si>
    <t>ANIMALES.</t>
  </si>
  <si>
    <t>MINERALES.</t>
  </si>
  <si>
    <t>VEJETALES.</t>
  </si>
  <si>
    <t>MANUFACTURAS</t>
  </si>
  <si>
    <t>Gmos.</t>
  </si>
  <si>
    <t>kmos.</t>
  </si>
  <si>
    <t>Carlosama (a)</t>
  </si>
  <si>
    <t>* Los elementos de este cuadro son los datos mensuales remitidos por las respectivas Aduanas.</t>
  </si>
  <si>
    <t>(a) No se han recibido datos de la Aduana de Carlosama.</t>
  </si>
  <si>
    <t xml:space="preserve">CUADRO No. 7 </t>
  </si>
  <si>
    <t>PRODUCTO BRUTO DE LAS ADUANAS DE LA UNION</t>
  </si>
  <si>
    <t>EN EL AÑO ECONÓMICO DE 1877 A 1878, COMPARADO CON EL AÑO DE 1878 A 1879.</t>
  </si>
  <si>
    <t>1877 a 1878.</t>
  </si>
  <si>
    <t>1878 a 1879.</t>
  </si>
  <si>
    <t>Totales        $</t>
  </si>
  <si>
    <t>MEMORIA DEL SECRETARIO DE HACIENDA I FOMENTO 1881</t>
  </si>
  <si>
    <t>PRODUCTO DE LAS RENTAS I CONTRIBUCIONES EN EL AÑO 1879 A 1880</t>
  </si>
  <si>
    <t>Amonedación</t>
  </si>
  <si>
    <t>Peaje en el Magdalena</t>
  </si>
  <si>
    <t>Derecho de internacion de sal</t>
  </si>
  <si>
    <t>Peajes de los rios navegables</t>
  </si>
  <si>
    <t>Total                                 $</t>
  </si>
  <si>
    <t>DIFERENCIAS EN LAS RENTAS, EN CUANTO A AUMENTO O DISMINUCION, EN EL AÑO ECONÓMICO DE 1879 A 1880 COMPARADO CON EL DE 1878 A 1879.</t>
  </si>
  <si>
    <t xml:space="preserve">RENTAS. </t>
  </si>
  <si>
    <t>AÑO de 1878 a 1879. -- PRODUCTOS.</t>
  </si>
  <si>
    <t>AÑO de 1879 a 1880. -- PRODUCTOS.</t>
  </si>
  <si>
    <t>DIFERENCIA.</t>
  </si>
  <si>
    <t>Embarcaciones de propiedad nacional</t>
  </si>
  <si>
    <t>Emprésitos, contribuciones de guerra, &amp;.ª</t>
  </si>
  <si>
    <t xml:space="preserve">PRODUCTO ADUANAS AÑO 1878 A 1879 - 1879 A 1880 </t>
  </si>
  <si>
    <t>PRODUCTO EN 1879 Á  1880.</t>
  </si>
  <si>
    <t>AUMENTO EN 1879 Á 1880</t>
  </si>
  <si>
    <t>DISMINUCION EN 1879 Á 1880</t>
  </si>
  <si>
    <t>TANTO por 100 de aumento en 1879 á 1880.</t>
  </si>
  <si>
    <t>TANTO por 100 de disminucion en 1879 á 1880.</t>
  </si>
  <si>
    <t>PRODUCTO DE ADUANAS DE LOS ÚLTIMOS DIEZ I SEIS AÑOS.</t>
  </si>
  <si>
    <t>De 1864 a 1865</t>
  </si>
  <si>
    <t>De 1865 a 1866</t>
  </si>
  <si>
    <t>De 1866 a 1867</t>
  </si>
  <si>
    <t>De 1867 a 1868</t>
  </si>
  <si>
    <t>De 1868 a 1869</t>
  </si>
  <si>
    <t>De 1869 a 1870</t>
  </si>
  <si>
    <t>De 1870 a 1871</t>
  </si>
  <si>
    <t>De 1871 a 1872</t>
  </si>
  <si>
    <t>De 1872 a 1873</t>
  </si>
  <si>
    <t>De 1873 a 1874</t>
  </si>
  <si>
    <t>De 1874 a 1875</t>
  </si>
  <si>
    <t>De 1875 a 1876</t>
  </si>
  <si>
    <t>De 1876 a 1877</t>
  </si>
  <si>
    <t>De 1877 a 1878</t>
  </si>
  <si>
    <t>De 1878 a 1879</t>
  </si>
  <si>
    <t>De 1879 a 1880</t>
  </si>
  <si>
    <t>DESCOMPOSICION POR OFICINAS DE LAS SUMA INVERTIDA EN LA ADMINISTRACION DE LA RENTA.</t>
  </si>
  <si>
    <t>MATERIAL</t>
  </si>
  <si>
    <t>PERSONAL</t>
  </si>
  <si>
    <t>RESTITUCIONES I GASTOS VARIOS.</t>
  </si>
  <si>
    <t>TOTAL JENERAL.</t>
  </si>
  <si>
    <t>SUELDOS DE LOS EMPLEADOS DE LA ADMINISTRACION.</t>
  </si>
  <si>
    <t>SUELDOS DEL RESGUARDO.</t>
  </si>
  <si>
    <t>TOTAL DE LOS GASTOS DE PERSONAL.</t>
  </si>
  <si>
    <t>Fijos.</t>
  </si>
  <si>
    <t>Eventles.</t>
  </si>
  <si>
    <t>CLASES DE MERCADERÍAS IMPORTADAS EN LOS AÑOS 1878 A 1879</t>
  </si>
  <si>
    <t>PERÍODOS</t>
  </si>
  <si>
    <t>En 1873 a 1874</t>
  </si>
  <si>
    <t>En 1878 a 1879</t>
  </si>
  <si>
    <t>En 1879 a 1880</t>
  </si>
  <si>
    <t xml:space="preserve">SALINAS NACIONALES </t>
  </si>
  <si>
    <t>1869 a 1870</t>
  </si>
  <si>
    <t>1870 a 1871</t>
  </si>
  <si>
    <t>1871 a 1872</t>
  </si>
  <si>
    <t>1872 a 1873</t>
  </si>
  <si>
    <t>1873 a 1874</t>
  </si>
  <si>
    <t>Garmos.</t>
  </si>
  <si>
    <t>Compactada</t>
  </si>
  <si>
    <t>Vijua</t>
  </si>
  <si>
    <t>Caldero</t>
  </si>
  <si>
    <t>Precios de la Sal</t>
  </si>
  <si>
    <t>CUADRO No.9</t>
  </si>
  <si>
    <t>PORMENOR DE PRODUCTOS I GASTOS. 1879 a 1880</t>
  </si>
  <si>
    <t>Almacen en Santarosa</t>
  </si>
  <si>
    <t>Almacen en Vélez</t>
  </si>
  <si>
    <t>Cunural i Upin</t>
  </si>
  <si>
    <t>Totales                               $</t>
  </si>
  <si>
    <t>CUADRO No.10</t>
  </si>
  <si>
    <t>Cuadro comparativo del movimiento de la especie i de los caudales en las distintas Administraciones de la renta en los años de 1878 a 1879, i 1879 a 1880.</t>
  </si>
  <si>
    <t>AÑO DE 1878 A 1879.</t>
  </si>
  <si>
    <t>AÑO DE 1879 A 1880.</t>
  </si>
  <si>
    <t>PRODUCTOS EN  1878 A 1879.</t>
  </si>
  <si>
    <t>PRODUCTOS EN  1879 A 1880.</t>
  </si>
  <si>
    <t>En los almacenes oficiales</t>
  </si>
  <si>
    <t>CUADRO No.11</t>
  </si>
  <si>
    <t>RESUMEN del producto de todas las Aduanas por meses en el año económico de 1879 a 1880.</t>
  </si>
  <si>
    <t>MESES.</t>
  </si>
  <si>
    <t>RECARGOS Y MULTAS</t>
  </si>
  <si>
    <t>DERECHO DE TONELADAS.</t>
  </si>
  <si>
    <t>DERECHO DE LASTRE.</t>
  </si>
  <si>
    <t>DERECHO DE ALMACENAJE.</t>
  </si>
  <si>
    <t>PREMIOS I APROVECHAMIENTOS</t>
  </si>
  <si>
    <t>NACIONALIZACION DE BUQUES.</t>
  </si>
  <si>
    <t>Cantidades que han producido, ademas de los derechos, los remates de mercancías dejadas en pago de ellos.</t>
  </si>
  <si>
    <t>PRODUCTO DE COMISOS.</t>
  </si>
  <si>
    <t>INGRESOS VARIOS.</t>
  </si>
  <si>
    <t>DERECHO DE FARO.</t>
  </si>
  <si>
    <t>ALCANCES.</t>
  </si>
  <si>
    <t>ESCESO DE EQUIPAJE.</t>
  </si>
  <si>
    <t>Saldo de los derechos de importacion recaudados por los revolucionarios de 1877.</t>
  </si>
  <si>
    <t>TOTAL DE LOS PRODUCTOS.</t>
  </si>
  <si>
    <t>EN SUSPENSO</t>
  </si>
  <si>
    <t>DEDUCCIONES POR AVERÍA I RESTITUCIONES.</t>
  </si>
  <si>
    <t xml:space="preserve">Ps. </t>
  </si>
  <si>
    <t>CUADRO No.12</t>
  </si>
  <si>
    <t>RESUMEN del producto de  las Aduanas con espresion de los correspondientes a cada mes.</t>
  </si>
  <si>
    <t>1879 A 1880</t>
  </si>
  <si>
    <t>RESUMEN del movimiento del comercio esterior relacionado con todal las Aduanas.</t>
  </si>
  <si>
    <t>(1879 a 1880.)</t>
  </si>
  <si>
    <t>HAN ENTRADO</t>
  </si>
  <si>
    <t>HAN SALIDO</t>
  </si>
  <si>
    <t>IMPORTADOS</t>
  </si>
  <si>
    <t>ESPORTADOS</t>
  </si>
  <si>
    <t>Animales vivos.</t>
  </si>
  <si>
    <t>Animales.</t>
  </si>
  <si>
    <t>Minerales.</t>
  </si>
  <si>
    <t>Vejetales.</t>
  </si>
  <si>
    <t>Manufacturas.</t>
  </si>
  <si>
    <t>Números.</t>
  </si>
  <si>
    <t>* De esta Aduana no se han recibido datos.</t>
  </si>
  <si>
    <t>MEMORIA DEL SECRETARIO DEL TESORO   1881</t>
  </si>
  <si>
    <t>Las rentas reconocidas i recaudadas i los gastos reconocidos i hechos por anticipacion en los años de 1874 a 1880.</t>
  </si>
  <si>
    <t>DÉFICIT</t>
  </si>
  <si>
    <t>Rentas reconocidas i recaudadas.</t>
  </si>
  <si>
    <t>Gastos reconocidos i hechos por anticipacion.</t>
  </si>
  <si>
    <t>1874 a 1875</t>
  </si>
  <si>
    <t>1875 a 1876</t>
  </si>
  <si>
    <t>1876 a 1877</t>
  </si>
  <si>
    <t>1877 a 1878</t>
  </si>
  <si>
    <t>1878 a 1879</t>
  </si>
  <si>
    <t>1879 a 1880</t>
  </si>
  <si>
    <t>PRESUPUESTOS LIQUIDADOS EN LAS SIGUIENTES VIJENCIAS ECONÓMICAS.</t>
  </si>
  <si>
    <t>MENSUAL.</t>
  </si>
  <si>
    <t>ANUAL.</t>
  </si>
  <si>
    <t>Depósitos de militares de la Independencia i viudas o huérfanos de los mismos</t>
  </si>
  <si>
    <t>Id.  de inválidos</t>
  </si>
  <si>
    <t>Un asimilado a empleado</t>
  </si>
  <si>
    <t>Varias pensiones privilejiadas</t>
  </si>
  <si>
    <t>Pensionados comunes</t>
  </si>
  <si>
    <t>COMPARACION CON LOS CUADROS DEL AÑO ANTERIOR.</t>
  </si>
  <si>
    <t>Año de 1880 a 1881</t>
  </si>
  <si>
    <t>Diferencia en mas para 1881 a 1882                   $</t>
  </si>
  <si>
    <t>Pensiones concedidas por leyes especiales, por sentencias de Corte Suprema federal i resoluciones ejecutivas</t>
  </si>
  <si>
    <t>Pensiones que han fallecido durante el año 1880, otros a quienes les ha caducado el derecho i otros de cuya existencia se duda.</t>
  </si>
  <si>
    <t>Diferencia en contra del Tesoro           $</t>
  </si>
  <si>
    <t>Bogotá, 10 de diciembre de 1880.</t>
  </si>
  <si>
    <t>CUENTA de ordenacion de gastos de las Secretarías de Estado, en toda la vijencia económica de 1878 a 1879.</t>
  </si>
  <si>
    <t>12. Alquiler de locales i útiles de escritorio para id.</t>
  </si>
  <si>
    <t>5º Transporte de correspondencia i Gastos Varios</t>
  </si>
  <si>
    <t>8º Gastos varios</t>
  </si>
  <si>
    <t xml:space="preserve">Departamento de Bienes desamortizados </t>
  </si>
  <si>
    <t xml:space="preserve">Departamento de Obras publicas </t>
  </si>
  <si>
    <t>CUENTA de ordenacion de gastos de las Secretarías de Estado, en toda la vijencia económica de 1879 a 1880.</t>
  </si>
  <si>
    <t>DEPARTAMENTO DE POLÍTICA INTERIOR.</t>
  </si>
  <si>
    <t>6º Poder ejecutivo (P)</t>
  </si>
  <si>
    <t>7º Poder ejecutivo (M)</t>
  </si>
  <si>
    <t>8º Secretaría de lo Interior i Relaciones Esteriores (P)</t>
  </si>
  <si>
    <t>9º Id       id.      Id.     (M)</t>
  </si>
  <si>
    <t>10º Impresiones oficiales</t>
  </si>
  <si>
    <t>11. Gastos varios imprevistos</t>
  </si>
  <si>
    <t>12. Inspeccion de la navegacion fluvial</t>
  </si>
  <si>
    <t>13. Id de Aduanas i Marina</t>
  </si>
  <si>
    <t>7º Poder Judicial de los Territorios</t>
  </si>
  <si>
    <t>DEPARTAMENTO DE TERRITORIOS NACIONALES.</t>
  </si>
  <si>
    <t>1º Territorios nacionales.(P)</t>
  </si>
  <si>
    <t>2º Id.     id.      Id.(M)</t>
  </si>
  <si>
    <t>3º Id.     Id.      Id.(G.V)</t>
  </si>
  <si>
    <t>1º Secretaría de Relaciones Esteriores (P.)</t>
  </si>
  <si>
    <t>3º Servicio diplomatico</t>
  </si>
  <si>
    <t>4º Servicio consular</t>
  </si>
  <si>
    <t>5º Intérpretes públicos (P.)</t>
  </si>
  <si>
    <t>7º Gastos varios imprevistos</t>
  </si>
  <si>
    <t>1º Secretaría de Guerra (Personal)</t>
  </si>
  <si>
    <t>2º Secretaría de Guerra  (M)</t>
  </si>
  <si>
    <t>8º Escuela náutica o de pilotaje</t>
  </si>
  <si>
    <t>1º Secretaría del Tesoro  (Personal)</t>
  </si>
  <si>
    <t>2º Deuda interior</t>
  </si>
  <si>
    <t>1ºBienes desamortizados (Personal)</t>
  </si>
  <si>
    <t>16. Inspeccion de la navegacion fluvial</t>
  </si>
  <si>
    <t>17. Id. de Aduanas i marina.</t>
  </si>
  <si>
    <t>1º Comisaría de la Agricultura nacional</t>
  </si>
  <si>
    <t>2º Instrucion pública de Agricultura</t>
  </si>
  <si>
    <t>3º Enseñanza objetiva</t>
  </si>
  <si>
    <t>RESÚMEN de las cuentas de ordenacion de gastos de las Secretarias de Estado en el primer año de vijencia económica de 1879 a 1880.</t>
  </si>
  <si>
    <t>SECRETARÍA DE GOBIERNO</t>
  </si>
  <si>
    <t xml:space="preserve">Departamento de Política Interior </t>
  </si>
  <si>
    <t xml:space="preserve">Departamento de Territorios nacionales </t>
  </si>
  <si>
    <t>SECRETARÍA DE RELACIONES ESTERIORES.</t>
  </si>
  <si>
    <t>Departamento de Guerra  i Marina</t>
  </si>
  <si>
    <t>SECRETARÍA DEL TESORO.</t>
  </si>
  <si>
    <t>SECRETARÍA DE HACIENDA .</t>
  </si>
  <si>
    <t>SECRETARÍA DE FOMENTO.</t>
  </si>
  <si>
    <t>MEMORIA DEL SECRETARIO DE HACIENDA 1881</t>
  </si>
  <si>
    <t>PRODUCTO DE LAS RENTAS. Año de 1880 a 1881.</t>
  </si>
  <si>
    <t>Ferrocarril de Bolívar i embarcaciones anexas</t>
  </si>
  <si>
    <t>Correos  *</t>
  </si>
  <si>
    <t>Impuesto fluvial en el Magdalena</t>
  </si>
  <si>
    <t>Internacion de sal</t>
  </si>
  <si>
    <t>Pasajes de rios navegables</t>
  </si>
  <si>
    <t>Suman                             $</t>
  </si>
  <si>
    <t>* Este producto se refiere solo a la Administracion jeneral de correos i a las Administraciones principales de Popayan, Ibagué i Neiva, - únicos datos que se han obtenido en la Secretaría de Fomento.</t>
    <phoneticPr fontId="0" type="noConversion"/>
  </si>
  <si>
    <t>Productos jenerales de las renta de Aduanas en el período fiscal de 1877 a 1881.</t>
  </si>
  <si>
    <t>1880 a 1881</t>
  </si>
  <si>
    <t>Total                                      $</t>
  </si>
  <si>
    <t>Gastos de Aduana durante el último año económico.</t>
  </si>
  <si>
    <t>SUELDOS DE LOS EMPLEADOS DE LAS ADUANAS.</t>
  </si>
  <si>
    <t>GASTOS VARIOS.</t>
  </si>
  <si>
    <t>FIJOS</t>
  </si>
  <si>
    <t>EVENTUALES</t>
  </si>
  <si>
    <t>Ipíales</t>
  </si>
  <si>
    <t>GASTOS DE ADUANAS.</t>
  </si>
  <si>
    <t>1861 a 1862</t>
  </si>
  <si>
    <t>1862 a 1863</t>
  </si>
  <si>
    <t>1863 a 1864</t>
  </si>
  <si>
    <t>PRESUPUESTO DE GASTOS PARA LOS AÑOS ECONÓMICOS DE 1865 A 1875</t>
  </si>
  <si>
    <t>Tumaco (Barbacóas)</t>
  </si>
  <si>
    <t>Por el árticulo 27 del Código Fiscal, el Poder Ejecutivo tiene facultad para elevar dichas cuotas hasta con uno por ciento, i disminuirlas despues de fijadas, dentro de los límites legales, cuando lo era conveniente.</t>
  </si>
  <si>
    <t>Hoy dichas cuotas estás fijadas como sigue:</t>
  </si>
  <si>
    <t>1 por ciento  de producto bruto.</t>
  </si>
  <si>
    <t xml:space="preserve">2          id.                id.            id. </t>
  </si>
  <si>
    <t xml:space="preserve">4 1/2   id.                id.            id. </t>
  </si>
  <si>
    <t xml:space="preserve">5          id.                id.            id. </t>
  </si>
  <si>
    <t xml:space="preserve">8          id.                id.            id. </t>
  </si>
  <si>
    <t>Ipiáles</t>
  </si>
  <si>
    <t xml:space="preserve">15        id.                id.            id. </t>
  </si>
  <si>
    <t>Mocoa</t>
  </si>
  <si>
    <t>VALORES IMPORTADOS I LOS ESPORTADOS.</t>
  </si>
  <si>
    <t>AÑOS ECONÓMICOS.</t>
  </si>
  <si>
    <t>ESPORTACIONES.</t>
  </si>
  <si>
    <t>IMPORTACIONES.</t>
  </si>
  <si>
    <t>DIFERENCIAS A FAVOR DE LAS ESPORTACIONES.</t>
  </si>
  <si>
    <t>Suma                   $</t>
  </si>
  <si>
    <t>MERCADERÍAS IMPORTADAS.</t>
  </si>
  <si>
    <t>RESUMEN, POR MESES, DEL MOVIMIENTO DEL COMERCIO ESTERIOR RELACIONADO CON TODAS LAS ADUANAS. AÑO ECONOMICO DE 1880 A 1881.</t>
  </si>
  <si>
    <t>6ª  CLASE. SAL.</t>
  </si>
  <si>
    <t>7ª CLASE. 25 por 100</t>
  </si>
  <si>
    <t>8ª CLASE.</t>
  </si>
  <si>
    <t>* En las cantidades marcadas con este signo no están incluidos los valores de lo importado  por la Aduana de Riohacha en los meses a que lo tienen, por no haber en la Secretaría de Hacienda el dato con separacion respecto de cada uno de éstos, sino en conjunto el de todos cuatro, que suman $</t>
  </si>
  <si>
    <t>RESUMEN DEL PRODUCTO DE TODAS LAS ADUANAS, POR MESES, EN EL AÑO ECONÓMICO DE 1880 A 1881.</t>
  </si>
  <si>
    <t>DERECHO DE TIMBRE NACIONAL.</t>
  </si>
  <si>
    <t>PRODUCTO  DE EQUIPAJES.</t>
  </si>
  <si>
    <t>Cantidades que han producido, ademas de los correspondientes derechos de importacion, los remates de mercancías dejadas en pago de  derechos.</t>
  </si>
  <si>
    <t>INGRESOS VARIOS NO MENCIONADOS.</t>
  </si>
  <si>
    <t>6ª CLASE. SAL.</t>
  </si>
  <si>
    <t>7ª CLASE. 25 por 100.</t>
  </si>
  <si>
    <t>En este cuadro no está incluida la suma de $361,972--55 que ingresaron por derechos de mercaderías importadas en el mes de agosto a la Aduana de Barranquilla.</t>
  </si>
  <si>
    <t>MEMORIA DEL SECRETARIO DEL TESORO  1882</t>
  </si>
  <si>
    <t>COMPARACIÓN</t>
  </si>
  <si>
    <t>1879 Á 1880.</t>
  </si>
  <si>
    <t>1880 Á 1881.</t>
  </si>
  <si>
    <t>Dif.ª en más.</t>
  </si>
  <si>
    <t>Dif.ª en ménos.</t>
  </si>
  <si>
    <t>Ingresos.</t>
  </si>
  <si>
    <t>Dirección general de Correos</t>
  </si>
  <si>
    <t>Ferrocarril de Bolivar</t>
  </si>
  <si>
    <t>Administraciones de Hacienda</t>
  </si>
  <si>
    <t>Agencia general de Bienes Desamortizados</t>
  </si>
  <si>
    <t>Sumas                                   $</t>
  </si>
  <si>
    <t xml:space="preserve">Es la diferencia en menos que se deduce </t>
  </si>
  <si>
    <t>Queda por aumento de movimiento de cantidades en 1880 á 1881</t>
  </si>
  <si>
    <t>RENTAS VIGENCIA 1879 Á 1880</t>
  </si>
  <si>
    <t>Ingresos obtenidos á favor del Tesoro</t>
  </si>
  <si>
    <t>Por la vigencia de 1879 á 1880                                 $</t>
  </si>
  <si>
    <t>Por vigencias espiradas</t>
  </si>
  <si>
    <t>El guarismo correspondiente á la vigencia de 1879 á 1880, se decompone así:</t>
  </si>
  <si>
    <t>Internación de sal</t>
  </si>
  <si>
    <t>Pasajes de los rios navegables</t>
  </si>
  <si>
    <t>Las existencias en Caja y Cartera al principiar la vigencia, ascendian á</t>
  </si>
  <si>
    <t>Empresitos hechos á los bancos</t>
  </si>
  <si>
    <t>Documentos de crédito emitidos en pago de varios gastos referentes al Presupuesto y demá operaciones de Tesorería</t>
  </si>
  <si>
    <t>Documentos de crédito emitidos por la Tesorería general, por saldo de órdenes de pago</t>
  </si>
  <si>
    <t>Agregando á este total el de las rentas recaudadas, que es el de</t>
  </si>
  <si>
    <t>Se tendrá la suma de                                     $</t>
  </si>
  <si>
    <t>PORMENOR DE LOS GASTOS DE LA VIGENCIA DE 1879 Á 1880</t>
  </si>
  <si>
    <t>Los pagos efectuados con reconocimiento ascienden á:</t>
  </si>
  <si>
    <t>Vigencia de 1877 á 1878                                                 $</t>
  </si>
  <si>
    <t>Id             de 1878 á 1879</t>
  </si>
  <si>
    <t>Id             de 1879 á 1880</t>
  </si>
  <si>
    <t>Vigencias anteriores</t>
  </si>
  <si>
    <t>El pormenor de los gastos de la vigencia de 1879 á 1880:</t>
  </si>
  <si>
    <t>Interior                                                                             $</t>
  </si>
  <si>
    <t>Relaciones Exteriores</t>
  </si>
  <si>
    <t>Beneficiencia y Recompensas</t>
  </si>
  <si>
    <t>Gastos por anticipación:</t>
  </si>
  <si>
    <t>Por la vigencia de 1878 á 1879                                     $</t>
  </si>
  <si>
    <t>Por la vigencia de 1879 á 1880                                     $</t>
  </si>
  <si>
    <t>Las anticipaciones de la vigencia de 1879 á 1880, corresponden á los siguientes Departamentos del Presupuesto:</t>
  </si>
  <si>
    <t>Recapitulando los gastos con imputación á los Presupuestos, se tendrá lo siguiente:</t>
  </si>
  <si>
    <t>Pagos con reconocimiento                                         $</t>
  </si>
  <si>
    <t>Pagos por anticipación</t>
  </si>
  <si>
    <t>La amortización de documentos y demás operaciones de Tesorería, son las siguientes:</t>
  </si>
  <si>
    <t>Documentos de Deuda pública amortizados en pago de rentas y remates de dinero</t>
  </si>
  <si>
    <t>Documentos de crédito de la Tesorería general por saldo de órdenes de pago (amortización)</t>
  </si>
  <si>
    <t>Empresitos devueltos á los bancos</t>
  </si>
  <si>
    <t>Pagos verificados por cuentas de vigencias economicas espiradas</t>
  </si>
  <si>
    <t>Pagado por cuenta de la Deuda exterior (empresito de 1863)</t>
  </si>
  <si>
    <t>Id.   Id.      Id. (convenio de 1873)</t>
  </si>
  <si>
    <t>Remesas en via, gastos sin incorporar y demás operaciones del servicio del Tesoro</t>
  </si>
  <si>
    <t>Total                                           $</t>
  </si>
  <si>
    <t>RENTAS VIGENCIA 1880 Á 1881</t>
  </si>
  <si>
    <t>Los reconocimientos á favor del Tesoro, durante esta vigencia, ascendieron á la suma de:</t>
  </si>
  <si>
    <t>De este total quedaron por cobrarse</t>
  </si>
  <si>
    <t>Pasaje de los rios navegables</t>
  </si>
  <si>
    <t>Además de la anterior suma se hicieron otros recaudos correspondientes á saldos que se adeudaban al Tesoro, del modo siguiente:</t>
  </si>
  <si>
    <t>Por la vigencia de 1879 á 1880</t>
  </si>
  <si>
    <t xml:space="preserve">Por otras vigencias anteriores </t>
  </si>
  <si>
    <t>GASTOS DE LA VIGENCIA DE 1880 Á 1881</t>
  </si>
  <si>
    <t>Por la de 1879 á 1880</t>
  </si>
  <si>
    <t>Por la de 1880 á 1881</t>
  </si>
  <si>
    <t>Política interior</t>
  </si>
  <si>
    <t>Territorios nacionales</t>
  </si>
  <si>
    <t>Guerra y Marina</t>
  </si>
  <si>
    <t>Correos y Telégrafos</t>
  </si>
  <si>
    <t>Agricultura</t>
  </si>
  <si>
    <t>Los gastos anticipados ascendieron:</t>
  </si>
  <si>
    <t>Por la vigencia de 1879 á 1880                                      $</t>
  </si>
  <si>
    <t>Por la vigencia de 1880 á 1881                                      $</t>
  </si>
  <si>
    <t>El por menor de las anticipaciones de la vigencia de 1880 á 1881 es el siguiente:</t>
  </si>
  <si>
    <t>Pagos con reconocimiento                                            $</t>
  </si>
  <si>
    <t>Los documentos de crédito amortizados y las operaciones del servicio del Tesoro más importantes que arroja la Cuenta de la Tesorería general, son los siguientes:</t>
  </si>
  <si>
    <t>Documentos de crédito de la Tesorería por saldo de órdenes de pago (amortización)</t>
  </si>
  <si>
    <t>Documentos de crédito sobre el 12 por 100 de derechos de importación</t>
  </si>
  <si>
    <t>Documentos contra el Tesoro es obligaciones por pagar</t>
  </si>
  <si>
    <t>Emprésitos devueltos á los bancos</t>
  </si>
  <si>
    <t>Pagos  verificados por cuenta de vigencias económicas espiradas</t>
  </si>
  <si>
    <t>Cubierto por cuenta de la Deuda exterior (empresito de 1863)</t>
  </si>
  <si>
    <t>Acciones del Gobierno en el Banco Nacional</t>
  </si>
  <si>
    <t>Por gastos de guerra, cuyas cuentas no han sido presentadas, remesas en via, operaciones del servicio del Tesoro, &amp;c. &amp;c</t>
  </si>
  <si>
    <t>Total                        $</t>
  </si>
  <si>
    <t>PENSIONES</t>
  </si>
  <si>
    <t>Pensión mensual.</t>
  </si>
  <si>
    <t>Pensión anual.</t>
  </si>
  <si>
    <t>Militares de la Independencia                                       $</t>
  </si>
  <si>
    <t>Monjas exclaustradas</t>
  </si>
  <si>
    <t>Un pensionado asimilado á empleado civil</t>
  </si>
  <si>
    <t>Inválidos</t>
  </si>
  <si>
    <t>Viudas y huérfanos de militares de la Independencia</t>
  </si>
  <si>
    <t>Pensiones comunes que se pagan con privilegio</t>
  </si>
  <si>
    <t>Pensiones comunes que deben proratearse</t>
  </si>
  <si>
    <t>Totales                                         $</t>
  </si>
  <si>
    <t>MEMORIA DEL SECRETARIO DE HACIENDA 1883</t>
  </si>
  <si>
    <t>PRODUCTO DE LAS RENTAS. Año económico de 1º de Setiembre de 1881 á 31 de Agosto de 1882.</t>
  </si>
  <si>
    <t>Correos y telégrafos</t>
  </si>
  <si>
    <t>Empresa del Ferrocarril y telégrafo de Bolívar</t>
  </si>
  <si>
    <t xml:space="preserve">Gastos de la Administracion nacional conforme al Presupuesto de la  vigencia en curso. </t>
  </si>
  <si>
    <t>Personal y material del Congreso                         $</t>
  </si>
  <si>
    <t>Personal y material del Poder Ejecutivo y de las Secretarías de Estado</t>
  </si>
  <si>
    <t>•</t>
    <phoneticPr fontId="37" type="noConversion"/>
  </si>
  <si>
    <t>Servicio diplomático y consular</t>
  </si>
  <si>
    <t>Material y personal del ejército</t>
  </si>
  <si>
    <t>Departamento de Hacienda (gastos de produccion y recaudacion de las rentas)</t>
  </si>
  <si>
    <t>Ferrocarril y telégrafo de Bolívar</t>
  </si>
  <si>
    <t>Total                                       $</t>
  </si>
  <si>
    <t>El servicio de la deuda pública interior y exterior impone ó debe imponer las siguientes erogaciones:</t>
  </si>
  <si>
    <t>Intereses y fondo de amortizacion de la Deuda exterior conforme al Convenio de 1º de Enero de 1873, sobre $ 9.567.500, al 4 y 3/4, premio de letras y cambio de moneda</t>
  </si>
  <si>
    <t>Intereses de la Renta nominal privilegiada</t>
  </si>
  <si>
    <t>Id. de la comun</t>
  </si>
  <si>
    <t>29 por 100 sobre el producto de todas las Aduanas para amortizacion de Libranzas y Pagarés, conforme á las disposiciones vigentes, calculado sobre $4.300.000 producto bruto del último año</t>
  </si>
  <si>
    <t>8 por 100 para Vales de acreencias estrangeras sobre las Aduanas del Atlántico</t>
  </si>
  <si>
    <t>5 por 100 para amortizacion de los Bonos del ferrocarril de Bolívar</t>
  </si>
  <si>
    <t>Para la amortizacion de los Vales de Renta al portador y de Vales de 1ª y 2ª clase se ponen mensualmente en remate $9.000</t>
  </si>
  <si>
    <t>Las pensiones de todas clases importan</t>
  </si>
  <si>
    <t>La Universidad nacional, las Escuelas normales y el Fomento de la instrucción primaria y de diversos institutos y asociaciones científicas exigen</t>
  </si>
  <si>
    <t>Los compromisos contraidos i gravámenes impuestos para construccion, auxilio ó fomento de obras públicas en ejecucion, importan $1.706.000, así:</t>
  </si>
  <si>
    <t>5 por 100 del producto  bruto de las Aduanas del Atlántico y Cúcuta para el ferrocarril de Jirardot (aproximacion)</t>
  </si>
  <si>
    <t>4 por 100 hasta 112.500 para el de Antioquia</t>
  </si>
  <si>
    <t>2 por 100 hasta 60.000 para el de Santamarta</t>
  </si>
  <si>
    <t>50 por 100 de las Aduanas del Pacífico, para el del Cauca</t>
  </si>
  <si>
    <t>50 por 100 del producto bruto de las Salinas de Boyacá, para la ferrería de Samacá</t>
  </si>
  <si>
    <t>5 por 100 del producto bruto de las Salinas de Cundinamarca para la misma empresa</t>
  </si>
  <si>
    <t>20 por 100 de las mismas para el camino de Chiquinquirá al Magdalena</t>
  </si>
  <si>
    <t>20 por 100 para el ferrocarril de Jirardot</t>
  </si>
  <si>
    <t>5 por 100 para el ferrocarril de Soto</t>
  </si>
  <si>
    <t>Participacion general de los Estados de medio centavo por kilogramo sobre todas las salinas (aproximacion)</t>
  </si>
  <si>
    <t>Subvencion á los vapores del alto de Magdalena</t>
  </si>
  <si>
    <t>Ferrocarril de la Dorada á $7.000 por milla</t>
  </si>
  <si>
    <t>Total                                             $</t>
  </si>
  <si>
    <t>Total de gastos</t>
  </si>
  <si>
    <t>Producto bruto de las rentas</t>
  </si>
  <si>
    <t>Déficit                                                                         $</t>
  </si>
  <si>
    <t>PRODUCTO BRUTO DE LAS ADUANAS</t>
  </si>
  <si>
    <t>1880 A 1881</t>
  </si>
  <si>
    <t>1881 A 1882</t>
  </si>
  <si>
    <t>Riohacha                                     $</t>
  </si>
  <si>
    <t xml:space="preserve">RENTA DE ADUANAS </t>
  </si>
  <si>
    <t>PRODUCTOS</t>
  </si>
  <si>
    <t>VALOR DECLARADO DE LAS IMPORTACIONES.</t>
  </si>
  <si>
    <t>TANTO POR CIENTO DEL GRAVAMEN. *</t>
  </si>
  <si>
    <t>1832 á 33</t>
  </si>
  <si>
    <t xml:space="preserve">    34 á 35</t>
  </si>
  <si>
    <t xml:space="preserve">    35 á 36</t>
  </si>
  <si>
    <t xml:space="preserve">    36 á 37</t>
  </si>
  <si>
    <t xml:space="preserve">    37 á 38</t>
  </si>
  <si>
    <t xml:space="preserve">    38 á 39</t>
  </si>
  <si>
    <t xml:space="preserve">    39 á 40</t>
  </si>
  <si>
    <t xml:space="preserve">    40 á 41</t>
  </si>
  <si>
    <t xml:space="preserve">    42 á 43</t>
  </si>
  <si>
    <t xml:space="preserve">    43 á 44</t>
  </si>
  <si>
    <t xml:space="preserve">    51 á 52</t>
  </si>
  <si>
    <t xml:space="preserve">    54 á 55</t>
  </si>
  <si>
    <t xml:space="preserve">    55 á 56</t>
  </si>
  <si>
    <t xml:space="preserve">    56 á 57</t>
  </si>
  <si>
    <t xml:space="preserve">    57 á 58</t>
  </si>
  <si>
    <t xml:space="preserve">    58 á 59</t>
  </si>
  <si>
    <t xml:space="preserve">    64 á 65</t>
  </si>
  <si>
    <t xml:space="preserve">    65 á 66</t>
  </si>
  <si>
    <t xml:space="preserve">    66 á 67</t>
  </si>
  <si>
    <t xml:space="preserve">    67 á 68</t>
  </si>
  <si>
    <t xml:space="preserve">    68 á 69</t>
  </si>
  <si>
    <t xml:space="preserve">    69 á 70</t>
  </si>
  <si>
    <t xml:space="preserve">    70 á 71</t>
  </si>
  <si>
    <t xml:space="preserve">    71 á 72</t>
  </si>
  <si>
    <t xml:space="preserve">    72 á 73</t>
  </si>
  <si>
    <t xml:space="preserve">    73 á 74</t>
  </si>
  <si>
    <t xml:space="preserve">    74 á 75</t>
  </si>
  <si>
    <t xml:space="preserve">    75 á 76</t>
  </si>
  <si>
    <t xml:space="preserve">    76 á 77</t>
  </si>
  <si>
    <t xml:space="preserve">    77 á 78</t>
  </si>
  <si>
    <t xml:space="preserve">    78 á 79</t>
  </si>
  <si>
    <t xml:space="preserve">    79 á 80</t>
  </si>
  <si>
    <t xml:space="preserve">    80 á 81</t>
  </si>
  <si>
    <t xml:space="preserve">    81 á 82</t>
  </si>
  <si>
    <t>* Este tanto por ciento está calculado solo sobre el valor de los derechos de importacion y no sobre el total de los productos.</t>
  </si>
  <si>
    <t>GASTOS ADUANAS.</t>
  </si>
  <si>
    <t>Los gastos de las Aduanas en el último año econñomico fueron de</t>
  </si>
  <si>
    <t>En el año anterior habian sido de</t>
  </si>
  <si>
    <t>Economía obtenida en el último año</t>
  </si>
  <si>
    <t>La diminucion se verificó en los gastos de toda clase, como en seguida se expresa:</t>
  </si>
  <si>
    <t>80 A 81</t>
  </si>
  <si>
    <t>81 A 82</t>
  </si>
  <si>
    <t>Gastos de material</t>
  </si>
  <si>
    <t>Sueldos fijos</t>
  </si>
  <si>
    <t>Id. eventuales</t>
  </si>
  <si>
    <t>La diferencia por Aduanas fue la siguente:</t>
  </si>
  <si>
    <t>VARIACIONES DE LA TARIFA DESDE 1864, FUERA DE LA SAL Y DE LA CLASE LIBRE.</t>
  </si>
  <si>
    <t>Nº DE CLASES</t>
  </si>
  <si>
    <t>CENTAVOS DEL GRAVAMEN</t>
  </si>
  <si>
    <t>"</t>
  </si>
  <si>
    <t>SALINAS 1881 á 1882</t>
  </si>
  <si>
    <t>CS.</t>
  </si>
  <si>
    <t>Almacen en Manizáles</t>
  </si>
  <si>
    <t>Id. en Ibagué</t>
  </si>
  <si>
    <t>Id. en Cartago</t>
  </si>
  <si>
    <t xml:space="preserve">Totales              </t>
  </si>
  <si>
    <t xml:space="preserve">CUADRO No. 8 </t>
  </si>
  <si>
    <t>GASTOS DE ELABORACION Y EXPLOTACION DE LAS SALINAS.</t>
  </si>
  <si>
    <t>NATURALEZA DE LOS GASTOS.</t>
  </si>
  <si>
    <t>AÑO DE 1880 á 1881.</t>
  </si>
  <si>
    <t>AÑO DE 1881 á 1882.</t>
  </si>
  <si>
    <t>CUNDINAMARCA.</t>
  </si>
  <si>
    <t>Produción</t>
  </si>
  <si>
    <t>Administracion</t>
  </si>
  <si>
    <t>Resguardo</t>
  </si>
  <si>
    <t>Varios (material &amp;.)</t>
  </si>
  <si>
    <t>BOYACÁ.</t>
  </si>
  <si>
    <t>CUMARAL Y UPIN.</t>
  </si>
  <si>
    <t>ALMACENES OFICIALES.</t>
  </si>
  <si>
    <t xml:space="preserve">Totales                         </t>
  </si>
  <si>
    <t>MEMORIA DEL SECRETARIO DE HACIENDA 1885</t>
  </si>
  <si>
    <t>Producto total de las Aduanas, en el último año $</t>
  </si>
  <si>
    <t>TARIFA.</t>
  </si>
  <si>
    <t xml:space="preserve">El </t>
  </si>
  <si>
    <t>por 100, con</t>
  </si>
  <si>
    <t>centavos por Kilogramo.</t>
  </si>
  <si>
    <t>COMPARACION de los productos del último año económico con el Presupuesto de Rentas y con los anteriores rendimientos.</t>
  </si>
  <si>
    <t>En el presupuesto de Rentas para el año económico de 1883 á 1884, se calculó que la de Aduanas produciría</t>
  </si>
  <si>
    <t>El producto obtenido se aproximó á dicha suma, fue de</t>
  </si>
  <si>
    <t>Diferencia                                                    $</t>
  </si>
  <si>
    <t>$ Productos.</t>
  </si>
  <si>
    <t>1876 á 1877</t>
  </si>
  <si>
    <t>1877 á 1878</t>
  </si>
  <si>
    <t>1878 á 1879</t>
  </si>
  <si>
    <t>1879 á 1880</t>
  </si>
  <si>
    <t>1880 á 1881</t>
  </si>
  <si>
    <t>1881 á 1882</t>
  </si>
  <si>
    <t>1882 á 1883</t>
  </si>
  <si>
    <t>1883 á 1884</t>
  </si>
  <si>
    <t>PRODUCTO DE CADA ADUANA EN EL ÚLTIMO CUATRIENIO.</t>
  </si>
  <si>
    <t>Barranquilla                                       $</t>
  </si>
  <si>
    <t>Ipiales</t>
  </si>
  <si>
    <t>En más.</t>
  </si>
  <si>
    <t>En menos.</t>
  </si>
  <si>
    <t>Material                                                                                   $</t>
  </si>
  <si>
    <t>Personal                    Sueldos fijos</t>
  </si>
  <si>
    <t xml:space="preserve">                                    Id. eventuales</t>
  </si>
  <si>
    <t>Varios</t>
  </si>
  <si>
    <t>PROPORCIONES DE LAS IMPORTACIONES.</t>
  </si>
  <si>
    <t>MERCANCIAS.</t>
  </si>
  <si>
    <t>Kilogramos importados en 1882 á 1883.</t>
  </si>
  <si>
    <t>Kilogramos importados en 1883 á 1884.</t>
  </si>
  <si>
    <t>Disminución.</t>
  </si>
  <si>
    <t>1.ª clase</t>
  </si>
  <si>
    <t>2.ª id</t>
  </si>
  <si>
    <t>3.ª id</t>
  </si>
  <si>
    <t>4.ª id</t>
  </si>
  <si>
    <t>5.ª id</t>
  </si>
  <si>
    <t>5.ª id. con recargo de 25%</t>
  </si>
  <si>
    <t>Diferencia líquida                                                                                                   Ks</t>
  </si>
  <si>
    <t>*En el año de 1882 á 1883 se introdujeron además 112.807 ks. De mercaderías libres de derechos, aunque eran de las mencionadas en la 2ª clase de Tarifa, por consecuencia de exenciones a favor de los habitantes de lugares invadidos por la langosta</t>
  </si>
  <si>
    <t>RELACION</t>
  </si>
  <si>
    <t>de los productos de la venta de estampillas de Timbre Nacional en las Administraciones principales de Hacienda nacional, en la Administración general de Correos y en las demás oficinas de expendio, en el año económico de 1ª de Septiembre de 1883 á 31 de Agosto de 1884.</t>
  </si>
  <si>
    <t>Estampillas vendidas.</t>
  </si>
  <si>
    <t>$ PRODUCTO de la venta.</t>
  </si>
  <si>
    <t>RESUMEN DE LOS PRODUCTOS DE TODAS LAS ADUANAS,  EN EL AÑO ECONÓMICO DE 1883 A 1884.</t>
  </si>
  <si>
    <t>REMATE DE MERCADERÍAS.</t>
  </si>
  <si>
    <t>PREMIOS I APROVECHAMIENTOS.</t>
  </si>
  <si>
    <t>7ª (la  5ª con el recargo de  25 por 100).</t>
  </si>
  <si>
    <t>25% con que se había gravado la 5ª clase.</t>
  </si>
  <si>
    <t>DEDUCCIONES.</t>
  </si>
  <si>
    <t>RESUMEN DE LOS GASTOS DE TODAS LAS ADUANAS,  AÑO ECONOMICO DE 1883 A 1884.</t>
  </si>
  <si>
    <t>En material</t>
  </si>
  <si>
    <t>En personal.</t>
  </si>
  <si>
    <t>Restituciones.</t>
  </si>
  <si>
    <t>TOTAL DE LOS GASTOS.</t>
  </si>
  <si>
    <t>Gastos de escritorio.</t>
  </si>
  <si>
    <t>Locales para las Aduanas y Resguardos.</t>
  </si>
  <si>
    <t>Adquisición  y reparación de embarcaciones.</t>
  </si>
  <si>
    <t>Varios.</t>
  </si>
  <si>
    <t>SUELDOS DE LOS VIGÍAS.</t>
  </si>
  <si>
    <t>SUELDOS DE LOS PRACTICOS.</t>
  </si>
  <si>
    <t>SULEDOS DE LOS INTERPRETES.</t>
  </si>
  <si>
    <t>Sueldos de los empleados del guardacostas.</t>
  </si>
  <si>
    <t>Por resoluciones del Poder Ejecutivo.</t>
  </si>
  <si>
    <t>Por resoluciones de la oficina general de Cuentas.</t>
  </si>
  <si>
    <t>Eventuales.</t>
  </si>
  <si>
    <t>Totales                                                         $</t>
  </si>
  <si>
    <t>RESUMEN DE LOS PRODUCTOS DE TODAS LAS ADUANAS,  POR OFICINAS.  AÑO ECONÓMICO DE 1883 A 1884.</t>
  </si>
  <si>
    <t>SUELDOS DE LOS INTERPRETES.</t>
  </si>
  <si>
    <t>RESUMEN del movimiento del comercio exterior relacionado con todas las Aduanas, por meses.</t>
  </si>
  <si>
    <t>AÑO ECONOMICO DE 1883 A 1884.</t>
  </si>
  <si>
    <t>DE VELA</t>
  </si>
  <si>
    <t>Núm.</t>
  </si>
  <si>
    <t>BULTOS EXPORTADOS.</t>
  </si>
  <si>
    <t>PESO DE LAS MERCADERIAS. Importadas.</t>
  </si>
  <si>
    <t>VALORES IMPORTADOS.</t>
  </si>
  <si>
    <t>1.ª clase.</t>
  </si>
  <si>
    <t>2.ª clase.</t>
  </si>
  <si>
    <t>3.ª clase.</t>
  </si>
  <si>
    <t>4.ª clase.</t>
  </si>
  <si>
    <t>5.ª clase.</t>
  </si>
  <si>
    <t>6.ª clase. (sal).</t>
  </si>
  <si>
    <t>5.ª clase con el recaudo del 25%</t>
  </si>
  <si>
    <t xml:space="preserve">Totales      </t>
  </si>
  <si>
    <t>PESO DE LAS MERCADERIAS. Exportadas.</t>
  </si>
  <si>
    <t>VALORES exportados.</t>
  </si>
  <si>
    <t>Producciones animales.</t>
  </si>
  <si>
    <t>Vegetales.</t>
  </si>
  <si>
    <t>Manufacts.</t>
  </si>
  <si>
    <t>CUADRO comparativo del movimiento del comercio exterior en las Aduanas, en los años económicos de 1882 a 1883 y 1883 a 1884.</t>
  </si>
  <si>
    <t>De Vela.</t>
  </si>
  <si>
    <t>De Vapor.</t>
  </si>
  <si>
    <t>Diferencias     *</t>
  </si>
  <si>
    <t>d</t>
  </si>
  <si>
    <t>Bultos importados.</t>
  </si>
  <si>
    <t>PESO DE LAS MERCADERIAS IMPORTADOS.</t>
  </si>
  <si>
    <t>Valores importados.</t>
  </si>
  <si>
    <t>5.ª clase con recargo del 25%.</t>
  </si>
  <si>
    <t>2.ª clase provisionalmente libre.</t>
  </si>
  <si>
    <t>Sal.</t>
  </si>
  <si>
    <t>* Las letras a y d que se hallan á continuación de este signo, indican, respectivamente, el aumento ó la disminución.</t>
  </si>
  <si>
    <t>MEMORIA DEL MINISTRO DE HACIENDA 1888</t>
  </si>
  <si>
    <t>Producto Aduanas 1884 á 1885                   $</t>
  </si>
  <si>
    <t>Producto Aduanas 1885 á 1886                   $</t>
  </si>
  <si>
    <t>Producto Aduanas últimos cuatro meses de 1886   $</t>
  </si>
  <si>
    <t>Producto Aduanas de 1º de Enero á 31 de Diciembre de 1887  $</t>
  </si>
  <si>
    <t>Gastos de administración de Aduanas 1884 á 1885                   $</t>
  </si>
  <si>
    <t>Gastos de administración de Aduanas  1885 á 1886                   $</t>
  </si>
  <si>
    <t>Gastos de administración de Aduanas últimos cuatro meses de 1886   $</t>
  </si>
  <si>
    <t>Gastos de administración de Aduanas de 1º de Enero á 31 de Diciembre de 1887  $</t>
  </si>
  <si>
    <t>Producto líquido 1884 á 1885                   $</t>
  </si>
  <si>
    <t>Producto líquido 1885 á 1886                   $</t>
  </si>
  <si>
    <t>Producto líquido últimos cuatro meses de 1886   $</t>
  </si>
  <si>
    <t>Producto líquido de 1º de Enero á 31 de Diciembre de 1887  $</t>
  </si>
  <si>
    <t>NUMERO 1.-- ADUANAS</t>
  </si>
  <si>
    <t>AÑO ECONÓMICO DE 1884 A 1885</t>
  </si>
  <si>
    <t>AÑO ECONÓMICO DE 1885 A 1886.</t>
  </si>
  <si>
    <t>SBRE. A DBRE. DE 1886</t>
  </si>
  <si>
    <t>AÑO DE 1887.</t>
  </si>
  <si>
    <t>EN.º Y FBR.º DE 1888</t>
  </si>
  <si>
    <t>Arauca (a)                                                                                               $</t>
  </si>
  <si>
    <t>(b)</t>
  </si>
  <si>
    <t>Orocué (a)</t>
  </si>
  <si>
    <t>Totales                                                  $</t>
  </si>
  <si>
    <t>(a) Establecidas por Decreto número 397 de 1886 (Diario Oficial 6, 729).</t>
  </si>
  <si>
    <t>(b) Faltan los datos de Arauca, Cúcuta y Orocué en Enero y Febrero de 1888, y los de Tumaco en este último mes.</t>
  </si>
  <si>
    <t>NUMERO 2.-- ADUANAS</t>
  </si>
  <si>
    <t>Arauca                                                                                                    $</t>
  </si>
  <si>
    <t xml:space="preserve">Orocué </t>
  </si>
  <si>
    <t>NUMERO 3.-- ADUANAS</t>
  </si>
  <si>
    <t>(a) Déficit de Ipiales                                                                                                                                   $</t>
  </si>
  <si>
    <t>PRODUCTO DE LAS SALINAS DEL INTERIOR DE LA REPUBLICA</t>
  </si>
  <si>
    <t>Y SUS GASTOS EN EL TIEMPO QUE SE EXPRESA</t>
  </si>
  <si>
    <t>NÚMERO 11</t>
  </si>
  <si>
    <t>1884 á 1885</t>
  </si>
  <si>
    <t>1885 á 1886</t>
  </si>
  <si>
    <t xml:space="preserve">De Sepbre. á Dbre. De 1886 </t>
  </si>
  <si>
    <t>Todo el año de 1887,</t>
  </si>
  <si>
    <t>PRODUCTO LÍQUIDO</t>
  </si>
  <si>
    <t>Zipaquirá                                                                                                 $</t>
  </si>
  <si>
    <t>Totales                                 $</t>
  </si>
  <si>
    <t>Cumaral y Upín</t>
  </si>
  <si>
    <t>Camancha</t>
  </si>
  <si>
    <t>Pinsaima y Changuaní</t>
  </si>
  <si>
    <t>Chaquipa y Pizarrá</t>
  </si>
  <si>
    <t>Almacenes: Girardot</t>
  </si>
  <si>
    <t>Ibagué: Almacen</t>
  </si>
  <si>
    <t>Chiquinquirá</t>
  </si>
  <si>
    <t>La Mesa, N.º 1º</t>
  </si>
  <si>
    <t xml:space="preserve">                  "     2º</t>
  </si>
  <si>
    <t>Bogotá,    "     1º</t>
  </si>
  <si>
    <t xml:space="preserve">       2         "     2º</t>
  </si>
  <si>
    <t>DEGÜELLO -- Los remates hechos á virtud de las disposiciones últimamente citadas dan los resultados siguientes:</t>
  </si>
  <si>
    <t>Antioquia                                                                              $</t>
  </si>
  <si>
    <t>Totales                                                                                    $</t>
  </si>
  <si>
    <t>En el Presupuesto Nacional de Rentas para el presente bienio, esta renta fue calculada en                          $</t>
  </si>
  <si>
    <t>En 1887, como se ha visto,  produjo solamente:                                                       $</t>
  </si>
  <si>
    <t>En 1888 producirá</t>
  </si>
  <si>
    <t>Diferencia en contra del Tesoro                              $</t>
  </si>
  <si>
    <t xml:space="preserve">Timbre Nacional -- Cuenta general del Presupuesto y del Tesoro </t>
  </si>
  <si>
    <t>Producto en el año económico de 1884 á 1885                      $</t>
  </si>
  <si>
    <t>Producto en el año económico de 1885 á 1886                      $</t>
  </si>
  <si>
    <t>Lo que da un total en los dos años de                                    $</t>
  </si>
  <si>
    <t>De los datos recibidos y de los cálculos hechos con relación á 1887. cálculos que no inducirán grave error en los resultados, aparece que se vendieron:</t>
  </si>
  <si>
    <t>Estampillas de 1.ª clase</t>
  </si>
  <si>
    <t>Estampillas de 2.ª clase</t>
  </si>
  <si>
    <t>Estampillas de 3.ª clase</t>
  </si>
  <si>
    <t>Todas las cuales dieron un producto de                                 $</t>
  </si>
  <si>
    <t>Respecto del papel sellado, los datos y cálculos arrojan los siguientes resultados:</t>
  </si>
  <si>
    <t>Hojas de 1.ª clase vendidas en 1887</t>
  </si>
  <si>
    <t>Hojas de 2.ª clase vendidas en 1887</t>
  </si>
  <si>
    <t>Hojas de 3.ª clase vendidas en 1887</t>
  </si>
  <si>
    <t>Todas estas hojas dieron un producto de                              $</t>
  </si>
  <si>
    <t>que con el de las estampillas</t>
  </si>
  <si>
    <t>hacen un total de                                                                    $</t>
  </si>
  <si>
    <t>Pero como en el Presupuesto de Rentas para el bienio en curso se computó ésta en  $2.000.000, ó sea para un año $</t>
  </si>
  <si>
    <t>queda un déficit de                                                                 $</t>
  </si>
  <si>
    <t>ó sea para el bienio</t>
  </si>
  <si>
    <t>RESUMEN POR MESES DEL PRODUCTO DE TODAS LAS ADUANAS.</t>
  </si>
  <si>
    <t>AÑO ECONOMICO DE 1884 A 1885</t>
  </si>
  <si>
    <t>MESES</t>
  </si>
  <si>
    <t>DERECHOS DE IMPORTACION</t>
  </si>
  <si>
    <t>Recargos y multas</t>
  </si>
  <si>
    <t>Derecho de lastre</t>
  </si>
  <si>
    <t>Derecho de faro</t>
  </si>
  <si>
    <t>Producto de comisos</t>
  </si>
  <si>
    <t>Remate de mercaderías</t>
  </si>
  <si>
    <t>Derecho sobre equipajes</t>
  </si>
  <si>
    <t>Gravamen del 25%</t>
  </si>
  <si>
    <t>TOTAL de los PRODUCTOS</t>
  </si>
  <si>
    <t>1.ª CLASE</t>
  </si>
  <si>
    <t>2.ª CLASE</t>
  </si>
  <si>
    <t>3.ª CLASE</t>
  </si>
  <si>
    <t>4.ª CLASE</t>
  </si>
  <si>
    <t>5.ª CLASE</t>
  </si>
  <si>
    <t>6.ª CLASE (Sal)</t>
  </si>
  <si>
    <t>7.ª CLASE  25%</t>
  </si>
  <si>
    <t>Aumento de 25% en la  5.ª clase</t>
  </si>
  <si>
    <t>Varias clases</t>
  </si>
  <si>
    <t>En suspenso</t>
  </si>
  <si>
    <t>Sbre                                                                                       $</t>
  </si>
  <si>
    <t>Obre</t>
  </si>
  <si>
    <t>Nbre</t>
  </si>
  <si>
    <t>Dbre. (a)</t>
  </si>
  <si>
    <t>Enero</t>
  </si>
  <si>
    <t>Febrero</t>
  </si>
  <si>
    <t>Marzo</t>
  </si>
  <si>
    <t>Abril</t>
  </si>
  <si>
    <t>Mayo</t>
  </si>
  <si>
    <t>Junio</t>
  </si>
  <si>
    <t>Julio</t>
  </si>
  <si>
    <t xml:space="preserve">Agto. (o) </t>
  </si>
  <si>
    <t>Totales                                             $</t>
  </si>
  <si>
    <t>(a) Por la Aduana de Barranquilla.</t>
  </si>
  <si>
    <t>(o) De los documentos adjuntos á los oficios de la Recaudación de Mocoa, fechas 2 de Octubre, 4 de Noviembre y 31 de Diciembre de 1884, 5 de Marzo, 7 de Abril, 5 de Junio de 1885, números 164, 170, 179, 189, 201, 207 y 211, aparece que no hubo importaciones por aquella Oficina en los meses de Septiembre, Octubre, Noviembre, Diciembre, Febrero, Marzo, Abril y Mayo del año económico de 1884 á 1885; é igual cosa parece deducirse respecto del mes de Enero, de los documentos adjuntos al oficio de 5 de Febrero de 1885, número 197.</t>
  </si>
  <si>
    <t>GASTOS -- AÑO ECONOMICO DE 1884 A 1885</t>
  </si>
  <si>
    <t>EN MATERIAL</t>
  </si>
  <si>
    <t>EN PERSONAL</t>
  </si>
  <si>
    <t>RESTITUCIONES</t>
  </si>
  <si>
    <t>Gastos Varios</t>
  </si>
  <si>
    <t>TOTAL DE LOS GASTOS</t>
  </si>
  <si>
    <t>Gastos de escritorio</t>
  </si>
  <si>
    <t>Local para la Administración y Resguardo</t>
  </si>
  <si>
    <t>Adquisición y reparación de embarcaciones</t>
  </si>
  <si>
    <t>SUELDOS DE LOS EMPLEADOS DE LA ADUANA</t>
  </si>
  <si>
    <t>SUELDOS DEL RESGUARDO</t>
  </si>
  <si>
    <t>SUELDO DE LOS VIGÍAS</t>
  </si>
  <si>
    <t>SUELDOS DE LOS PRÁCTICOS</t>
  </si>
  <si>
    <t>SUELDOS DE LOS INTÉRPRETES</t>
  </si>
  <si>
    <t>Guardacosta y Visitador Fiscal</t>
  </si>
  <si>
    <t>TOTAL DE LOS GASTOS DEL PERSONAL</t>
  </si>
  <si>
    <t>Por el Jurado de Aduanas</t>
  </si>
  <si>
    <t>Por la oficina general de Cuentas</t>
  </si>
  <si>
    <t>Fijos</t>
  </si>
  <si>
    <t>Eventuales</t>
  </si>
  <si>
    <t>Septiembre                                                                          $</t>
  </si>
  <si>
    <t>Octubre</t>
  </si>
  <si>
    <t>Noviembre</t>
  </si>
  <si>
    <t>Diciembre</t>
  </si>
  <si>
    <t>Agosto</t>
  </si>
  <si>
    <t>Totales                                   $</t>
  </si>
  <si>
    <t>RESUMEN DEL PRODUCTO DE TODAS LAS ADUANAS.</t>
  </si>
  <si>
    <t>Producto de equipajes</t>
  </si>
  <si>
    <t>Gravamen de 25%</t>
  </si>
  <si>
    <t>Barranquilla                                                                               $</t>
  </si>
  <si>
    <t>Local para las Aduanas y Resguardo</t>
  </si>
  <si>
    <t xml:space="preserve">Guardacosta </t>
  </si>
  <si>
    <t>Visitador Fiscal</t>
  </si>
  <si>
    <t>Por resolucioón del Jurado de Aduanas</t>
  </si>
  <si>
    <t>Por resolución de la oficina general de Cuentas</t>
  </si>
  <si>
    <t>RESUMEN por meses del movimiento del comercio exterior relacionado con todas las Aduanas</t>
  </si>
  <si>
    <t xml:space="preserve">AÑO  ECONOMICO DE 1884 A 1885 </t>
  </si>
  <si>
    <t>BULTOS</t>
  </si>
  <si>
    <t>PESO DE LAS MERCADERIAS</t>
  </si>
  <si>
    <t>VALORES</t>
  </si>
  <si>
    <t>EXPORTADOS</t>
  </si>
  <si>
    <t>IMPORTADAS</t>
  </si>
  <si>
    <t>ANIMALES VIVOS</t>
  </si>
  <si>
    <t>EXPORTADAS</t>
  </si>
  <si>
    <t>De vela</t>
  </si>
  <si>
    <t>De vapor</t>
  </si>
  <si>
    <t xml:space="preserve">1.ª CLASE </t>
  </si>
  <si>
    <t xml:space="preserve">2.ª CLASE </t>
  </si>
  <si>
    <t xml:space="preserve">3.ª CLASE </t>
  </si>
  <si>
    <t xml:space="preserve">4.ª CLASE </t>
  </si>
  <si>
    <t xml:space="preserve">5.ª CLASE </t>
  </si>
  <si>
    <t>7.ª CLASE  25 %</t>
  </si>
  <si>
    <t>ANIMALES</t>
  </si>
  <si>
    <t>MINERALES</t>
  </si>
  <si>
    <t>VEGETALES</t>
  </si>
  <si>
    <t>Numero</t>
  </si>
  <si>
    <t>Núms.</t>
  </si>
  <si>
    <t>Kgr.</t>
  </si>
  <si>
    <t>Grs.</t>
  </si>
  <si>
    <t xml:space="preserve">Septiembre                                                                          </t>
  </si>
  <si>
    <t>RESUMEN del movimiento del comercio exterior relacionado con todas las Aduanas, por oficinas.</t>
  </si>
  <si>
    <t>PRODUCCIONES ANIMALES</t>
  </si>
  <si>
    <t>Barranquilla   (o)                                                                             $</t>
  </si>
  <si>
    <t>(o) La Aduana no remitió datos.</t>
  </si>
  <si>
    <t>MEMORIA DEL MINISTRO DE HACIENDA 1890</t>
  </si>
  <si>
    <t>ADUANAS BIENIO ECONOMICO DE 1887 Y 1888.</t>
  </si>
  <si>
    <t>El producto bruto de las Aduanas en 1888 fue de     $</t>
  </si>
  <si>
    <t xml:space="preserve">que sumado con el de 1887 </t>
  </si>
  <si>
    <t>da un total de                                                                    $</t>
  </si>
  <si>
    <t xml:space="preserve">y, por consiguiente, un superávit respecto del rendimiento calculado para el bienio, de </t>
  </si>
  <si>
    <t>Los gastos de las Aduanas en 1887 fueron de            $</t>
  </si>
  <si>
    <t>y los de 1888</t>
  </si>
  <si>
    <t>Total en el bienio                 $</t>
  </si>
  <si>
    <t>El producto liquido expresado bienio fue, de             $</t>
  </si>
  <si>
    <t>PRODUCTO BRUTO DE CADA UNA DE LAS ADUANAS EN 1887 Y 1888</t>
  </si>
  <si>
    <t>AÑO DE 1887</t>
  </si>
  <si>
    <t>AÑO DE 1888</t>
  </si>
  <si>
    <t>Barranquilla                                                                      $</t>
  </si>
  <si>
    <t>Río-hacha</t>
  </si>
  <si>
    <t>Santa-Marta</t>
  </si>
  <si>
    <t>Orocué</t>
  </si>
  <si>
    <t>Totales                                        $</t>
  </si>
  <si>
    <t>GASTOS DE LAS ADUANAS EN LOS AÑOS DE 1887 Y 1888</t>
  </si>
  <si>
    <t>PRODUCTO LÍQUIDO DE CADA UNA DE LAS ADUANAS EN 1887 Y 1888</t>
  </si>
  <si>
    <t>Ipiales (o)</t>
  </si>
  <si>
    <t>Suma                                                          $</t>
  </si>
  <si>
    <t>(o) Déficit en Ipiales.</t>
  </si>
  <si>
    <t>PRODUCTO DE LAS ADUANAS EN EL AÑO DE 1889.</t>
  </si>
  <si>
    <t>Arauca                                       $</t>
  </si>
  <si>
    <t>Oricué</t>
  </si>
  <si>
    <t>MOVIMIENTO COMERCIAL EN LAS ADUANAS DE COLOMBIA EN LOS AÑOS 1887, 1888 Y 1889.</t>
  </si>
  <si>
    <t>N.os</t>
  </si>
  <si>
    <t>TONELADAS.</t>
  </si>
  <si>
    <t>Han entrado</t>
  </si>
  <si>
    <t xml:space="preserve">   "          "</t>
  </si>
  <si>
    <t>Sumas</t>
  </si>
  <si>
    <t xml:space="preserve">    "            "</t>
  </si>
  <si>
    <t>Han salido</t>
  </si>
  <si>
    <t xml:space="preserve">   "         "</t>
  </si>
  <si>
    <t>Número de bultos.</t>
  </si>
  <si>
    <t>Importados</t>
  </si>
  <si>
    <t xml:space="preserve">   "      "</t>
  </si>
  <si>
    <t>Exportados</t>
  </si>
  <si>
    <t>KILOGRAMOS</t>
  </si>
  <si>
    <t>2.ª    "</t>
  </si>
  <si>
    <t>3.ª    "</t>
  </si>
  <si>
    <t>4.ª    "</t>
  </si>
  <si>
    <t>5.ª    "</t>
  </si>
  <si>
    <t>6.ª    "</t>
  </si>
  <si>
    <t>7.ª    "</t>
  </si>
  <si>
    <t>8.ª    "</t>
  </si>
  <si>
    <t>9.ª    "</t>
  </si>
  <si>
    <t>10.ª  "</t>
  </si>
  <si>
    <t>11.ª  "</t>
  </si>
  <si>
    <t>12.ª  "</t>
  </si>
  <si>
    <t>13.ª  "</t>
  </si>
  <si>
    <t>14.ª  "</t>
  </si>
  <si>
    <t>15.ª  "</t>
  </si>
  <si>
    <t xml:space="preserve">      Sal</t>
  </si>
  <si>
    <t xml:space="preserve">Sumas </t>
  </si>
  <si>
    <t>PRODUCCIONES</t>
  </si>
  <si>
    <t>EXPORTADAS.</t>
  </si>
  <si>
    <t>Animales</t>
  </si>
  <si>
    <t>Minerales</t>
  </si>
  <si>
    <t>Vegetales</t>
  </si>
  <si>
    <t>Nª</t>
  </si>
  <si>
    <t>(a) Esta cantidad representa la totalidad del peso importado por Ipiales, por no haberse recibido el dato de lo que corresponde á cada clase.</t>
  </si>
  <si>
    <t>Producto bruto  Salinas  bienio de 1887 y 1888        $</t>
  </si>
  <si>
    <t>Cantidad calculada para el mismo bienio</t>
  </si>
  <si>
    <t>Hubo por consiguiente un superávit de                       $</t>
  </si>
  <si>
    <t>del cual debe deducirse el déficit del monopolio de sal marina en el Departamento del Cauca en el año 1887.</t>
  </si>
  <si>
    <t>SALINAS DEL INTERIOR</t>
  </si>
  <si>
    <t>PRODUCTO BRUTO. $</t>
  </si>
  <si>
    <t>GASTOS. $</t>
  </si>
  <si>
    <t>PRODUCTO LIQUIDO. $</t>
  </si>
  <si>
    <t>SALINAS MARITIMAS</t>
  </si>
  <si>
    <t>DEGÜELLO.</t>
  </si>
  <si>
    <t>Presupuesto bienio 1887 y 1888                                                                                                         $</t>
  </si>
  <si>
    <t>Produjo en 1887                                                               $</t>
  </si>
  <si>
    <t>Produjo en 1888</t>
  </si>
  <si>
    <t>Déficit                                                                       $</t>
  </si>
  <si>
    <t>Presupuesto bienio 1889 y 1890                                                                                                         $</t>
  </si>
  <si>
    <t>En el año de 1889, uçincluído el Departamento de Panamá, produjo</t>
  </si>
  <si>
    <t>Y en 1890 producirá</t>
  </si>
  <si>
    <t>Superávit                                                                 $</t>
  </si>
  <si>
    <t>PAPEL SELLADO Y TIMBRE NACIONAL.</t>
  </si>
  <si>
    <t>Renta 1887                                                                        $</t>
  </si>
  <si>
    <t>Renta 1888</t>
  </si>
  <si>
    <t>Total en el bienio                              $</t>
  </si>
  <si>
    <t>Esta renta fue calculada para el bienio en                  $</t>
  </si>
  <si>
    <t>Déficit                                $</t>
  </si>
  <si>
    <t>PRODUCTOS DE LAS RENTAS NACIONALES.</t>
  </si>
  <si>
    <t>Producto general bruto de entradas en el bienio       $</t>
  </si>
  <si>
    <t>De lo cual hay que deducir:</t>
  </si>
  <si>
    <t>Emisión de papel-moneda en el bienio</t>
  </si>
  <si>
    <t>Utilidad en los remates y conversión de órdenes de pago, según los datos del Tesorero general</t>
  </si>
  <si>
    <t>Producto verdadero de las rentas en el bienio</t>
  </si>
  <si>
    <t>Presupuesto en el bienio</t>
  </si>
  <si>
    <t>Déficit                                         $</t>
  </si>
  <si>
    <t>En el año de 1889 el producto total de las rentas, fue</t>
  </si>
  <si>
    <t>Del cual se deducen:</t>
  </si>
  <si>
    <t>Emisión de papel-moneda</t>
  </si>
  <si>
    <t>Utilidad de los remates y conversión de órdenes de pago</t>
  </si>
  <si>
    <t>Verdadero producto en 1889</t>
  </si>
  <si>
    <t>Si se calcula otro tanto para 1890, daría en el bienio</t>
  </si>
  <si>
    <t>Presupuesto para 1889 y 1890</t>
  </si>
  <si>
    <t>Superávit                                             $</t>
  </si>
  <si>
    <t>PRODUCTO de las rentas nacionales en el bienio de 1887 y 1888 y en el año de 1889, y cómputo en el bienio de 1889 y 1890.</t>
  </si>
  <si>
    <t>Producto en el bienio de 1887 y 1888</t>
  </si>
  <si>
    <t>Producto en el año de 1889.</t>
  </si>
  <si>
    <t>Cómputo para el bienio de 1889 y 1890.</t>
  </si>
  <si>
    <t>3. Derecho de degüello ( incluido Panamá)</t>
  </si>
  <si>
    <t>4. Papel sellado y timbre nacional (id. id.)</t>
  </si>
  <si>
    <t>5. Correos (aproximación)</t>
  </si>
  <si>
    <t>6. Telégrafos (id.)</t>
  </si>
  <si>
    <t>7. Derecho complementario de título</t>
  </si>
  <si>
    <t>8. Derechos consulares</t>
  </si>
  <si>
    <t>9. impuesto fluvial del río Magdalena</t>
  </si>
  <si>
    <t>10. Impuestos sobre minas</t>
  </si>
  <si>
    <t>11. Bienes nacionales</t>
  </si>
  <si>
    <t>12. Ferrocarril de Panamá (oro)</t>
  </si>
  <si>
    <t>13. Premio de letras al 95 por 100</t>
  </si>
  <si>
    <t>14. Ferrocarril de Girardot</t>
  </si>
  <si>
    <t>15. Puente de Girardot</t>
  </si>
  <si>
    <t>16. Ferrocarril del Cauca</t>
  </si>
  <si>
    <t>17. Amonedación</t>
  </si>
  <si>
    <t>18 Exportación (de nuevos artículos)</t>
  </si>
  <si>
    <t>19. Faros</t>
  </si>
  <si>
    <t>20. Bonos de Ferrocarril de la Sabana</t>
  </si>
  <si>
    <t>21. Papel- moneda (emision &amp;c.)</t>
  </si>
  <si>
    <t>22. Arrendamiento de las minas de Muzo y Coscuez</t>
  </si>
  <si>
    <t>23. Arrendamiento de las minas de Santa-Ana y La-Manta, Supía y Marmato</t>
  </si>
  <si>
    <t>24. Laguna de Fúneque</t>
  </si>
  <si>
    <t>25. Alumbrado y vigilancia de Bogotá</t>
  </si>
  <si>
    <t>26. Ingresos varios</t>
  </si>
  <si>
    <t>27. Carboneras de San-Jorge</t>
  </si>
  <si>
    <t>Totales                                                $</t>
  </si>
  <si>
    <t xml:space="preserve">PRODUCTO </t>
  </si>
  <si>
    <t>DE TODAS LAS ADUANAS EN EL AÑO DE 1888.</t>
  </si>
  <si>
    <t>Drechos de importación.</t>
  </si>
  <si>
    <t>6ª CLASE.</t>
  </si>
  <si>
    <t>7ª CLASE.</t>
  </si>
  <si>
    <t>9ª CLASE.</t>
  </si>
  <si>
    <t>10ª CLASE.</t>
  </si>
  <si>
    <t>11ª CLASE.</t>
  </si>
  <si>
    <t>12ª CLASE.</t>
  </si>
  <si>
    <t>13ª CLASE.</t>
  </si>
  <si>
    <t>14ª CLASE.</t>
  </si>
  <si>
    <t>15ª CLASE.</t>
  </si>
  <si>
    <t>DERECHOS EN SUSPENSO.</t>
  </si>
  <si>
    <t>RECARGOS Y MULTAS.</t>
  </si>
  <si>
    <t>Nacionalización de buques.</t>
  </si>
  <si>
    <t>DERECHO DE ALMACENAJE</t>
  </si>
  <si>
    <t>DERECHO SOBRE EQUIPAJES</t>
  </si>
  <si>
    <t>REMATE DE MERCANCÍAS.</t>
  </si>
  <si>
    <t>PREMIOS Y APROVECHAMIENTOS.</t>
  </si>
  <si>
    <t>Totales                                                           $</t>
  </si>
  <si>
    <t>DE TODAS LAS ADUANAS POR MESES EN EL AÑO 1889.</t>
  </si>
  <si>
    <t>Derechos de importación.</t>
  </si>
  <si>
    <t>25 POR 100 DE RECARGO</t>
  </si>
  <si>
    <t>DESCUENTO</t>
  </si>
  <si>
    <t>TOTAL MENOS DEDUCIONES.</t>
  </si>
  <si>
    <t>DERECHO DE FARO</t>
  </si>
  <si>
    <t>DERECHO DE LASTRE</t>
  </si>
  <si>
    <t>PRODUCTO DE COMISOS</t>
  </si>
  <si>
    <t>PREMIOS Y APROVECHAMIENTOS</t>
  </si>
  <si>
    <t>REMATE DE MERCADERÍAS</t>
  </si>
  <si>
    <t>EXCESO SOBRE EQUIPAJES</t>
  </si>
  <si>
    <t>NACIONALIZACIÓN DE BUQUES</t>
  </si>
  <si>
    <t>INGRESOS VARIOS</t>
  </si>
  <si>
    <t>TOTAL DE LOS PRODUCTOS</t>
  </si>
  <si>
    <t>Septiembre</t>
  </si>
  <si>
    <t>MOVIMIENTO DEL COMERCIO EXTERIOR RELACIONADO CON TODAS LAS ADUANAS EN EL AÑO DE 1888.</t>
  </si>
  <si>
    <t>Exportados.</t>
  </si>
  <si>
    <t>DE VAPOR</t>
  </si>
  <si>
    <t>NUMEROS.</t>
  </si>
  <si>
    <t xml:space="preserve">Kms. </t>
  </si>
  <si>
    <t>MOVIMIENTO</t>
  </si>
  <si>
    <t>DEL COMERCIO EXTERIOR RELACIONADO CON LA ADUANA DE BARRANQUILLA EN EL AÑO 1889</t>
  </si>
  <si>
    <t>Valores</t>
  </si>
  <si>
    <t>MEMORIA DEL MINISTRO DE HACIENDA 1892</t>
  </si>
  <si>
    <t>las aduanas produjeron en el año 1891          $</t>
  </si>
  <si>
    <t xml:space="preserve">Esta cantidad excede á la del año de 1890 </t>
  </si>
  <si>
    <t xml:space="preserve">Y también es mayor en </t>
  </si>
  <si>
    <t>que la mitad de la suma presupuesta por el Congreso para el bienio económico de 1891 á 1892.</t>
  </si>
  <si>
    <t>PRODUCTOS ADUANAS</t>
  </si>
  <si>
    <t>pesos en el año de                                                             1880 á 1881</t>
  </si>
  <si>
    <t xml:space="preserve">    íd.                Íd.                                                                 1881 á 1882</t>
  </si>
  <si>
    <t xml:space="preserve">    íd.                Íd.                                                                 1882 á 1883</t>
  </si>
  <si>
    <t xml:space="preserve">    íd.                Íd.                                                                 1883 á 1884</t>
  </si>
  <si>
    <t xml:space="preserve">    íd.                Íd.                                                                 1884 á 1885</t>
  </si>
  <si>
    <t xml:space="preserve">    íd.                Íd.                                                                 1885 á 1886</t>
  </si>
  <si>
    <t xml:space="preserve">    íd. de Septiembre á Diciembre de                                           1886</t>
  </si>
  <si>
    <t xml:space="preserve">    íd. en eñ año de                                                                          1887</t>
  </si>
  <si>
    <t xml:space="preserve">    íd.              Íd.                                                                                1888</t>
  </si>
  <si>
    <t xml:space="preserve">    íd.              Íd.                                                                                1889</t>
  </si>
  <si>
    <t xml:space="preserve">    íd.              Íd.                                                                                1890</t>
  </si>
  <si>
    <t xml:space="preserve">    íd.              Íd.                                                                                1891</t>
  </si>
  <si>
    <t>PRODUCTO ADUANAS</t>
  </si>
  <si>
    <t>Década de 1830 á 1840                                       $</t>
  </si>
  <si>
    <t xml:space="preserve">    Id.      de 1840 á 1850</t>
  </si>
  <si>
    <t xml:space="preserve">    Id.      de 1850 á 1860</t>
  </si>
  <si>
    <t xml:space="preserve">    Id.      de 1860 á 1870</t>
  </si>
  <si>
    <t xml:space="preserve">    Id.      de 1870 á 1880</t>
  </si>
  <si>
    <t xml:space="preserve">    Id.      de 1880 á 1890</t>
  </si>
  <si>
    <t>Los resultados que ha tenido la renta de Aduanas con la Tarifa que rige, se derivan del movimiento comercial que se resume en este cuadro:</t>
  </si>
  <si>
    <t>VALORES EXPORTADOS $</t>
  </si>
  <si>
    <t>VALORES IMPORTADOS</t>
  </si>
  <si>
    <t>Las clases de mercaderías importadas fueron éstas:</t>
  </si>
  <si>
    <t>CLASES Y CUOTAS DEL IMPUESTO</t>
  </si>
  <si>
    <t>AÑO DE 1889</t>
  </si>
  <si>
    <t>AÑO DE 1890</t>
  </si>
  <si>
    <t>AÑO DE 1891</t>
  </si>
  <si>
    <t>1.º (libre)</t>
  </si>
  <si>
    <t>2.ª (1 cs)</t>
  </si>
  <si>
    <t>3.ª (2 1/2 cs)</t>
  </si>
  <si>
    <t>4.ª (5 cs)</t>
  </si>
  <si>
    <t>5.ª (10 cs)</t>
  </si>
  <si>
    <t>6.ª (20 cs)</t>
  </si>
  <si>
    <t>7.ª (30 cs)</t>
  </si>
  <si>
    <t>8.ª (40 cs)</t>
  </si>
  <si>
    <t>9.ª (50 cs)</t>
  </si>
  <si>
    <t>10.ª (60 cs)</t>
  </si>
  <si>
    <t>11.ª (70 cs)</t>
  </si>
  <si>
    <t>12.ª (80 cs)</t>
  </si>
  <si>
    <t>13.ª (90 cs)</t>
  </si>
  <si>
    <t>14.ª (100 cs)</t>
  </si>
  <si>
    <t>15.ª (120 cs)</t>
  </si>
  <si>
    <t>Totales *</t>
  </si>
  <si>
    <t>* Estos totales difieren algo de la suma exacta de las otras cantidades, por haberse prescindido de las fracciones.</t>
  </si>
  <si>
    <t>En 1889 produjo                                                  $</t>
  </si>
  <si>
    <t>En 1890</t>
  </si>
  <si>
    <t>En 1891</t>
  </si>
  <si>
    <t>MEMORIA DEL MINISTRO DE HACIENDA 1894</t>
  </si>
  <si>
    <t>de las rentas nacionales en el bienio de 1891 y 1892 y en el año de 1893</t>
  </si>
  <si>
    <t>Ministerios que administran rentas</t>
  </si>
  <si>
    <t>Bienio de 1891 y 1892</t>
  </si>
  <si>
    <t>Aduanas (a) (inclusive encomiendas postales)</t>
  </si>
  <si>
    <t xml:space="preserve">    Id.</t>
  </si>
  <si>
    <t>Degüello (b)</t>
  </si>
  <si>
    <t>Papel sellado y Timbre nacional (c )</t>
  </si>
  <si>
    <t>Telégrafos (d)</t>
  </si>
  <si>
    <t>Correos (d)</t>
  </si>
  <si>
    <t>RR.EE</t>
  </si>
  <si>
    <t>Derechos consulares</t>
  </si>
  <si>
    <t>Impuesto fluvial del Río Magdalena</t>
  </si>
  <si>
    <t>Alumbrado y vigilancia de Bogotá</t>
  </si>
  <si>
    <t>Canal de Panamá (f)</t>
  </si>
  <si>
    <t>Ferrocarril de Panamá (oró)</t>
  </si>
  <si>
    <t>p/m</t>
  </si>
  <si>
    <t>Puente de Girardot</t>
  </si>
  <si>
    <t>Ferrocarril de Girardot (g)</t>
  </si>
  <si>
    <t xml:space="preserve">Hacienda </t>
  </si>
  <si>
    <t>Derechos sobre minas</t>
  </si>
  <si>
    <t>Arrendamiento de las minas de Muzo y Coscuez</t>
  </si>
  <si>
    <t>Id. de las minas de Santana, Supía y Marmato</t>
  </si>
  <si>
    <t>Carboneras de San Jorge</t>
  </si>
  <si>
    <t>Faros</t>
  </si>
  <si>
    <t>Peaje del camino de Buenaventura</t>
  </si>
  <si>
    <t>Multas nacionales en Panamá</t>
  </si>
  <si>
    <t>Extracción de lastre en playas de Panamá</t>
  </si>
  <si>
    <t>Ingresos varios, aprovechamientos etc.(h)</t>
  </si>
  <si>
    <t>Patentes de privilegio</t>
  </si>
  <si>
    <t>(a) Esta incluído el 25 por 100 adicional. Faltan los datos del Meta desde Septiembre.</t>
  </si>
  <si>
    <t>(b) En el bienio de 1891 y 1892 no está comprendido el Departamento de Panamá ($212.770).</t>
  </si>
  <si>
    <t>(c ) En el año de 1891 no está comprendido el Departamento de Panamá ($19.500-40)</t>
  </si>
  <si>
    <t>(d) No está incluído el Departamento de Panamá</t>
  </si>
  <si>
    <t>(e)      Id.                        id.            en 1892</t>
  </si>
  <si>
    <t>(f) No es una renta sino una indemnización en 1893</t>
  </si>
  <si>
    <t>(g) El producto del Ferrocarril de Girardot en 1893 ($13.929-12 1/2) es soló hasta el 1º de Abril, fecha en que se encargó de él el consecionario.</t>
  </si>
  <si>
    <t>(h) En esta renta en 1882 figuran $385.714-30 que correspondieron al Gobierno como accionista del Banco nacional en 1890, 1891 y 1892; y en 1893 figuran también $ 64.285-70 de la misma procedencia en el primer semestre, y $125.000, importe del cambio al 125 por 100 de 500.000 francos en oro, girados contra la Compañía del Canal de Panamá.</t>
  </si>
  <si>
    <t xml:space="preserve">                                                                                            </t>
  </si>
  <si>
    <t>DERECHOS DE IMPORTACIONES</t>
  </si>
  <si>
    <t>DERECHOS EN SUSPENSO</t>
  </si>
  <si>
    <t>DERECHOS DE TONELADAS</t>
  </si>
  <si>
    <t>DERECHOS DE LASTRE</t>
  </si>
  <si>
    <t>PRODUCTOS DE COMISOS</t>
  </si>
  <si>
    <t>TOTAL de los DERECHOS</t>
  </si>
  <si>
    <t>2ª CLASE. 1 centavo</t>
  </si>
  <si>
    <t>3ª CLASE. 2 1/2 cs.</t>
  </si>
  <si>
    <t>4ª CLASE. 5 cs.</t>
  </si>
  <si>
    <t>5ª CLASE. 10 cs.</t>
  </si>
  <si>
    <t>6ª CLASE. 20 cs.</t>
  </si>
  <si>
    <t>7ª CLASE. 30 cs.</t>
  </si>
  <si>
    <t>8ª CLASE. 40 cs.</t>
  </si>
  <si>
    <t>9ª CLASE. 50 cs.</t>
  </si>
  <si>
    <t>10ª CLASE. 60 cs.</t>
  </si>
  <si>
    <t>11ª CLASE. 70 cs.</t>
  </si>
  <si>
    <t>12ª CLASE. 80 cs.</t>
  </si>
  <si>
    <t>13ª CLASE. 90 cs.</t>
  </si>
  <si>
    <t>14ª CLASE. $1</t>
  </si>
  <si>
    <t>15ª CLASE. 1-20</t>
  </si>
  <si>
    <t>SAL</t>
  </si>
  <si>
    <t>25% DE RECARGO</t>
  </si>
  <si>
    <t>DEDUCCIONES</t>
  </si>
  <si>
    <t>Arauca                                  $</t>
  </si>
  <si>
    <t>Meta</t>
  </si>
  <si>
    <t>Ríohacha</t>
  </si>
  <si>
    <t>Totales                       $</t>
  </si>
  <si>
    <t>DERECHOS DE ALMACENAJE</t>
  </si>
  <si>
    <t>DRECHOS DE LASTRE</t>
  </si>
  <si>
    <t>Derechos de nacionalización de buques</t>
  </si>
  <si>
    <t>RECARGO Y MULTAS</t>
  </si>
  <si>
    <t>PRODUCTO DE LOS COMISOS</t>
  </si>
  <si>
    <t>TOTAL DE LOS DERECHOS</t>
  </si>
  <si>
    <t>2ª CLASE. 1 cvo.</t>
  </si>
  <si>
    <t>Derechos adicionales Leyes 85 y 93 de 1892</t>
  </si>
  <si>
    <t>Especial de Tabaco</t>
  </si>
  <si>
    <t>Meta *</t>
  </si>
  <si>
    <t>* Faltan los datos del último cuatrimestre, por no haberse recibido.</t>
  </si>
  <si>
    <t>MERCADERÍAS IMPORTADAS POR LAS ADUANAS</t>
  </si>
  <si>
    <t>ULTIMO BIENIO ECONOMICO</t>
  </si>
  <si>
    <t>Año de 1893</t>
  </si>
  <si>
    <t>Año de 1891</t>
  </si>
  <si>
    <t>Año de 1892</t>
  </si>
  <si>
    <t>2.ª (1 cvs.)</t>
  </si>
  <si>
    <t>3.ª (2 1/2 cvs.)</t>
  </si>
  <si>
    <t>4.ª (5 cvs.)</t>
  </si>
  <si>
    <t>5.ª (10 cvs.)</t>
  </si>
  <si>
    <t>6.ª (20 cvs.)</t>
  </si>
  <si>
    <t>7.ª (30 cvs.)</t>
  </si>
  <si>
    <t>8.ª (40 cvs.)</t>
  </si>
  <si>
    <t>9.ª (50 cvs.)</t>
  </si>
  <si>
    <t>10.ª (60 cvs.)</t>
  </si>
  <si>
    <t>11.ª (70 cvs.)</t>
  </si>
  <si>
    <t>12.ª (80 cvs.)</t>
  </si>
  <si>
    <t>13.ª (90 cvs.)</t>
  </si>
  <si>
    <t>14.ª (100 cvs.)</t>
  </si>
  <si>
    <t>15.ª (120 cvs.)</t>
  </si>
  <si>
    <t>Clase especial que desde el último año forma el tabaco.</t>
  </si>
  <si>
    <t>PRECIOS DE LA SAL</t>
  </si>
  <si>
    <t>Compactada, los doce y medio Kilogramos á    $</t>
  </si>
  <si>
    <t>De caldero ó marina de grano, menos de la Salina de Torno</t>
  </si>
  <si>
    <t>Vijua de primera clase</t>
  </si>
  <si>
    <t>Vijua de segunda id. y sal marina de espuma</t>
  </si>
  <si>
    <t xml:space="preserve">Sal de Salina del Torno, id. id. </t>
  </si>
  <si>
    <t>De Curaçao, id, id</t>
  </si>
  <si>
    <t>Esta renta ha producido:</t>
  </si>
  <si>
    <t>En 1889                                                                  $</t>
  </si>
  <si>
    <t>En 1892</t>
  </si>
  <si>
    <t>En 1893</t>
  </si>
  <si>
    <t>Informe del Ministro del Tesoro 1896</t>
  </si>
  <si>
    <t>SITUACIÓN FISCAL DE LOS DEPARTAMENTOS.</t>
  </si>
  <si>
    <t>tiempo recorrido del Iº de Abril de 1894 al 31 de Marzo del corriente año</t>
  </si>
  <si>
    <t>DEPARTAMENTO</t>
  </si>
  <si>
    <t>RECAUDÓ</t>
  </si>
  <si>
    <t>GASTÓ</t>
  </si>
  <si>
    <t>Antioquia                                                    $</t>
  </si>
  <si>
    <t>(I)</t>
  </si>
  <si>
    <t>(2)</t>
  </si>
  <si>
    <t xml:space="preserve">Santander </t>
  </si>
  <si>
    <t>(3)</t>
  </si>
  <si>
    <t>(4)</t>
  </si>
  <si>
    <t>(5)</t>
  </si>
  <si>
    <t>MEMORIA DEL MINISTRO DE HACIENDA 1896</t>
  </si>
  <si>
    <t>PRODUCTO  bruto de las rentas nacionales en el bienio de 1893 y 1894 y en el año de 1895.</t>
  </si>
  <si>
    <t>Ministerios que administran las rentas.</t>
  </si>
  <si>
    <t>BIENIO DE 1893 y 1894</t>
  </si>
  <si>
    <t>AÑO DE 1895</t>
  </si>
  <si>
    <t>Hacienda (a)</t>
  </si>
  <si>
    <t xml:space="preserve">    Id.           (b)</t>
  </si>
  <si>
    <t xml:space="preserve">    Id.           (c )</t>
  </si>
  <si>
    <t>Degüello</t>
  </si>
  <si>
    <t xml:space="preserve">    Id.           (d)</t>
  </si>
  <si>
    <t>Papel sellado y timbre nacional</t>
  </si>
  <si>
    <t>Cigarrillos</t>
  </si>
  <si>
    <t>Hacienda (e)</t>
  </si>
  <si>
    <t>Impuesto fluvial del río Magdalena</t>
  </si>
  <si>
    <t xml:space="preserve">    Id.           (f)</t>
  </si>
  <si>
    <t>Canal de Panamá</t>
  </si>
  <si>
    <t>Hacienda (g)</t>
  </si>
  <si>
    <t xml:space="preserve">    Id.           (h)</t>
  </si>
  <si>
    <t>Ferrocarril de Girardot</t>
  </si>
  <si>
    <t>Arrendamiento de las minas de Santana, Supía, y Marmato</t>
  </si>
  <si>
    <t>Peaje del Camino de Buenaventura</t>
  </si>
  <si>
    <t>Extracción de lastre en las playas de Panamá</t>
  </si>
  <si>
    <t>Ingresos varios, aprovecamientos ets. etc</t>
  </si>
  <si>
    <t>Barca de Arranca-plumas</t>
  </si>
  <si>
    <t xml:space="preserve">                 (a) En la renta de Aduanas están incluidos los derechos por encomiendas postales y de introducción de tabaco á Panamá, Colón y Bocas del Toro. No hay datos de la Aduana de Arauca de Julio á Diciembre de 1894 ni de todo el año de 1895; ni de la del Meta de Agosto á Diciembre de 1894 y de Enero á Junio de 1895.--(b) No se han recibido los datos de la Administración de las salinas marítimas en 1895 ni de los Amacenes dependientes de Antioquia y Honada.--(c ) Desde el 1º de Abril al 9 de Noviembre de 1895 el impuesto de de degüello se cobró á razón de $10 por cabeza de ganado mayor.--(d) Desde el 23 de Marzo hasta el 9 de Noviembre de 1895 estuvo duplicado el valor del papel sellado y de las estampillas de timbre nacional.--(e) El impuesto fluvial del río Magdalena se cobró desde Abril de 1893 por la Compañía Colombiana de Transportes, en virtud del contrato número 20 de 1893, (Diario Oficial 9.129).--(f) La cantidad de $60.000 en que figura el impuesto de alumbrado y vigilancia es una aproximación por no poder poseer el Ministerio cuentas precisas. --(g) No figura el producido del puente de Girardot en 1894 y 1895 por haber sido enajenado. --(h) No aparece el producto del Ferrocarril de Girardot en 1894 y 1895 porque, de acuerdo con el contrato, pasó á poder del Sr. Mc. Connico.</t>
  </si>
  <si>
    <t>IMPORTACIONES y exportaciones por las Administraciones de Aduanas en el año de 1894.</t>
  </si>
  <si>
    <t>EXPORTADOS.</t>
  </si>
  <si>
    <t>TABACO.</t>
  </si>
  <si>
    <t>REINO ANIMAL.</t>
  </si>
  <si>
    <t>VEGETALES.</t>
  </si>
  <si>
    <t>MANUFACTURAS.</t>
  </si>
  <si>
    <t>Kilos.</t>
  </si>
  <si>
    <t>Gramos.</t>
  </si>
  <si>
    <t>cs.</t>
  </si>
  <si>
    <t xml:space="preserve">Arauca </t>
  </si>
  <si>
    <t xml:space="preserve">Buenaventura </t>
  </si>
  <si>
    <t xml:space="preserve">Cúcuta </t>
  </si>
  <si>
    <t xml:space="preserve">Totales        </t>
  </si>
  <si>
    <t>) Faltan los datos de Julio á Diciembre.</t>
  </si>
  <si>
    <t>) Faltan los datos de agosto á Octubre y el de Diciembre.</t>
  </si>
  <si>
    <t>CAFÉ EXPORTADO. (g)</t>
  </si>
  <si>
    <t>PESO.</t>
  </si>
  <si>
    <t>VALOR.</t>
  </si>
  <si>
    <t>Arauca (a)</t>
  </si>
  <si>
    <t>Buenaventura (b)</t>
  </si>
  <si>
    <t>Cúcuta (c )</t>
  </si>
  <si>
    <t>Meta (f)</t>
  </si>
  <si>
    <t>Tumaco (d)</t>
  </si>
  <si>
    <t>(a). No se ha recibido ningún dato.</t>
  </si>
  <si>
    <t>(b). Faltan los datos de Sepriembre, Noviembre y Diciembre.</t>
  </si>
  <si>
    <t>(c ). Faltan los datos sobre importaciones de Diciembre.</t>
  </si>
  <si>
    <t>(d). Faltan los datos de Diciembre.</t>
  </si>
  <si>
    <t>(f). Faltan los datos sobre importación en todo el año.</t>
  </si>
  <si>
    <t>(g). Las cifras de esta casilla están comprendidas en la de la casilla de "VEGETALES."</t>
  </si>
  <si>
    <t>Productos de los derechos de importación por las Aduanas de la República en el año de 1895.(*)</t>
  </si>
  <si>
    <t>DERECHOS DE IMPORTACIÓN.</t>
  </si>
  <si>
    <t>2ª CLASE. 1 cs.</t>
  </si>
  <si>
    <t>14ª CLASE. 100 cs.</t>
  </si>
  <si>
    <t>15ª CLASE. 120 cs.</t>
  </si>
  <si>
    <t>Tabaco.</t>
  </si>
  <si>
    <t>Derecho adicional.</t>
  </si>
  <si>
    <t>25% de recargo.</t>
  </si>
  <si>
    <t>15% de recargo.</t>
  </si>
  <si>
    <t>Café.</t>
  </si>
  <si>
    <t>Deducciones.</t>
  </si>
  <si>
    <t>Meta (b)</t>
  </si>
  <si>
    <t>Totales              $</t>
  </si>
  <si>
    <t>(*) De los otros productos trata el cuadro que sigue á éste.</t>
  </si>
  <si>
    <t>(a) No hay datosde Julio á Diciembre inclusive.</t>
  </si>
  <si>
    <t>(b) No hay datos de Enero á Junio.</t>
  </si>
  <si>
    <t>Productos de los derechos de importaciones por las Aduanas de la República en el año de 1894. (I)</t>
  </si>
  <si>
    <t>2ª CLASE. 1 cvs.</t>
  </si>
  <si>
    <t>3ª CLASE. 2 1/2 cvs.</t>
  </si>
  <si>
    <t>4ª CLASE. 5 cvs.</t>
  </si>
  <si>
    <t>5ª CLASE. 10 cvs.</t>
  </si>
  <si>
    <t>6ª CLASE. 20 cvs.</t>
  </si>
  <si>
    <t>7ª CLASE. 30 cvs.</t>
  </si>
  <si>
    <t>8ª CLASE. 40 cvs.</t>
  </si>
  <si>
    <t>9ª CLASE. 50 cvs.</t>
  </si>
  <si>
    <t>10ª CLASE. 60 cvs.</t>
  </si>
  <si>
    <t>11ª CLASE. 70 cvs.</t>
  </si>
  <si>
    <t>12ª CLASE. 80 cvs.</t>
  </si>
  <si>
    <t>13ª CLASE. 90 cvs.</t>
  </si>
  <si>
    <t>14ª CLASE. 100 cvs.</t>
  </si>
  <si>
    <t>15ª CLASE. 120 cvs.</t>
  </si>
  <si>
    <t>DERECHOS ADICIONALES.</t>
  </si>
  <si>
    <t>25% DE RECARGO.</t>
  </si>
  <si>
    <t>(I) De los otros productos trata el cuadro que sigue á este.</t>
  </si>
  <si>
    <t>(b) No hay datos de Julio á Diciembre inclucive.</t>
  </si>
  <si>
    <t>(b) No hay datos de Agosto á Noviembre.</t>
  </si>
  <si>
    <t>MEMORIA DEL MINISTRO DE HACIENDA 1898</t>
  </si>
  <si>
    <t>PRODUCTO BRUTO DE LAS RENTAS Y CONTRIBUCIONES NACIONALES Y OTRAS ENTRADAS AL TESORO EN EL BIENIO DE 1895 y 1896 y EN EL AÑO DE 1897</t>
  </si>
  <si>
    <t>NOMBRE DE LAS CUENTAS</t>
  </si>
  <si>
    <t>Total del bienio.</t>
  </si>
  <si>
    <t>(a) Degüello</t>
  </si>
  <si>
    <t>(b) Cigarrillos</t>
  </si>
  <si>
    <t>(c ) Fósforos</t>
  </si>
  <si>
    <t>(d) Canal de Panamá</t>
  </si>
  <si>
    <t>Ferrocarrill de Panamá $10.000 (oro) (Premio computado al 150 por 100 de $15.000)</t>
  </si>
  <si>
    <t>Ferrocarril de la Sabana (e )</t>
  </si>
  <si>
    <t>Impuestos sobre las minas</t>
  </si>
  <si>
    <t>Arrendamiento de las minas de Supía y Marmato</t>
  </si>
  <si>
    <t>Faros y Muelles</t>
  </si>
  <si>
    <t>Barcas de Arrancaplumas</t>
  </si>
  <si>
    <t>(a) En el año de 1897 s´lo se computa el degüello en Panamá, pues desde el 1.º de enero de aquel año pertenece á los Departamentos por disposición de la Ley 135 de 1896.</t>
  </si>
  <si>
    <t>(b) La suma de $659.447-70, producto de la Renta de cigarrillos en el año de 1897, se descompone así:</t>
  </si>
  <si>
    <t>Ventas en los almacenes oficiales hasta el 15 de Agosto de dicho año  $</t>
  </si>
  <si>
    <t>Valor de las mensualidades que ha consignado el Administrador general de la renta desde aquella fecha hasta finalizar el año</t>
  </si>
  <si>
    <t>(c ) La cantidad de $320.930-20 que aparece como recaudada por Fósforos en 1897, no es una renta fija anual, pues en ella está incorporada parte de la cantidad valor del emprésito derivado del contrato de privilegio.</t>
  </si>
  <si>
    <t xml:space="preserve">(d) Las sumas que aparecen en 1896 y 1897 en la Renta de Canal de Panamá no representan un producto anual fijo, pues no pueden considerarse sino como una entrada extraordinaria proveniente de las cantidades que la Compañía debía ahorrar al Gobierno por la prórroga para la construcción del Canal. </t>
  </si>
  <si>
    <t>(e ) Tampoco es entrada anual la cantidad de $145.693-60 que figura en la Renta de Ferrocarril de la Sabana, pues aquélla representa en parte el precio del arrendamiento de la Empresa durante la guerra de 1895.</t>
  </si>
  <si>
    <t>ADUANAS -- PRODUCTOS</t>
  </si>
  <si>
    <t>Año de 1892.</t>
  </si>
  <si>
    <t>Año de 1893.</t>
  </si>
  <si>
    <t>Año de 1894.</t>
  </si>
  <si>
    <t>Año de 1895.</t>
  </si>
  <si>
    <t>Año de 1896.</t>
  </si>
  <si>
    <t>Año de 1897.</t>
  </si>
  <si>
    <t>Arauca   *                                                             $</t>
  </si>
  <si>
    <t>No hay datos.</t>
  </si>
  <si>
    <t>Meta          *</t>
  </si>
  <si>
    <t>Totales                                                                   $</t>
  </si>
  <si>
    <t>* Faltan los datos de la Aduana del Meta del último cuatrimestre de 1894 y del primer semestre de cada uno de los años de 1895 y 1897; y los de las Aduanas de Arauca de Agosto  á Diciembre de 1894 y de Enero á Mayo de 1897.</t>
  </si>
  <si>
    <t>GASTOS -- PRODUCTOS</t>
  </si>
  <si>
    <t>* Faltan los datos de la Aduana del Meta, de Mayo á Diciembre de 1893; de Marzo y Abril y Agosto á Noviembre de 1894; y de cada uno de los primeros semestres de 1895 y 1897; y de la Aduana de Arauca, de marzo de 1892, Abril y Mayo de 1893 y Julio á Diciembre de 1894, y enero á Mayo de 1897.</t>
  </si>
  <si>
    <t>ADUANAS EN GENERAL.</t>
  </si>
  <si>
    <t>Nº de bultos.</t>
  </si>
  <si>
    <t>16.ª  "</t>
  </si>
  <si>
    <t>Hielo</t>
  </si>
  <si>
    <t>Carbón</t>
  </si>
  <si>
    <t>Producciones.</t>
  </si>
  <si>
    <t>Número</t>
  </si>
  <si>
    <t>Nümero y peso de las encomiendas postales</t>
  </si>
  <si>
    <t>DEPARTAMENTOS</t>
  </si>
  <si>
    <t>Año de 1896</t>
  </si>
  <si>
    <t>Peso.--Kls.</t>
  </si>
  <si>
    <t>Antioquia                                                             $</t>
  </si>
  <si>
    <t>Totales                                  $</t>
  </si>
  <si>
    <t>SALINAS - RENTA</t>
  </si>
  <si>
    <t>En 1891                                                                 $</t>
  </si>
  <si>
    <t>En 1894</t>
  </si>
  <si>
    <t>En 1895</t>
  </si>
  <si>
    <t>En 1896</t>
  </si>
  <si>
    <t>En 1897</t>
  </si>
  <si>
    <t>Renta de Timbre nacional.</t>
  </si>
  <si>
    <t>Ventas de las diversas clases de papel sellado, estampillas de habilitación y de timbre nacional, verificadas durante el bienio de 1895 y 1896 y el año 1897.</t>
  </si>
  <si>
    <t>Papel sellado y habilitado</t>
  </si>
  <si>
    <t>Producto</t>
  </si>
  <si>
    <t>Estampillas de timbre nacional</t>
  </si>
  <si>
    <t>Clases</t>
  </si>
  <si>
    <t>1.ª</t>
  </si>
  <si>
    <t>2.ª</t>
  </si>
  <si>
    <t>3.ª</t>
  </si>
  <si>
    <t>Año de 1895</t>
  </si>
  <si>
    <t>Suma el bienio</t>
  </si>
  <si>
    <t>Año de 1897</t>
  </si>
  <si>
    <t>Renta de cigarrillos</t>
  </si>
  <si>
    <t>El resultado fiscal del monopolio en esa época fue el siguiente:</t>
  </si>
  <si>
    <t>Producto bruto:</t>
  </si>
  <si>
    <t>Venta de cigarrillos en los últimos meses del año de 1893, en que se estableció la Renta:</t>
  </si>
  <si>
    <t>Gruesas - paquetes</t>
  </si>
  <si>
    <t>Valor Venta</t>
  </si>
  <si>
    <t>Año de 1894</t>
  </si>
  <si>
    <t>Año de 1897 (hasta el 15 de Agosto)</t>
  </si>
  <si>
    <t>Valor de las existencias de cigarrillos y materias primas que recibió el Administrador general de la Renta el 16 de Agosto de 1897                                                                $</t>
  </si>
  <si>
    <t>Total del producto bruto                                                                                                 $</t>
  </si>
  <si>
    <t>Gastos:</t>
  </si>
  <si>
    <t>Valor de los cigarrillos comprados á los comerciantes del país al establecerse la Renta $</t>
  </si>
  <si>
    <t>Intereses de esta suma computados al 4 por 100</t>
  </si>
  <si>
    <t>Valor de los cigarrillos pedidos á Pedro A. Estanillo, Prudencio Rabell y Fould $ C.ª</t>
  </si>
  <si>
    <t>Valor del papel para cigarrillos pedido á Antonio Llobell</t>
  </si>
  <si>
    <t>Valor de las  marquillas pedidas á Antonio Izquierdo</t>
  </si>
  <si>
    <t>Elaboración</t>
  </si>
  <si>
    <t>Sueldos, arrendaminetos, útiles de escritorio, transportes, empaques, etc. etc</t>
  </si>
  <si>
    <t>Indemnizaciones</t>
  </si>
  <si>
    <t>Total de gastos                                   $</t>
  </si>
  <si>
    <t>Comparación:</t>
  </si>
  <si>
    <t>Total de producto bruto</t>
  </si>
  <si>
    <t xml:space="preserve">Total de gastos                                  </t>
  </si>
  <si>
    <t>Diferencia                                               $</t>
  </si>
  <si>
    <t>MEMORIA DEL SECRETARIO DE HACIENDA 1904</t>
  </si>
  <si>
    <t>RENTA ADUANAS.</t>
  </si>
  <si>
    <t>(1)</t>
  </si>
  <si>
    <t>(1) No hubo productos.</t>
  </si>
  <si>
    <t>(2) No se han recibido datos completos</t>
  </si>
  <si>
    <t>(3) Faltan  los datos de Abril á Julio y de Septiembre á Diciembre</t>
  </si>
  <si>
    <t>Movimiento de la Renta de Salinas</t>
  </si>
  <si>
    <t>Años</t>
  </si>
  <si>
    <t>Producto bruto</t>
  </si>
  <si>
    <t>Líquido</t>
  </si>
  <si>
    <t>Las mercaderías importadas por las Aduanas fueron:</t>
  </si>
  <si>
    <t>AÑO DE 1898</t>
  </si>
  <si>
    <r>
      <t xml:space="preserve">AÑO DE 1899 (a) </t>
    </r>
    <r>
      <rPr>
        <i/>
        <sz val="10"/>
        <color theme="1"/>
        <rFont val="Calibri"/>
        <family val="2"/>
        <scheme val="minor"/>
      </rPr>
      <t>kilogramos</t>
    </r>
  </si>
  <si>
    <t>De la 1.ª clase</t>
  </si>
  <si>
    <t>De la 2.ª clase</t>
  </si>
  <si>
    <t>De la 3.ª clase</t>
  </si>
  <si>
    <t>De la 4.ª clase</t>
  </si>
  <si>
    <t>De la 5.ª clase</t>
  </si>
  <si>
    <t>De la 6.ª clase</t>
  </si>
  <si>
    <t>De la 7.ª clase</t>
  </si>
  <si>
    <t>De la 8.ª clase</t>
  </si>
  <si>
    <t>De la 9.ª clase</t>
  </si>
  <si>
    <t>De la 10.ª clase</t>
  </si>
  <si>
    <t>De la 11.ª clase</t>
  </si>
  <si>
    <t>De la 12.ª clase</t>
  </si>
  <si>
    <t>De la 13.ª clase</t>
  </si>
  <si>
    <t>De la 14.ª clase</t>
  </si>
  <si>
    <t>De la 15.ª clase</t>
  </si>
  <si>
    <t>De la 16.ª clase</t>
  </si>
  <si>
    <t>Sustancias para fabricar hielo</t>
  </si>
  <si>
    <t>Suman, Kilogramos</t>
  </si>
  <si>
    <t xml:space="preserve">El valor, según factura. De estas mercaderías. Ascendió á : </t>
  </si>
  <si>
    <t>En 1898                                                            $</t>
  </si>
  <si>
    <t>En 1899</t>
  </si>
  <si>
    <t>ENCOMIENDAS POSTALES</t>
  </si>
  <si>
    <t>RECIBIDAS EN LA ADMINISTRACIÓN GENERAL DE CORREOS</t>
  </si>
  <si>
    <t>Año de 1898. Número 25.478, con peso de 104.554 - 769 gramos</t>
  </si>
  <si>
    <t>Valor                                                                                                               $</t>
  </si>
  <si>
    <t>Año de 1899. Número 21.100, con peso de 85.950 - 349 gramos</t>
  </si>
  <si>
    <t>EXPORTACIONES</t>
  </si>
  <si>
    <t>Las exportaciones fueron:</t>
  </si>
  <si>
    <t>EN EL AÑO DE 1898</t>
  </si>
  <si>
    <t>EN EL AÑO DE 1899</t>
  </si>
  <si>
    <t>Animales vivos. Número</t>
  </si>
  <si>
    <t>Productos animales                                     Ks.,</t>
  </si>
  <si>
    <t>Productos vegetales</t>
  </si>
  <si>
    <t>Productos minerales</t>
  </si>
  <si>
    <t>Productos manufacturados.</t>
  </si>
  <si>
    <t>Su valor total fue en el año de 1898                                                          $</t>
  </si>
  <si>
    <t>Y en el año de 1899</t>
  </si>
  <si>
    <t>Números de bultos</t>
  </si>
  <si>
    <t>Las Aduanas produjeron las siguientes cantidades:</t>
  </si>
  <si>
    <t>Arauca                                                             $</t>
  </si>
  <si>
    <t>PRODUCTOS DE TODAS LAS ADUANAS POR ADMINISTRACIONES AÑO DE 1898</t>
  </si>
  <si>
    <t>MULTAS Y RECARGOS</t>
  </si>
  <si>
    <t>DERECHOS DE MUELLES Y ALMACENAJE</t>
  </si>
  <si>
    <t>DERECHOS DE TONELADA</t>
  </si>
  <si>
    <t>DERECHOS DE FARO</t>
  </si>
  <si>
    <t>16.ª CLASE.</t>
  </si>
  <si>
    <t>RECARGO LEY 60</t>
  </si>
  <si>
    <t>25 POR 100</t>
  </si>
  <si>
    <t>CARBON</t>
  </si>
  <si>
    <t>SUSTANCIAS PARA FABRICAR HIELO</t>
  </si>
  <si>
    <t>EXPORTACIÓN DE CAFÉ</t>
  </si>
  <si>
    <t>Buenaventura (a)</t>
  </si>
  <si>
    <t>Cúcuta (b)</t>
  </si>
  <si>
    <t>Ipiales (c )</t>
  </si>
  <si>
    <t>Meta (d)</t>
  </si>
  <si>
    <t>Santamarta (e )</t>
  </si>
  <si>
    <t>Tumaco (f)</t>
  </si>
  <si>
    <t>Totales                             $</t>
  </si>
  <si>
    <t>(a) Faltan los datos de Enero á Abril y de Agosto á Diciembre.</t>
  </si>
  <si>
    <t>(b) Faltan los datos de Septiembre á Diciembre</t>
  </si>
  <si>
    <t>(c ) Faltan los datos de Septiembre á Diciembre.</t>
  </si>
  <si>
    <t>(d) Faltan los datos Septiembre á Diciembre.</t>
  </si>
  <si>
    <t>(e ) Faltan los datos de Octubre á Diciembre.</t>
  </si>
  <si>
    <t>(f) Faltan los datos de Mayo á Diciembre.</t>
  </si>
  <si>
    <t>(o) Faltan los datos de Agosto á Diciembre.</t>
  </si>
  <si>
    <t>MOVIMIENTO DEL COMERCIO EXTERIOR RELACIONADO CON LA ADUANA DE TUMACO</t>
  </si>
  <si>
    <t>REINO ANIMAL</t>
  </si>
  <si>
    <t>REINO MINERAL</t>
  </si>
  <si>
    <t>REINO VEGETAL</t>
  </si>
  <si>
    <t>PRECIO MEDIO DE PLATA, POR ONZA, LEY INGLESA EN EL MERCADO DE LONDRES</t>
  </si>
  <si>
    <t>Año</t>
  </si>
  <si>
    <t xml:space="preserve">AÑO DE 1905                                                                            </t>
  </si>
  <si>
    <t>Aduanas                                                         $</t>
  </si>
  <si>
    <t>Bienes nacionales y venta de vapores</t>
  </si>
  <si>
    <t>Minas de Santa Ana y La Manta</t>
  </si>
  <si>
    <t>Derechos de faros y tonelaje</t>
  </si>
  <si>
    <t>Rentas de brandy y licores espirituosos</t>
  </si>
  <si>
    <t>Renta de fósforos</t>
  </si>
  <si>
    <t>Consumo de tabaco</t>
  </si>
  <si>
    <t>Derecho de degüello</t>
  </si>
  <si>
    <t>Producto anual                                             $</t>
  </si>
  <si>
    <t xml:space="preserve">AÑO DE 1906                                                                            </t>
  </si>
  <si>
    <t>Minas de esmeraldas de Santa Ana y La Manta, Supía y Marmato y derechos sobre minas.</t>
  </si>
  <si>
    <t>Derechos sobre exportación de asfalto</t>
  </si>
  <si>
    <t>Derechos de pesca de caimanes</t>
  </si>
  <si>
    <t>Renta de licores nacionales y extranjeros</t>
  </si>
  <si>
    <t>Derecho de degüello y pieles</t>
  </si>
  <si>
    <t>Producto de ferrocarriles</t>
  </si>
  <si>
    <t>Renta de lazaretos</t>
  </si>
  <si>
    <t>Renta para la destrucción de la langosta</t>
  </si>
  <si>
    <t>Producto anual</t>
  </si>
  <si>
    <t xml:space="preserve">AÑO DE 1907                                                                            </t>
  </si>
  <si>
    <t xml:space="preserve">Bienes nacionales </t>
  </si>
  <si>
    <t>Renta de vigencias anteriores</t>
  </si>
  <si>
    <t>Impuesto fluvial</t>
  </si>
  <si>
    <t xml:space="preserve">AÑO DE 1908                                                                            </t>
  </si>
  <si>
    <t>Acuñación de moneda</t>
  </si>
  <si>
    <t>Derechos de degüello y pieles</t>
  </si>
  <si>
    <t>Impuesto directo ó predial</t>
  </si>
  <si>
    <t>Impuesto de registro y anotación</t>
  </si>
  <si>
    <t>Derechos de peajes</t>
  </si>
  <si>
    <t>Pontazgo y pasaje de ríos</t>
  </si>
  <si>
    <t>Degüello de ganado menor</t>
  </si>
  <si>
    <t>Impuesto personal subsidiario</t>
  </si>
  <si>
    <t>Bienes departamentales</t>
  </si>
  <si>
    <t>Productos de imprentas</t>
  </si>
  <si>
    <t>Impuestos varios departamentales</t>
  </si>
  <si>
    <t>Rentas departamentales de vigencias anteriores</t>
  </si>
  <si>
    <t>Ingresos varios departamentales</t>
  </si>
  <si>
    <t xml:space="preserve">AÑO DE 1909                                                                            </t>
  </si>
  <si>
    <t>Derechos de aduana</t>
  </si>
  <si>
    <t>Derechos de exportación</t>
  </si>
  <si>
    <t>Derechos de puerto (faros, lastre, tonelaje y otros)</t>
  </si>
  <si>
    <t>Derechos de sanidad</t>
  </si>
  <si>
    <t>Dos por ciento para la destrucción de la langosta</t>
  </si>
  <si>
    <t>Acuñación de monedas</t>
  </si>
  <si>
    <t>Salinas terrestres</t>
  </si>
  <si>
    <t>Salinas marítimas</t>
  </si>
  <si>
    <t>Minas de esmeraldas de Muzo y Coscuez</t>
  </si>
  <si>
    <t>Minas de Santa Ana y La Manta, Supía y Marmato</t>
  </si>
  <si>
    <t>Derecho de degüello de ganado mayor</t>
  </si>
  <si>
    <t>Licores nacionales</t>
  </si>
  <si>
    <t>Licores extranjeros</t>
  </si>
  <si>
    <t>Fósforos</t>
  </si>
  <si>
    <t>Navegación fluvial</t>
  </si>
  <si>
    <t>Impuestos de registro y anotación</t>
  </si>
  <si>
    <t>Rentas departamentales (peajes, pontazgo, barcas, pesca y otros)</t>
  </si>
  <si>
    <t>Rentas y vigencias anteriores</t>
  </si>
  <si>
    <t>Total del producto de las Rentas</t>
  </si>
  <si>
    <t>SALINAS DE CUNDINAMARCA Y BOYACÁ</t>
  </si>
  <si>
    <t>SALINA DE CUMARAL Y UPÍN</t>
  </si>
  <si>
    <t>SALINAS MARÍTIMAS</t>
  </si>
  <si>
    <t>Vijua 1.a</t>
  </si>
  <si>
    <t>Vijua 2.a</t>
  </si>
  <si>
    <t>Vijua 3.a</t>
  </si>
  <si>
    <t>Agua salada. Decalitro</t>
  </si>
  <si>
    <t>Grano</t>
  </si>
  <si>
    <t>Espuma</t>
  </si>
  <si>
    <t>Del Torno</t>
  </si>
  <si>
    <t>NOTA-- Los precios inscritos en este cuadro son en moneda de oro, con excepción de los correspondientes á los años de 1885 á 1903, que expresan papel moneda. Reducidos éstos á oro, resultan unos mayores y otros menores que los actuales.</t>
  </si>
  <si>
    <t>Julio de 1910</t>
  </si>
  <si>
    <t>DERECHOS DE CONSUMO</t>
  </si>
  <si>
    <t>SOBRE LOS CIGARRILLOS Y LOS FÓSFOROS</t>
  </si>
  <si>
    <t>Por el artículo 2.o del Decreto número 1046 (Diario Oficial número 12441) se estableció un derecho de consumo sobre los cigarrillos y los fósforos fabricados en el país, que deben satisfacer los fabricantes así:</t>
  </si>
  <si>
    <t>Por cada Kilogramo de cigarrillos elaborados con picadura de tabaco extranjero ó del país $</t>
  </si>
  <si>
    <t>Por cada Kilogramo de fósforos de cerilla</t>
  </si>
  <si>
    <t>Por cada Kilogramo de fósforos de palito</t>
  </si>
  <si>
    <t xml:space="preserve"> </t>
    <phoneticPr fontId="0" type="noConversion"/>
  </si>
  <si>
    <t>Los productos aproximados de los derechos indicados en el año de 1909 fueron los siguientes:</t>
  </si>
  <si>
    <t>Por cigarrillos $</t>
  </si>
  <si>
    <t>Por fósforos</t>
  </si>
  <si>
    <t>IMPUESTO SOBRE LA NAVEGACION FLUVIAL</t>
  </si>
  <si>
    <t>Por decretos números 899 de 1907 y 1220 de 1908, y á virtud de lo dispuesto por los artículos 8.o, 9.o y 10 de la Ley 18 de 1907, se gravó á los buques que naveguen los ríos de la Nación con los siguientes derechos:</t>
  </si>
  <si>
    <t>Por matrícula de cada buque de vapor $</t>
  </si>
  <si>
    <t>Por matrícula de cada lancha de vapor</t>
  </si>
  <si>
    <t>Por matrícula de cada bongo ó embarcación de otra clase</t>
  </si>
  <si>
    <t>Por patente, cada tonelada de capacidad ó peso</t>
  </si>
  <si>
    <t>Por sobordo, cada viaje, la tonelada</t>
  </si>
  <si>
    <t>Los derechos anotados gravaron además los cargamentos que suban ó bajen los ríos así:</t>
  </si>
  <si>
    <t>Por cada tonelada de peso ó de medida de mercancías extranjeras                $</t>
  </si>
  <si>
    <t>Por cada tonelada de peso ó de medida de productos nacionales</t>
  </si>
  <si>
    <t>CUADRO No. 1</t>
  </si>
  <si>
    <t>UNIDADES DE ADUANAS COMPROMETIDAS</t>
  </si>
  <si>
    <t>1º Para garantizar el servicio de la deuda exterior consolidada de Colombia (artículo 4º del Convenio Holguín-Abebury), quince unidades de todas las aduanas</t>
  </si>
  <si>
    <t>2º Para garantía de los bonos de 3ª hipoteca del Ferrocarril de Girardot, tres unidades</t>
  </si>
  <si>
    <t>3º Para garantía de los bonos de 4ª hipoteca del mismo Ferrocarril, cuatro unidades</t>
  </si>
  <si>
    <t>4ºPara la construcción del Ferrocarril del Cauca, cincuenta unidades de las Aduanas de Buenaventura y Tumaco</t>
  </si>
  <si>
    <t>5º Para atender á la amortización de las libranzas dadas al señor Ignacio Muñoz, anterior contratista del Ferrocarril del Cauca, $1,000 oro mensuales, que se toman de la parte libre de las mismas Aduanas de Buenaventura y Tumaco. (Queda sólo pendiente un valor de $5,000).</t>
  </si>
  <si>
    <t>6º Para continuar la construcción de la carretera del Sur hasta la ciudad de Barbacoas (Ley 43 de 1909), veinticinco unidades de la Aduana de Tumaco</t>
  </si>
  <si>
    <t>7º Para la amortización de vales de extranjeros, ocho unidades de las Aduanas del Atlántico y Cúcuta</t>
  </si>
  <si>
    <t>8º Para libranzas de Ferrocarril de Occidente, tres unidades de las mismas</t>
  </si>
  <si>
    <t>9º Para libranzas del Ferrocarril de Antioquia, tres unidades de las mismas</t>
  </si>
  <si>
    <t>10. Para garantía de los bonos hipotecarios del Ferrocarril  de Santander (recuerdese lo dicho sobre esto), cinco unidades de las mismas</t>
  </si>
  <si>
    <t>11. Para bonos del Ferrocarril del Norte (por emitir), dos unidades</t>
  </si>
  <si>
    <t>Por el contrato celebrado el 22 de Septiembre de 1905 para la prolongación del Ferrocarril del Norte de Zipaquirá á Chiquinquirá (Diario Oficial, número 12530), se reconoció á los concesionarios el de derecho a una subvención de $9,990 oro por kilómetro, subvención que debería pagarse en bonos ó libranzas amortizables con el 2 por 100 de las Aduanas del Atlántico, desde una año después de haber sido dado el servicio todo el trayecto de la vía férea á que se refiere el contrato, y que devengarían el 6 por 100 de interés anual.</t>
  </si>
  <si>
    <t>CUADRO No.1</t>
  </si>
  <si>
    <t>TARIFAS SEGÚN CLASE DE ARANCEL</t>
  </si>
  <si>
    <t>Clase 1.ª</t>
  </si>
  <si>
    <t>libre</t>
  </si>
  <si>
    <t>Clase 2.ª</t>
  </si>
  <si>
    <t>Clase 3.ª</t>
  </si>
  <si>
    <t>Clase 4.ª</t>
  </si>
  <si>
    <t>Clase 5.ª</t>
  </si>
  <si>
    <t>Clase 6.ª</t>
  </si>
  <si>
    <t>Clase 7.ª</t>
  </si>
  <si>
    <t>Clase 8.ª</t>
  </si>
  <si>
    <t>Clase 9.ª</t>
  </si>
  <si>
    <t>Clase 10.ª</t>
  </si>
  <si>
    <t>Clase 11.ª</t>
  </si>
  <si>
    <t>Clase 12.ª</t>
  </si>
  <si>
    <t>Clase 13.ª</t>
  </si>
  <si>
    <t>Clase 14.ª</t>
  </si>
  <si>
    <t>Clase 15.ª</t>
  </si>
  <si>
    <t>Clase 16.ª</t>
  </si>
  <si>
    <t>RENTAS PÚBLICAS 1910</t>
  </si>
  <si>
    <t>Derechos de importación y exportación (Aduanas, Oficinas postales y derechos diferenciales en Pasto                                 $</t>
  </si>
  <si>
    <t>Dos por ciento sobre los derechos de importación destinado á la conversión del papel moneda</t>
  </si>
  <si>
    <t>Derechos de puerto (Faros Tonelaje y Práctico)</t>
  </si>
  <si>
    <t>Derechos de Sanidad</t>
  </si>
  <si>
    <t>Ingresos varios en las Aduanas (Lastre, Muelle, Aprovechamientos, etc.)</t>
  </si>
  <si>
    <t>Derechos consulares (inclusive lo recaudado en las Agencias Postales)</t>
  </si>
  <si>
    <t>Portes de correos</t>
  </si>
  <si>
    <t>Portes de telegramas</t>
  </si>
  <si>
    <t>Derechos sobre mortuorias y donaciones (Lazaretos)</t>
  </si>
  <si>
    <t>Productos de Ferrocarril de la Sabana</t>
  </si>
  <si>
    <t>Derechos por patentes de privilegio</t>
  </si>
  <si>
    <t>Salinas terrestres y carboneras dependientes de ella</t>
  </si>
  <si>
    <t>Minas de Supía y Marmato</t>
  </si>
  <si>
    <t>Minas de Muzo y Coscuez</t>
  </si>
  <si>
    <t>Impuestos sobre minas</t>
  </si>
  <si>
    <t>Papel sellado y estampillas (Timbre Nacional)</t>
  </si>
  <si>
    <t>Impuesto sobre la elaboración de cigarrillos</t>
  </si>
  <si>
    <t>Impuesto sobre fabricación de fósforos</t>
  </si>
  <si>
    <t>Rentas de la Intendencia Nacional del Meta</t>
  </si>
  <si>
    <t>Rentas de la Intendencia Nacional del Chocó</t>
  </si>
  <si>
    <t>Impuesto sobre la navegación fluvial (para la canalización del río Magdalena)</t>
    <phoneticPr fontId="0" type="noConversion"/>
  </si>
  <si>
    <t>Ingresos varios, sin contar los de las Aduanas</t>
  </si>
  <si>
    <t>PRODUCTO</t>
  </si>
  <si>
    <t>DERECHOS CONSULARES</t>
  </si>
  <si>
    <t>DERECHOS PARA LOS LAZARETOS</t>
  </si>
  <si>
    <t>CORREOS</t>
  </si>
  <si>
    <t>TELÉGRAFOS</t>
  </si>
  <si>
    <t>IMPUESTOS SOBRE CONSUMO DE CIGARRILLOS Y FOSFOROS</t>
  </si>
  <si>
    <t>Los artículos 2º y 3º del Decreto legislativo número 1046 de 1905 establecieron los siguientes derechos por kilogramo:</t>
  </si>
  <si>
    <t>Impuesto</t>
  </si>
  <si>
    <t>Producción</t>
  </si>
  <si>
    <t>Cigarrillos                             $</t>
  </si>
  <si>
    <t>Fósforo de cerilla</t>
  </si>
  <si>
    <t>Fósforo de palito</t>
  </si>
  <si>
    <t>La ley 69 de 1910 suprimió el impuesto sobre los cigarrillos que se fabriquen con picadura de tabaco del país</t>
  </si>
  <si>
    <t>Productos y gastos de las Aduanas de la República en el año 1911</t>
  </si>
  <si>
    <t>2 POR 100 PARA LA CONVERSIÓN</t>
  </si>
  <si>
    <t>TONELAJE</t>
  </si>
  <si>
    <t>FAROS</t>
  </si>
  <si>
    <t>DERECHO DE PRÁCTICO</t>
  </si>
  <si>
    <t>LASTRE</t>
  </si>
  <si>
    <t>SANIDAD</t>
  </si>
  <si>
    <t>DERECHOS DE IMPORTACIÓN EN SUSPENSO</t>
  </si>
  <si>
    <t>Encomiendas postales</t>
  </si>
  <si>
    <t>Pasto. Derechos diferenciales</t>
  </si>
  <si>
    <t>Total de productos</t>
  </si>
  <si>
    <t>Por exención de derechos de impotación</t>
  </si>
  <si>
    <t>Por devolución de derechos cobrados de más y de multas absueltas</t>
  </si>
  <si>
    <t>En Barranquilla. Por error de la Aduana en el producto de tonelaje</t>
  </si>
  <si>
    <t>En Barranquilla. Por error de la Aduana en el producto de los faros</t>
  </si>
  <si>
    <t>En Barranquilla. Por error de la Aduana en los ingresos varios</t>
  </si>
  <si>
    <t>Producto efectivo</t>
  </si>
  <si>
    <t>Producto de correos, derechos de importación, 2 por 100 para la conversión, de las Administraciones de Correos de la República en el año de 1911</t>
  </si>
  <si>
    <t>Renta de aduanas</t>
  </si>
  <si>
    <t>2 por 100 para la conversión</t>
  </si>
  <si>
    <t>Suma total</t>
  </si>
  <si>
    <t>deducción valor 2 por 100 para la conversión</t>
  </si>
  <si>
    <t>Queda liquido</t>
  </si>
  <si>
    <t>RENTAS CONTRIBUCIONES Y GASTOS</t>
  </si>
  <si>
    <t>Durante el año de 1912</t>
  </si>
  <si>
    <t>Derechos de aduana (deducido lo devuelto)         $</t>
  </si>
  <si>
    <t>Dos  por ciento para la conversión</t>
  </si>
  <si>
    <t xml:space="preserve">Derechos de puerto </t>
  </si>
  <si>
    <t xml:space="preserve">         Tonelaje</t>
  </si>
  <si>
    <t xml:space="preserve">         Faros</t>
  </si>
  <si>
    <t xml:space="preserve">         Lastre</t>
  </si>
  <si>
    <t xml:space="preserve">         Muelle</t>
  </si>
  <si>
    <t xml:space="preserve">         Prácticos</t>
  </si>
  <si>
    <t>Derechos sobre mortuorias y donaciones</t>
  </si>
  <si>
    <t>Bienes nacionales, inclusive el producto de explotación de bosques</t>
  </si>
  <si>
    <t>Patentes de privilegio, marcas de comercio, etc</t>
  </si>
  <si>
    <t>Salinas terrestres y carboneras dependientes de ellas</t>
  </si>
  <si>
    <t>Timbre Nacional (papel sellado y estampillas)</t>
  </si>
  <si>
    <t>Fabricación de cigarrillos</t>
  </si>
  <si>
    <t>Fabricación de fósforos</t>
  </si>
  <si>
    <t>Impuestos de canalización, matrícula y patentes sobre embarcaciones (ríos navegables)</t>
    <phoneticPr fontId="0" type="noConversion"/>
  </si>
  <si>
    <t>Rentas de la Intendencia del Chocó</t>
  </si>
  <si>
    <t>Rentas de la Intendencia del Meta</t>
  </si>
  <si>
    <t>Rentas de la Comisaría de Araica (aproximación)</t>
  </si>
  <si>
    <t>Ingresos varios (contrabandos y multas, ventas de tomos de leyes y otras publicaciones, intereses de demora, etc.)</t>
    <phoneticPr fontId="0" type="noConversion"/>
  </si>
  <si>
    <t>PRODUCTOS DE LAS RENTAS Y LOS GASTOS DE RECAUDACIÓN</t>
  </si>
  <si>
    <t>Montos de rentas</t>
  </si>
  <si>
    <t>Porcentaje de recaudación  16,90%</t>
  </si>
  <si>
    <t>Porcentaje de recaudación 18,10%</t>
  </si>
  <si>
    <t>Porcentaje de recaudación 22,17%</t>
  </si>
  <si>
    <t>Porcentaje de recaudación 30,90%</t>
  </si>
  <si>
    <t>Porcentaje de recaudación 23,40%</t>
  </si>
  <si>
    <t>Porcentaje de recaudación 8,86%</t>
  </si>
  <si>
    <t>Porcentaje de recaudación 6,70%</t>
  </si>
  <si>
    <t>Gastos incorporados hasta el 31 de mayo último</t>
  </si>
  <si>
    <t>Porcentaje de recaudación 6,15%</t>
  </si>
  <si>
    <t>PRESUPUESTOS DEPARTAMENTALES</t>
  </si>
  <si>
    <t>Nombres de los Departamentos</t>
  </si>
  <si>
    <t>Presupuesto de rentas.</t>
  </si>
  <si>
    <t>Presupuesto de gastos.</t>
  </si>
  <si>
    <t>Atlántico</t>
  </si>
  <si>
    <t>Caldas</t>
  </si>
  <si>
    <t>Huila</t>
  </si>
  <si>
    <t>Nariño</t>
  </si>
  <si>
    <t>Santander (Norte)</t>
  </si>
  <si>
    <t>Valle</t>
  </si>
  <si>
    <t>Amortización de documentos de deuda pública y sumas pagadas por lo amortizado desde junio de 1911 hasta mayo inclusive de 1912</t>
  </si>
  <si>
    <t>NOMBRES DE LOS DOCUMENTOS</t>
  </si>
  <si>
    <t>Valor nominal de los documentos amortizados.</t>
  </si>
  <si>
    <t>Costo efectivo de lo amortizado.</t>
  </si>
  <si>
    <t>Vales de la guerra de 1899                                     $</t>
  </si>
  <si>
    <t>Vales por recompensas militares</t>
  </si>
  <si>
    <t>Vales de Tesorería</t>
  </si>
  <si>
    <t>Bonos cslombianos</t>
  </si>
  <si>
    <t>Vales por primas de explotación de 1907</t>
  </si>
  <si>
    <t>Vales por ceses militares</t>
  </si>
  <si>
    <t>Vales de la guerra de 1895</t>
  </si>
  <si>
    <t>Pagarés del Tesoro (antigua emisión)</t>
  </si>
  <si>
    <t>Vales especiales por primas de exportación</t>
  </si>
  <si>
    <t>Vales extranjeros (nueva emisión)</t>
  </si>
  <si>
    <t>Libranzas del Ferrocarril de Occidente</t>
  </si>
  <si>
    <t>Bonos de licores</t>
  </si>
  <si>
    <t>Libranzas del Ferrocarril de Antioquia (n. e. )</t>
  </si>
  <si>
    <t>Pagarés del Tesoro (nueva emisión)</t>
  </si>
  <si>
    <t>Libranzas del Ferrocarril de Amagá</t>
  </si>
  <si>
    <t>Sumas                                                                          $</t>
  </si>
  <si>
    <t>Durante el año de 1913</t>
    <phoneticPr fontId="37" type="noConversion"/>
  </si>
  <si>
    <t>Derechos de importación         $</t>
    <phoneticPr fontId="37" type="noConversion"/>
  </si>
  <si>
    <t>Fabricación de cigarrillos (Derechos de consumo)</t>
    <phoneticPr fontId="37" type="noConversion"/>
  </si>
  <si>
    <t>Fabricación de fósforos (Derechos de consumo)</t>
    <phoneticPr fontId="37" type="noConversion"/>
  </si>
  <si>
    <t>Rentas de la Intendencia de San Andrés</t>
    <phoneticPr fontId="37" type="noConversion"/>
  </si>
  <si>
    <t>Rentas de la Comisaría de Arauca</t>
    <phoneticPr fontId="37" type="noConversion"/>
  </si>
  <si>
    <t>Rentas de la Comisaría de Caquetá</t>
    <phoneticPr fontId="37" type="noConversion"/>
  </si>
  <si>
    <t>Rentas de la Comisaría de Vaupés</t>
    <phoneticPr fontId="37" type="noConversion"/>
  </si>
  <si>
    <t>CUADRO SINOPTICO que expresa la situación activa y pasiva de la Hacienda Nacional, correspondiente al año económico de 1912, formado de acuerdo con el artículo 435 del Código Fiscal.</t>
  </si>
  <si>
    <t>ACTIVO</t>
  </si>
  <si>
    <t>Valor del Presupuesto de rentas.</t>
  </si>
  <si>
    <t>Reconocimientos a favor del Tesoro.</t>
  </si>
  <si>
    <t>Diferencia por exceso en el cálculo de las rentas</t>
  </si>
  <si>
    <t>Diferencia por defecto en el mismo cálculo.</t>
  </si>
  <si>
    <t>Recaudos</t>
  </si>
  <si>
    <t>Sumas en cartera</t>
  </si>
  <si>
    <t>Saldos por recaudar de vigencias anteriores.</t>
  </si>
  <si>
    <t>Derechos de aduana                                                             $</t>
  </si>
  <si>
    <t>Dos por ciento para la conversión</t>
  </si>
  <si>
    <t>Derechos de puerto</t>
  </si>
  <si>
    <t>Rentas de vigencias anteriores</t>
  </si>
  <si>
    <t>Limpia y canalización del río Magdalena</t>
  </si>
  <si>
    <t xml:space="preserve">CUADRO No.2 </t>
  </si>
  <si>
    <t>PASIVO</t>
  </si>
  <si>
    <t>DEPARTAMENTOS DEL PRESUPUESTO</t>
  </si>
  <si>
    <t>Valor del Presupuesto de gastos y de los créditos posteriores.</t>
  </si>
  <si>
    <t>Reconocimientos a cargo del Tesoro.</t>
  </si>
  <si>
    <t>Pagos.</t>
  </si>
  <si>
    <t>Saldos por reconocer.</t>
  </si>
  <si>
    <t>Saldos sobrantes para anular.</t>
  </si>
  <si>
    <t>Departamento de Política Interior</t>
  </si>
  <si>
    <t>Departamento de Beneficiencia</t>
  </si>
  <si>
    <t>Departamento de Correos y Telégrafos</t>
  </si>
  <si>
    <t>Departamento de Relaciones Exteriores</t>
  </si>
  <si>
    <t>Departamento de Hacienda</t>
  </si>
  <si>
    <t>Departamento de Instrucción Pública</t>
  </si>
  <si>
    <t>Departamento del Tesoro</t>
  </si>
  <si>
    <t>Departamento de la Deuda Nacional</t>
  </si>
  <si>
    <t>Departamento de Pensiones</t>
  </si>
  <si>
    <t>Departamento de Obras Pública</t>
  </si>
  <si>
    <t>Departamento de Fomento</t>
  </si>
  <si>
    <t>(*) La cantidad de $264,590-14 y de $38,288-82, que representan extralimitaciones, no deben sumarse con las otras, sino deducirse del total de ellas.</t>
  </si>
  <si>
    <t>COMPARACION</t>
  </si>
  <si>
    <t>En favor del de rentas.</t>
  </si>
  <si>
    <t>En favor del de gastos.</t>
  </si>
  <si>
    <t>En favor del Tesoro.</t>
  </si>
  <si>
    <t>En contra del Tesoro.</t>
  </si>
  <si>
    <t>Saldos en Caja.</t>
  </si>
  <si>
    <t>Diferencia entre el Presupuesto de rentas y el de gastos</t>
  </si>
  <si>
    <t>Diferencia entre los reconocimientos por rentas y por gastos</t>
  </si>
  <si>
    <t>Diferencia entre los recaudos y los pagos</t>
  </si>
  <si>
    <t>Diferencia entre el producto efectivo del Presupuesto de rentas y el valor líquido del de gastos</t>
  </si>
  <si>
    <t>NOTA-- Al saldo en caja que aparece en este cuadro se le hacen las siguientes explicaciones:</t>
  </si>
  <si>
    <t>A la caja entraron en el año, según el Balance                                                                                                                                       $</t>
  </si>
  <si>
    <t>De esta suma sólo figura en el cuadro lo recaudado por rentas, o sea</t>
  </si>
  <si>
    <t xml:space="preserve">              Diferencia entregada a caja por otras causas                                                                                                                          $ </t>
  </si>
  <si>
    <t>Salieron de caja, en el año, según Balance</t>
  </si>
  <si>
    <t>De esta suma sólo figura en el cuadro lo pagado por servicios públicos, o sea</t>
  </si>
  <si>
    <t xml:space="preserve">              Diferencia salida de caja por otras causas                                                                                                                                 $</t>
  </si>
  <si>
    <t xml:space="preserve">              Diferencia entre ingresos y egresos                                                                                                                                             $</t>
  </si>
  <si>
    <t>Saldo en caja que arroja este cuadro</t>
  </si>
  <si>
    <t xml:space="preserve">              Saldo en efectivo en caja de acuerdo con lo que arroja la misma cuenta en el Balance                                                 $</t>
  </si>
  <si>
    <t>CUADRO que indica la manera como están distribuidos los pagos de pensiones del Tesoro Nacional.</t>
  </si>
  <si>
    <t>LUGAR DE PAGO</t>
  </si>
  <si>
    <t>INDEPENDENCIA</t>
  </si>
  <si>
    <t>CUASPUD</t>
  </si>
  <si>
    <t>MILITARES</t>
  </si>
  <si>
    <t>INVALIDOS</t>
  </si>
  <si>
    <t>JUBILACIONES</t>
  </si>
  <si>
    <t>PENSIONES COMUNES</t>
  </si>
  <si>
    <t>RELIGIOSOS</t>
  </si>
  <si>
    <t>Cantidad $</t>
  </si>
  <si>
    <t>Bucaramanga</t>
  </si>
  <si>
    <t>Cali</t>
  </si>
  <si>
    <t>Ibagué</t>
  </si>
  <si>
    <t>Manizales</t>
  </si>
  <si>
    <t>Medellín</t>
  </si>
  <si>
    <t>Neiva</t>
  </si>
  <si>
    <t>Pasto</t>
  </si>
  <si>
    <t>Popayán</t>
  </si>
  <si>
    <t>Tunja</t>
  </si>
  <si>
    <t>Londres</t>
  </si>
  <si>
    <t>Nueva York</t>
  </si>
  <si>
    <t>La columna de números indica el número de pensionados de cada clase, y la de cantidades la suma en oro que se paga mensualmente al correspondiente número de pensionados.</t>
  </si>
  <si>
    <t>Las Oficinas encargadas de verificar los pagos son: en Bogotá, la Habilitación Especial de Pensiones; en las capitales de los Departamentos, la respectiva Administración de Hacienda Nacional, y en Londres y Nueva York, los Consulados de Colombia allí existentes.</t>
  </si>
  <si>
    <t>PRODUCTOS Y GASTOS  - 1913</t>
  </si>
  <si>
    <t>Productos.</t>
  </si>
  <si>
    <t>Arauca                                         $</t>
  </si>
  <si>
    <t>Guapi</t>
  </si>
  <si>
    <t>San Andrés y Providencia</t>
  </si>
  <si>
    <t>Derechos diferenciales en Pasto</t>
  </si>
  <si>
    <t>Se deduce por devolución de derechos cobrados de más y multas absueltas</t>
  </si>
  <si>
    <t>La Aduana de Guapi, implicó un gasto superior a sus rendimientos, en                                                                            $</t>
  </si>
  <si>
    <t>La de Ipiales</t>
  </si>
  <si>
    <t>La de Orocué</t>
  </si>
  <si>
    <t>Suma el déficit                                  $</t>
  </si>
  <si>
    <t xml:space="preserve">PRODUCTOS Y GASTOS ADUANAS </t>
  </si>
  <si>
    <t>Cuatrenio</t>
  </si>
  <si>
    <t>1906-1909</t>
  </si>
  <si>
    <t>1910-1913</t>
  </si>
  <si>
    <t>Producto bruto de las Aduanas</t>
  </si>
  <si>
    <t>Diferencia en el producto a favor del último cuatrienio</t>
  </si>
  <si>
    <t>Gastos de recaudación</t>
  </si>
  <si>
    <t>Diferencia a favor del último cuatrienio</t>
  </si>
  <si>
    <t>Producto liquido de las Aduanas</t>
  </si>
  <si>
    <t>Aumento efectivo líquido en el último cuatrienio</t>
  </si>
  <si>
    <t>RENTAS DEPARTAMENTALES Y MUNICIPALES Y VALOR DE LA PROPIEDAD RAIZ</t>
  </si>
  <si>
    <t>El cuandro siguiente da a conocer, aunque con las deficiencias que en él se observan, los montos de esas rentas para 1914 y los valores que arrojan los catastros.</t>
  </si>
  <si>
    <t>Rentas departamentales</t>
  </si>
  <si>
    <t>Rentas municipales</t>
  </si>
  <si>
    <t>Valor de la propiedad</t>
  </si>
  <si>
    <t>Departamento de Antioquia                 $</t>
  </si>
  <si>
    <t>Departamento del Atlántico</t>
  </si>
  <si>
    <t>Departamento de Bolívar</t>
  </si>
  <si>
    <t>Departamento de Boyacá</t>
  </si>
  <si>
    <t>Departamento de Caldas</t>
  </si>
  <si>
    <t>Departamento del Cauca</t>
  </si>
  <si>
    <t>Departamento de Cundinamarca</t>
  </si>
  <si>
    <t>Departamento  del Huila</t>
  </si>
  <si>
    <t xml:space="preserve">Departamento del Magdalena </t>
  </si>
  <si>
    <t xml:space="preserve">Departamento de Nariño </t>
  </si>
  <si>
    <t xml:space="preserve">Departamento de Norte de Santander </t>
  </si>
  <si>
    <t>Departamento  de Santander</t>
  </si>
  <si>
    <t>Departamento  del Tolima</t>
  </si>
  <si>
    <t>Departamento del Valle</t>
  </si>
  <si>
    <t>Intendencia Nacional del Chocó</t>
  </si>
  <si>
    <t>Intendencia Nacional del Meta</t>
  </si>
  <si>
    <t>Intendencia Nacional de San Andrés</t>
  </si>
  <si>
    <t>Comisaría Especial de Arauca</t>
  </si>
  <si>
    <t>Comisaría Especial del Caquetá</t>
  </si>
  <si>
    <t>Comisaría Especial de la Goajira</t>
  </si>
  <si>
    <t>Comisaría Especial del Putumayo</t>
  </si>
  <si>
    <t>Comisaría Especial del Vaupés</t>
  </si>
  <si>
    <t>Comisaría Especial del Vichada</t>
  </si>
  <si>
    <t xml:space="preserve">                                                                   $</t>
  </si>
  <si>
    <t>CUADRO que manifiesta el producto de las Aduanas de la República en el año de 1913.</t>
  </si>
  <si>
    <t>Monto de las liquidaciones por derechos de importación.</t>
  </si>
  <si>
    <t>Reconocimiento a favor del Tesoro por derechos de Importación.</t>
  </si>
  <si>
    <t>MUELLE</t>
  </si>
  <si>
    <t>2% PARA LA CONVERSIÓN</t>
  </si>
  <si>
    <t>SANTIDAS</t>
  </si>
  <si>
    <t>PRÁCTICO</t>
  </si>
  <si>
    <t>MULTAS</t>
  </si>
  <si>
    <t>CONTRABANDOS</t>
  </si>
  <si>
    <t>Derechos en suspenso por declaraciones admitidas.</t>
  </si>
  <si>
    <t>DERECHOS DE EXPORTACIÓN</t>
  </si>
  <si>
    <t>Arauca                                                       $</t>
  </si>
  <si>
    <t>Derechos diferenciales</t>
  </si>
  <si>
    <t>Administración de Hacienda de San Andrés y San Luis de Providencia</t>
  </si>
  <si>
    <t>Totales                                                      $</t>
  </si>
  <si>
    <t>Productos sin los derechos de exportación                              $</t>
  </si>
  <si>
    <t>Total de los productos                                                                  $</t>
  </si>
  <si>
    <t>Se deduce por devoluciones de derechos cobrados de más y multas absueltas</t>
  </si>
  <si>
    <t>Producto efectivo                                                                          $</t>
  </si>
  <si>
    <t>CUADRO que manifiesta los gastos de las aduanas de la República en el año de 1913.</t>
  </si>
  <si>
    <t>Sueldos fijos de los empleados de la Aduana</t>
  </si>
  <si>
    <t>Sueldos fijos del Resguardo</t>
  </si>
  <si>
    <t>Sueldos eventuales</t>
  </si>
  <si>
    <t>Material y gastos varios</t>
  </si>
  <si>
    <t>Devolución de derechos correspondientes al presente año</t>
  </si>
  <si>
    <t>Devolución de derechos correspondientes a vigencias expiradas</t>
  </si>
  <si>
    <t>Total de las evoluciones</t>
  </si>
  <si>
    <t>Arauca                                                      $</t>
  </si>
  <si>
    <t>Santa marta</t>
  </si>
  <si>
    <t>Entidades</t>
  </si>
  <si>
    <t>Manifiesto de 1913</t>
  </si>
  <si>
    <t>Manifiesto de 1912</t>
  </si>
  <si>
    <t>Acueducto de Bogotá                            $</t>
  </si>
  <si>
    <t>Acueducto de Cartagena</t>
  </si>
  <si>
    <t>Acueducto de Girardot</t>
  </si>
  <si>
    <t>Acueducto de Zapatoca</t>
  </si>
  <si>
    <t>Acueducto de Yolombó</t>
  </si>
  <si>
    <t>Casa de Moneda de Medellín</t>
  </si>
  <si>
    <t>Cable aéreo de Manizales</t>
  </si>
  <si>
    <t>Compañía de Teléfonos de Bogotá</t>
  </si>
  <si>
    <t>Cable submarino</t>
  </si>
  <si>
    <t>Culto católico</t>
  </si>
  <si>
    <t>Colegios y escuelas</t>
  </si>
  <si>
    <t>Consorcio Albingia</t>
  </si>
  <si>
    <t>Departamentos de la República</t>
  </si>
  <si>
    <t>Estación inalámbrica de Santa Marta</t>
  </si>
  <si>
    <t>Fábrica de fósforos de Cali</t>
  </si>
  <si>
    <t>Ferrocarril de Cartagena</t>
  </si>
  <si>
    <t>Ferrocarril de Barranquilla</t>
  </si>
  <si>
    <t>Ferrocarril de Cúcuta</t>
  </si>
  <si>
    <t>Ferrocarril de Santa Marta</t>
  </si>
  <si>
    <t>Ferrocarril del Pacífico</t>
  </si>
  <si>
    <t>Ferrocarril del Sur</t>
  </si>
  <si>
    <t>Ferrocarril de la Sabana</t>
  </si>
  <si>
    <t>Ferrocarril de la Dorada</t>
  </si>
  <si>
    <t>Ferrocarril de Antioquia</t>
  </si>
  <si>
    <t>Ferrocarril de Amagá</t>
  </si>
  <si>
    <t>Hospital de Bucaramanga</t>
  </si>
  <si>
    <t>Hospital de Tumaco</t>
  </si>
  <si>
    <t>Hospital de la Mesa</t>
  </si>
  <si>
    <t>Exención de derechos de importación de productos varios introducidos por encomiendas postales</t>
  </si>
  <si>
    <t xml:space="preserve">Pensiones </t>
  </si>
  <si>
    <t>Hasta el 1º de abril de 1914</t>
  </si>
  <si>
    <t>Cantidad</t>
  </si>
  <si>
    <t>Pensiones causadas por la guerra de la Independencia</t>
  </si>
  <si>
    <t>Pensiones originadas por las batallas de Cuaspud y Tulcán</t>
  </si>
  <si>
    <t>Pensiones por tiempo de servicio militar</t>
  </si>
  <si>
    <t>Pensiones por invalidez</t>
  </si>
  <si>
    <t>Pensiones por jubilación</t>
  </si>
  <si>
    <t>Pensiones por causas distintas a las enumerads</t>
  </si>
  <si>
    <t>Pensiones religiosas</t>
  </si>
  <si>
    <t>Pensiones</t>
  </si>
  <si>
    <t>Hasta el 1º de julio  de 1913</t>
  </si>
  <si>
    <t>RENTAS EN GENERAL</t>
  </si>
  <si>
    <t>Año fiscal de 1914</t>
  </si>
  <si>
    <t>Minas de Supía y Marmato                        $</t>
  </si>
  <si>
    <t>Salinas maritimas</t>
  </si>
  <si>
    <t>Lastre</t>
  </si>
  <si>
    <t>Servicios</t>
  </si>
  <si>
    <t>Muelle</t>
  </si>
  <si>
    <t>Prático y remolque</t>
  </si>
  <si>
    <t>Impuestos</t>
  </si>
  <si>
    <t>Derechos de importación</t>
  </si>
  <si>
    <t>Tonelaje</t>
  </si>
  <si>
    <t>Sanidad</t>
  </si>
  <si>
    <t>Consulares</t>
  </si>
  <si>
    <t xml:space="preserve">Minas  </t>
  </si>
  <si>
    <t>Sucesiones y donaciones</t>
  </si>
  <si>
    <t>Patente de invención y de registro de marcas</t>
  </si>
  <si>
    <t>Canalización, matrícula y patentes</t>
  </si>
  <si>
    <t>Intendencia del Chocó</t>
  </si>
  <si>
    <t>Intendencia del Meta</t>
  </si>
  <si>
    <t>Comisaría de Arauca</t>
  </si>
  <si>
    <t>Comisaría de Caquetá</t>
  </si>
  <si>
    <t>Comisaría de Vaupés</t>
  </si>
  <si>
    <t>Producto total 1914                                                                                             $</t>
  </si>
  <si>
    <t>Producto total 1913                                                                                             $</t>
  </si>
  <si>
    <t>Derechos de importación 1913</t>
  </si>
  <si>
    <t>PRODUCTOS Y GASTOS FERROCARRILES NACIONALES - 1914</t>
  </si>
  <si>
    <t>Ferrocarril de la Sabana                             $</t>
  </si>
  <si>
    <t>Ferrocarril del Tolima</t>
  </si>
  <si>
    <t>PRODUCTOS Y GASTOS ADUANAS 1914</t>
  </si>
  <si>
    <t>Arauca                                                         $</t>
  </si>
  <si>
    <t>Recaudado por importaciones en encomiendas postales</t>
  </si>
  <si>
    <t>En este producto hay que deducir por derechos de importación liquidados demás y devueltos durante el año</t>
  </si>
  <si>
    <t>Quedan como producto total                     $</t>
  </si>
  <si>
    <t>DERECHOS DE PUERTO</t>
  </si>
  <si>
    <t>1913.</t>
  </si>
  <si>
    <t>1914.</t>
  </si>
  <si>
    <t>Diferencia en más.</t>
  </si>
  <si>
    <t>Diferencia en menos.</t>
  </si>
  <si>
    <t>Lastre                                                         $</t>
  </si>
  <si>
    <t>Práctico y remolque</t>
  </si>
  <si>
    <t>Totales.                                                      $</t>
  </si>
  <si>
    <t>SALINAS TERRESTRES PRODUCTOS Y GASTOS 1914</t>
  </si>
  <si>
    <t>Producto total                                             $</t>
  </si>
  <si>
    <t>Producto líquido 1913                                        $</t>
  </si>
  <si>
    <t>RELACION de los productos por derechos de aduana, consulares y 2 por 100 para la conversión de las encomiendas postales del Exterior, liquidadas durante el año de 1914.</t>
  </si>
  <si>
    <t>Barranquilla                                                $</t>
  </si>
  <si>
    <t>Totales                                                        $</t>
  </si>
  <si>
    <t>NOTA-- No figura en este cuadro el producto de la Administración de Tunja y de sus Subalternas durante el mes de diciembre, por no haber rendido las cuentas, a pesar de los repetidos requerimientos que se le han hecho.</t>
  </si>
  <si>
    <t>PRODUCTO TOTAL RENTAS NACIONALES $</t>
  </si>
  <si>
    <t>CUADRO SINOPTICO</t>
  </si>
  <si>
    <t>que expresa la situación activa y pasiva de la Hacienda Nacional, correspondiente al año económico de 1914, formato de acuerdo con el artículo 435 del Código Fiscal</t>
  </si>
  <si>
    <t>Diferencias por exceso en el cálculo de las rentas.</t>
  </si>
  <si>
    <t>Diferencias por defecto en el mismo cálculo.</t>
  </si>
  <si>
    <t>Recaudos.</t>
  </si>
  <si>
    <t>SUMAS en cartera.</t>
  </si>
  <si>
    <t>Minas de esmeraldas de Muzo y Coscuez        $</t>
  </si>
  <si>
    <t>Ferrocarriles</t>
  </si>
  <si>
    <t>Producto de bosques nacionales</t>
  </si>
  <si>
    <t>Producto de otros bienes nacionales</t>
  </si>
  <si>
    <t>Muelle, faro, práctico y remolque</t>
  </si>
  <si>
    <t>Exportación sobre la tagua</t>
  </si>
  <si>
    <t>Consular</t>
  </si>
  <si>
    <t>Minas</t>
  </si>
  <si>
    <t>Patentes de invención y de registro de marcas</t>
  </si>
  <si>
    <t>Canalización</t>
  </si>
  <si>
    <t>Rentas de las Intendencias Nacionales</t>
  </si>
  <si>
    <t>Rentas de las Comisarías Especiales</t>
  </si>
  <si>
    <t>MINISTERIOS</t>
  </si>
  <si>
    <t>Valor  del Presupuesto de gastos y de los créditos posteriores</t>
  </si>
  <si>
    <t>Ministerio de Gobierno                                        $</t>
  </si>
  <si>
    <t>Ministerio de Relaciones Exteriores</t>
  </si>
  <si>
    <t>Ministerio de Hacienda</t>
  </si>
  <si>
    <t>Ministerio de Guerra</t>
  </si>
  <si>
    <t>Ministerio de Instrucción Pública</t>
  </si>
  <si>
    <t>Ministerio del Tesoro</t>
  </si>
  <si>
    <t>Ministerio de Obras Públicas</t>
  </si>
  <si>
    <t>Ministerio de Agricultura y Comercio</t>
  </si>
  <si>
    <t>COMPROBACION</t>
  </si>
  <si>
    <t>En favor del de Rentas.</t>
  </si>
  <si>
    <t>En favor del de Gastos.</t>
  </si>
  <si>
    <t>Saldo de caja.</t>
  </si>
  <si>
    <t>Diferencia entré el Presupuesto de rentas y el de gastos</t>
  </si>
  <si>
    <t>Diferencia entre el producto efectivo del Presupuesto de rentas y el valor liquido del de gastos</t>
  </si>
  <si>
    <t>CONTRIBUCIONES I RENTAS</t>
  </si>
  <si>
    <t>1863-1864</t>
  </si>
  <si>
    <t>1864-1865</t>
  </si>
  <si>
    <t>1865-1866</t>
  </si>
  <si>
    <t>1866-1867</t>
  </si>
  <si>
    <t>1867-1868</t>
  </si>
  <si>
    <t>1868-1869</t>
  </si>
  <si>
    <t>1869-1870</t>
  </si>
  <si>
    <t>1870-1871</t>
  </si>
  <si>
    <t>1871-1872</t>
  </si>
  <si>
    <t>1872-1873</t>
  </si>
  <si>
    <t>1873-1874</t>
  </si>
  <si>
    <t>1874-1875</t>
  </si>
  <si>
    <t>1875-1876</t>
  </si>
  <si>
    <t>1876-1877</t>
  </si>
  <si>
    <t>1877-1878</t>
  </si>
  <si>
    <t>1878-1879</t>
  </si>
  <si>
    <t>1879-1880</t>
  </si>
  <si>
    <t>1880-1881</t>
  </si>
  <si>
    <t>1881-1882</t>
  </si>
  <si>
    <t>1882-1883</t>
  </si>
  <si>
    <t>1883-1884</t>
  </si>
  <si>
    <t>1884-1885</t>
  </si>
  <si>
    <t>1885-1886</t>
  </si>
  <si>
    <t>1886-1887</t>
  </si>
  <si>
    <t>1887-1888</t>
  </si>
  <si>
    <t>Saldos que quedaron por cobrar al fin del primer año i de los nuevos reconocimientos que se hicieron a favor del Tesoro</t>
  </si>
  <si>
    <t>Existencias en caja i cartera</t>
  </si>
  <si>
    <t>Saldo por cobrar, correspondiente a la misma vijencia</t>
  </si>
  <si>
    <t xml:space="preserve"> Ingresos efectuados por reconocimientos a favor del Tesoro, correspondientes a vijencias anteriores</t>
  </si>
  <si>
    <t>Pendiente por recaudar</t>
  </si>
  <si>
    <t>Departamento de La Deuda Nacional.</t>
  </si>
  <si>
    <t>Departamento del Tesoro.</t>
  </si>
  <si>
    <t>Departamento de Bienes Desamortizados.</t>
  </si>
  <si>
    <t>Departamento de Obras Públicas.</t>
  </si>
  <si>
    <t>Departamento de lo Interior.</t>
  </si>
  <si>
    <t>Departamento de Relaciones Esteriores.</t>
  </si>
  <si>
    <t>Departamento de Justicia.</t>
  </si>
  <si>
    <t>Departamento de Instrucción Pública.</t>
  </si>
  <si>
    <t>Departamento de Beneficiencia I Recompensas.</t>
  </si>
  <si>
    <t>Departamento de Gastos De Hacienda.</t>
  </si>
  <si>
    <t>Departamento de Fomento.</t>
  </si>
  <si>
    <t>Departamento de Correos.</t>
  </si>
  <si>
    <t>Departamento de Guerra I Marina.</t>
  </si>
  <si>
    <t>Valor de las anticipaciones por gastos que quedaron sin legalizar al fin de la vigencia</t>
  </si>
  <si>
    <t xml:space="preserve">Gastos correspondientes a la vijencia anterior </t>
  </si>
  <si>
    <t>Gastos por anticipación</t>
  </si>
  <si>
    <t>Amortización de documentos y demás operaciones de Tesorería</t>
  </si>
  <si>
    <t>TOTAL GASTOS</t>
  </si>
  <si>
    <t>1831-1832</t>
  </si>
  <si>
    <t>1832-1833</t>
  </si>
  <si>
    <t>1833-1834</t>
  </si>
  <si>
    <t>1834-1835</t>
  </si>
  <si>
    <t>1835-1836</t>
  </si>
  <si>
    <t>1836-1837</t>
  </si>
  <si>
    <t>1837-1838</t>
  </si>
  <si>
    <t>1838-1839</t>
  </si>
  <si>
    <t>1839-1840</t>
  </si>
  <si>
    <t>1840-1841</t>
  </si>
  <si>
    <t>1841-1842</t>
  </si>
  <si>
    <t>1843-1844</t>
  </si>
  <si>
    <t>1844-1845</t>
  </si>
  <si>
    <t>1845-1846</t>
  </si>
  <si>
    <t>1846-1847</t>
  </si>
  <si>
    <t>1847-1848</t>
  </si>
  <si>
    <t>1848-1849</t>
  </si>
  <si>
    <t>1849-1850</t>
  </si>
  <si>
    <t>1850-1851</t>
  </si>
  <si>
    <t>1851-1852</t>
  </si>
  <si>
    <t>1852-1853</t>
  </si>
  <si>
    <t>1853-1854</t>
  </si>
  <si>
    <t>1854-1855</t>
  </si>
  <si>
    <t>1855-1856</t>
  </si>
  <si>
    <t>1856-1857</t>
  </si>
  <si>
    <t>1857-1858</t>
  </si>
  <si>
    <t>1858-1859</t>
  </si>
  <si>
    <t>1859-1860</t>
  </si>
  <si>
    <t>1860-1861</t>
  </si>
  <si>
    <t>1861-1862</t>
  </si>
  <si>
    <t>1862-1863</t>
  </si>
  <si>
    <t>Papel- moneda (emision &amp;c.)</t>
  </si>
  <si>
    <t>Tesorerias</t>
  </si>
  <si>
    <t xml:space="preserve">   Aguardiente</t>
  </si>
  <si>
    <t xml:space="preserve">   Salinas</t>
  </si>
  <si>
    <t xml:space="preserve">   Papel Sellado</t>
  </si>
  <si>
    <t xml:space="preserve">   Hipotecas i rejistros</t>
  </si>
  <si>
    <t xml:space="preserve">   Quintos y Fundición</t>
  </si>
  <si>
    <t xml:space="preserve">   Haber en diezmos</t>
  </si>
  <si>
    <t xml:space="preserve">   Esportacion de mineral concentrado</t>
  </si>
  <si>
    <t xml:space="preserve">   Derecho de internacion</t>
  </si>
  <si>
    <t xml:space="preserve">   Derecho de sello de títulos i patentes</t>
  </si>
  <si>
    <t xml:space="preserve">   Multas</t>
  </si>
  <si>
    <t xml:space="preserve">   Emprésitos</t>
  </si>
  <si>
    <t xml:space="preserve">   Donativos</t>
  </si>
  <si>
    <t xml:space="preserve">   Venta de cal</t>
  </si>
  <si>
    <t>Ramos ajenos</t>
  </si>
  <si>
    <t>Arrendamiento de las minas de Santa-Ana y La-Manta, Supía y Marmato</t>
  </si>
  <si>
    <t>Ferrocarril de Bolivia</t>
  </si>
  <si>
    <t>Ferrocarril del Cauca</t>
  </si>
  <si>
    <t>Peaje de Magdalena</t>
  </si>
  <si>
    <t>Impuesto sobre la navegación fluvial (para la canalización del río Magdalena)</t>
  </si>
  <si>
    <t>Impuestos de canalización, matrícula y patentes sobre embarcaciones (ríos navegables)</t>
  </si>
  <si>
    <t>Ingresos varios (contrabandos y multas, ventas de tomos de leyes y otras publicaciones, intereses de demora, etc.)</t>
  </si>
  <si>
    <t>Derecho complementario de título</t>
  </si>
  <si>
    <t>Premio de letras al 95 por 100</t>
  </si>
  <si>
    <t>Gasto jeneral del Tesoro</t>
  </si>
  <si>
    <t>Gasto total departamentos</t>
  </si>
  <si>
    <t>ECONOMÍA POLÍTICA DE LA TRIBUTACIÓN EN COLOMBIA</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</si>
</sst>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164" formatCode="0.0000%"/>
    <numFmt numFmtId="165" formatCode="#,##0.0"/>
    <numFmt numFmtId="166" formatCode="0.0000000%"/>
    <numFmt numFmtId="167" formatCode="#\ ?/4"/>
    <numFmt numFmtId="168" formatCode="#\ ?/8"/>
    <numFmt numFmtId="169" formatCode="_(* #,##0.00_);_(* \(#,##0.00\);_(* &quot;-&quot;??_);_(@_)"/>
    <numFmt numFmtId="170" formatCode="_(* #,##0_);_(* \(#,##0\);_(* &quot;-&quot;??_);_(@_)"/>
    <numFmt numFmtId="171" formatCode="#,##0.000"/>
    <numFmt numFmtId="172" formatCode="0.0%"/>
    <numFmt numFmtId="173" formatCode="0.000"/>
  </numFmts>
  <fonts count="66" x14ac:knownFonts="1">
    <font>
      <sz val="10"/>
      <name val="Verdana"/>
    </font>
    <font>
      <sz val="12"/>
      <color theme="1"/>
      <name val="Calibri"/>
      <family val="2"/>
      <scheme val="minor"/>
    </font>
    <font>
      <b/>
      <sz val="12"/>
      <color theme="1"/>
      <name val="Calibri"/>
      <family val="2"/>
      <scheme val="minor"/>
    </font>
    <font>
      <sz val="10"/>
      <name val="Verdana"/>
    </font>
    <font>
      <b/>
      <sz val="10"/>
      <color theme="0"/>
      <name val="Verdana"/>
    </font>
    <font>
      <b/>
      <sz val="10"/>
      <color rgb="FF0B3CFF"/>
      <name val="Verdana"/>
    </font>
    <font>
      <b/>
      <sz val="10"/>
      <color theme="3" tint="0.39997558519241921"/>
      <name val="Verdana"/>
    </font>
    <font>
      <sz val="10"/>
      <color rgb="FFFF0000"/>
      <name val="Verdana"/>
    </font>
    <font>
      <b/>
      <sz val="10"/>
      <color rgb="FFFF0000"/>
      <name val="Verdana"/>
    </font>
    <font>
      <b/>
      <sz val="10"/>
      <name val="Verdana"/>
    </font>
    <font>
      <sz val="10"/>
      <color indexed="10"/>
      <name val="Verdana"/>
    </font>
    <font>
      <b/>
      <sz val="9"/>
      <color indexed="81"/>
      <name val="Verdana"/>
    </font>
    <font>
      <sz val="9"/>
      <color indexed="81"/>
      <name val="Verdana"/>
    </font>
    <font>
      <sz val="10"/>
      <color indexed="48"/>
      <name val="Verdana"/>
    </font>
    <font>
      <sz val="10"/>
      <color indexed="53"/>
      <name val="Verdana"/>
    </font>
    <font>
      <sz val="11"/>
      <color theme="1"/>
      <name val="Calibri"/>
      <family val="2"/>
      <scheme val="minor"/>
    </font>
    <font>
      <b/>
      <sz val="11"/>
      <color indexed="8"/>
      <name val="Calibri"/>
      <family val="2"/>
    </font>
    <font>
      <b/>
      <sz val="14"/>
      <color indexed="8"/>
      <name val="Calibri"/>
      <family val="2"/>
    </font>
    <font>
      <b/>
      <sz val="11"/>
      <color indexed="10"/>
      <name val="Calibri"/>
      <family val="2"/>
    </font>
    <font>
      <sz val="11"/>
      <color indexed="10"/>
      <name val="Calibri"/>
      <family val="2"/>
    </font>
    <font>
      <b/>
      <i/>
      <sz val="11"/>
      <color indexed="8"/>
      <name val="Calibri"/>
      <family val="2"/>
    </font>
    <font>
      <b/>
      <sz val="16"/>
      <color indexed="8"/>
      <name val="Calibri"/>
      <family val="2"/>
    </font>
    <font>
      <i/>
      <sz val="12"/>
      <color indexed="8"/>
      <name val="Calibri"/>
      <family val="2"/>
    </font>
    <font>
      <i/>
      <sz val="11"/>
      <color indexed="8"/>
      <name val="Calibri"/>
      <family val="2"/>
    </font>
    <font>
      <sz val="10"/>
      <color indexed="8"/>
      <name val="Calibri"/>
      <family val="2"/>
    </font>
    <font>
      <sz val="8"/>
      <color indexed="81"/>
      <name val="Tahoma"/>
    </font>
    <font>
      <b/>
      <sz val="9"/>
      <color indexed="81"/>
      <name val="Calibri"/>
      <family val="2"/>
    </font>
    <font>
      <sz val="9"/>
      <color indexed="81"/>
      <name val="Calibri"/>
      <family val="2"/>
    </font>
    <font>
      <b/>
      <sz val="9"/>
      <color indexed="10"/>
      <name val="Calibri"/>
    </font>
    <font>
      <b/>
      <u/>
      <sz val="9"/>
      <color indexed="10"/>
      <name val="Calibri"/>
    </font>
    <font>
      <b/>
      <sz val="12"/>
      <color indexed="8"/>
      <name val="Calibri"/>
      <family val="2"/>
    </font>
    <font>
      <sz val="11"/>
      <color indexed="8"/>
      <name val="Calibri"/>
      <family val="2"/>
    </font>
    <font>
      <u val="singleAccounting"/>
      <sz val="11"/>
      <color indexed="8"/>
      <name val="Calibri"/>
      <family val="2"/>
    </font>
    <font>
      <sz val="11"/>
      <name val="Calibri"/>
      <family val="2"/>
    </font>
    <font>
      <b/>
      <sz val="18"/>
      <color indexed="8"/>
      <name val="Calibri"/>
      <family val="2"/>
    </font>
    <font>
      <u/>
      <sz val="11"/>
      <color indexed="8"/>
      <name val="Calibri"/>
      <family val="2"/>
    </font>
    <font>
      <sz val="14"/>
      <color indexed="8"/>
      <name val="Calibri"/>
      <family val="2"/>
    </font>
    <font>
      <sz val="12"/>
      <color indexed="8"/>
      <name val="Calibri"/>
      <family val="2"/>
    </font>
    <font>
      <sz val="11"/>
      <color rgb="FFFF0000"/>
      <name val="Calibri"/>
      <family val="2"/>
      <scheme val="minor"/>
    </font>
    <font>
      <b/>
      <i/>
      <sz val="16"/>
      <color indexed="8"/>
      <name val="Calibri"/>
      <family val="2"/>
    </font>
    <font>
      <sz val="8"/>
      <color indexed="8"/>
      <name val="Calibri"/>
      <family val="2"/>
    </font>
    <font>
      <b/>
      <sz val="10"/>
      <color indexed="8"/>
      <name val="Calibri"/>
    </font>
    <font>
      <b/>
      <sz val="9"/>
      <color indexed="8"/>
      <name val="Calibri"/>
      <family val="2"/>
    </font>
    <font>
      <sz val="9"/>
      <color indexed="8"/>
      <name val="Calibri"/>
      <family val="2"/>
    </font>
    <font>
      <sz val="11"/>
      <name val="Calibri"/>
      <family val="2"/>
      <scheme val="minor"/>
    </font>
    <font>
      <b/>
      <i/>
      <sz val="11"/>
      <color theme="1"/>
      <name val="Calibri"/>
      <family val="2"/>
      <scheme val="minor"/>
    </font>
    <font>
      <b/>
      <sz val="11"/>
      <color theme="1"/>
      <name val="Calibri"/>
      <family val="2"/>
      <scheme val="minor"/>
    </font>
    <font>
      <i/>
      <sz val="11"/>
      <color theme="1"/>
      <name val="Calibri"/>
      <family val="2"/>
      <scheme val="minor"/>
    </font>
    <font>
      <sz val="10"/>
      <color theme="1"/>
      <name val="Calibri"/>
      <family val="2"/>
      <scheme val="minor"/>
    </font>
    <font>
      <sz val="8"/>
      <color theme="1"/>
      <name val="Calibri"/>
      <family val="2"/>
      <scheme val="minor"/>
    </font>
    <font>
      <sz val="9"/>
      <color theme="1"/>
      <name val="Calibri"/>
      <family val="2"/>
      <scheme val="minor"/>
    </font>
    <font>
      <b/>
      <sz val="10"/>
      <color theme="1"/>
      <name val="Calibri"/>
      <family val="2"/>
      <scheme val="minor"/>
    </font>
    <font>
      <b/>
      <sz val="14"/>
      <color theme="1"/>
      <name val="Calibri"/>
      <family val="2"/>
      <scheme val="minor"/>
    </font>
    <font>
      <i/>
      <sz val="9"/>
      <color theme="1"/>
      <name val="Calibri"/>
      <family val="2"/>
      <scheme val="minor"/>
    </font>
    <font>
      <i/>
      <sz val="7"/>
      <color indexed="8"/>
      <name val="Calibri"/>
      <family val="2"/>
    </font>
    <font>
      <i/>
      <sz val="8"/>
      <color indexed="8"/>
      <name val="Calibri"/>
      <family val="2"/>
    </font>
    <font>
      <b/>
      <sz val="11"/>
      <name val="Calibri"/>
      <family val="2"/>
      <scheme val="minor"/>
    </font>
    <font>
      <i/>
      <sz val="10"/>
      <color theme="1"/>
      <name val="Calibri"/>
      <family val="2"/>
      <scheme val="minor"/>
    </font>
    <font>
      <i/>
      <sz val="9"/>
      <color indexed="8"/>
      <name val="Calibri"/>
      <family val="2"/>
    </font>
    <font>
      <sz val="16"/>
      <color indexed="8"/>
      <name val="Calibri"/>
      <family val="2"/>
    </font>
    <font>
      <sz val="18"/>
      <color indexed="8"/>
      <name val="Calibri"/>
      <family val="2"/>
    </font>
    <font>
      <b/>
      <sz val="10"/>
      <color indexed="9"/>
      <name val="Calibri"/>
      <family val="2"/>
    </font>
    <font>
      <sz val="9"/>
      <color rgb="FF000000"/>
      <name val="Calibri"/>
      <family val="2"/>
      <scheme val="minor"/>
    </font>
    <font>
      <sz val="8"/>
      <color rgb="FF000000"/>
      <name val="Calibri"/>
      <family val="2"/>
      <scheme val="minor"/>
    </font>
    <font>
      <b/>
      <sz val="10"/>
      <color indexed="10"/>
      <name val="Calibri"/>
      <family val="2"/>
    </font>
    <font>
      <b/>
      <sz val="8"/>
      <color indexed="81"/>
      <name val="Tahoma"/>
      <family val="2"/>
    </font>
  </fonts>
  <fills count="16">
    <fill>
      <patternFill patternType="none"/>
    </fill>
    <fill>
      <patternFill patternType="gray125"/>
    </fill>
    <fill>
      <patternFill patternType="solid">
        <fgColor rgb="FF0063CF"/>
        <bgColor indexed="64"/>
      </patternFill>
    </fill>
    <fill>
      <patternFill patternType="solid">
        <fgColor indexed="13"/>
        <bgColor indexed="64"/>
      </patternFill>
    </fill>
    <fill>
      <patternFill patternType="solid">
        <fgColor theme="9" tint="0.59999389629810485"/>
        <bgColor indexed="64"/>
      </patternFill>
    </fill>
    <fill>
      <patternFill patternType="solid">
        <fgColor indexed="30"/>
        <bgColor indexed="64"/>
      </patternFill>
    </fill>
    <fill>
      <patternFill patternType="solid">
        <fgColor indexed="44"/>
        <bgColor indexed="64"/>
      </patternFill>
    </fill>
    <fill>
      <patternFill patternType="solid">
        <fgColor indexed="51"/>
        <bgColor indexed="64"/>
      </patternFill>
    </fill>
    <fill>
      <patternFill patternType="solid">
        <fgColor indexed="10"/>
        <bgColor indexed="64"/>
      </patternFill>
    </fill>
    <fill>
      <patternFill patternType="solid">
        <fgColor indexed="49"/>
        <bgColor indexed="64"/>
      </patternFill>
    </fill>
    <fill>
      <patternFill patternType="solid">
        <fgColor theme="8" tint="0.59999389629810485"/>
        <bgColor indexed="64"/>
      </patternFill>
    </fill>
    <fill>
      <patternFill patternType="solid">
        <fgColor theme="8" tint="0.39997558519241921"/>
        <bgColor indexed="64"/>
      </patternFill>
    </fill>
    <fill>
      <patternFill patternType="solid">
        <fgColor rgb="FFFF0000"/>
        <bgColor indexed="64"/>
      </patternFill>
    </fill>
    <fill>
      <patternFill patternType="solid">
        <fgColor theme="9" tint="0.39997558519241921"/>
        <bgColor indexed="64"/>
      </patternFill>
    </fill>
    <fill>
      <patternFill patternType="solid">
        <fgColor indexed="18"/>
        <bgColor indexed="64"/>
      </patternFill>
    </fill>
    <fill>
      <patternFill patternType="solid">
        <fgColor theme="2" tint="-0.89999084444715716"/>
        <bgColor indexed="64"/>
      </patternFill>
    </fill>
  </fills>
  <borders count="64">
    <border>
      <left/>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thin">
        <color auto="1"/>
      </right>
      <top/>
      <bottom/>
      <diagonal/>
    </border>
    <border>
      <left style="thin">
        <color auto="1"/>
      </left>
      <right style="medium">
        <color auto="1"/>
      </right>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medium">
        <color auto="1"/>
      </bottom>
      <diagonal/>
    </border>
    <border>
      <left style="medium">
        <color auto="1"/>
      </left>
      <right/>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medium">
        <color auto="1"/>
      </left>
      <right/>
      <top style="thin">
        <color auto="1"/>
      </top>
      <bottom style="medium">
        <color auto="1"/>
      </bottom>
      <diagonal/>
    </border>
    <border>
      <left style="thin">
        <color auto="1"/>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style="thin">
        <color auto="1"/>
      </left>
      <right/>
      <top style="thin">
        <color auto="1"/>
      </top>
      <bottom style="double">
        <color auto="1"/>
      </bottom>
      <diagonal/>
    </border>
    <border>
      <left/>
      <right style="thin">
        <color auto="1"/>
      </right>
      <top style="medium">
        <color auto="1"/>
      </top>
      <bottom style="medium">
        <color auto="1"/>
      </bottom>
      <diagonal/>
    </border>
    <border>
      <left/>
      <right/>
      <top/>
      <bottom style="double">
        <color auto="1"/>
      </bottom>
      <diagonal/>
    </border>
    <border>
      <left/>
      <right/>
      <top style="double">
        <color auto="1"/>
      </top>
      <bottom/>
      <diagonal/>
    </border>
    <border>
      <left/>
      <right style="thin">
        <color auto="1"/>
      </right>
      <top style="double">
        <color auto="1"/>
      </top>
      <bottom/>
      <diagonal/>
    </border>
    <border>
      <left/>
      <right style="thin">
        <color auto="1"/>
      </right>
      <top/>
      <bottom style="double">
        <color auto="1"/>
      </bottom>
      <diagonal/>
    </border>
    <border>
      <left/>
      <right/>
      <top style="double">
        <color auto="1"/>
      </top>
      <bottom style="thin">
        <color auto="1"/>
      </bottom>
      <diagonal/>
    </border>
    <border>
      <left/>
      <right style="thin">
        <color auto="1"/>
      </right>
      <top style="double">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medium">
        <color auto="1"/>
      </bottom>
      <diagonal/>
    </border>
    <border>
      <left style="thin">
        <color auto="1"/>
      </left>
      <right/>
      <top style="medium">
        <color auto="1"/>
      </top>
      <bottom style="thin">
        <color auto="1"/>
      </bottom>
      <diagonal/>
    </border>
    <border>
      <left style="thin">
        <color auto="1"/>
      </left>
      <right style="thin">
        <color auto="1"/>
      </right>
      <top style="thin">
        <color auto="1"/>
      </top>
      <bottom style="double">
        <color auto="1"/>
      </bottom>
      <diagonal/>
    </border>
    <border>
      <left style="double">
        <color auto="1"/>
      </left>
      <right/>
      <top/>
      <bottom/>
      <diagonal/>
    </border>
  </borders>
  <cellStyleXfs count="6">
    <xf numFmtId="0" fontId="0" fillId="0" borderId="0"/>
    <xf numFmtId="9" fontId="3" fillId="0" borderId="0" applyFont="0" applyFill="0" applyBorder="0" applyAlignment="0" applyProtection="0"/>
    <xf numFmtId="0" fontId="15" fillId="0" borderId="0"/>
    <xf numFmtId="169" fontId="31" fillId="0" borderId="0" applyFont="0" applyFill="0" applyBorder="0" applyAlignment="0" applyProtection="0"/>
    <xf numFmtId="9" fontId="31" fillId="0" borderId="0" applyFont="0" applyFill="0" applyBorder="0" applyAlignment="0" applyProtection="0"/>
    <xf numFmtId="0" fontId="3" fillId="0" borderId="0"/>
  </cellStyleXfs>
  <cellXfs count="1792">
    <xf numFmtId="0" fontId="0" fillId="0" borderId="0" xfId="0"/>
    <xf numFmtId="0" fontId="5" fillId="0" borderId="0" xfId="0" applyFont="1" applyFill="1"/>
    <xf numFmtId="0" fontId="6" fillId="0" borderId="0" xfId="0" applyFont="1" applyFill="1"/>
    <xf numFmtId="0" fontId="7" fillId="0" borderId="0" xfId="0" applyFont="1"/>
    <xf numFmtId="0" fontId="0" fillId="0" borderId="0" xfId="0" applyAlignment="1">
      <alignment horizontal="justify"/>
    </xf>
    <xf numFmtId="0" fontId="0" fillId="0" borderId="0" xfId="0" applyAlignment="1">
      <alignment horizontal="fill"/>
    </xf>
    <xf numFmtId="0" fontId="9" fillId="0" borderId="0" xfId="0" applyFont="1"/>
    <xf numFmtId="3" fontId="0" fillId="0" borderId="0" xfId="0" applyNumberFormat="1"/>
    <xf numFmtId="4" fontId="0" fillId="0" borderId="0" xfId="0" quotePrefix="1" applyNumberFormat="1"/>
    <xf numFmtId="3" fontId="0" fillId="0" borderId="0" xfId="0" quotePrefix="1" applyNumberFormat="1"/>
    <xf numFmtId="3" fontId="0" fillId="0" borderId="0" xfId="0" quotePrefix="1" applyNumberFormat="1" applyAlignment="1">
      <alignment horizontal="right"/>
    </xf>
    <xf numFmtId="164" fontId="0" fillId="0" borderId="0" xfId="1" applyNumberFormat="1" applyFont="1"/>
    <xf numFmtId="0" fontId="10" fillId="0" borderId="0" xfId="0" applyFont="1"/>
    <xf numFmtId="0" fontId="3" fillId="0" borderId="0" xfId="0" applyFont="1"/>
    <xf numFmtId="165" fontId="0" fillId="0" borderId="0" xfId="0" applyNumberFormat="1"/>
    <xf numFmtId="165" fontId="10" fillId="0" borderId="0" xfId="0" applyNumberFormat="1" applyFont="1"/>
    <xf numFmtId="165" fontId="0" fillId="0" borderId="0" xfId="0" applyNumberFormat="1" applyFill="1"/>
    <xf numFmtId="165" fontId="7" fillId="0" borderId="0" xfId="0" applyNumberFormat="1" applyFont="1"/>
    <xf numFmtId="3" fontId="9" fillId="0" borderId="0" xfId="0" applyNumberFormat="1" applyFont="1"/>
    <xf numFmtId="3" fontId="0" fillId="0" borderId="0" xfId="0" applyNumberFormat="1" applyAlignment="1">
      <alignment horizontal="right"/>
    </xf>
    <xf numFmtId="3" fontId="0" fillId="0" borderId="0" xfId="0" quotePrefix="1" applyNumberFormat="1" applyAlignment="1"/>
    <xf numFmtId="3" fontId="0" fillId="0" borderId="0" xfId="0" applyNumberFormat="1" applyAlignment="1"/>
    <xf numFmtId="3" fontId="3" fillId="0" borderId="0" xfId="0" applyNumberFormat="1" applyFont="1" applyAlignment="1">
      <alignment horizontal="right"/>
    </xf>
    <xf numFmtId="3" fontId="0" fillId="0" borderId="0" xfId="0" applyNumberFormat="1" applyFill="1"/>
    <xf numFmtId="3" fontId="3" fillId="0" borderId="0" xfId="0" quotePrefix="1" applyNumberFormat="1" applyFont="1" applyAlignment="1">
      <alignment horizontal="right"/>
    </xf>
    <xf numFmtId="0" fontId="9" fillId="0" borderId="0" xfId="0" applyFont="1" applyAlignment="1">
      <alignment horizontal="center"/>
    </xf>
    <xf numFmtId="0" fontId="9" fillId="0" borderId="0" xfId="0" applyFont="1" applyAlignment="1">
      <alignment horizontal="center"/>
    </xf>
    <xf numFmtId="3" fontId="10" fillId="0" borderId="0" xfId="0" applyNumberFormat="1" applyFont="1"/>
    <xf numFmtId="165" fontId="10" fillId="0" borderId="0" xfId="0" applyNumberFormat="1" applyFont="1" applyAlignment="1">
      <alignment horizontal="right"/>
    </xf>
    <xf numFmtId="3" fontId="9" fillId="0" borderId="0" xfId="0" quotePrefix="1" applyNumberFormat="1" applyFont="1" applyAlignment="1">
      <alignment horizontal="right"/>
    </xf>
    <xf numFmtId="0" fontId="13" fillId="0" borderId="0" xfId="0" applyFont="1"/>
    <xf numFmtId="3" fontId="14" fillId="0" borderId="0" xfId="0" applyNumberFormat="1" applyFont="1"/>
    <xf numFmtId="0" fontId="9" fillId="0" borderId="1" xfId="0" applyFont="1" applyBorder="1"/>
    <xf numFmtId="0" fontId="9" fillId="0" borderId="2" xfId="0" applyFont="1" applyBorder="1"/>
    <xf numFmtId="0" fontId="9" fillId="0" borderId="3"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9" fillId="0" borderId="5" xfId="0" applyFont="1" applyBorder="1"/>
    <xf numFmtId="0" fontId="9" fillId="0" borderId="6" xfId="0" applyFont="1" applyBorder="1"/>
    <xf numFmtId="0" fontId="9" fillId="0" borderId="7" xfId="0" applyFont="1" applyBorder="1"/>
    <xf numFmtId="0" fontId="9" fillId="0" borderId="6" xfId="0" applyFont="1" applyBorder="1" applyAlignment="1">
      <alignment horizontal="center"/>
    </xf>
    <xf numFmtId="0" fontId="9" fillId="0" borderId="7" xfId="0" applyFont="1" applyBorder="1" applyAlignment="1">
      <alignment horizontal="center"/>
    </xf>
    <xf numFmtId="0" fontId="9" fillId="0" borderId="0" xfId="0" applyFont="1" applyBorder="1" applyAlignment="1">
      <alignment horizontal="center"/>
    </xf>
    <xf numFmtId="0" fontId="9" fillId="0" borderId="0" xfId="0" applyFont="1" applyBorder="1"/>
    <xf numFmtId="0" fontId="9" fillId="0" borderId="8" xfId="0" applyFont="1" applyBorder="1"/>
    <xf numFmtId="0" fontId="9" fillId="0" borderId="9" xfId="0" applyFont="1" applyBorder="1"/>
    <xf numFmtId="0" fontId="9" fillId="0" borderId="10" xfId="0" applyFont="1" applyBorder="1"/>
    <xf numFmtId="0" fontId="9" fillId="0" borderId="11" xfId="0" applyFont="1" applyBorder="1"/>
    <xf numFmtId="0" fontId="9" fillId="0" borderId="9" xfId="0" applyFont="1" applyBorder="1" applyAlignment="1">
      <alignment horizontal="center"/>
    </xf>
    <xf numFmtId="0" fontId="9" fillId="0" borderId="11" xfId="0" applyFont="1" applyBorder="1" applyAlignment="1">
      <alignment horizontal="center"/>
    </xf>
    <xf numFmtId="0" fontId="9" fillId="0" borderId="10" xfId="0" applyFont="1" applyBorder="1" applyAlignment="1">
      <alignment horizontal="center"/>
    </xf>
    <xf numFmtId="0" fontId="0" fillId="0" borderId="12" xfId="0" applyBorder="1"/>
    <xf numFmtId="0" fontId="0" fillId="0" borderId="13" xfId="0" applyBorder="1"/>
    <xf numFmtId="0" fontId="9" fillId="0" borderId="14" xfId="0" applyFont="1" applyBorder="1" applyAlignment="1">
      <alignment horizontal="center"/>
    </xf>
    <xf numFmtId="0" fontId="9" fillId="0" borderId="15" xfId="0" applyFont="1" applyBorder="1" applyAlignment="1">
      <alignment horizontal="center"/>
    </xf>
    <xf numFmtId="0" fontId="9" fillId="0" borderId="13" xfId="0" applyFont="1" applyBorder="1" applyAlignment="1">
      <alignment horizontal="center"/>
    </xf>
    <xf numFmtId="3" fontId="0" fillId="0" borderId="13" xfId="0" applyNumberFormat="1" applyBorder="1"/>
    <xf numFmtId="0" fontId="0" fillId="0" borderId="5" xfId="0" applyBorder="1"/>
    <xf numFmtId="0" fontId="0" fillId="0" borderId="6" xfId="0" applyBorder="1"/>
    <xf numFmtId="3" fontId="0" fillId="0" borderId="7" xfId="0" applyNumberFormat="1" applyBorder="1"/>
    <xf numFmtId="3" fontId="0" fillId="0" borderId="6" xfId="0" applyNumberFormat="1" applyBorder="1"/>
    <xf numFmtId="3" fontId="0" fillId="0" borderId="0" xfId="0" applyNumberFormat="1" applyBorder="1"/>
    <xf numFmtId="3" fontId="0" fillId="0" borderId="7" xfId="0" quotePrefix="1" applyNumberFormat="1" applyBorder="1" applyAlignment="1">
      <alignment horizontal="right"/>
    </xf>
    <xf numFmtId="3" fontId="0" fillId="0" borderId="7" xfId="0" applyNumberFormat="1" applyBorder="1" applyAlignment="1">
      <alignment horizontal="right"/>
    </xf>
    <xf numFmtId="0" fontId="10" fillId="0" borderId="8" xfId="0" applyFont="1" applyBorder="1"/>
    <xf numFmtId="0" fontId="10" fillId="0" borderId="9" xfId="0" applyFont="1" applyBorder="1"/>
    <xf numFmtId="3" fontId="10" fillId="0" borderId="10" xfId="0" applyNumberFormat="1" applyFont="1" applyBorder="1"/>
    <xf numFmtId="3" fontId="10" fillId="0" borderId="9" xfId="0" applyNumberFormat="1" applyFont="1" applyBorder="1"/>
    <xf numFmtId="3" fontId="10" fillId="0" borderId="11" xfId="0" applyNumberFormat="1" applyFont="1" applyBorder="1"/>
    <xf numFmtId="3" fontId="10" fillId="0" borderId="10" xfId="0" applyNumberFormat="1" applyFont="1" applyBorder="1" applyAlignment="1">
      <alignment horizontal="right"/>
    </xf>
    <xf numFmtId="3" fontId="9" fillId="0" borderId="0" xfId="0" applyNumberFormat="1" applyFont="1" applyAlignment="1">
      <alignment horizontal="center"/>
    </xf>
    <xf numFmtId="3" fontId="9" fillId="0" borderId="0" xfId="0" applyNumberFormat="1" applyFont="1" applyAlignment="1">
      <alignment horizontal="center"/>
    </xf>
    <xf numFmtId="3" fontId="10" fillId="0" borderId="0" xfId="0" quotePrefix="1" applyNumberFormat="1" applyFont="1" applyAlignment="1">
      <alignment horizontal="right"/>
    </xf>
    <xf numFmtId="0" fontId="0" fillId="0" borderId="0" xfId="0" applyAlignment="1">
      <alignment horizontal="right"/>
    </xf>
    <xf numFmtId="3" fontId="10" fillId="0" borderId="0" xfId="0" applyNumberFormat="1" applyFont="1" applyAlignment="1">
      <alignment horizontal="right"/>
    </xf>
    <xf numFmtId="3" fontId="0" fillId="3" borderId="0" xfId="0" applyNumberFormat="1" applyFill="1" applyAlignment="1">
      <alignment horizontal="right"/>
    </xf>
    <xf numFmtId="166" fontId="0" fillId="0" borderId="0" xfId="1" applyNumberFormat="1" applyFont="1"/>
    <xf numFmtId="0" fontId="0" fillId="0" borderId="0" xfId="0" applyAlignment="1">
      <alignment horizontal="center"/>
    </xf>
    <xf numFmtId="0" fontId="0" fillId="0" borderId="1" xfId="0" applyBorder="1"/>
    <xf numFmtId="3" fontId="9" fillId="0" borderId="2" xfId="0" applyNumberFormat="1" applyFont="1" applyBorder="1" applyAlignment="1">
      <alignment horizontal="center"/>
    </xf>
    <xf numFmtId="3" fontId="9" fillId="0" borderId="3" xfId="0" applyNumberFormat="1" applyFont="1" applyBorder="1" applyAlignment="1">
      <alignment horizontal="center"/>
    </xf>
    <xf numFmtId="3" fontId="9" fillId="0" borderId="4" xfId="0" applyNumberFormat="1" applyFont="1" applyBorder="1" applyAlignment="1">
      <alignment horizontal="center"/>
    </xf>
    <xf numFmtId="3" fontId="9" fillId="0" borderId="6" xfId="0" applyNumberFormat="1" applyFont="1" applyBorder="1"/>
    <xf numFmtId="3" fontId="9" fillId="0" borderId="7" xfId="0" applyNumberFormat="1" applyFont="1" applyBorder="1"/>
    <xf numFmtId="3" fontId="9" fillId="0" borderId="5" xfId="0" applyNumberFormat="1" applyFont="1" applyBorder="1"/>
    <xf numFmtId="3" fontId="9" fillId="0" borderId="16" xfId="0" applyNumberFormat="1" applyFont="1" applyBorder="1"/>
    <xf numFmtId="3" fontId="9" fillId="0" borderId="17" xfId="0" applyNumberFormat="1" applyFont="1" applyBorder="1"/>
    <xf numFmtId="3" fontId="9" fillId="0" borderId="6" xfId="0" applyNumberFormat="1" applyFont="1" applyBorder="1" applyAlignment="1">
      <alignment horizontal="center"/>
    </xf>
    <xf numFmtId="3" fontId="9" fillId="0" borderId="7" xfId="0" applyNumberFormat="1" applyFont="1" applyBorder="1" applyAlignment="1">
      <alignment horizontal="center"/>
    </xf>
    <xf numFmtId="0" fontId="0" fillId="0" borderId="8" xfId="0" applyBorder="1"/>
    <xf numFmtId="0" fontId="9" fillId="0" borderId="18" xfId="0" applyFont="1" applyBorder="1" applyAlignment="1">
      <alignment horizontal="center"/>
    </xf>
    <xf numFmtId="0" fontId="9" fillId="0" borderId="19" xfId="0" applyFont="1" applyBorder="1" applyAlignment="1">
      <alignment horizontal="center"/>
    </xf>
    <xf numFmtId="0" fontId="9" fillId="0" borderId="20" xfId="0" applyFont="1" applyBorder="1" applyAlignment="1">
      <alignment horizontal="center"/>
    </xf>
    <xf numFmtId="0" fontId="0" fillId="0" borderId="21" xfId="0" applyBorder="1"/>
    <xf numFmtId="3" fontId="0" fillId="0" borderId="22" xfId="0" applyNumberFormat="1" applyBorder="1"/>
    <xf numFmtId="3" fontId="0" fillId="0" borderId="23" xfId="0" applyNumberFormat="1" applyBorder="1"/>
    <xf numFmtId="3" fontId="0" fillId="0" borderId="24" xfId="0" applyNumberFormat="1" applyBorder="1"/>
    <xf numFmtId="0" fontId="0" fillId="0" borderId="25" xfId="0" applyBorder="1"/>
    <xf numFmtId="3" fontId="0" fillId="0" borderId="26" xfId="0" applyNumberFormat="1" applyBorder="1"/>
    <xf numFmtId="3" fontId="0" fillId="0" borderId="27" xfId="0" applyNumberFormat="1" applyBorder="1"/>
    <xf numFmtId="3" fontId="0" fillId="0" borderId="28" xfId="0" applyNumberFormat="1" applyBorder="1"/>
    <xf numFmtId="0" fontId="0" fillId="0" borderId="29" xfId="0" applyBorder="1"/>
    <xf numFmtId="3" fontId="0" fillId="0" borderId="18" xfId="0" applyNumberFormat="1" applyBorder="1"/>
    <xf numFmtId="3" fontId="0" fillId="0" borderId="19" xfId="0" applyNumberFormat="1" applyBorder="1"/>
    <xf numFmtId="3" fontId="0" fillId="0" borderId="20" xfId="0" applyNumberFormat="1" applyBorder="1"/>
    <xf numFmtId="0" fontId="15" fillId="0" borderId="0" xfId="2"/>
    <xf numFmtId="3" fontId="15" fillId="0" borderId="0" xfId="2" applyNumberFormat="1"/>
    <xf numFmtId="0" fontId="15" fillId="0" borderId="0" xfId="2" quotePrefix="1" applyAlignment="1">
      <alignment horizontal="right"/>
    </xf>
    <xf numFmtId="3" fontId="15" fillId="4" borderId="30" xfId="2" applyNumberFormat="1" applyFill="1" applyBorder="1"/>
    <xf numFmtId="0" fontId="15" fillId="0" borderId="0" xfId="2" applyAlignment="1">
      <alignment horizontal="center"/>
    </xf>
    <xf numFmtId="3" fontId="15" fillId="0" borderId="0" xfId="2" quotePrefix="1" applyNumberFormat="1" applyAlignment="1">
      <alignment horizontal="right"/>
    </xf>
    <xf numFmtId="16" fontId="15" fillId="0" borderId="0" xfId="2" quotePrefix="1" applyNumberFormat="1" applyAlignment="1">
      <alignment horizontal="right"/>
    </xf>
    <xf numFmtId="0" fontId="16" fillId="5" borderId="0" xfId="2" applyFont="1" applyFill="1"/>
    <xf numFmtId="0" fontId="17" fillId="0" borderId="31" xfId="2" applyFont="1" applyBorder="1" applyAlignment="1">
      <alignment horizontal="center"/>
    </xf>
    <xf numFmtId="0" fontId="17" fillId="0" borderId="32" xfId="2" applyFont="1" applyBorder="1" applyAlignment="1">
      <alignment horizontal="center"/>
    </xf>
    <xf numFmtId="0" fontId="17" fillId="0" borderId="33" xfId="2" applyFont="1" applyBorder="1" applyAlignment="1">
      <alignment horizontal="center"/>
    </xf>
    <xf numFmtId="0" fontId="15" fillId="0" borderId="30" xfId="2" applyBorder="1" applyAlignment="1">
      <alignment horizontal="center" vertical="center" wrapText="1"/>
    </xf>
    <xf numFmtId="0" fontId="15" fillId="0" borderId="0" xfId="2" applyBorder="1" applyAlignment="1">
      <alignment horizontal="center" vertical="center" wrapText="1"/>
    </xf>
    <xf numFmtId="0" fontId="15" fillId="0" borderId="16" xfId="2" applyBorder="1" applyAlignment="1">
      <alignment horizontal="center" vertical="center" wrapText="1"/>
    </xf>
    <xf numFmtId="0" fontId="15" fillId="0" borderId="34" xfId="2" applyBorder="1" applyAlignment="1">
      <alignment wrapText="1"/>
    </xf>
    <xf numFmtId="0" fontId="15" fillId="0" borderId="31" xfId="2" applyBorder="1" applyAlignment="1">
      <alignment horizontal="center" wrapText="1"/>
    </xf>
    <xf numFmtId="0" fontId="15" fillId="0" borderId="32" xfId="2" applyBorder="1" applyAlignment="1">
      <alignment horizontal="center" wrapText="1"/>
    </xf>
    <xf numFmtId="0" fontId="15" fillId="0" borderId="33" xfId="2" applyBorder="1" applyAlignment="1">
      <alignment horizontal="center" wrapText="1"/>
    </xf>
    <xf numFmtId="0" fontId="15" fillId="0" borderId="31" xfId="2" applyBorder="1" applyAlignment="1">
      <alignment horizontal="center" vertical="center" wrapText="1"/>
    </xf>
    <xf numFmtId="0" fontId="15" fillId="0" borderId="32" xfId="2" applyBorder="1" applyAlignment="1">
      <alignment horizontal="center" vertical="center" wrapText="1"/>
    </xf>
    <xf numFmtId="0" fontId="15" fillId="0" borderId="33" xfId="2" applyBorder="1" applyAlignment="1">
      <alignment horizontal="center" vertical="center" wrapText="1"/>
    </xf>
    <xf numFmtId="0" fontId="15" fillId="0" borderId="31" xfId="2" applyBorder="1" applyAlignment="1">
      <alignment horizontal="center" vertical="center"/>
    </xf>
    <xf numFmtId="0" fontId="15" fillId="0" borderId="32" xfId="2" applyBorder="1" applyAlignment="1">
      <alignment horizontal="center" vertical="center"/>
    </xf>
    <xf numFmtId="0" fontId="15" fillId="0" borderId="33" xfId="2" applyBorder="1" applyAlignment="1">
      <alignment horizontal="center" vertical="center"/>
    </xf>
    <xf numFmtId="0" fontId="15" fillId="0" borderId="35" xfId="2" applyBorder="1" applyAlignment="1">
      <alignment wrapText="1"/>
    </xf>
    <xf numFmtId="3" fontId="15" fillId="0" borderId="30" xfId="2" applyNumberFormat="1" applyBorder="1"/>
    <xf numFmtId="0" fontId="15" fillId="6" borderId="0" xfId="2" applyFill="1" applyBorder="1"/>
    <xf numFmtId="12" fontId="15" fillId="0" borderId="16" xfId="2" applyNumberFormat="1" applyBorder="1"/>
    <xf numFmtId="0" fontId="15" fillId="0" borderId="0" xfId="2" applyBorder="1"/>
    <xf numFmtId="0" fontId="15" fillId="0" borderId="35" xfId="2" applyBorder="1"/>
    <xf numFmtId="3" fontId="15" fillId="6" borderId="30" xfId="2" applyNumberFormat="1" applyFill="1" applyBorder="1"/>
    <xf numFmtId="3" fontId="15" fillId="7" borderId="30" xfId="2" applyNumberFormat="1" applyFill="1" applyBorder="1"/>
    <xf numFmtId="3" fontId="15" fillId="7" borderId="0" xfId="2" applyNumberFormat="1" applyFill="1" applyBorder="1"/>
    <xf numFmtId="12" fontId="15" fillId="7" borderId="16" xfId="2" applyNumberFormat="1" applyFill="1" applyBorder="1"/>
    <xf numFmtId="3" fontId="15" fillId="0" borderId="30" xfId="2" applyNumberFormat="1" applyFill="1" applyBorder="1"/>
    <xf numFmtId="3" fontId="15" fillId="0" borderId="0" xfId="2" applyNumberFormat="1" applyFill="1" applyBorder="1"/>
    <xf numFmtId="12" fontId="15" fillId="0" borderId="16" xfId="2" applyNumberFormat="1" applyFill="1" applyBorder="1"/>
    <xf numFmtId="0" fontId="15" fillId="0" borderId="0" xfId="2" applyFill="1"/>
    <xf numFmtId="3" fontId="15" fillId="6" borderId="0" xfId="2" applyNumberFormat="1" applyFill="1" applyBorder="1"/>
    <xf numFmtId="3" fontId="15" fillId="0" borderId="0" xfId="2" applyNumberFormat="1" applyBorder="1"/>
    <xf numFmtId="12" fontId="15" fillId="6" borderId="16" xfId="2" applyNumberFormat="1" applyFill="1" applyBorder="1"/>
    <xf numFmtId="0" fontId="16" fillId="0" borderId="36" xfId="2" applyFont="1" applyBorder="1"/>
    <xf numFmtId="3" fontId="16" fillId="0" borderId="37" xfId="2" applyNumberFormat="1" applyFont="1" applyBorder="1"/>
    <xf numFmtId="0" fontId="16" fillId="0" borderId="38" xfId="2" applyFont="1" applyBorder="1"/>
    <xf numFmtId="12" fontId="16" fillId="0" borderId="24" xfId="2" applyNumberFormat="1" applyFont="1" applyBorder="1"/>
    <xf numFmtId="0" fontId="15" fillId="0" borderId="37" xfId="2" applyBorder="1"/>
    <xf numFmtId="3" fontId="15" fillId="7" borderId="38" xfId="2" applyNumberFormat="1" applyFill="1" applyBorder="1"/>
    <xf numFmtId="12" fontId="15" fillId="7" borderId="38" xfId="2" applyNumberFormat="1" applyFill="1" applyBorder="1"/>
    <xf numFmtId="12" fontId="15" fillId="7" borderId="24" xfId="2" applyNumberFormat="1" applyFill="1" applyBorder="1"/>
    <xf numFmtId="0" fontId="16" fillId="0" borderId="31" xfId="2" applyFont="1" applyBorder="1" applyAlignment="1">
      <alignment horizontal="center" vertical="center"/>
    </xf>
    <xf numFmtId="0" fontId="16" fillId="0" borderId="32" xfId="2" applyFont="1" applyBorder="1" applyAlignment="1">
      <alignment horizontal="center" vertical="center"/>
    </xf>
    <xf numFmtId="0" fontId="16" fillId="0" borderId="33" xfId="2" applyFont="1" applyBorder="1" applyAlignment="1">
      <alignment horizontal="center" vertical="center"/>
    </xf>
    <xf numFmtId="0" fontId="16" fillId="0" borderId="30" xfId="2" applyFont="1" applyBorder="1" applyAlignment="1">
      <alignment horizontal="center" vertical="center"/>
    </xf>
    <xf numFmtId="0" fontId="16" fillId="0" borderId="0" xfId="2" applyFont="1" applyBorder="1" applyAlignment="1">
      <alignment horizontal="center" vertical="center"/>
    </xf>
    <xf numFmtId="0" fontId="16" fillId="0" borderId="16" xfId="2" applyFont="1" applyBorder="1" applyAlignment="1">
      <alignment horizontal="center" vertical="center"/>
    </xf>
    <xf numFmtId="0" fontId="15" fillId="0" borderId="30" xfId="2" applyBorder="1" applyAlignment="1">
      <alignment horizontal="center" vertical="center"/>
    </xf>
    <xf numFmtId="0" fontId="15" fillId="0" borderId="0" xfId="2" applyBorder="1" applyAlignment="1">
      <alignment horizontal="center" vertical="center"/>
    </xf>
    <xf numFmtId="0" fontId="15" fillId="0" borderId="16" xfId="2" applyBorder="1" applyAlignment="1">
      <alignment horizontal="center" vertical="center"/>
    </xf>
    <xf numFmtId="0" fontId="15" fillId="0" borderId="30" xfId="2" applyBorder="1"/>
    <xf numFmtId="0" fontId="16" fillId="0" borderId="30" xfId="2" applyFont="1" applyBorder="1"/>
    <xf numFmtId="3" fontId="16" fillId="0" borderId="0" xfId="2" applyNumberFormat="1" applyFont="1" applyBorder="1"/>
    <xf numFmtId="0" fontId="16" fillId="0" borderId="0" xfId="2" applyFont="1" applyBorder="1"/>
    <xf numFmtId="12" fontId="16" fillId="0" borderId="16" xfId="2" applyNumberFormat="1" applyFont="1" applyBorder="1"/>
    <xf numFmtId="0" fontId="18" fillId="0" borderId="39" xfId="2" applyFont="1" applyBorder="1"/>
    <xf numFmtId="3" fontId="19" fillId="7" borderId="39" xfId="2" applyNumberFormat="1" applyFont="1" applyFill="1" applyBorder="1"/>
    <xf numFmtId="0" fontId="15" fillId="0" borderId="30" xfId="2" applyFont="1" applyBorder="1" applyAlignment="1">
      <alignment horizontal="center" vertical="center"/>
    </xf>
    <xf numFmtId="0" fontId="15" fillId="0" borderId="0" xfId="2" applyFont="1" applyBorder="1" applyAlignment="1">
      <alignment horizontal="center" vertical="center"/>
    </xf>
    <xf numFmtId="0" fontId="15" fillId="0" borderId="16" xfId="2" applyFont="1" applyBorder="1" applyAlignment="1">
      <alignment horizontal="center" vertical="center"/>
    </xf>
    <xf numFmtId="0" fontId="20" fillId="0" borderId="30" xfId="2" applyFont="1" applyBorder="1" applyAlignment="1">
      <alignment horizontal="left" wrapText="1"/>
    </xf>
    <xf numFmtId="0" fontId="15" fillId="0" borderId="0" xfId="2"/>
    <xf numFmtId="0" fontId="15" fillId="0" borderId="0" xfId="2" applyBorder="1" applyAlignment="1"/>
    <xf numFmtId="0" fontId="15" fillId="0" borderId="16" xfId="2" applyBorder="1" applyAlignment="1"/>
    <xf numFmtId="0" fontId="15" fillId="0" borderId="30" xfId="2" applyBorder="1" applyAlignment="1">
      <alignment wrapText="1"/>
    </xf>
    <xf numFmtId="1" fontId="15" fillId="0" borderId="0" xfId="2" applyNumberFormat="1" applyBorder="1"/>
    <xf numFmtId="12" fontId="15" fillId="0" borderId="0" xfId="2" applyNumberFormat="1" applyBorder="1"/>
    <xf numFmtId="3" fontId="15" fillId="0" borderId="11" xfId="2" applyNumberFormat="1" applyFill="1" applyBorder="1"/>
    <xf numFmtId="1" fontId="15" fillId="0" borderId="11" xfId="2" applyNumberFormat="1" applyBorder="1"/>
    <xf numFmtId="0" fontId="15" fillId="0" borderId="11" xfId="2" applyBorder="1"/>
    <xf numFmtId="0" fontId="15" fillId="0" borderId="0" xfId="2" applyFill="1" applyBorder="1"/>
    <xf numFmtId="0" fontId="15" fillId="0" borderId="16" xfId="2" applyBorder="1"/>
    <xf numFmtId="0" fontId="20" fillId="0" borderId="0" xfId="2" applyFont="1" applyBorder="1" applyAlignment="1">
      <alignment horizontal="left" wrapText="1"/>
    </xf>
    <xf numFmtId="3" fontId="15" fillId="0" borderId="11" xfId="2" applyNumberFormat="1" applyBorder="1"/>
    <xf numFmtId="3" fontId="15" fillId="7" borderId="16" xfId="2" applyNumberFormat="1" applyFill="1" applyBorder="1"/>
    <xf numFmtId="12" fontId="15" fillId="0" borderId="40" xfId="2" applyNumberFormat="1" applyBorder="1"/>
    <xf numFmtId="12" fontId="15" fillId="0" borderId="11" xfId="2" applyNumberFormat="1" applyBorder="1"/>
    <xf numFmtId="0" fontId="17" fillId="0" borderId="30" xfId="2" applyFont="1" applyBorder="1" applyAlignment="1">
      <alignment horizontal="right" wrapText="1"/>
    </xf>
    <xf numFmtId="0" fontId="15" fillId="7" borderId="0" xfId="2" applyFill="1" applyBorder="1"/>
    <xf numFmtId="0" fontId="15" fillId="0" borderId="40" xfId="2" applyBorder="1"/>
    <xf numFmtId="0" fontId="15" fillId="0" borderId="38" xfId="2" applyBorder="1"/>
    <xf numFmtId="0" fontId="15" fillId="0" borderId="24" xfId="2" applyBorder="1"/>
    <xf numFmtId="0" fontId="21" fillId="0" borderId="31" xfId="2" applyFont="1" applyBorder="1" applyAlignment="1">
      <alignment horizontal="left"/>
    </xf>
    <xf numFmtId="0" fontId="21" fillId="0" borderId="32" xfId="2" applyFont="1" applyBorder="1" applyAlignment="1">
      <alignment horizontal="left"/>
    </xf>
    <xf numFmtId="0" fontId="15" fillId="0" borderId="32" xfId="2" applyBorder="1"/>
    <xf numFmtId="0" fontId="15" fillId="0" borderId="33" xfId="2" applyBorder="1"/>
    <xf numFmtId="0" fontId="22" fillId="0" borderId="37" xfId="2" applyFont="1" applyBorder="1" applyAlignment="1">
      <alignment horizontal="left" vertical="center"/>
    </xf>
    <xf numFmtId="0" fontId="22" fillId="0" borderId="38" xfId="2" applyFont="1" applyBorder="1" applyAlignment="1">
      <alignment horizontal="left" vertical="center"/>
    </xf>
    <xf numFmtId="0" fontId="22" fillId="0" borderId="0" xfId="2" applyFont="1" applyBorder="1" applyAlignment="1">
      <alignment horizontal="left" vertical="center"/>
    </xf>
    <xf numFmtId="0" fontId="16" fillId="0" borderId="39" xfId="2" applyFont="1" applyBorder="1"/>
    <xf numFmtId="0" fontId="15" fillId="0" borderId="39" xfId="2" applyBorder="1" applyAlignment="1">
      <alignment horizontal="center" vertical="center" wrapText="1"/>
    </xf>
    <xf numFmtId="0" fontId="15" fillId="0" borderId="39" xfId="2" applyBorder="1" applyAlignment="1">
      <alignment horizontal="center"/>
    </xf>
    <xf numFmtId="0" fontId="15" fillId="0" borderId="39" xfId="2" applyBorder="1" applyAlignment="1">
      <alignment horizontal="center" wrapText="1"/>
    </xf>
    <xf numFmtId="0" fontId="15" fillId="0" borderId="31" xfId="2" applyBorder="1" applyAlignment="1">
      <alignment horizontal="center"/>
    </xf>
    <xf numFmtId="0" fontId="15" fillId="0" borderId="32" xfId="2" applyBorder="1" applyAlignment="1">
      <alignment horizontal="center"/>
    </xf>
    <xf numFmtId="0" fontId="15" fillId="0" borderId="33" xfId="2" applyBorder="1" applyAlignment="1">
      <alignment horizontal="center"/>
    </xf>
    <xf numFmtId="0" fontId="15" fillId="0" borderId="28" xfId="2" applyBorder="1" applyAlignment="1">
      <alignment horizontal="center"/>
    </xf>
    <xf numFmtId="0" fontId="15" fillId="0" borderId="39" xfId="2" applyBorder="1"/>
    <xf numFmtId="0" fontId="15" fillId="0" borderId="41" xfId="2" applyBorder="1" applyAlignment="1">
      <alignment horizontal="center"/>
    </xf>
    <xf numFmtId="0" fontId="15" fillId="0" borderId="37" xfId="2" applyBorder="1" applyAlignment="1">
      <alignment horizontal="center"/>
    </xf>
    <xf numFmtId="0" fontId="15" fillId="0" borderId="38" xfId="2" applyBorder="1" applyAlignment="1">
      <alignment horizontal="center"/>
    </xf>
    <xf numFmtId="0" fontId="15" fillId="0" borderId="24" xfId="2" applyBorder="1" applyAlignment="1">
      <alignment horizontal="center"/>
    </xf>
    <xf numFmtId="0" fontId="16" fillId="0" borderId="30" xfId="2" applyFont="1" applyBorder="1" applyAlignment="1">
      <alignment horizontal="center"/>
    </xf>
    <xf numFmtId="0" fontId="16" fillId="0" borderId="0" xfId="2" applyFont="1" applyBorder="1" applyAlignment="1">
      <alignment horizontal="center"/>
    </xf>
    <xf numFmtId="0" fontId="16" fillId="0" borderId="16" xfId="2" applyFont="1" applyBorder="1" applyAlignment="1">
      <alignment horizontal="center"/>
    </xf>
    <xf numFmtId="0" fontId="15" fillId="0" borderId="30" xfId="2" applyFill="1" applyBorder="1"/>
    <xf numFmtId="0" fontId="16" fillId="0" borderId="30" xfId="2" applyFont="1" applyFill="1" applyBorder="1" applyAlignment="1">
      <alignment horizontal="center"/>
    </xf>
    <xf numFmtId="0" fontId="16" fillId="0" borderId="0" xfId="2" applyFont="1" applyFill="1" applyBorder="1" applyAlignment="1">
      <alignment horizontal="center"/>
    </xf>
    <xf numFmtId="0" fontId="16" fillId="0" borderId="16" xfId="2" applyFont="1" applyFill="1" applyBorder="1" applyAlignment="1">
      <alignment horizontal="center"/>
    </xf>
    <xf numFmtId="3" fontId="15" fillId="7" borderId="30" xfId="2" applyNumberFormat="1" applyFill="1" applyBorder="1" applyAlignment="1">
      <alignment horizontal="center"/>
    </xf>
    <xf numFmtId="3" fontId="15" fillId="7" borderId="0" xfId="2" applyNumberFormat="1" applyFill="1" applyBorder="1" applyAlignment="1">
      <alignment horizontal="center"/>
    </xf>
    <xf numFmtId="3" fontId="15" fillId="7" borderId="16" xfId="2" applyNumberFormat="1" applyFill="1" applyBorder="1" applyAlignment="1">
      <alignment horizontal="center"/>
    </xf>
    <xf numFmtId="3" fontId="15" fillId="7" borderId="30" xfId="2" applyNumberFormat="1" applyFill="1" applyBorder="1" applyAlignment="1"/>
    <xf numFmtId="3" fontId="15" fillId="7" borderId="0" xfId="2" applyNumberFormat="1" applyFill="1" applyBorder="1" applyAlignment="1"/>
    <xf numFmtId="3" fontId="15" fillId="7" borderId="16" xfId="2" applyNumberFormat="1" applyFill="1" applyBorder="1" applyAlignment="1"/>
    <xf numFmtId="0" fontId="23" fillId="0" borderId="30" xfId="2" applyFont="1" applyFill="1" applyBorder="1"/>
    <xf numFmtId="3" fontId="15" fillId="0" borderId="37" xfId="2" applyNumberFormat="1" applyBorder="1"/>
    <xf numFmtId="12" fontId="15" fillId="0" borderId="24" xfId="2" applyNumberFormat="1" applyBorder="1"/>
    <xf numFmtId="0" fontId="15" fillId="7" borderId="37" xfId="2" applyFill="1" applyBorder="1" applyAlignment="1">
      <alignment horizontal="center"/>
    </xf>
    <xf numFmtId="0" fontId="15" fillId="7" borderId="38" xfId="2" applyFill="1" applyBorder="1" applyAlignment="1">
      <alignment horizontal="center"/>
    </xf>
    <xf numFmtId="0" fontId="15" fillId="7" borderId="24" xfId="2" applyFill="1" applyBorder="1" applyAlignment="1">
      <alignment horizontal="center"/>
    </xf>
    <xf numFmtId="0" fontId="15" fillId="7" borderId="37" xfId="2" applyFill="1" applyBorder="1" applyAlignment="1"/>
    <xf numFmtId="0" fontId="15" fillId="7" borderId="38" xfId="2" applyFill="1" applyBorder="1" applyAlignment="1"/>
    <xf numFmtId="0" fontId="15" fillId="7" borderId="24" xfId="2" applyFill="1" applyBorder="1" applyAlignment="1"/>
    <xf numFmtId="0" fontId="15" fillId="0" borderId="42" xfId="2" applyBorder="1"/>
    <xf numFmtId="0" fontId="15" fillId="0" borderId="28" xfId="2" applyBorder="1"/>
    <xf numFmtId="3" fontId="15" fillId="0" borderId="41" xfId="2" applyNumberFormat="1" applyBorder="1"/>
    <xf numFmtId="12" fontId="15" fillId="0" borderId="28" xfId="2" applyNumberFormat="1" applyBorder="1"/>
    <xf numFmtId="3" fontId="15" fillId="0" borderId="0" xfId="2" applyNumberFormat="1" applyFill="1"/>
    <xf numFmtId="3" fontId="15" fillId="7" borderId="41" xfId="2" applyNumberFormat="1" applyFill="1" applyBorder="1"/>
    <xf numFmtId="0" fontId="15" fillId="7" borderId="42" xfId="2" applyFill="1" applyBorder="1"/>
    <xf numFmtId="12" fontId="15" fillId="7" borderId="28" xfId="2" applyNumberFormat="1" applyFill="1" applyBorder="1"/>
    <xf numFmtId="3" fontId="15" fillId="4" borderId="41" xfId="2" applyNumberFormat="1" applyFill="1" applyBorder="1"/>
    <xf numFmtId="0" fontId="21" fillId="0" borderId="31" xfId="2" applyFont="1" applyBorder="1" applyAlignment="1">
      <alignment horizontal="left" vertical="center"/>
    </xf>
    <xf numFmtId="0" fontId="21" fillId="0" borderId="32" xfId="2" applyFont="1" applyBorder="1" applyAlignment="1">
      <alignment horizontal="left" vertical="center"/>
    </xf>
    <xf numFmtId="0" fontId="21" fillId="0" borderId="33" xfId="2" applyFont="1" applyBorder="1" applyAlignment="1">
      <alignment horizontal="left" vertical="center"/>
    </xf>
    <xf numFmtId="0" fontId="22" fillId="0" borderId="24" xfId="2" applyFont="1" applyBorder="1" applyAlignment="1">
      <alignment horizontal="left" vertical="center"/>
    </xf>
    <xf numFmtId="0" fontId="16" fillId="0" borderId="31" xfId="2" applyFont="1" applyBorder="1"/>
    <xf numFmtId="0" fontId="15" fillId="0" borderId="41" xfId="2" applyBorder="1" applyAlignment="1">
      <alignment horizontal="center" vertical="center" wrapText="1"/>
    </xf>
    <xf numFmtId="0" fontId="15" fillId="0" borderId="42" xfId="2" applyBorder="1" applyAlignment="1">
      <alignment horizontal="center" vertical="center" wrapText="1"/>
    </xf>
    <xf numFmtId="0" fontId="15" fillId="0" borderId="28" xfId="2" applyBorder="1" applyAlignment="1">
      <alignment horizontal="center" vertical="center" wrapText="1"/>
    </xf>
    <xf numFmtId="0" fontId="15" fillId="0" borderId="42" xfId="2" applyBorder="1" applyAlignment="1">
      <alignment horizontal="center"/>
    </xf>
    <xf numFmtId="0" fontId="20" fillId="0" borderId="41" xfId="2" applyFont="1" applyBorder="1"/>
    <xf numFmtId="0" fontId="15" fillId="7" borderId="39" xfId="2" applyFill="1" applyBorder="1"/>
    <xf numFmtId="0" fontId="15" fillId="0" borderId="37" xfId="2" applyBorder="1" applyAlignment="1">
      <alignment horizontal="center" wrapText="1"/>
    </xf>
    <xf numFmtId="0" fontId="15" fillId="0" borderId="38" xfId="2" applyBorder="1" applyAlignment="1">
      <alignment horizontal="center" wrapText="1"/>
    </xf>
    <xf numFmtId="0" fontId="15" fillId="0" borderId="24" xfId="2" applyBorder="1" applyAlignment="1">
      <alignment horizontal="center" wrapText="1"/>
    </xf>
    <xf numFmtId="0" fontId="16" fillId="0" borderId="34" xfId="2" applyFont="1" applyBorder="1" applyAlignment="1">
      <alignment horizontal="center" vertical="center"/>
    </xf>
    <xf numFmtId="0" fontId="15" fillId="0" borderId="39" xfId="2" applyBorder="1" applyAlignment="1">
      <alignment wrapText="1"/>
    </xf>
    <xf numFmtId="0" fontId="15" fillId="0" borderId="36" xfId="2" applyBorder="1"/>
    <xf numFmtId="0" fontId="21" fillId="0" borderId="31" xfId="2" applyFont="1" applyBorder="1" applyAlignment="1">
      <alignment horizontal="center"/>
    </xf>
    <xf numFmtId="0" fontId="21" fillId="0" borderId="32" xfId="2" applyFont="1" applyBorder="1" applyAlignment="1">
      <alignment horizontal="center"/>
    </xf>
    <xf numFmtId="0" fontId="21" fillId="0" borderId="33" xfId="2" applyFont="1" applyBorder="1" applyAlignment="1">
      <alignment horizontal="center"/>
    </xf>
    <xf numFmtId="0" fontId="24" fillId="0" borderId="31" xfId="2" applyFont="1" applyBorder="1" applyAlignment="1">
      <alignment horizontal="center" vertical="center" wrapText="1"/>
    </xf>
    <xf numFmtId="0" fontId="24" fillId="0" borderId="31" xfId="2" applyFont="1" applyBorder="1" applyAlignment="1">
      <alignment horizontal="center" wrapText="1"/>
    </xf>
    <xf numFmtId="0" fontId="24" fillId="0" borderId="32" xfId="2" applyFont="1" applyBorder="1" applyAlignment="1">
      <alignment horizontal="center" wrapText="1"/>
    </xf>
    <xf numFmtId="0" fontId="24" fillId="0" borderId="33" xfId="2" applyFont="1" applyBorder="1" applyAlignment="1">
      <alignment horizontal="center" wrapText="1"/>
    </xf>
    <xf numFmtId="0" fontId="15" fillId="6" borderId="16" xfId="2" applyFill="1" applyBorder="1"/>
    <xf numFmtId="0" fontId="16" fillId="0" borderId="41" xfId="2" applyFont="1" applyBorder="1"/>
    <xf numFmtId="0" fontId="15" fillId="0" borderId="41" xfId="2" applyBorder="1"/>
    <xf numFmtId="0" fontId="15" fillId="0" borderId="30" xfId="2" applyBorder="1" applyAlignment="1">
      <alignment horizontal="center" wrapText="1"/>
    </xf>
    <xf numFmtId="0" fontId="15" fillId="0" borderId="0" xfId="2" applyBorder="1" applyAlignment="1">
      <alignment horizontal="center" wrapText="1"/>
    </xf>
    <xf numFmtId="0" fontId="15" fillId="0" borderId="16" xfId="2" applyBorder="1" applyAlignment="1">
      <alignment horizontal="center" wrapText="1"/>
    </xf>
    <xf numFmtId="0" fontId="15" fillId="0" borderId="0" xfId="2" applyBorder="1" applyAlignment="1">
      <alignment horizontal="center"/>
    </xf>
    <xf numFmtId="0" fontId="15" fillId="0" borderId="16" xfId="2" applyBorder="1" applyAlignment="1">
      <alignment horizontal="center"/>
    </xf>
    <xf numFmtId="0" fontId="15" fillId="0" borderId="41" xfId="2" applyBorder="1" applyAlignment="1">
      <alignment wrapText="1"/>
    </xf>
    <xf numFmtId="0" fontId="15" fillId="7" borderId="28" xfId="2" applyFill="1" applyBorder="1"/>
    <xf numFmtId="0" fontId="30" fillId="0" borderId="31" xfId="2" applyFont="1" applyBorder="1" applyAlignment="1">
      <alignment horizontal="center" vertical="center"/>
    </xf>
    <xf numFmtId="0" fontId="30" fillId="0" borderId="32" xfId="2" applyFont="1" applyBorder="1" applyAlignment="1">
      <alignment horizontal="center" vertical="center"/>
    </xf>
    <xf numFmtId="0" fontId="30" fillId="0" borderId="33" xfId="2" applyFont="1" applyBorder="1" applyAlignment="1">
      <alignment horizontal="center" vertical="center"/>
    </xf>
    <xf numFmtId="0" fontId="23" fillId="0" borderId="39" xfId="2" applyFont="1" applyBorder="1" applyAlignment="1">
      <alignment vertical="center" wrapText="1"/>
    </xf>
    <xf numFmtId="0" fontId="23" fillId="0" borderId="41" xfId="2" applyFont="1" applyBorder="1" applyAlignment="1">
      <alignment horizontal="center" vertical="center" wrapText="1"/>
    </xf>
    <xf numFmtId="0" fontId="23" fillId="0" borderId="42" xfId="2" applyFont="1" applyBorder="1" applyAlignment="1">
      <alignment horizontal="center" vertical="center" wrapText="1"/>
    </xf>
    <xf numFmtId="0" fontId="23" fillId="0" borderId="28" xfId="2" applyFont="1" applyBorder="1" applyAlignment="1">
      <alignment horizontal="center" vertical="center" wrapText="1"/>
    </xf>
    <xf numFmtId="3" fontId="15" fillId="0" borderId="43" xfId="2" applyNumberFormat="1" applyFill="1" applyBorder="1"/>
    <xf numFmtId="0" fontId="15" fillId="0" borderId="11" xfId="2" applyFill="1" applyBorder="1"/>
    <xf numFmtId="12" fontId="15" fillId="0" borderId="40" xfId="2" applyNumberFormat="1" applyFill="1" applyBorder="1"/>
    <xf numFmtId="0" fontId="15" fillId="0" borderId="34" xfId="2" applyBorder="1" applyAlignment="1">
      <alignment horizontal="center" wrapText="1"/>
    </xf>
    <xf numFmtId="3" fontId="15" fillId="0" borderId="44" xfId="2" applyNumberFormat="1" applyFill="1" applyBorder="1"/>
    <xf numFmtId="0" fontId="15" fillId="0" borderId="45" xfId="2" applyFill="1" applyBorder="1"/>
    <xf numFmtId="12" fontId="15" fillId="0" borderId="20" xfId="2" applyNumberFormat="1" applyFill="1" applyBorder="1"/>
    <xf numFmtId="3" fontId="15" fillId="0" borderId="31" xfId="2" applyNumberFormat="1" applyFill="1" applyBorder="1" applyAlignment="1">
      <alignment horizontal="center"/>
    </xf>
    <xf numFmtId="3" fontId="15" fillId="0" borderId="32" xfId="2" applyNumberFormat="1" applyFill="1" applyBorder="1" applyAlignment="1">
      <alignment horizontal="center"/>
    </xf>
    <xf numFmtId="3" fontId="15" fillId="0" borderId="33" xfId="2" applyNumberFormat="1" applyFill="1" applyBorder="1" applyAlignment="1">
      <alignment horizontal="center"/>
    </xf>
    <xf numFmtId="0" fontId="15" fillId="0" borderId="36" xfId="2" applyBorder="1" applyAlignment="1">
      <alignment horizontal="center" wrapText="1"/>
    </xf>
    <xf numFmtId="3" fontId="15" fillId="7" borderId="37" xfId="2" applyNumberFormat="1" applyFill="1" applyBorder="1"/>
    <xf numFmtId="0" fontId="15" fillId="7" borderId="38" xfId="2" applyFill="1" applyBorder="1"/>
    <xf numFmtId="3" fontId="15" fillId="0" borderId="37" xfId="2" applyNumberFormat="1" applyFill="1" applyBorder="1" applyAlignment="1">
      <alignment horizontal="center"/>
    </xf>
    <xf numFmtId="3" fontId="15" fillId="0" borderId="38" xfId="2" applyNumberFormat="1" applyFill="1" applyBorder="1" applyAlignment="1">
      <alignment horizontal="center"/>
    </xf>
    <xf numFmtId="3" fontId="15" fillId="0" borderId="24" xfId="2" applyNumberFormat="1" applyFill="1" applyBorder="1" applyAlignment="1">
      <alignment horizontal="center"/>
    </xf>
    <xf numFmtId="0" fontId="15" fillId="0" borderId="0" xfId="2" applyBorder="1"/>
    <xf numFmtId="0" fontId="15" fillId="0" borderId="30" xfId="2" applyBorder="1" applyAlignment="1">
      <alignment horizontal="left" wrapText="1"/>
    </xf>
    <xf numFmtId="0" fontId="15" fillId="0" borderId="0" xfId="2" applyBorder="1" applyAlignment="1">
      <alignment horizontal="left" wrapText="1"/>
    </xf>
    <xf numFmtId="3" fontId="15" fillId="0" borderId="16" xfId="2" applyNumberFormat="1" applyBorder="1"/>
    <xf numFmtId="12" fontId="15" fillId="6" borderId="0" xfId="2" applyNumberFormat="1" applyFill="1" applyBorder="1"/>
    <xf numFmtId="3" fontId="15" fillId="0" borderId="38" xfId="2" applyNumberFormat="1" applyBorder="1"/>
    <xf numFmtId="12" fontId="15" fillId="0" borderId="38" xfId="2" applyNumberFormat="1" applyBorder="1"/>
    <xf numFmtId="167" fontId="15" fillId="0" borderId="0" xfId="2" applyNumberFormat="1" applyBorder="1"/>
    <xf numFmtId="12" fontId="15" fillId="7" borderId="0" xfId="2" applyNumberFormat="1" applyFill="1" applyBorder="1"/>
    <xf numFmtId="0" fontId="15" fillId="0" borderId="30" xfId="2" applyBorder="1" applyAlignment="1">
      <alignment horizontal="left" wrapText="1"/>
    </xf>
    <xf numFmtId="0" fontId="15" fillId="0" borderId="0" xfId="2" applyBorder="1" applyAlignment="1">
      <alignment horizontal="left" wrapText="1"/>
    </xf>
    <xf numFmtId="0" fontId="17" fillId="0" borderId="30" xfId="2" applyFont="1" applyBorder="1" applyAlignment="1">
      <alignment horizontal="center" vertical="center"/>
    </xf>
    <xf numFmtId="0" fontId="17" fillId="0" borderId="0" xfId="2" applyFont="1" applyBorder="1" applyAlignment="1">
      <alignment horizontal="center" vertical="center"/>
    </xf>
    <xf numFmtId="0" fontId="17" fillId="0" borderId="16" xfId="2" applyFont="1" applyBorder="1" applyAlignment="1">
      <alignment horizontal="center" vertical="center"/>
    </xf>
    <xf numFmtId="3" fontId="15" fillId="0" borderId="42" xfId="2" applyNumberFormat="1" applyBorder="1"/>
    <xf numFmtId="12" fontId="15" fillId="0" borderId="42" xfId="2" applyNumberFormat="1" applyBorder="1"/>
    <xf numFmtId="0" fontId="15" fillId="0" borderId="37" xfId="2" applyBorder="1" applyAlignment="1">
      <alignment wrapText="1"/>
    </xf>
    <xf numFmtId="3" fontId="15" fillId="7" borderId="0" xfId="2" applyNumberFormat="1" applyFill="1"/>
    <xf numFmtId="12" fontId="15" fillId="7" borderId="0" xfId="2" applyNumberFormat="1" applyFill="1"/>
    <xf numFmtId="0" fontId="15" fillId="0" borderId="32" xfId="2" applyBorder="1"/>
    <xf numFmtId="0" fontId="15" fillId="0" borderId="33" xfId="2" applyBorder="1"/>
    <xf numFmtId="0" fontId="22" fillId="0" borderId="37" xfId="2" applyFont="1" applyBorder="1" applyAlignment="1">
      <alignment horizontal="left"/>
    </xf>
    <xf numFmtId="0" fontId="15" fillId="0" borderId="38" xfId="2" applyBorder="1"/>
    <xf numFmtId="0" fontId="15" fillId="0" borderId="24" xfId="2" applyBorder="1"/>
    <xf numFmtId="0" fontId="21" fillId="0" borderId="41" xfId="2" applyFont="1" applyBorder="1" applyAlignment="1"/>
    <xf numFmtId="0" fontId="21" fillId="0" borderId="42" xfId="2" applyFont="1" applyBorder="1" applyAlignment="1">
      <alignment horizontal="center"/>
    </xf>
    <xf numFmtId="0" fontId="21" fillId="0" borderId="28" xfId="2" applyFont="1" applyBorder="1" applyAlignment="1">
      <alignment horizontal="center"/>
    </xf>
    <xf numFmtId="0" fontId="30" fillId="0" borderId="41" xfId="2" applyFont="1" applyBorder="1" applyAlignment="1">
      <alignment horizontal="center"/>
    </xf>
    <xf numFmtId="0" fontId="15" fillId="0" borderId="42" xfId="2" applyBorder="1"/>
    <xf numFmtId="0" fontId="15" fillId="0" borderId="28" xfId="2" applyBorder="1"/>
    <xf numFmtId="0" fontId="15" fillId="0" borderId="41" xfId="2" applyBorder="1" applyAlignment="1">
      <alignment horizontal="center"/>
    </xf>
    <xf numFmtId="0" fontId="23" fillId="8" borderId="42" xfId="2" applyFont="1" applyFill="1" applyBorder="1" applyAlignment="1">
      <alignment horizontal="center" vertical="center" wrapText="1"/>
    </xf>
    <xf numFmtId="0" fontId="23" fillId="8" borderId="41" xfId="2" applyFont="1" applyFill="1" applyBorder="1" applyAlignment="1">
      <alignment horizontal="center" vertical="center" wrapText="1"/>
    </xf>
    <xf numFmtId="0" fontId="20" fillId="0" borderId="41" xfId="2" applyFont="1" applyBorder="1" applyAlignment="1">
      <alignment horizontal="center" vertical="center" wrapText="1"/>
    </xf>
    <xf numFmtId="0" fontId="20" fillId="0" borderId="42" xfId="2" applyFont="1" applyBorder="1" applyAlignment="1">
      <alignment horizontal="center" vertical="center" wrapText="1"/>
    </xf>
    <xf numFmtId="0" fontId="20" fillId="0" borderId="28" xfId="2" applyFont="1" applyBorder="1" applyAlignment="1">
      <alignment horizontal="center" vertical="center" wrapText="1"/>
    </xf>
    <xf numFmtId="12" fontId="15" fillId="0" borderId="0" xfId="2" applyNumberFormat="1" applyFill="1" applyBorder="1"/>
    <xf numFmtId="3" fontId="15" fillId="9" borderId="0" xfId="2" applyNumberFormat="1" applyFill="1" applyBorder="1"/>
    <xf numFmtId="0" fontId="15" fillId="0" borderId="31" xfId="2" applyBorder="1"/>
    <xf numFmtId="3" fontId="15" fillId="7" borderId="31" xfId="2" applyNumberFormat="1" applyFill="1" applyBorder="1"/>
    <xf numFmtId="12" fontId="15" fillId="7" borderId="31" xfId="2" applyNumberFormat="1" applyFill="1" applyBorder="1"/>
    <xf numFmtId="3" fontId="15" fillId="7" borderId="32" xfId="2" applyNumberFormat="1" applyFill="1" applyBorder="1"/>
    <xf numFmtId="12" fontId="15" fillId="7" borderId="32" xfId="2" applyNumberFormat="1" applyFill="1" applyBorder="1"/>
    <xf numFmtId="3" fontId="19" fillId="7" borderId="31" xfId="2" applyNumberFormat="1" applyFont="1" applyFill="1" applyBorder="1"/>
    <xf numFmtId="12" fontId="19" fillId="7" borderId="31" xfId="2" applyNumberFormat="1" applyFont="1" applyFill="1" applyBorder="1"/>
    <xf numFmtId="3" fontId="15" fillId="0" borderId="31" xfId="2" applyNumberFormat="1" applyBorder="1"/>
    <xf numFmtId="3" fontId="15" fillId="0" borderId="32" xfId="2" applyNumberFormat="1" applyBorder="1"/>
    <xf numFmtId="12" fontId="15" fillId="0" borderId="32" xfId="2" applyNumberFormat="1" applyBorder="1"/>
    <xf numFmtId="12" fontId="15" fillId="0" borderId="33" xfId="2" applyNumberFormat="1" applyBorder="1"/>
    <xf numFmtId="3" fontId="15" fillId="0" borderId="31" xfId="2" applyNumberFormat="1" applyBorder="1" applyAlignment="1">
      <alignment horizontal="center"/>
    </xf>
    <xf numFmtId="3" fontId="15" fillId="0" borderId="32" xfId="2" applyNumberFormat="1" applyBorder="1" applyAlignment="1">
      <alignment horizontal="center"/>
    </xf>
    <xf numFmtId="3" fontId="15" fillId="0" borderId="37" xfId="2" applyNumberFormat="1" applyBorder="1" applyAlignment="1">
      <alignment horizontal="center"/>
    </xf>
    <xf numFmtId="3" fontId="15" fillId="0" borderId="38" xfId="2" applyNumberFormat="1" applyBorder="1" applyAlignment="1">
      <alignment horizontal="center"/>
    </xf>
    <xf numFmtId="3" fontId="15" fillId="0" borderId="24" xfId="2" applyNumberFormat="1" applyBorder="1" applyAlignment="1">
      <alignment horizontal="center"/>
    </xf>
    <xf numFmtId="0" fontId="20" fillId="0" borderId="31" xfId="2" applyFont="1" applyBorder="1" applyAlignment="1">
      <alignment horizontal="center" vertical="center" wrapText="1"/>
    </xf>
    <xf numFmtId="0" fontId="20" fillId="0" borderId="32" xfId="2" applyFont="1" applyBorder="1" applyAlignment="1">
      <alignment horizontal="center" vertical="center" wrapText="1"/>
    </xf>
    <xf numFmtId="0" fontId="20" fillId="0" borderId="33" xfId="2" applyFont="1" applyBorder="1" applyAlignment="1">
      <alignment horizontal="center" vertical="center" wrapText="1"/>
    </xf>
    <xf numFmtId="0" fontId="23" fillId="0" borderId="0" xfId="2" applyFont="1" applyBorder="1"/>
    <xf numFmtId="3" fontId="15" fillId="0" borderId="46" xfId="2" applyNumberFormat="1" applyBorder="1"/>
    <xf numFmtId="3" fontId="15" fillId="0" borderId="47" xfId="2" applyNumberFormat="1" applyBorder="1"/>
    <xf numFmtId="3" fontId="15" fillId="0" borderId="24" xfId="2" applyNumberFormat="1" applyBorder="1"/>
    <xf numFmtId="0" fontId="30" fillId="0" borderId="31" xfId="2" applyFont="1" applyBorder="1" applyAlignment="1">
      <alignment vertical="center"/>
    </xf>
    <xf numFmtId="0" fontId="30" fillId="0" borderId="32" xfId="2" applyFont="1" applyBorder="1" applyAlignment="1">
      <alignment vertical="center"/>
    </xf>
    <xf numFmtId="0" fontId="30" fillId="0" borderId="33" xfId="2" applyFont="1" applyBorder="1" applyAlignment="1">
      <alignment vertical="center"/>
    </xf>
    <xf numFmtId="0" fontId="23" fillId="0" borderId="41" xfId="2" applyFont="1" applyBorder="1" applyAlignment="1">
      <alignment vertical="center" wrapText="1"/>
    </xf>
    <xf numFmtId="167" fontId="15" fillId="6" borderId="16" xfId="2" applyNumberFormat="1" applyFill="1" applyBorder="1"/>
    <xf numFmtId="167" fontId="15" fillId="0" borderId="16" xfId="2" applyNumberFormat="1" applyBorder="1"/>
    <xf numFmtId="167" fontId="15" fillId="7" borderId="16" xfId="2" applyNumberFormat="1" applyFill="1" applyBorder="1"/>
    <xf numFmtId="3" fontId="15" fillId="0" borderId="48" xfId="2" applyNumberFormat="1" applyBorder="1"/>
    <xf numFmtId="12" fontId="15" fillId="0" borderId="47" xfId="2" applyNumberFormat="1" applyBorder="1"/>
    <xf numFmtId="0" fontId="15" fillId="0" borderId="30" xfId="2" applyBorder="1" applyAlignment="1">
      <alignment horizontal="left"/>
    </xf>
    <xf numFmtId="0" fontId="15" fillId="0" borderId="0" xfId="2" applyBorder="1" applyAlignment="1">
      <alignment horizontal="left"/>
    </xf>
    <xf numFmtId="0" fontId="15" fillId="0" borderId="37" xfId="2" applyBorder="1" applyAlignment="1">
      <alignment horizontal="left"/>
    </xf>
    <xf numFmtId="0" fontId="15" fillId="0" borderId="38" xfId="2" applyBorder="1" applyAlignment="1">
      <alignment horizontal="left"/>
    </xf>
    <xf numFmtId="0" fontId="30" fillId="0" borderId="31" xfId="2" applyFont="1" applyBorder="1" applyAlignment="1">
      <alignment horizontal="center"/>
    </xf>
    <xf numFmtId="0" fontId="30" fillId="0" borderId="32" xfId="2" applyFont="1" applyBorder="1" applyAlignment="1">
      <alignment horizontal="center"/>
    </xf>
    <xf numFmtId="0" fontId="30" fillId="0" borderId="33" xfId="2" applyFont="1" applyBorder="1" applyAlignment="1">
      <alignment horizontal="center"/>
    </xf>
    <xf numFmtId="0" fontId="15" fillId="0" borderId="16" xfId="2" applyFill="1" applyBorder="1"/>
    <xf numFmtId="0" fontId="15" fillId="0" borderId="30" xfId="2" applyBorder="1" applyAlignment="1">
      <alignment horizontal="center"/>
    </xf>
    <xf numFmtId="167" fontId="15" fillId="0" borderId="47" xfId="2" applyNumberFormat="1" applyBorder="1"/>
    <xf numFmtId="0" fontId="15" fillId="0" borderId="0" xfId="2" applyFill="1" applyBorder="1" applyAlignment="1">
      <alignment wrapText="1"/>
    </xf>
    <xf numFmtId="0" fontId="16" fillId="0" borderId="31" xfId="2" applyFont="1" applyBorder="1" applyAlignment="1">
      <alignment horizontal="center" wrapText="1"/>
    </xf>
    <xf numFmtId="0" fontId="16" fillId="0" borderId="32" xfId="2" applyFont="1" applyBorder="1" applyAlignment="1">
      <alignment horizontal="center" wrapText="1"/>
    </xf>
    <xf numFmtId="0" fontId="16" fillId="0" borderId="33" xfId="2" applyFont="1" applyBorder="1" applyAlignment="1">
      <alignment horizontal="center" wrapText="1"/>
    </xf>
    <xf numFmtId="167" fontId="15" fillId="7" borderId="0" xfId="2" applyNumberFormat="1" applyFill="1"/>
    <xf numFmtId="0" fontId="16" fillId="0" borderId="41" xfId="2" applyFont="1" applyBorder="1" applyAlignment="1">
      <alignment horizontal="center" wrapText="1"/>
    </xf>
    <xf numFmtId="0" fontId="16" fillId="0" borderId="42" xfId="2" applyFont="1" applyBorder="1" applyAlignment="1">
      <alignment horizontal="center" wrapText="1"/>
    </xf>
    <xf numFmtId="0" fontId="16" fillId="0" borderId="28" xfId="2" applyFont="1" applyBorder="1" applyAlignment="1">
      <alignment horizontal="center" wrapText="1"/>
    </xf>
    <xf numFmtId="3" fontId="15" fillId="6" borderId="16" xfId="2" applyNumberFormat="1" applyFill="1" applyBorder="1"/>
    <xf numFmtId="3" fontId="15" fillId="4" borderId="0" xfId="2" applyNumberFormat="1" applyFill="1"/>
    <xf numFmtId="0" fontId="15" fillId="0" borderId="30" xfId="2" applyFill="1" applyBorder="1" applyAlignment="1">
      <alignment wrapText="1"/>
    </xf>
    <xf numFmtId="3" fontId="15" fillId="0" borderId="16" xfId="2" applyNumberFormat="1" applyFill="1" applyBorder="1"/>
    <xf numFmtId="0" fontId="21" fillId="0" borderId="33" xfId="2" applyFont="1" applyBorder="1" applyAlignment="1">
      <alignment horizontal="left"/>
    </xf>
    <xf numFmtId="0" fontId="15" fillId="0" borderId="16" xfId="2" applyBorder="1" applyAlignment="1">
      <alignment horizontal="left"/>
    </xf>
    <xf numFmtId="0" fontId="15" fillId="0" borderId="34" xfId="2" applyBorder="1" applyAlignment="1">
      <alignment horizontal="center" vertical="center"/>
    </xf>
    <xf numFmtId="0" fontId="15" fillId="0" borderId="42" xfId="2" applyBorder="1" applyAlignment="1">
      <alignment horizontal="center"/>
    </xf>
    <xf numFmtId="0" fontId="15" fillId="0" borderId="36" xfId="2" applyBorder="1" applyAlignment="1">
      <alignment horizontal="center" vertical="center"/>
    </xf>
    <xf numFmtId="0" fontId="23" fillId="0" borderId="41" xfId="2" applyFont="1" applyBorder="1" applyAlignment="1">
      <alignment horizontal="center" vertical="center" wrapText="1"/>
    </xf>
    <xf numFmtId="0" fontId="23" fillId="0" borderId="42" xfId="2" applyFont="1" applyBorder="1" applyAlignment="1">
      <alignment horizontal="center" vertical="center" wrapText="1"/>
    </xf>
    <xf numFmtId="0" fontId="23" fillId="0" borderId="28" xfId="2" applyFont="1" applyBorder="1" applyAlignment="1">
      <alignment horizontal="center" vertical="center" wrapText="1"/>
    </xf>
    <xf numFmtId="0" fontId="15" fillId="7" borderId="30" xfId="2" applyFill="1" applyBorder="1"/>
    <xf numFmtId="0" fontId="15" fillId="7" borderId="16" xfId="2" applyFill="1" applyBorder="1"/>
    <xf numFmtId="168" fontId="15" fillId="0" borderId="0" xfId="2" applyNumberFormat="1" applyBorder="1"/>
    <xf numFmtId="168" fontId="15" fillId="0" borderId="16" xfId="2" applyNumberFormat="1" applyBorder="1"/>
    <xf numFmtId="168" fontId="15" fillId="7" borderId="16" xfId="2" applyNumberFormat="1" applyFill="1" applyBorder="1"/>
    <xf numFmtId="168" fontId="15" fillId="7" borderId="0" xfId="2" applyNumberFormat="1" applyFill="1" applyBorder="1"/>
    <xf numFmtId="168" fontId="15" fillId="6" borderId="0" xfId="2" applyNumberFormat="1" applyFill="1" applyBorder="1"/>
    <xf numFmtId="168" fontId="15" fillId="0" borderId="0" xfId="2" applyNumberFormat="1" applyFill="1" applyBorder="1"/>
    <xf numFmtId="168" fontId="19" fillId="7" borderId="16" xfId="2" applyNumberFormat="1" applyFont="1" applyFill="1" applyBorder="1"/>
    <xf numFmtId="3" fontId="19" fillId="7" borderId="0" xfId="2" applyNumberFormat="1" applyFont="1" applyFill="1" applyBorder="1"/>
    <xf numFmtId="168" fontId="15" fillId="0" borderId="42" xfId="2" applyNumberFormat="1" applyBorder="1"/>
    <xf numFmtId="168" fontId="15" fillId="0" borderId="28" xfId="2" applyNumberFormat="1" applyBorder="1"/>
    <xf numFmtId="168" fontId="15" fillId="0" borderId="41" xfId="2" applyNumberFormat="1" applyBorder="1"/>
    <xf numFmtId="3" fontId="15" fillId="7" borderId="42" xfId="2" applyNumberFormat="1" applyFill="1" applyBorder="1"/>
    <xf numFmtId="168" fontId="15" fillId="7" borderId="42" xfId="2" applyNumberFormat="1" applyFill="1" applyBorder="1"/>
    <xf numFmtId="168" fontId="19" fillId="7" borderId="0" xfId="2" applyNumberFormat="1" applyFont="1" applyFill="1" applyBorder="1"/>
    <xf numFmtId="168" fontId="15" fillId="0" borderId="30" xfId="2" applyNumberFormat="1" applyBorder="1"/>
    <xf numFmtId="168" fontId="15" fillId="7" borderId="32" xfId="2" applyNumberFormat="1" applyFill="1" applyBorder="1"/>
    <xf numFmtId="168" fontId="15" fillId="0" borderId="31" xfId="2" applyNumberFormat="1" applyFill="1" applyBorder="1"/>
    <xf numFmtId="168" fontId="15" fillId="0" borderId="32" xfId="2" applyNumberFormat="1" applyFill="1" applyBorder="1"/>
    <xf numFmtId="168" fontId="15" fillId="0" borderId="33" xfId="2" applyNumberFormat="1" applyFill="1" applyBorder="1"/>
    <xf numFmtId="168" fontId="15" fillId="7" borderId="33" xfId="2" applyNumberFormat="1" applyFill="1" applyBorder="1"/>
    <xf numFmtId="168" fontId="15" fillId="0" borderId="24" xfId="2" applyNumberFormat="1" applyBorder="1"/>
    <xf numFmtId="168" fontId="15" fillId="0" borderId="38" xfId="2" applyNumberFormat="1" applyBorder="1"/>
    <xf numFmtId="168" fontId="15" fillId="0" borderId="30" xfId="2" applyNumberFormat="1" applyFill="1" applyBorder="1"/>
    <xf numFmtId="168" fontId="15" fillId="0" borderId="16" xfId="2" applyNumberFormat="1" applyFill="1" applyBorder="1"/>
    <xf numFmtId="1" fontId="15" fillId="0" borderId="30" xfId="2" applyNumberFormat="1" applyBorder="1"/>
    <xf numFmtId="1" fontId="15" fillId="0" borderId="16" xfId="2" applyNumberFormat="1" applyBorder="1"/>
    <xf numFmtId="1" fontId="15" fillId="0" borderId="38" xfId="2" applyNumberFormat="1" applyBorder="1"/>
    <xf numFmtId="168" fontId="15" fillId="7" borderId="24" xfId="2" applyNumberFormat="1" applyFill="1" applyBorder="1"/>
    <xf numFmtId="3" fontId="15" fillId="4" borderId="37" xfId="2" applyNumberFormat="1" applyFill="1" applyBorder="1"/>
    <xf numFmtId="3" fontId="15" fillId="4" borderId="38" xfId="2" applyNumberFormat="1" applyFill="1" applyBorder="1"/>
    <xf numFmtId="168" fontId="15" fillId="7" borderId="38" xfId="2" applyNumberFormat="1" applyFill="1" applyBorder="1"/>
    <xf numFmtId="168" fontId="15" fillId="7" borderId="37" xfId="2" applyNumberFormat="1" applyFill="1" applyBorder="1"/>
    <xf numFmtId="1" fontId="15" fillId="0" borderId="37" xfId="2" applyNumberFormat="1" applyBorder="1"/>
    <xf numFmtId="1" fontId="15" fillId="0" borderId="24" xfId="2" applyNumberFormat="1" applyBorder="1"/>
    <xf numFmtId="0" fontId="30" fillId="0" borderId="31" xfId="2" applyFont="1" applyBorder="1" applyAlignment="1">
      <alignment horizontal="center" wrapText="1"/>
    </xf>
    <xf numFmtId="0" fontId="30" fillId="0" borderId="32" xfId="2" applyFont="1" applyBorder="1" applyAlignment="1">
      <alignment horizontal="center" wrapText="1"/>
    </xf>
    <xf numFmtId="0" fontId="30" fillId="0" borderId="33" xfId="2" applyFont="1" applyBorder="1" applyAlignment="1">
      <alignment horizontal="center" wrapText="1"/>
    </xf>
    <xf numFmtId="0" fontId="24" fillId="0" borderId="30" xfId="2" applyFont="1" applyBorder="1"/>
    <xf numFmtId="3" fontId="15" fillId="0" borderId="40" xfId="2" applyNumberFormat="1" applyBorder="1"/>
    <xf numFmtId="0" fontId="15" fillId="0" borderId="30" xfId="2" applyBorder="1" applyAlignment="1">
      <alignment horizontal="left" vertical="center" wrapText="1"/>
    </xf>
    <xf numFmtId="0" fontId="15" fillId="0" borderId="0" xfId="2" applyBorder="1" applyAlignment="1">
      <alignment horizontal="left" vertical="center" wrapText="1"/>
    </xf>
    <xf numFmtId="0" fontId="15" fillId="0" borderId="16" xfId="2" applyBorder="1" applyAlignment="1">
      <alignment horizontal="left" vertical="center" wrapText="1"/>
    </xf>
    <xf numFmtId="3" fontId="15" fillId="0" borderId="14" xfId="2" applyNumberFormat="1" applyBorder="1"/>
    <xf numFmtId="3" fontId="15" fillId="0" borderId="49" xfId="2" applyNumberFormat="1" applyBorder="1"/>
    <xf numFmtId="0" fontId="15" fillId="0" borderId="0" xfId="2" applyAlignment="1">
      <alignment wrapText="1"/>
    </xf>
    <xf numFmtId="170" fontId="32" fillId="0" borderId="0" xfId="3" applyNumberFormat="1" applyFont="1"/>
    <xf numFmtId="0" fontId="32" fillId="0" borderId="0" xfId="2" applyFont="1"/>
    <xf numFmtId="170" fontId="0" fillId="0" borderId="0" xfId="3" applyNumberFormat="1" applyFont="1"/>
    <xf numFmtId="0" fontId="15" fillId="0" borderId="0" xfId="2" applyAlignment="1">
      <alignment horizontal="left" wrapText="1"/>
    </xf>
    <xf numFmtId="0" fontId="16" fillId="0" borderId="0" xfId="2" applyFont="1" applyAlignment="1">
      <alignment horizontal="center"/>
    </xf>
    <xf numFmtId="0" fontId="16" fillId="0" borderId="0" xfId="2" applyFont="1" applyAlignment="1">
      <alignment horizontal="center"/>
    </xf>
    <xf numFmtId="0" fontId="16" fillId="0" borderId="0" xfId="2" applyFont="1" applyAlignment="1">
      <alignment horizontal="center" wrapText="1"/>
    </xf>
    <xf numFmtId="0" fontId="16" fillId="0" borderId="0" xfId="2" applyFont="1"/>
    <xf numFmtId="0" fontId="16" fillId="0" borderId="42" xfId="2" applyFont="1" applyBorder="1" applyAlignment="1">
      <alignment horizontal="center" vertical="center" wrapText="1"/>
    </xf>
    <xf numFmtId="0" fontId="16" fillId="0" borderId="42" xfId="2" applyFont="1" applyBorder="1" applyAlignment="1">
      <alignment horizontal="center" vertical="center" wrapText="1"/>
    </xf>
    <xf numFmtId="0" fontId="16" fillId="0" borderId="42" xfId="2" applyFont="1" applyBorder="1" applyAlignment="1">
      <alignment horizontal="center" vertical="center"/>
    </xf>
    <xf numFmtId="0" fontId="16" fillId="0" borderId="42" xfId="2" applyFont="1" applyBorder="1" applyAlignment="1">
      <alignment horizontal="center"/>
    </xf>
    <xf numFmtId="170" fontId="19" fillId="0" borderId="0" xfId="3" applyNumberFormat="1" applyFont="1"/>
    <xf numFmtId="170" fontId="31" fillId="0" borderId="38" xfId="3" applyNumberFormat="1" applyFont="1" applyBorder="1"/>
    <xf numFmtId="170" fontId="32" fillId="0" borderId="38" xfId="3" applyNumberFormat="1" applyFont="1" applyBorder="1"/>
    <xf numFmtId="170" fontId="0" fillId="0" borderId="38" xfId="3" applyNumberFormat="1" applyFont="1" applyBorder="1"/>
    <xf numFmtId="170" fontId="15" fillId="0" borderId="0" xfId="2" applyNumberFormat="1"/>
    <xf numFmtId="170" fontId="19" fillId="0" borderId="0" xfId="2" applyNumberFormat="1" applyFont="1"/>
    <xf numFmtId="0" fontId="15" fillId="0" borderId="0" xfId="2" applyAlignment="1">
      <alignment horizontal="left" vertical="center" wrapText="1"/>
    </xf>
    <xf numFmtId="0" fontId="15" fillId="0" borderId="0" xfId="2" applyFill="1" applyBorder="1" applyAlignment="1">
      <alignment horizontal="left" wrapText="1"/>
    </xf>
    <xf numFmtId="0" fontId="16" fillId="0" borderId="48" xfId="2" applyFont="1" applyBorder="1" applyAlignment="1">
      <alignment horizontal="center" vertical="center" wrapText="1"/>
    </xf>
    <xf numFmtId="0" fontId="16" fillId="0" borderId="46" xfId="2" applyFont="1" applyBorder="1" applyAlignment="1">
      <alignment horizontal="center" vertical="center" wrapText="1"/>
    </xf>
    <xf numFmtId="0" fontId="16" fillId="0" borderId="47" xfId="2" applyFont="1" applyBorder="1" applyAlignment="1">
      <alignment horizontal="center" vertical="center" wrapText="1"/>
    </xf>
    <xf numFmtId="0" fontId="15" fillId="0" borderId="37" xfId="2" applyBorder="1" applyAlignment="1">
      <alignment vertical="center"/>
    </xf>
    <xf numFmtId="0" fontId="15" fillId="0" borderId="37" xfId="2" applyBorder="1" applyAlignment="1">
      <alignment horizontal="center" vertical="center"/>
    </xf>
    <xf numFmtId="0" fontId="15" fillId="0" borderId="24" xfId="2" applyBorder="1" applyAlignment="1">
      <alignment horizontal="center" vertical="center"/>
    </xf>
    <xf numFmtId="3" fontId="19" fillId="7" borderId="0" xfId="2" applyNumberFormat="1" applyFont="1" applyFill="1"/>
    <xf numFmtId="3" fontId="15" fillId="0" borderId="30" xfId="2" applyNumberFormat="1" applyBorder="1" applyAlignment="1"/>
    <xf numFmtId="3" fontId="15" fillId="0" borderId="30" xfId="2" applyNumberFormat="1" applyBorder="1" applyAlignment="1">
      <alignment horizontal="left"/>
    </xf>
    <xf numFmtId="3" fontId="15" fillId="0" borderId="30" xfId="2" applyNumberFormat="1" applyBorder="1" applyAlignment="1">
      <alignment horizontal="left"/>
    </xf>
    <xf numFmtId="3" fontId="15" fillId="0" borderId="0" xfId="2" applyNumberFormat="1" applyBorder="1" applyAlignment="1">
      <alignment horizontal="left"/>
    </xf>
    <xf numFmtId="3" fontId="16" fillId="0" borderId="37" xfId="2" applyNumberFormat="1" applyFont="1" applyBorder="1" applyAlignment="1">
      <alignment horizontal="right"/>
    </xf>
    <xf numFmtId="3" fontId="16" fillId="0" borderId="38" xfId="2" applyNumberFormat="1" applyFont="1" applyBorder="1" applyAlignment="1">
      <alignment horizontal="right"/>
    </xf>
    <xf numFmtId="0" fontId="16" fillId="0" borderId="32" xfId="2" applyFont="1" applyBorder="1" applyAlignment="1">
      <alignment horizontal="center" vertical="center" wrapText="1"/>
    </xf>
    <xf numFmtId="3" fontId="15" fillId="0" borderId="41" xfId="2" applyNumberFormat="1" applyBorder="1" applyAlignment="1">
      <alignment horizontal="center" vertical="center"/>
    </xf>
    <xf numFmtId="3" fontId="15" fillId="0" borderId="28" xfId="2" applyNumberFormat="1" applyBorder="1" applyAlignment="1">
      <alignment horizontal="center" vertical="center"/>
    </xf>
    <xf numFmtId="0" fontId="15" fillId="0" borderId="41" xfId="2" applyBorder="1" applyAlignment="1">
      <alignment horizontal="center" vertical="center"/>
    </xf>
    <xf numFmtId="0" fontId="15" fillId="0" borderId="28" xfId="2" applyBorder="1" applyAlignment="1">
      <alignment horizontal="center" vertical="center"/>
    </xf>
    <xf numFmtId="3" fontId="15" fillId="0" borderId="30" xfId="2" applyNumberFormat="1" applyBorder="1" applyAlignment="1">
      <alignment horizontal="right"/>
    </xf>
    <xf numFmtId="3" fontId="15" fillId="0" borderId="16" xfId="2" applyNumberFormat="1" applyBorder="1" applyAlignment="1">
      <alignment horizontal="right"/>
    </xf>
    <xf numFmtId="3" fontId="15" fillId="7" borderId="30" xfId="2" applyNumberFormat="1" applyFill="1" applyBorder="1" applyAlignment="1">
      <alignment horizontal="right"/>
    </xf>
    <xf numFmtId="3" fontId="33" fillId="7" borderId="0" xfId="2" applyNumberFormat="1" applyFont="1" applyFill="1" applyBorder="1"/>
    <xf numFmtId="3" fontId="15" fillId="0" borderId="0" xfId="2" applyNumberFormat="1" applyBorder="1" applyAlignment="1">
      <alignment horizontal="right"/>
    </xf>
    <xf numFmtId="3" fontId="15" fillId="0" borderId="30" xfId="2" applyNumberFormat="1" applyBorder="1" applyAlignment="1">
      <alignment horizontal="center"/>
    </xf>
    <xf numFmtId="3" fontId="15" fillId="0" borderId="0" xfId="2" applyNumberFormat="1" applyBorder="1" applyAlignment="1">
      <alignment horizontal="center"/>
    </xf>
    <xf numFmtId="0" fontId="34" fillId="0" borderId="31" xfId="2" applyFont="1" applyBorder="1" applyAlignment="1">
      <alignment horizontal="center" vertical="center"/>
    </xf>
    <xf numFmtId="0" fontId="34" fillId="0" borderId="32" xfId="2" applyFont="1" applyBorder="1" applyAlignment="1">
      <alignment horizontal="center" vertical="center"/>
    </xf>
    <xf numFmtId="0" fontId="34" fillId="0" borderId="33" xfId="2" applyFont="1" applyBorder="1" applyAlignment="1">
      <alignment horizontal="center" vertical="center"/>
    </xf>
    <xf numFmtId="0" fontId="15" fillId="0" borderId="37" xfId="2" applyFont="1" applyBorder="1" applyAlignment="1">
      <alignment horizontal="center" vertical="center" wrapText="1"/>
    </xf>
    <xf numFmtId="0" fontId="15" fillId="0" borderId="38" xfId="2" applyFont="1" applyBorder="1" applyAlignment="1">
      <alignment horizontal="center" vertical="center" wrapText="1"/>
    </xf>
    <xf numFmtId="0" fontId="15" fillId="0" borderId="24" xfId="2" applyFont="1" applyBorder="1" applyAlignment="1">
      <alignment horizontal="center" vertical="center" wrapText="1"/>
    </xf>
    <xf numFmtId="0" fontId="15" fillId="0" borderId="39" xfId="2" applyBorder="1" applyAlignment="1">
      <alignment horizontal="center" vertical="center" wrapText="1"/>
    </xf>
    <xf numFmtId="12" fontId="15" fillId="7" borderId="30" xfId="2" applyNumberFormat="1" applyFill="1" applyBorder="1"/>
    <xf numFmtId="0" fontId="17" fillId="0" borderId="41" xfId="2" applyFont="1" applyBorder="1" applyAlignment="1">
      <alignment horizontal="center" vertical="center" wrapText="1"/>
    </xf>
    <xf numFmtId="0" fontId="17" fillId="0" borderId="42" xfId="2" applyFont="1" applyBorder="1" applyAlignment="1">
      <alignment horizontal="center" vertical="center" wrapText="1"/>
    </xf>
    <xf numFmtId="0" fontId="17" fillId="0" borderId="28" xfId="2" applyFont="1" applyBorder="1" applyAlignment="1">
      <alignment horizontal="center" vertical="center" wrapText="1"/>
    </xf>
    <xf numFmtId="0" fontId="15" fillId="0" borderId="39" xfId="2" applyBorder="1" applyAlignment="1">
      <alignment vertical="center" wrapText="1"/>
    </xf>
    <xf numFmtId="0" fontId="15" fillId="0" borderId="35" xfId="2" applyFill="1" applyBorder="1"/>
    <xf numFmtId="0" fontId="15" fillId="0" borderId="34" xfId="2" applyBorder="1"/>
    <xf numFmtId="0" fontId="34" fillId="0" borderId="31" xfId="2" applyFont="1" applyBorder="1" applyAlignment="1">
      <alignment horizontal="center" vertical="center" wrapText="1"/>
    </xf>
    <xf numFmtId="0" fontId="15" fillId="0" borderId="37" xfId="2" applyBorder="1" applyAlignment="1">
      <alignment horizontal="center" vertical="center" wrapText="1"/>
    </xf>
    <xf numFmtId="0" fontId="15" fillId="0" borderId="24" xfId="2" applyBorder="1" applyAlignment="1">
      <alignment horizontal="center" vertical="center" wrapText="1"/>
    </xf>
    <xf numFmtId="3" fontId="15" fillId="0" borderId="28" xfId="2" applyNumberFormat="1" applyBorder="1"/>
    <xf numFmtId="3" fontId="15" fillId="0" borderId="37" xfId="2" applyNumberFormat="1" applyBorder="1" applyAlignment="1">
      <alignment horizontal="left"/>
    </xf>
    <xf numFmtId="3" fontId="15" fillId="0" borderId="38" xfId="2" applyNumberFormat="1" applyBorder="1" applyAlignment="1">
      <alignment horizontal="left"/>
    </xf>
    <xf numFmtId="3" fontId="15" fillId="0" borderId="30" xfId="2" applyNumberFormat="1" applyBorder="1" applyAlignment="1">
      <alignment horizontal="left" wrapText="1"/>
    </xf>
    <xf numFmtId="3" fontId="15" fillId="0" borderId="0" xfId="2" applyNumberFormat="1" applyBorder="1" applyAlignment="1">
      <alignment horizontal="left" wrapText="1"/>
    </xf>
    <xf numFmtId="0" fontId="21" fillId="0" borderId="31" xfId="2" applyFont="1" applyBorder="1" applyAlignment="1">
      <alignment horizontal="center" vertical="center" wrapText="1"/>
    </xf>
    <xf numFmtId="0" fontId="21" fillId="0" borderId="32" xfId="2" applyFont="1" applyBorder="1" applyAlignment="1">
      <alignment horizontal="center" vertical="center" wrapText="1"/>
    </xf>
    <xf numFmtId="0" fontId="21" fillId="0" borderId="33" xfId="2" applyFont="1" applyBorder="1" applyAlignment="1">
      <alignment horizontal="center" vertical="center" wrapText="1"/>
    </xf>
    <xf numFmtId="3" fontId="15" fillId="0" borderId="40" xfId="2" applyNumberFormat="1" applyFill="1" applyBorder="1"/>
    <xf numFmtId="3" fontId="15" fillId="0" borderId="14" xfId="2" applyNumberFormat="1" applyFill="1" applyBorder="1"/>
    <xf numFmtId="3" fontId="15" fillId="0" borderId="49" xfId="2" applyNumberFormat="1" applyFill="1" applyBorder="1"/>
    <xf numFmtId="3" fontId="15" fillId="0" borderId="37" xfId="2" applyNumberFormat="1" applyBorder="1" applyAlignment="1">
      <alignment horizontal="left" wrapText="1"/>
    </xf>
    <xf numFmtId="3" fontId="15" fillId="0" borderId="38" xfId="2" applyNumberFormat="1" applyBorder="1" applyAlignment="1">
      <alignment horizontal="left" wrapText="1"/>
    </xf>
    <xf numFmtId="3" fontId="16" fillId="5" borderId="0" xfId="2" applyNumberFormat="1" applyFont="1" applyFill="1"/>
    <xf numFmtId="3" fontId="16" fillId="0" borderId="41" xfId="2" applyNumberFormat="1" applyFont="1" applyBorder="1" applyAlignment="1">
      <alignment horizontal="center" vertical="center" wrapText="1"/>
    </xf>
    <xf numFmtId="3" fontId="16" fillId="0" borderId="41" xfId="2" applyNumberFormat="1" applyFont="1" applyBorder="1" applyAlignment="1">
      <alignment horizontal="center" vertical="center" wrapText="1"/>
    </xf>
    <xf numFmtId="3" fontId="16" fillId="0" borderId="28" xfId="2" applyNumberFormat="1" applyFont="1" applyBorder="1" applyAlignment="1">
      <alignment horizontal="center" vertical="center" wrapText="1"/>
    </xf>
    <xf numFmtId="3" fontId="15" fillId="0" borderId="43" xfId="2" applyNumberFormat="1" applyBorder="1"/>
    <xf numFmtId="3" fontId="15" fillId="0" borderId="0" xfId="2" applyNumberFormat="1" applyAlignment="1">
      <alignment horizontal="left"/>
    </xf>
    <xf numFmtId="3" fontId="16" fillId="0" borderId="39" xfId="2" applyNumberFormat="1" applyFont="1" applyBorder="1" applyAlignment="1">
      <alignment horizontal="center" vertical="center" wrapText="1"/>
    </xf>
    <xf numFmtId="3" fontId="15" fillId="0" borderId="35" xfId="2" applyNumberFormat="1" applyBorder="1"/>
    <xf numFmtId="3" fontId="15" fillId="0" borderId="35" xfId="2" applyNumberFormat="1" applyFill="1" applyBorder="1"/>
    <xf numFmtId="3" fontId="15" fillId="0" borderId="36" xfId="2" applyNumberFormat="1" applyBorder="1"/>
    <xf numFmtId="3" fontId="34" fillId="0" borderId="31" xfId="2" applyNumberFormat="1" applyFont="1" applyBorder="1" applyAlignment="1">
      <alignment horizontal="center" vertical="center" wrapText="1"/>
    </xf>
    <xf numFmtId="3" fontId="34" fillId="0" borderId="32" xfId="2" applyNumberFormat="1" applyFont="1" applyBorder="1" applyAlignment="1">
      <alignment horizontal="center" vertical="center" wrapText="1"/>
    </xf>
    <xf numFmtId="3" fontId="34" fillId="0" borderId="33" xfId="2" applyNumberFormat="1" applyFont="1" applyBorder="1" applyAlignment="1">
      <alignment horizontal="center" vertical="center" wrapText="1"/>
    </xf>
    <xf numFmtId="3" fontId="15" fillId="0" borderId="30" xfId="2" applyNumberFormat="1" applyBorder="1" applyAlignment="1">
      <alignment wrapText="1"/>
    </xf>
    <xf numFmtId="3" fontId="15" fillId="0" borderId="16" xfId="2" applyNumberFormat="1" applyBorder="1" applyAlignment="1">
      <alignment horizontal="left" wrapText="1"/>
    </xf>
    <xf numFmtId="3" fontId="15" fillId="0" borderId="0" xfId="2" applyNumberFormat="1" applyBorder="1" applyAlignment="1">
      <alignment horizontal="right" wrapText="1"/>
    </xf>
    <xf numFmtId="3" fontId="15" fillId="0" borderId="16" xfId="2" applyNumberFormat="1" applyBorder="1" applyAlignment="1">
      <alignment horizontal="right" wrapText="1"/>
    </xf>
    <xf numFmtId="3" fontId="15" fillId="0" borderId="24" xfId="2" applyNumberFormat="1" applyBorder="1" applyAlignment="1">
      <alignment horizontal="left" wrapText="1"/>
    </xf>
    <xf numFmtId="3" fontId="17" fillId="0" borderId="31" xfId="2" applyNumberFormat="1" applyFont="1" applyBorder="1" applyAlignment="1">
      <alignment horizontal="center" vertical="center" wrapText="1"/>
    </xf>
    <xf numFmtId="3" fontId="17" fillId="0" borderId="32" xfId="2" applyNumberFormat="1" applyFont="1" applyBorder="1" applyAlignment="1">
      <alignment horizontal="center" vertical="center" wrapText="1"/>
    </xf>
    <xf numFmtId="3" fontId="17" fillId="0" borderId="33" xfId="2" applyNumberFormat="1" applyFont="1" applyBorder="1" applyAlignment="1">
      <alignment horizontal="center" vertical="center" wrapText="1"/>
    </xf>
    <xf numFmtId="3" fontId="20" fillId="0" borderId="30" xfId="2" applyNumberFormat="1" applyFont="1" applyBorder="1" applyAlignment="1">
      <alignment horizontal="center" vertical="center"/>
    </xf>
    <xf numFmtId="3" fontId="20" fillId="0" borderId="0" xfId="2" applyNumberFormat="1" applyFont="1" applyBorder="1" applyAlignment="1">
      <alignment horizontal="center" vertical="center"/>
    </xf>
    <xf numFmtId="3" fontId="20" fillId="0" borderId="16" xfId="2" applyNumberFormat="1" applyFont="1" applyBorder="1" applyAlignment="1">
      <alignment horizontal="center" vertical="center"/>
    </xf>
    <xf numFmtId="3" fontId="15" fillId="0" borderId="16" xfId="2" applyNumberFormat="1" applyBorder="1" applyAlignment="1">
      <alignment horizontal="center"/>
    </xf>
    <xf numFmtId="3" fontId="15" fillId="0" borderId="31" xfId="2" applyNumberFormat="1" applyFont="1" applyBorder="1"/>
    <xf numFmtId="3" fontId="15" fillId="0" borderId="30" xfId="2" applyNumberFormat="1" applyFont="1" applyBorder="1"/>
    <xf numFmtId="0" fontId="34" fillId="0" borderId="32" xfId="2" applyFont="1" applyBorder="1" applyAlignment="1">
      <alignment horizontal="center" vertical="center" wrapText="1"/>
    </xf>
    <xf numFmtId="0" fontId="15" fillId="0" borderId="39" xfId="2" applyBorder="1" applyAlignment="1">
      <alignment horizontal="center" vertical="center"/>
    </xf>
    <xf numFmtId="12" fontId="15" fillId="0" borderId="0" xfId="2" applyNumberFormat="1"/>
    <xf numFmtId="0" fontId="36" fillId="0" borderId="31" xfId="2" applyFont="1" applyBorder="1" applyAlignment="1">
      <alignment horizontal="center"/>
    </xf>
    <xf numFmtId="0" fontId="36" fillId="0" borderId="32" xfId="2" applyFont="1" applyBorder="1" applyAlignment="1">
      <alignment horizontal="center"/>
    </xf>
    <xf numFmtId="0" fontId="36" fillId="0" borderId="33" xfId="2" applyFont="1" applyBorder="1" applyAlignment="1">
      <alignment horizontal="center"/>
    </xf>
    <xf numFmtId="0" fontId="34" fillId="0" borderId="30" xfId="2" applyFont="1" applyBorder="1" applyAlignment="1">
      <alignment horizontal="center" vertical="center" wrapText="1"/>
    </xf>
    <xf numFmtId="0" fontId="34" fillId="0" borderId="0" xfId="2" applyFont="1" applyBorder="1" applyAlignment="1">
      <alignment horizontal="center" vertical="center" wrapText="1"/>
    </xf>
    <xf numFmtId="0" fontId="34" fillId="0" borderId="16" xfId="2" applyFont="1" applyBorder="1" applyAlignment="1">
      <alignment horizontal="center" vertical="center" wrapText="1"/>
    </xf>
    <xf numFmtId="0" fontId="23" fillId="0" borderId="30" xfId="2" applyFont="1" applyBorder="1" applyAlignment="1">
      <alignment horizontal="center"/>
    </xf>
    <xf numFmtId="0" fontId="23" fillId="0" borderId="0" xfId="2" applyFont="1" applyBorder="1" applyAlignment="1">
      <alignment horizontal="center"/>
    </xf>
    <xf numFmtId="0" fontId="23" fillId="0" borderId="16" xfId="2" applyFont="1" applyBorder="1" applyAlignment="1">
      <alignment horizontal="center"/>
    </xf>
    <xf numFmtId="3" fontId="15" fillId="0" borderId="0" xfId="2" applyNumberFormat="1" applyBorder="1" applyAlignment="1">
      <alignment horizontal="left"/>
    </xf>
    <xf numFmtId="3" fontId="15" fillId="0" borderId="30" xfId="2" applyNumberFormat="1" applyBorder="1" applyAlignment="1">
      <alignment horizontal="center" vertical="center" wrapText="1"/>
    </xf>
    <xf numFmtId="3" fontId="15" fillId="0" borderId="0" xfId="2" applyNumberFormat="1" applyBorder="1" applyAlignment="1">
      <alignment horizontal="center" vertical="center" wrapText="1"/>
    </xf>
    <xf numFmtId="3" fontId="15" fillId="0" borderId="16" xfId="2" applyNumberFormat="1" applyBorder="1" applyAlignment="1">
      <alignment horizontal="center" vertical="center" wrapText="1"/>
    </xf>
    <xf numFmtId="3" fontId="15" fillId="0" borderId="0" xfId="2" applyNumberFormat="1" applyBorder="1" applyAlignment="1"/>
    <xf numFmtId="3" fontId="15" fillId="0" borderId="11" xfId="2" applyNumberFormat="1" applyBorder="1" applyAlignment="1"/>
    <xf numFmtId="3" fontId="15" fillId="7" borderId="0" xfId="2" applyNumberFormat="1" applyFill="1" applyBorder="1" applyAlignment="1">
      <alignment horizontal="right"/>
    </xf>
    <xf numFmtId="3" fontId="16" fillId="0" borderId="30" xfId="2" applyNumberFormat="1" applyFont="1" applyFill="1" applyBorder="1" applyAlignment="1">
      <alignment horizontal="center" vertical="center"/>
    </xf>
    <xf numFmtId="3" fontId="16" fillId="0" borderId="0" xfId="2" applyNumberFormat="1" applyFont="1" applyFill="1" applyBorder="1" applyAlignment="1">
      <alignment horizontal="center" vertical="center"/>
    </xf>
    <xf numFmtId="3" fontId="16" fillId="0" borderId="16" xfId="2" applyNumberFormat="1" applyFont="1" applyFill="1" applyBorder="1" applyAlignment="1">
      <alignment horizontal="center" vertical="center"/>
    </xf>
    <xf numFmtId="3" fontId="15" fillId="0" borderId="30" xfId="2" applyNumberFormat="1" applyFill="1" applyBorder="1" applyAlignment="1"/>
    <xf numFmtId="3" fontId="15" fillId="0" borderId="30" xfId="2" applyNumberFormat="1" applyFill="1" applyBorder="1" applyAlignment="1">
      <alignment wrapText="1"/>
    </xf>
    <xf numFmtId="3" fontId="19" fillId="7" borderId="11" xfId="2" applyNumberFormat="1" applyFont="1" applyFill="1" applyBorder="1"/>
    <xf numFmtId="3" fontId="34" fillId="0" borderId="30" xfId="2" applyNumberFormat="1" applyFont="1" applyBorder="1" applyAlignment="1">
      <alignment horizontal="center" vertical="center" wrapText="1"/>
    </xf>
    <xf numFmtId="3" fontId="34" fillId="0" borderId="0" xfId="2" applyNumberFormat="1" applyFont="1" applyBorder="1" applyAlignment="1">
      <alignment horizontal="center" vertical="center" wrapText="1"/>
    </xf>
    <xf numFmtId="3" fontId="34" fillId="0" borderId="16" xfId="2" applyNumberFormat="1" applyFont="1" applyBorder="1" applyAlignment="1">
      <alignment horizontal="center" vertical="center" wrapText="1"/>
    </xf>
    <xf numFmtId="3" fontId="23" fillId="0" borderId="30" xfId="2" applyNumberFormat="1" applyFont="1" applyBorder="1" applyAlignment="1">
      <alignment horizontal="center"/>
    </xf>
    <xf numFmtId="3" fontId="23" fillId="0" borderId="0" xfId="2" applyNumberFormat="1" applyFont="1" applyBorder="1" applyAlignment="1">
      <alignment horizontal="center"/>
    </xf>
    <xf numFmtId="3" fontId="23" fillId="0" borderId="16" xfId="2" applyNumberFormat="1" applyFont="1" applyBorder="1" applyAlignment="1">
      <alignment horizontal="center"/>
    </xf>
    <xf numFmtId="3" fontId="15" fillId="7" borderId="11" xfId="2" applyNumberFormat="1" applyFill="1" applyBorder="1"/>
    <xf numFmtId="3" fontId="15" fillId="0" borderId="30" xfId="2" applyNumberFormat="1" applyFill="1" applyBorder="1" applyAlignment="1">
      <alignment horizontal="left" wrapText="1"/>
    </xf>
    <xf numFmtId="3" fontId="15" fillId="0" borderId="0" xfId="2" applyNumberFormat="1" applyFill="1" applyBorder="1" applyAlignment="1">
      <alignment horizontal="left" wrapText="1"/>
    </xf>
    <xf numFmtId="3" fontId="15" fillId="0" borderId="16" xfId="2" applyNumberFormat="1" applyFill="1" applyBorder="1" applyAlignment="1">
      <alignment horizontal="left" wrapText="1"/>
    </xf>
    <xf numFmtId="3" fontId="15" fillId="0" borderId="30" xfId="2" applyNumberFormat="1" applyFill="1" applyBorder="1" applyAlignment="1">
      <alignment horizontal="left"/>
    </xf>
    <xf numFmtId="3" fontId="15" fillId="0" borderId="0" xfId="2" applyNumberFormat="1" applyFill="1" applyBorder="1" applyAlignment="1">
      <alignment horizontal="left"/>
    </xf>
    <xf numFmtId="0" fontId="17" fillId="0" borderId="31" xfId="2" applyFont="1" applyBorder="1" applyAlignment="1">
      <alignment horizontal="center" wrapText="1"/>
    </xf>
    <xf numFmtId="0" fontId="17" fillId="0" borderId="32" xfId="2" applyFont="1" applyBorder="1" applyAlignment="1">
      <alignment horizontal="center" wrapText="1"/>
    </xf>
    <xf numFmtId="0" fontId="17" fillId="0" borderId="33" xfId="2" applyFont="1" applyBorder="1" applyAlignment="1">
      <alignment horizontal="center" wrapText="1"/>
    </xf>
    <xf numFmtId="0" fontId="15" fillId="0" borderId="0" xfId="2" applyAlignment="1">
      <alignment vertical="center" wrapText="1"/>
    </xf>
    <xf numFmtId="0" fontId="15" fillId="0" borderId="0" xfId="2" applyFont="1" applyAlignment="1">
      <alignment vertical="center" wrapText="1"/>
    </xf>
    <xf numFmtId="3" fontId="15" fillId="0" borderId="45" xfId="2" applyNumberFormat="1" applyBorder="1"/>
    <xf numFmtId="3" fontId="15" fillId="0" borderId="20" xfId="2" applyNumberFormat="1" applyBorder="1"/>
    <xf numFmtId="3" fontId="15" fillId="0" borderId="37" xfId="2" applyNumberFormat="1" applyFill="1" applyBorder="1"/>
    <xf numFmtId="0" fontId="30" fillId="0" borderId="31" xfId="2" applyFont="1" applyBorder="1" applyAlignment="1">
      <alignment horizontal="center" vertical="center" wrapText="1"/>
    </xf>
    <xf numFmtId="0" fontId="30" fillId="0" borderId="32" xfId="2" applyFont="1" applyBorder="1" applyAlignment="1">
      <alignment horizontal="center" vertical="center" wrapText="1"/>
    </xf>
    <xf numFmtId="0" fontId="30" fillId="0" borderId="33" xfId="2" applyFont="1" applyBorder="1" applyAlignment="1">
      <alignment horizontal="center" vertical="center" wrapText="1"/>
    </xf>
    <xf numFmtId="3" fontId="15" fillId="0" borderId="34" xfId="2" applyNumberFormat="1" applyBorder="1" applyAlignment="1">
      <alignment horizontal="center" vertical="center" wrapText="1"/>
    </xf>
    <xf numFmtId="3" fontId="15" fillId="0" borderId="31" xfId="2" applyNumberFormat="1" applyBorder="1" applyAlignment="1">
      <alignment horizontal="center" vertical="center" wrapText="1"/>
    </xf>
    <xf numFmtId="3" fontId="15" fillId="0" borderId="33" xfId="2" applyNumberFormat="1" applyBorder="1" applyAlignment="1">
      <alignment horizontal="center" vertical="center" wrapText="1"/>
    </xf>
    <xf numFmtId="3" fontId="15" fillId="0" borderId="33" xfId="2" applyNumberFormat="1" applyBorder="1" applyAlignment="1">
      <alignment horizontal="center"/>
    </xf>
    <xf numFmtId="3" fontId="15" fillId="0" borderId="36" xfId="2" applyNumberFormat="1" applyBorder="1" applyAlignment="1">
      <alignment horizontal="center" vertical="center" wrapText="1"/>
    </xf>
    <xf numFmtId="3" fontId="15" fillId="0" borderId="37" xfId="2" applyNumberFormat="1" applyBorder="1" applyAlignment="1">
      <alignment horizontal="center" vertical="center" wrapText="1"/>
    </xf>
    <xf numFmtId="3" fontId="15" fillId="0" borderId="24" xfId="2" applyNumberFormat="1" applyBorder="1" applyAlignment="1">
      <alignment horizontal="center" vertical="center" wrapText="1"/>
    </xf>
    <xf numFmtId="3" fontId="15" fillId="0" borderId="41" xfId="2" applyNumberFormat="1" applyBorder="1" applyAlignment="1">
      <alignment horizontal="center" vertical="center" wrapText="1"/>
    </xf>
    <xf numFmtId="3" fontId="15" fillId="0" borderId="28" xfId="2" applyNumberFormat="1" applyBorder="1" applyAlignment="1">
      <alignment horizontal="center" vertical="center" wrapText="1"/>
    </xf>
    <xf numFmtId="3" fontId="15" fillId="0" borderId="0" xfId="2" applyNumberFormat="1" applyAlignment="1">
      <alignment horizontal="right"/>
    </xf>
    <xf numFmtId="3" fontId="15" fillId="0" borderId="50" xfId="2" applyNumberFormat="1" applyBorder="1" applyAlignment="1">
      <alignment horizontal="center"/>
    </xf>
    <xf numFmtId="3" fontId="15" fillId="7" borderId="51" xfId="2" applyNumberFormat="1" applyFill="1" applyBorder="1" applyAlignment="1">
      <alignment horizontal="center"/>
    </xf>
    <xf numFmtId="3" fontId="16" fillId="0" borderId="31" xfId="2" applyNumberFormat="1" applyFont="1" applyBorder="1" applyAlignment="1">
      <alignment horizontal="center" vertical="center"/>
    </xf>
    <xf numFmtId="3" fontId="16" fillId="0" borderId="32" xfId="2" applyNumberFormat="1" applyFont="1" applyBorder="1" applyAlignment="1">
      <alignment horizontal="center" vertical="center"/>
    </xf>
    <xf numFmtId="3" fontId="16" fillId="0" borderId="33" xfId="2" applyNumberFormat="1" applyFont="1" applyBorder="1" applyAlignment="1">
      <alignment horizontal="center" vertical="center"/>
    </xf>
    <xf numFmtId="3" fontId="15" fillId="0" borderId="41" xfId="2" applyNumberFormat="1" applyBorder="1" applyAlignment="1">
      <alignment horizontal="center"/>
    </xf>
    <xf numFmtId="3" fontId="15" fillId="0" borderId="42" xfId="2" applyNumberFormat="1" applyBorder="1" applyAlignment="1">
      <alignment horizontal="center"/>
    </xf>
    <xf numFmtId="3" fontId="15" fillId="0" borderId="28" xfId="2" applyNumberFormat="1" applyBorder="1" applyAlignment="1">
      <alignment horizontal="center"/>
    </xf>
    <xf numFmtId="3" fontId="15" fillId="7" borderId="51" xfId="2" applyNumberFormat="1" applyFill="1" applyBorder="1"/>
    <xf numFmtId="3" fontId="15" fillId="7" borderId="52" xfId="2" applyNumberFormat="1" applyFill="1" applyBorder="1"/>
    <xf numFmtId="3" fontId="15" fillId="0" borderId="53" xfId="2" applyNumberFormat="1" applyBorder="1" applyAlignment="1">
      <alignment horizontal="center"/>
    </xf>
    <xf numFmtId="3" fontId="15" fillId="0" borderId="30" xfId="2" applyNumberFormat="1" applyBorder="1" applyAlignment="1">
      <alignment horizontal="right"/>
    </xf>
    <xf numFmtId="3" fontId="15" fillId="0" borderId="0" xfId="2" applyNumberFormat="1" applyBorder="1" applyAlignment="1">
      <alignment horizontal="right"/>
    </xf>
    <xf numFmtId="3" fontId="15" fillId="7" borderId="52" xfId="2" applyNumberFormat="1" applyFill="1" applyBorder="1" applyAlignment="1">
      <alignment horizontal="center"/>
    </xf>
    <xf numFmtId="3" fontId="15" fillId="0" borderId="37" xfId="2" applyNumberFormat="1" applyFill="1" applyBorder="1" applyAlignment="1">
      <alignment horizontal="left" wrapText="1"/>
    </xf>
    <xf numFmtId="3" fontId="15" fillId="0" borderId="38" xfId="2" applyNumberFormat="1" applyFill="1" applyBorder="1" applyAlignment="1">
      <alignment horizontal="left" wrapText="1"/>
    </xf>
    <xf numFmtId="3" fontId="15" fillId="0" borderId="24" xfId="2" applyNumberFormat="1" applyFill="1" applyBorder="1" applyAlignment="1">
      <alignment horizontal="left" wrapText="1"/>
    </xf>
    <xf numFmtId="0" fontId="16" fillId="0" borderId="30" xfId="2" applyFont="1" applyBorder="1" applyAlignment="1">
      <alignment horizontal="center" vertical="center" wrapText="1"/>
    </xf>
    <xf numFmtId="0" fontId="16" fillId="0" borderId="0" xfId="2" applyFont="1" applyBorder="1" applyAlignment="1">
      <alignment horizontal="center" vertical="center" wrapText="1"/>
    </xf>
    <xf numFmtId="0" fontId="16" fillId="0" borderId="16" xfId="2" applyFont="1" applyBorder="1" applyAlignment="1">
      <alignment horizontal="center" vertical="center" wrapText="1"/>
    </xf>
    <xf numFmtId="3" fontId="15" fillId="0" borderId="32" xfId="2" applyNumberFormat="1" applyBorder="1" applyAlignment="1">
      <alignment horizontal="center" vertical="center" wrapText="1"/>
    </xf>
    <xf numFmtId="3" fontId="15" fillId="0" borderId="36" xfId="2" applyNumberFormat="1" applyFill="1" applyBorder="1"/>
    <xf numFmtId="3" fontId="33" fillId="7" borderId="42" xfId="2" applyNumberFormat="1" applyFont="1" applyFill="1" applyBorder="1"/>
    <xf numFmtId="3" fontId="15" fillId="7" borderId="28" xfId="2" applyNumberFormat="1" applyFill="1" applyBorder="1"/>
    <xf numFmtId="3" fontId="15" fillId="0" borderId="41" xfId="2" applyNumberFormat="1" applyFill="1" applyBorder="1" applyAlignment="1">
      <alignment horizontal="right" vertical="center"/>
    </xf>
    <xf numFmtId="3" fontId="15" fillId="0" borderId="42" xfId="2" applyNumberFormat="1" applyFill="1" applyBorder="1" applyAlignment="1">
      <alignment horizontal="right" vertical="center"/>
    </xf>
    <xf numFmtId="3" fontId="15" fillId="0" borderId="46" xfId="2" applyNumberFormat="1" applyBorder="1" applyAlignment="1">
      <alignment horizontal="center"/>
    </xf>
    <xf numFmtId="3" fontId="15" fillId="0" borderId="47" xfId="2" applyNumberFormat="1" applyBorder="1" applyAlignment="1">
      <alignment horizontal="center"/>
    </xf>
    <xf numFmtId="3" fontId="15" fillId="0" borderId="41" xfId="2" applyNumberFormat="1" applyFill="1" applyBorder="1" applyAlignment="1">
      <alignment horizontal="right" vertical="center"/>
    </xf>
    <xf numFmtId="3" fontId="15" fillId="0" borderId="42" xfId="2" applyNumberFormat="1" applyFill="1" applyBorder="1" applyAlignment="1">
      <alignment horizontal="right" vertical="center"/>
    </xf>
    <xf numFmtId="3" fontId="15" fillId="7" borderId="54" xfId="2" applyNumberFormat="1" applyFill="1" applyBorder="1" applyAlignment="1">
      <alignment horizontal="center"/>
    </xf>
    <xf numFmtId="3" fontId="15" fillId="7" borderId="55" xfId="2" applyNumberFormat="1" applyFill="1" applyBorder="1" applyAlignment="1">
      <alignment horizontal="center"/>
    </xf>
    <xf numFmtId="3" fontId="16" fillId="0" borderId="42" xfId="2" applyNumberFormat="1" applyFont="1" applyBorder="1" applyAlignment="1">
      <alignment horizontal="center" vertical="center" wrapText="1"/>
    </xf>
    <xf numFmtId="3" fontId="15" fillId="0" borderId="38" xfId="2" applyNumberFormat="1" applyBorder="1" applyAlignment="1">
      <alignment horizontal="center" vertical="center" wrapText="1"/>
    </xf>
    <xf numFmtId="3" fontId="15" fillId="0" borderId="35" xfId="2" applyNumberFormat="1" applyBorder="1" applyAlignment="1">
      <alignment horizontal="left" vertical="center" wrapText="1"/>
    </xf>
    <xf numFmtId="3" fontId="15" fillId="0" borderId="0" xfId="2" applyNumberFormat="1" applyBorder="1" applyAlignment="1">
      <alignment horizontal="right" vertical="center" wrapText="1"/>
    </xf>
    <xf numFmtId="3" fontId="15" fillId="0" borderId="30" xfId="2" applyNumberFormat="1" applyFont="1" applyBorder="1" applyAlignment="1">
      <alignment horizontal="right" vertical="center" wrapText="1"/>
    </xf>
    <xf numFmtId="3" fontId="15" fillId="0" borderId="16" xfId="2" applyNumberFormat="1" applyFont="1" applyBorder="1" applyAlignment="1">
      <alignment horizontal="right" vertical="center" wrapText="1"/>
    </xf>
    <xf numFmtId="3" fontId="15" fillId="0" borderId="30" xfId="2" applyNumberFormat="1" applyBorder="1" applyAlignment="1">
      <alignment horizontal="right" vertical="center" wrapText="1"/>
    </xf>
    <xf numFmtId="3" fontId="15" fillId="0" borderId="16" xfId="2" applyNumberFormat="1" applyBorder="1" applyAlignment="1">
      <alignment horizontal="right" vertical="center" wrapText="1"/>
    </xf>
    <xf numFmtId="3" fontId="15" fillId="0" borderId="16" xfId="2" applyNumberFormat="1" applyFont="1" applyBorder="1"/>
    <xf numFmtId="3" fontId="15" fillId="0" borderId="41" xfId="2" applyNumberFormat="1" applyFont="1" applyBorder="1"/>
    <xf numFmtId="3" fontId="15" fillId="0" borderId="28" xfId="2" applyNumberFormat="1" applyFont="1" applyBorder="1"/>
    <xf numFmtId="3" fontId="15" fillId="7" borderId="38" xfId="2" applyNumberFormat="1" applyFont="1" applyFill="1" applyBorder="1"/>
    <xf numFmtId="3" fontId="15" fillId="0" borderId="41" xfId="2" applyNumberFormat="1" applyFill="1" applyBorder="1" applyAlignment="1">
      <alignment horizontal="right"/>
    </xf>
    <xf numFmtId="3" fontId="15" fillId="0" borderId="42" xfId="2" applyNumberFormat="1" applyFill="1" applyBorder="1" applyAlignment="1">
      <alignment horizontal="right"/>
    </xf>
    <xf numFmtId="3" fontId="15" fillId="0" borderId="0" xfId="2" applyNumberFormat="1" applyFill="1" applyBorder="1" applyAlignment="1">
      <alignment horizontal="right"/>
    </xf>
    <xf numFmtId="3" fontId="21" fillId="0" borderId="31" xfId="2" applyNumberFormat="1" applyFont="1" applyBorder="1" applyAlignment="1">
      <alignment horizontal="center" vertical="center" wrapText="1"/>
    </xf>
    <xf numFmtId="3" fontId="21" fillId="0" borderId="32" xfId="2" applyNumberFormat="1" applyFont="1" applyBorder="1" applyAlignment="1">
      <alignment horizontal="center" vertical="center" wrapText="1"/>
    </xf>
    <xf numFmtId="3" fontId="21" fillId="0" borderId="33" xfId="2" applyNumberFormat="1" applyFont="1" applyBorder="1" applyAlignment="1">
      <alignment horizontal="center" vertical="center" wrapText="1"/>
    </xf>
    <xf numFmtId="3" fontId="16" fillId="0" borderId="30" xfId="2" applyNumberFormat="1" applyFont="1" applyBorder="1" applyAlignment="1">
      <alignment horizontal="center" vertical="center" wrapText="1"/>
    </xf>
    <xf numFmtId="3" fontId="16" fillId="0" borderId="0" xfId="2" applyNumberFormat="1" applyFont="1" applyBorder="1" applyAlignment="1">
      <alignment horizontal="center" vertical="center" wrapText="1"/>
    </xf>
    <xf numFmtId="3" fontId="16" fillId="0" borderId="16" xfId="2" applyNumberFormat="1" applyFont="1" applyBorder="1" applyAlignment="1">
      <alignment horizontal="center" vertical="center" wrapText="1"/>
    </xf>
    <xf numFmtId="3" fontId="16" fillId="0" borderId="31" xfId="2" applyNumberFormat="1" applyFont="1" applyBorder="1" applyAlignment="1">
      <alignment horizontal="center" vertical="center" wrapText="1"/>
    </xf>
    <xf numFmtId="3" fontId="16" fillId="0" borderId="32" xfId="2" applyNumberFormat="1" applyFont="1" applyBorder="1" applyAlignment="1">
      <alignment horizontal="center" vertical="center" wrapText="1"/>
    </xf>
    <xf numFmtId="3" fontId="16" fillId="0" borderId="33" xfId="2" applyNumberFormat="1" applyFont="1" applyBorder="1" applyAlignment="1">
      <alignment horizontal="center" vertical="center" wrapText="1"/>
    </xf>
    <xf numFmtId="3" fontId="15" fillId="0" borderId="41" xfId="2" applyNumberFormat="1" applyFill="1" applyBorder="1" applyAlignment="1">
      <alignment horizontal="left" vertical="center" wrapText="1"/>
    </xf>
    <xf numFmtId="3" fontId="15" fillId="0" borderId="42" xfId="2" applyNumberFormat="1" applyFill="1" applyBorder="1" applyAlignment="1">
      <alignment horizontal="left" vertical="center" wrapText="1"/>
    </xf>
    <xf numFmtId="3" fontId="15" fillId="0" borderId="28" xfId="2" applyNumberFormat="1" applyFill="1" applyBorder="1" applyAlignment="1">
      <alignment horizontal="left" vertical="center" wrapText="1"/>
    </xf>
    <xf numFmtId="3" fontId="16" fillId="0" borderId="31" xfId="2" applyNumberFormat="1" applyFont="1" applyFill="1" applyBorder="1" applyAlignment="1">
      <alignment horizontal="center" vertical="center" wrapText="1"/>
    </xf>
    <xf numFmtId="3" fontId="16" fillId="0" borderId="32" xfId="2" applyNumberFormat="1" applyFont="1" applyFill="1" applyBorder="1" applyAlignment="1">
      <alignment horizontal="center" vertical="center" wrapText="1"/>
    </xf>
    <xf numFmtId="3" fontId="16" fillId="0" borderId="42" xfId="2" applyNumberFormat="1" applyFont="1" applyFill="1" applyBorder="1" applyAlignment="1">
      <alignment horizontal="center" vertical="center" wrapText="1"/>
    </xf>
    <xf numFmtId="3" fontId="16" fillId="0" borderId="28" xfId="2" applyNumberFormat="1" applyFont="1" applyFill="1" applyBorder="1" applyAlignment="1">
      <alignment horizontal="center" vertical="center" wrapText="1"/>
    </xf>
    <xf numFmtId="3" fontId="15" fillId="0" borderId="31" xfId="2" applyNumberFormat="1" applyFill="1" applyBorder="1"/>
    <xf numFmtId="3" fontId="15" fillId="0" borderId="33" xfId="2" applyNumberFormat="1" applyFill="1" applyBorder="1"/>
    <xf numFmtId="3" fontId="15" fillId="0" borderId="16" xfId="2" applyNumberFormat="1" applyBorder="1" applyAlignment="1">
      <alignment horizontal="left"/>
    </xf>
    <xf numFmtId="3" fontId="15" fillId="0" borderId="41" xfId="2" applyNumberFormat="1" applyFill="1" applyBorder="1"/>
    <xf numFmtId="3" fontId="15" fillId="0" borderId="28" xfId="2" applyNumberFormat="1" applyFill="1" applyBorder="1"/>
    <xf numFmtId="3" fontId="15" fillId="0" borderId="54" xfId="2" applyNumberFormat="1" applyBorder="1" applyAlignment="1">
      <alignment horizontal="center"/>
    </xf>
    <xf numFmtId="3" fontId="15" fillId="0" borderId="55" xfId="2" applyNumberFormat="1" applyBorder="1" applyAlignment="1">
      <alignment horizontal="center"/>
    </xf>
    <xf numFmtId="3" fontId="15" fillId="7" borderId="32" xfId="2" applyNumberFormat="1" applyFill="1" applyBorder="1" applyAlignment="1">
      <alignment horizontal="center"/>
    </xf>
    <xf numFmtId="3" fontId="17" fillId="0" borderId="0" xfId="2" applyNumberFormat="1" applyFont="1" applyFill="1" applyBorder="1" applyAlignment="1">
      <alignment horizontal="center" vertical="center" wrapText="1"/>
    </xf>
    <xf numFmtId="3" fontId="15" fillId="0" borderId="0" xfId="2" applyNumberFormat="1" applyFill="1" applyBorder="1" applyAlignment="1">
      <alignment wrapText="1"/>
    </xf>
    <xf numFmtId="3" fontId="15" fillId="0" borderId="0" xfId="2" applyNumberFormat="1" applyFill="1" applyBorder="1" applyAlignment="1">
      <alignment horizontal="center" vertical="center"/>
    </xf>
    <xf numFmtId="3" fontId="15" fillId="0" borderId="0" xfId="2" applyNumberFormat="1" applyFill="1" applyBorder="1" applyAlignment="1">
      <alignment horizontal="center"/>
    </xf>
    <xf numFmtId="3" fontId="15" fillId="0" borderId="0" xfId="2" applyNumberFormat="1" applyFill="1" applyBorder="1" applyAlignment="1">
      <alignment horizontal="right" wrapText="1"/>
    </xf>
    <xf numFmtId="3" fontId="15" fillId="0" borderId="0" xfId="2" applyNumberFormat="1" applyFill="1" applyBorder="1" applyAlignment="1">
      <alignment horizontal="center"/>
    </xf>
    <xf numFmtId="3" fontId="30" fillId="0" borderId="0" xfId="2" applyNumberFormat="1" applyFont="1" applyFill="1" applyBorder="1" applyAlignment="1">
      <alignment horizontal="center" vertical="center"/>
    </xf>
    <xf numFmtId="3" fontId="15" fillId="0" borderId="0" xfId="2" applyNumberFormat="1" applyFill="1" applyBorder="1" applyAlignment="1">
      <alignment horizontal="left" vertical="center"/>
    </xf>
    <xf numFmtId="3" fontId="15" fillId="0" borderId="0" xfId="2" applyNumberFormat="1" applyFont="1" applyFill="1" applyBorder="1" applyAlignment="1">
      <alignment horizontal="left" vertical="center"/>
    </xf>
    <xf numFmtId="3" fontId="16" fillId="0" borderId="0" xfId="2" applyNumberFormat="1" applyFont="1" applyFill="1" applyBorder="1" applyAlignment="1">
      <alignment horizontal="center" vertical="center" wrapText="1"/>
    </xf>
    <xf numFmtId="3" fontId="16" fillId="0" borderId="0" xfId="2" applyNumberFormat="1" applyFont="1" applyFill="1" applyBorder="1" applyAlignment="1">
      <alignment vertical="center" wrapText="1"/>
    </xf>
    <xf numFmtId="3" fontId="15" fillId="0" borderId="0" xfId="2" applyNumberFormat="1" applyFill="1" applyBorder="1" applyAlignment="1">
      <alignment horizontal="left"/>
    </xf>
    <xf numFmtId="3" fontId="17" fillId="0" borderId="31" xfId="2" applyNumberFormat="1" applyFont="1" applyFill="1" applyBorder="1" applyAlignment="1">
      <alignment horizontal="center" vertical="center" wrapText="1"/>
    </xf>
    <xf numFmtId="3" fontId="17" fillId="0" borderId="32" xfId="2" applyNumberFormat="1" applyFont="1" applyFill="1" applyBorder="1" applyAlignment="1">
      <alignment horizontal="center" vertical="center" wrapText="1"/>
    </xf>
    <xf numFmtId="3" fontId="17" fillId="0" borderId="33" xfId="2" applyNumberFormat="1" applyFont="1" applyFill="1" applyBorder="1" applyAlignment="1">
      <alignment horizontal="center" vertical="center" wrapText="1"/>
    </xf>
    <xf numFmtId="3" fontId="15" fillId="0" borderId="30" xfId="2" applyNumberFormat="1" applyFill="1" applyBorder="1" applyAlignment="1">
      <alignment horizontal="center"/>
    </xf>
    <xf numFmtId="3" fontId="16" fillId="0" borderId="30" xfId="2" applyNumberFormat="1" applyFont="1" applyFill="1" applyBorder="1" applyAlignment="1">
      <alignment horizontal="center" vertical="center" wrapText="1"/>
    </xf>
    <xf numFmtId="3" fontId="22" fillId="0" borderId="30" xfId="2" applyNumberFormat="1" applyFont="1" applyFill="1" applyBorder="1" applyAlignment="1">
      <alignment horizontal="center"/>
    </xf>
    <xf numFmtId="3" fontId="22" fillId="0" borderId="0" xfId="2" applyNumberFormat="1" applyFont="1" applyFill="1" applyBorder="1" applyAlignment="1">
      <alignment horizontal="center"/>
    </xf>
    <xf numFmtId="3" fontId="15" fillId="0" borderId="56" xfId="2" applyNumberFormat="1" applyBorder="1"/>
    <xf numFmtId="3" fontId="15" fillId="0" borderId="57" xfId="2" applyNumberFormat="1" applyBorder="1"/>
    <xf numFmtId="3" fontId="30" fillId="0" borderId="0" xfId="2" applyNumberFormat="1" applyFont="1" applyFill="1" applyBorder="1" applyAlignment="1">
      <alignment horizontal="center" vertical="center" wrapText="1"/>
    </xf>
    <xf numFmtId="3" fontId="37" fillId="0" borderId="0" xfId="2" applyNumberFormat="1" applyFont="1" applyFill="1" applyBorder="1" applyAlignment="1">
      <alignment horizontal="center" vertical="center"/>
    </xf>
    <xf numFmtId="3" fontId="38" fillId="7" borderId="0" xfId="2" applyNumberFormat="1" applyFont="1" applyFill="1"/>
    <xf numFmtId="3" fontId="37" fillId="0" borderId="0" xfId="2" applyNumberFormat="1" applyFont="1" applyFill="1" applyBorder="1" applyAlignment="1">
      <alignment horizontal="left" vertical="center"/>
    </xf>
    <xf numFmtId="3" fontId="36" fillId="0" borderId="0" xfId="2" applyNumberFormat="1" applyFont="1" applyFill="1" applyBorder="1" applyAlignment="1">
      <alignment horizontal="center" vertical="center"/>
    </xf>
    <xf numFmtId="3" fontId="15" fillId="0" borderId="0" xfId="2" applyNumberFormat="1" applyAlignment="1">
      <alignment horizontal="center"/>
    </xf>
    <xf numFmtId="3" fontId="15" fillId="0" borderId="4" xfId="2" applyNumberFormat="1" applyBorder="1"/>
    <xf numFmtId="3" fontId="15" fillId="0" borderId="0" xfId="2" applyNumberFormat="1" applyAlignment="1">
      <alignment wrapText="1"/>
    </xf>
    <xf numFmtId="3" fontId="15" fillId="0" borderId="34" xfId="2" applyNumberFormat="1" applyBorder="1" applyAlignment="1">
      <alignment horizontal="center" vertical="center"/>
    </xf>
    <xf numFmtId="3" fontId="15" fillId="0" borderId="42" xfId="2" applyNumberFormat="1" applyBorder="1" applyAlignment="1">
      <alignment horizontal="center" vertical="center"/>
    </xf>
    <xf numFmtId="3" fontId="15" fillId="0" borderId="32" xfId="2" applyNumberFormat="1" applyBorder="1" applyAlignment="1">
      <alignment horizontal="center" vertical="center"/>
    </xf>
    <xf numFmtId="3" fontId="15" fillId="0" borderId="33" xfId="2" applyNumberFormat="1" applyBorder="1" applyAlignment="1">
      <alignment horizontal="center" vertical="center"/>
    </xf>
    <xf numFmtId="3" fontId="15" fillId="0" borderId="36" xfId="2" applyNumberFormat="1" applyBorder="1" applyAlignment="1">
      <alignment horizontal="center" vertical="center"/>
    </xf>
    <xf numFmtId="3" fontId="15" fillId="0" borderId="34" xfId="2" applyNumberFormat="1" applyBorder="1"/>
    <xf numFmtId="3" fontId="15" fillId="0" borderId="33" xfId="2" applyNumberFormat="1" applyBorder="1"/>
    <xf numFmtId="3" fontId="15" fillId="7" borderId="35" xfId="2" applyNumberFormat="1" applyFill="1" applyBorder="1"/>
    <xf numFmtId="3" fontId="39" fillId="0" borderId="31" xfId="2" applyNumberFormat="1" applyFont="1" applyBorder="1" applyAlignment="1">
      <alignment horizontal="center" vertical="center" wrapText="1"/>
    </xf>
    <xf numFmtId="3" fontId="39" fillId="0" borderId="32" xfId="2" applyNumberFormat="1" applyFont="1" applyBorder="1" applyAlignment="1">
      <alignment horizontal="center" vertical="center" wrapText="1"/>
    </xf>
    <xf numFmtId="3" fontId="39" fillId="0" borderId="33" xfId="2" applyNumberFormat="1" applyFont="1" applyBorder="1" applyAlignment="1">
      <alignment horizontal="center" vertical="center" wrapText="1"/>
    </xf>
    <xf numFmtId="3" fontId="15" fillId="0" borderId="16" xfId="2" applyNumberFormat="1" applyBorder="1" applyAlignment="1">
      <alignment horizontal="right"/>
    </xf>
    <xf numFmtId="3" fontId="15" fillId="0" borderId="30" xfId="2" applyNumberFormat="1" applyBorder="1" applyAlignment="1">
      <alignment horizontal="center"/>
    </xf>
    <xf numFmtId="3" fontId="15" fillId="0" borderId="0" xfId="2" applyNumberFormat="1" applyBorder="1" applyAlignment="1">
      <alignment horizontal="center"/>
    </xf>
    <xf numFmtId="3" fontId="15" fillId="7" borderId="16" xfId="2" applyNumberFormat="1" applyFill="1" applyBorder="1" applyAlignment="1">
      <alignment horizontal="right"/>
    </xf>
    <xf numFmtId="3" fontId="21" fillId="0" borderId="43" xfId="2" applyNumberFormat="1" applyFont="1" applyBorder="1" applyAlignment="1">
      <alignment horizontal="center" vertical="center" wrapText="1"/>
    </xf>
    <xf numFmtId="3" fontId="21" fillId="0" borderId="11" xfId="2" applyNumberFormat="1" applyFont="1" applyBorder="1" applyAlignment="1">
      <alignment horizontal="center" vertical="center" wrapText="1"/>
    </xf>
    <xf numFmtId="3" fontId="15" fillId="0" borderId="36" xfId="2" applyNumberFormat="1" applyBorder="1" applyAlignment="1">
      <alignment horizontal="center" vertical="center"/>
    </xf>
    <xf numFmtId="3" fontId="15" fillId="0" borderId="58" xfId="2" applyNumberFormat="1" applyBorder="1" applyAlignment="1">
      <alignment horizontal="center"/>
    </xf>
    <xf numFmtId="3" fontId="15" fillId="0" borderId="4" xfId="2" applyNumberFormat="1" applyBorder="1" applyAlignment="1">
      <alignment horizontal="center"/>
    </xf>
    <xf numFmtId="3" fontId="15" fillId="0" borderId="59" xfId="2" applyNumberFormat="1" applyBorder="1" applyAlignment="1">
      <alignment horizontal="center"/>
    </xf>
    <xf numFmtId="3" fontId="21" fillId="0" borderId="44" xfId="2" applyNumberFormat="1" applyFont="1" applyBorder="1" applyAlignment="1">
      <alignment horizontal="center" vertical="center" wrapText="1"/>
    </xf>
    <xf numFmtId="3" fontId="21" fillId="0" borderId="45" xfId="2" applyNumberFormat="1" applyFont="1" applyBorder="1" applyAlignment="1">
      <alignment horizontal="center" vertical="center" wrapText="1"/>
    </xf>
    <xf numFmtId="3" fontId="21" fillId="0" borderId="40" xfId="2" applyNumberFormat="1" applyFont="1" applyBorder="1" applyAlignment="1">
      <alignment horizontal="center" vertical="center" wrapText="1"/>
    </xf>
    <xf numFmtId="3" fontId="15" fillId="0" borderId="58" xfId="2" applyNumberFormat="1" applyBorder="1" applyAlignment="1">
      <alignment horizontal="left"/>
    </xf>
    <xf numFmtId="3" fontId="15" fillId="0" borderId="4" xfId="2" applyNumberFormat="1" applyBorder="1" applyAlignment="1">
      <alignment horizontal="left"/>
    </xf>
    <xf numFmtId="3" fontId="15" fillId="0" borderId="31" xfId="2" applyNumberFormat="1" applyBorder="1" applyAlignment="1">
      <alignment horizontal="left" wrapText="1"/>
    </xf>
    <xf numFmtId="3" fontId="15" fillId="0" borderId="32" xfId="2" applyNumberFormat="1" applyBorder="1" applyAlignment="1">
      <alignment horizontal="left" wrapText="1"/>
    </xf>
    <xf numFmtId="3" fontId="15" fillId="0" borderId="33" xfId="2" applyNumberFormat="1" applyBorder="1" applyAlignment="1">
      <alignment horizontal="left" wrapText="1"/>
    </xf>
    <xf numFmtId="3" fontId="17" fillId="0" borderId="30" xfId="2" applyNumberFormat="1" applyFont="1" applyBorder="1" applyAlignment="1">
      <alignment horizontal="right"/>
    </xf>
    <xf numFmtId="3" fontId="17" fillId="0" borderId="0" xfId="2" applyNumberFormat="1" applyFont="1" applyBorder="1" applyAlignment="1">
      <alignment horizontal="right"/>
    </xf>
    <xf numFmtId="3" fontId="17" fillId="0" borderId="16" xfId="2" applyNumberFormat="1" applyFont="1" applyBorder="1" applyAlignment="1">
      <alignment horizontal="right"/>
    </xf>
    <xf numFmtId="3" fontId="15" fillId="0" borderId="60" xfId="2" applyNumberFormat="1" applyBorder="1"/>
    <xf numFmtId="3" fontId="17" fillId="0" borderId="30" xfId="2" applyNumberFormat="1" applyFont="1" applyBorder="1" applyAlignment="1">
      <alignment horizontal="right"/>
    </xf>
    <xf numFmtId="3" fontId="17" fillId="0" borderId="0" xfId="2" applyNumberFormat="1" applyFont="1" applyBorder="1" applyAlignment="1">
      <alignment horizontal="right"/>
    </xf>
    <xf numFmtId="3" fontId="17" fillId="0" borderId="16" xfId="2" applyNumberFormat="1" applyFont="1" applyBorder="1" applyAlignment="1">
      <alignment horizontal="right"/>
    </xf>
    <xf numFmtId="3" fontId="21" fillId="0" borderId="20" xfId="2" applyNumberFormat="1" applyFont="1" applyBorder="1" applyAlignment="1">
      <alignment horizontal="center" vertical="center" wrapText="1"/>
    </xf>
    <xf numFmtId="3" fontId="15" fillId="0" borderId="61" xfId="2" applyNumberFormat="1" applyBorder="1" applyAlignment="1">
      <alignment horizontal="center"/>
    </xf>
    <xf numFmtId="3" fontId="15" fillId="0" borderId="56" xfId="2" applyNumberFormat="1" applyBorder="1" applyAlignment="1">
      <alignment horizontal="center"/>
    </xf>
    <xf numFmtId="3" fontId="15" fillId="0" borderId="57" xfId="2" applyNumberFormat="1" applyBorder="1" applyAlignment="1">
      <alignment horizontal="center"/>
    </xf>
    <xf numFmtId="3" fontId="15" fillId="0" borderId="39" xfId="2" applyNumberFormat="1" applyBorder="1" applyAlignment="1">
      <alignment horizontal="center" vertical="center"/>
    </xf>
    <xf numFmtId="3" fontId="15" fillId="0" borderId="59" xfId="2" applyNumberFormat="1" applyBorder="1"/>
    <xf numFmtId="3" fontId="15" fillId="0" borderId="59" xfId="2" applyNumberFormat="1" applyBorder="1" applyAlignment="1">
      <alignment horizontal="left"/>
    </xf>
    <xf numFmtId="3" fontId="15" fillId="0" borderId="43" xfId="2" applyNumberFormat="1" applyBorder="1" applyAlignment="1"/>
    <xf numFmtId="3" fontId="15" fillId="0" borderId="40" xfId="2" applyNumberFormat="1" applyBorder="1" applyAlignment="1"/>
    <xf numFmtId="3" fontId="15" fillId="0" borderId="16" xfId="2" applyNumberFormat="1" applyBorder="1" applyAlignment="1">
      <alignment horizontal="center"/>
    </xf>
    <xf numFmtId="3" fontId="17" fillId="0" borderId="37" xfId="2" applyNumberFormat="1" applyFont="1" applyBorder="1" applyAlignment="1">
      <alignment horizontal="right"/>
    </xf>
    <xf numFmtId="3" fontId="17" fillId="0" borderId="38" xfId="2" applyNumberFormat="1" applyFont="1" applyBorder="1" applyAlignment="1">
      <alignment horizontal="right"/>
    </xf>
    <xf numFmtId="3" fontId="17" fillId="0" borderId="24" xfId="2" applyNumberFormat="1" applyFont="1" applyBorder="1" applyAlignment="1">
      <alignment horizontal="right"/>
    </xf>
    <xf numFmtId="0" fontId="30" fillId="0" borderId="41" xfId="2" applyFont="1" applyBorder="1" applyAlignment="1">
      <alignment horizontal="center" vertical="center"/>
    </xf>
    <xf numFmtId="0" fontId="30" fillId="0" borderId="42" xfId="2" applyFont="1" applyBorder="1" applyAlignment="1">
      <alignment horizontal="center" vertical="center"/>
    </xf>
    <xf numFmtId="0" fontId="30" fillId="0" borderId="28" xfId="2" applyFont="1" applyBorder="1" applyAlignment="1">
      <alignment horizontal="center" vertical="center"/>
    </xf>
    <xf numFmtId="0" fontId="15" fillId="0" borderId="34" xfId="2" applyBorder="1" applyAlignment="1">
      <alignment horizontal="center" vertical="center" wrapText="1"/>
    </xf>
    <xf numFmtId="0" fontId="15" fillId="0" borderId="36" xfId="2" applyBorder="1" applyAlignment="1">
      <alignment horizontal="center" vertical="center" wrapText="1"/>
    </xf>
    <xf numFmtId="0" fontId="40" fillId="0" borderId="37" xfId="2" applyFont="1" applyBorder="1" applyAlignment="1">
      <alignment horizontal="center" vertical="center"/>
    </xf>
    <xf numFmtId="0" fontId="40" fillId="0" borderId="24" xfId="2" applyFont="1" applyBorder="1" applyAlignment="1">
      <alignment horizontal="center" vertical="center"/>
    </xf>
    <xf numFmtId="0" fontId="17" fillId="0" borderId="41" xfId="2" applyFont="1" applyBorder="1" applyAlignment="1">
      <alignment horizontal="center" vertical="center"/>
    </xf>
    <xf numFmtId="0" fontId="17" fillId="0" borderId="42" xfId="2" applyFont="1" applyBorder="1" applyAlignment="1">
      <alignment horizontal="center" vertical="center"/>
    </xf>
    <xf numFmtId="0" fontId="17" fillId="0" borderId="28" xfId="2" applyFont="1" applyBorder="1" applyAlignment="1">
      <alignment horizontal="center" vertical="center"/>
    </xf>
    <xf numFmtId="0" fontId="15" fillId="0" borderId="42" xfId="2" applyBorder="1" applyAlignment="1">
      <alignment horizontal="center" vertical="center"/>
    </xf>
    <xf numFmtId="0" fontId="15" fillId="0" borderId="38" xfId="2" applyBorder="1" applyAlignment="1">
      <alignment horizontal="center" vertical="center"/>
    </xf>
    <xf numFmtId="3" fontId="15" fillId="0" borderId="37" xfId="2" applyNumberFormat="1" applyFill="1" applyBorder="1" applyAlignment="1">
      <alignment horizontal="right"/>
    </xf>
    <xf numFmtId="3" fontId="15" fillId="0" borderId="38" xfId="2" applyNumberFormat="1" applyFill="1" applyBorder="1" applyAlignment="1">
      <alignment horizontal="right"/>
    </xf>
    <xf numFmtId="3" fontId="17" fillId="0" borderId="31" xfId="2" applyNumberFormat="1" applyFont="1" applyBorder="1" applyAlignment="1">
      <alignment horizontal="center"/>
    </xf>
    <xf numFmtId="3" fontId="17" fillId="0" borderId="32" xfId="2" applyNumberFormat="1" applyFont="1" applyBorder="1" applyAlignment="1">
      <alignment horizontal="center"/>
    </xf>
    <xf numFmtId="3" fontId="17" fillId="0" borderId="33" xfId="2" applyNumberFormat="1" applyFont="1" applyBorder="1" applyAlignment="1">
      <alignment horizontal="center"/>
    </xf>
    <xf numFmtId="3" fontId="15" fillId="0" borderId="37" xfId="2" applyNumberFormat="1" applyFont="1" applyBorder="1" applyAlignment="1">
      <alignment horizontal="center" vertical="center" wrapText="1"/>
    </xf>
    <xf numFmtId="3" fontId="15" fillId="0" borderId="42" xfId="2" applyNumberFormat="1" applyBorder="1" applyAlignment="1">
      <alignment horizontal="center" vertical="center" wrapText="1"/>
    </xf>
    <xf numFmtId="3" fontId="15" fillId="0" borderId="38" xfId="2" applyNumberFormat="1" applyBorder="1" applyAlignment="1">
      <alignment horizontal="center" vertical="center"/>
    </xf>
    <xf numFmtId="3" fontId="15" fillId="0" borderId="24" xfId="2" applyNumberFormat="1" applyBorder="1" applyAlignment="1">
      <alignment horizontal="center" vertical="center"/>
    </xf>
    <xf numFmtId="3" fontId="15" fillId="0" borderId="35" xfId="2" applyNumberFormat="1" applyBorder="1" applyAlignment="1">
      <alignment horizontal="left" vertical="center"/>
    </xf>
    <xf numFmtId="3" fontId="30" fillId="0" borderId="31" xfId="2" applyNumberFormat="1" applyFont="1" applyBorder="1" applyAlignment="1">
      <alignment horizontal="center" vertical="center" wrapText="1"/>
    </xf>
    <xf numFmtId="3" fontId="30" fillId="0" borderId="32" xfId="2" applyNumberFormat="1" applyFont="1" applyBorder="1" applyAlignment="1">
      <alignment horizontal="center" vertical="center" wrapText="1"/>
    </xf>
    <xf numFmtId="3" fontId="30" fillId="0" borderId="33" xfId="2" applyNumberFormat="1" applyFont="1" applyBorder="1" applyAlignment="1">
      <alignment horizontal="center" vertical="center" wrapText="1"/>
    </xf>
    <xf numFmtId="3" fontId="15" fillId="0" borderId="36" xfId="2" applyNumberFormat="1" applyBorder="1" applyAlignment="1">
      <alignment horizontal="right"/>
    </xf>
    <xf numFmtId="3" fontId="15" fillId="0" borderId="31" xfId="2" applyNumberFormat="1" applyFill="1" applyBorder="1" applyAlignment="1">
      <alignment horizontal="right"/>
    </xf>
    <xf numFmtId="3" fontId="15" fillId="0" borderId="32" xfId="2" applyNumberFormat="1" applyFill="1" applyBorder="1" applyAlignment="1">
      <alignment horizontal="right"/>
    </xf>
    <xf numFmtId="3" fontId="15" fillId="0" borderId="33" xfId="2" applyNumberFormat="1" applyFill="1" applyBorder="1" applyAlignment="1">
      <alignment horizontal="right"/>
    </xf>
    <xf numFmtId="3" fontId="15" fillId="0" borderId="16" xfId="2" applyNumberFormat="1" applyBorder="1" applyAlignment="1"/>
    <xf numFmtId="3" fontId="15" fillId="0" borderId="37" xfId="2" applyNumberFormat="1" applyBorder="1" applyAlignment="1">
      <alignment horizontal="right"/>
    </xf>
    <xf numFmtId="3" fontId="15" fillId="0" borderId="38" xfId="2" applyNumberFormat="1" applyBorder="1" applyAlignment="1">
      <alignment horizontal="right"/>
    </xf>
    <xf numFmtId="3" fontId="15" fillId="0" borderId="24" xfId="2" applyNumberFormat="1" applyBorder="1" applyAlignment="1">
      <alignment horizontal="right"/>
    </xf>
    <xf numFmtId="3" fontId="15" fillId="0" borderId="39" xfId="2" applyNumberFormat="1" applyBorder="1" applyAlignment="1">
      <alignment horizontal="center"/>
    </xf>
    <xf numFmtId="3" fontId="15" fillId="0" borderId="37" xfId="2" applyNumberFormat="1" applyBorder="1" applyAlignment="1">
      <alignment horizontal="right"/>
    </xf>
    <xf numFmtId="3" fontId="15" fillId="0" borderId="51" xfId="2" applyNumberFormat="1" applyBorder="1" applyAlignment="1">
      <alignment horizontal="center"/>
    </xf>
    <xf numFmtId="3" fontId="15" fillId="0" borderId="52" xfId="2" applyNumberFormat="1" applyBorder="1" applyAlignment="1">
      <alignment horizontal="center"/>
    </xf>
    <xf numFmtId="3" fontId="15" fillId="0" borderId="30" xfId="2" applyNumberFormat="1" applyFill="1" applyBorder="1" applyAlignment="1">
      <alignment horizontal="right"/>
    </xf>
    <xf numFmtId="3" fontId="15" fillId="0" borderId="0" xfId="2" applyNumberFormat="1" applyFill="1" applyBorder="1" applyAlignment="1">
      <alignment horizontal="right"/>
    </xf>
    <xf numFmtId="3" fontId="15" fillId="0" borderId="16" xfId="2" applyNumberFormat="1" applyFill="1" applyBorder="1" applyAlignment="1">
      <alignment horizontal="right"/>
    </xf>
    <xf numFmtId="3" fontId="15" fillId="0" borderId="16" xfId="2" applyNumberFormat="1" applyFill="1" applyBorder="1" applyAlignment="1">
      <alignment horizontal="left"/>
    </xf>
    <xf numFmtId="3" fontId="15" fillId="0" borderId="37" xfId="2" applyNumberFormat="1" applyFill="1" applyBorder="1" applyAlignment="1">
      <alignment horizontal="right"/>
    </xf>
    <xf numFmtId="3" fontId="30" fillId="0" borderId="31" xfId="2" applyNumberFormat="1" applyFont="1" applyFill="1" applyBorder="1" applyAlignment="1">
      <alignment horizontal="center" vertical="center" wrapText="1"/>
    </xf>
    <xf numFmtId="3" fontId="30" fillId="0" borderId="32" xfId="2" applyNumberFormat="1" applyFont="1" applyFill="1" applyBorder="1" applyAlignment="1">
      <alignment horizontal="center" vertical="center" wrapText="1"/>
    </xf>
    <xf numFmtId="3" fontId="30" fillId="0" borderId="33" xfId="2" applyNumberFormat="1" applyFont="1" applyFill="1" applyBorder="1" applyAlignment="1">
      <alignment horizontal="center" vertical="center" wrapText="1"/>
    </xf>
    <xf numFmtId="3" fontId="15" fillId="0" borderId="34" xfId="2" applyNumberFormat="1" applyBorder="1" applyAlignment="1">
      <alignment horizontal="center" vertical="center"/>
    </xf>
    <xf numFmtId="3" fontId="15" fillId="0" borderId="41" xfId="2" applyNumberFormat="1" applyBorder="1" applyAlignment="1">
      <alignment horizontal="center" vertical="center"/>
    </xf>
    <xf numFmtId="3" fontId="15" fillId="0" borderId="28" xfId="2" applyNumberFormat="1" applyBorder="1" applyAlignment="1">
      <alignment horizontal="center" vertical="center"/>
    </xf>
    <xf numFmtId="3" fontId="15" fillId="0" borderId="39" xfId="2" applyNumberFormat="1" applyBorder="1"/>
    <xf numFmtId="3" fontId="15" fillId="0" borderId="0" xfId="2" applyNumberFormat="1" applyAlignment="1">
      <alignment horizontal="right"/>
    </xf>
    <xf numFmtId="3" fontId="15" fillId="0" borderId="39" xfId="2" applyNumberFormat="1" applyBorder="1" applyAlignment="1">
      <alignment horizontal="center" vertical="center" wrapText="1"/>
    </xf>
    <xf numFmtId="3" fontId="15" fillId="0" borderId="41" xfId="2" applyNumberFormat="1" applyBorder="1" applyAlignment="1">
      <alignment horizontal="center" vertical="center" wrapText="1"/>
    </xf>
    <xf numFmtId="3" fontId="15" fillId="0" borderId="28" xfId="2" applyNumberFormat="1" applyBorder="1" applyAlignment="1">
      <alignment horizontal="center" vertical="center" wrapText="1"/>
    </xf>
    <xf numFmtId="3" fontId="19" fillId="7" borderId="32" xfId="2" applyNumberFormat="1" applyFont="1" applyFill="1" applyBorder="1"/>
    <xf numFmtId="3" fontId="15" fillId="0" borderId="30" xfId="2" applyNumberFormat="1" applyBorder="1" applyAlignment="1">
      <alignment horizontal="left" vertical="center" wrapText="1"/>
    </xf>
    <xf numFmtId="3" fontId="15" fillId="0" borderId="0" xfId="2" applyNumberFormat="1" applyBorder="1" applyAlignment="1">
      <alignment horizontal="left" vertical="center" wrapText="1"/>
    </xf>
    <xf numFmtId="3" fontId="15" fillId="0" borderId="16" xfId="2" applyNumberFormat="1" applyBorder="1" applyAlignment="1">
      <alignment horizontal="left" vertical="center" wrapText="1"/>
    </xf>
    <xf numFmtId="3" fontId="15" fillId="0" borderId="37" xfId="2" applyNumberFormat="1" applyBorder="1" applyAlignment="1">
      <alignment horizontal="left" vertical="center" wrapText="1"/>
    </xf>
    <xf numFmtId="3" fontId="15" fillId="0" borderId="38" xfId="2" applyNumberFormat="1" applyBorder="1" applyAlignment="1">
      <alignment horizontal="left" vertical="center" wrapText="1"/>
    </xf>
    <xf numFmtId="3" fontId="15" fillId="0" borderId="24" xfId="2" applyNumberFormat="1" applyBorder="1" applyAlignment="1">
      <alignment horizontal="left" vertical="center" wrapText="1"/>
    </xf>
    <xf numFmtId="4" fontId="15" fillId="0" borderId="16" xfId="2" applyNumberFormat="1" applyBorder="1"/>
    <xf numFmtId="4" fontId="15" fillId="7" borderId="0" xfId="2" applyNumberFormat="1" applyFill="1"/>
    <xf numFmtId="4" fontId="19" fillId="7" borderId="0" xfId="2" applyNumberFormat="1" applyFont="1" applyFill="1"/>
    <xf numFmtId="3" fontId="15" fillId="0" borderId="36" xfId="2" applyNumberFormat="1" applyFill="1" applyBorder="1" applyAlignment="1">
      <alignment horizontal="right"/>
    </xf>
    <xf numFmtId="171" fontId="15" fillId="0" borderId="28" xfId="2" applyNumberFormat="1" applyBorder="1"/>
    <xf numFmtId="3" fontId="33" fillId="7" borderId="0" xfId="2" applyNumberFormat="1" applyFont="1" applyFill="1"/>
    <xf numFmtId="171" fontId="19" fillId="7" borderId="0" xfId="2" applyNumberFormat="1" applyFont="1" applyFill="1"/>
    <xf numFmtId="3" fontId="41" fillId="0" borderId="31" xfId="2" applyNumberFormat="1" applyFont="1" applyBorder="1" applyAlignment="1">
      <alignment horizontal="center" vertical="center" wrapText="1"/>
    </xf>
    <xf numFmtId="3" fontId="41" fillId="0" borderId="33" xfId="2" applyNumberFormat="1" applyFont="1" applyBorder="1" applyAlignment="1">
      <alignment horizontal="center" vertical="center" wrapText="1"/>
    </xf>
    <xf numFmtId="3" fontId="15" fillId="0" borderId="31" xfId="2" applyNumberFormat="1" applyBorder="1" applyAlignment="1">
      <alignment wrapText="1"/>
    </xf>
    <xf numFmtId="3" fontId="15" fillId="0" borderId="30" xfId="2" applyNumberFormat="1" applyFill="1" applyBorder="1" applyAlignment="1">
      <alignment horizontal="left" vertical="center" wrapText="1"/>
    </xf>
    <xf numFmtId="3" fontId="15" fillId="0" borderId="0" xfId="2" applyNumberFormat="1" applyFill="1" applyBorder="1" applyAlignment="1">
      <alignment horizontal="left" vertical="center" wrapText="1"/>
    </xf>
    <xf numFmtId="3" fontId="15" fillId="0" borderId="16" xfId="2" applyNumberFormat="1" applyFill="1" applyBorder="1" applyAlignment="1">
      <alignment horizontal="left" vertical="center" wrapText="1"/>
    </xf>
    <xf numFmtId="3" fontId="15" fillId="0" borderId="37" xfId="2" applyNumberFormat="1" applyFill="1" applyBorder="1" applyAlignment="1">
      <alignment horizontal="left" vertical="center" wrapText="1"/>
    </xf>
    <xf numFmtId="3" fontId="15" fillId="0" borderId="38" xfId="2" applyNumberFormat="1" applyFill="1" applyBorder="1" applyAlignment="1">
      <alignment horizontal="left" vertical="center" wrapText="1"/>
    </xf>
    <xf numFmtId="3" fontId="15" fillId="0" borderId="24" xfId="2" applyNumberFormat="1" applyFill="1" applyBorder="1" applyAlignment="1">
      <alignment horizontal="left" vertical="center" wrapText="1"/>
    </xf>
    <xf numFmtId="3" fontId="15" fillId="0" borderId="53" xfId="2" applyNumberFormat="1" applyBorder="1"/>
    <xf numFmtId="3" fontId="19" fillId="7" borderId="16" xfId="2" applyNumberFormat="1" applyFont="1" applyFill="1" applyBorder="1"/>
    <xf numFmtId="3" fontId="15" fillId="0" borderId="39" xfId="2" applyNumberFormat="1" applyBorder="1" applyAlignment="1">
      <alignment horizontal="center" vertical="center"/>
    </xf>
    <xf numFmtId="3" fontId="30" fillId="0" borderId="31" xfId="2" applyNumberFormat="1" applyFont="1" applyBorder="1" applyAlignment="1">
      <alignment horizontal="center" vertical="center"/>
    </xf>
    <xf numFmtId="3" fontId="30" fillId="0" borderId="33" xfId="2" applyNumberFormat="1" applyFont="1" applyBorder="1" applyAlignment="1">
      <alignment horizontal="center" vertical="center"/>
    </xf>
    <xf numFmtId="3" fontId="15" fillId="0" borderId="62" xfId="2" applyNumberFormat="1" applyBorder="1"/>
    <xf numFmtId="3" fontId="15" fillId="0" borderId="34" xfId="2" applyNumberFormat="1" applyBorder="1" applyAlignment="1">
      <alignment horizontal="center"/>
    </xf>
    <xf numFmtId="3" fontId="30" fillId="0" borderId="31" xfId="2" applyNumberFormat="1" applyFont="1" applyBorder="1" applyAlignment="1">
      <alignment horizontal="center"/>
    </xf>
    <xf numFmtId="3" fontId="30" fillId="0" borderId="32" xfId="2" applyNumberFormat="1" applyFont="1" applyBorder="1" applyAlignment="1">
      <alignment horizontal="center"/>
    </xf>
    <xf numFmtId="3" fontId="30" fillId="0" borderId="33" xfId="2" applyNumberFormat="1" applyFont="1" applyBorder="1" applyAlignment="1">
      <alignment horizontal="center"/>
    </xf>
    <xf numFmtId="3" fontId="15" fillId="0" borderId="35" xfId="2" applyNumberFormat="1" applyBorder="1" applyAlignment="1">
      <alignment horizontal="center"/>
    </xf>
    <xf numFmtId="3" fontId="15" fillId="0" borderId="30" xfId="2" applyNumberFormat="1" applyBorder="1" applyAlignment="1">
      <alignment horizontal="left" vertical="center"/>
    </xf>
    <xf numFmtId="3" fontId="15" fillId="0" borderId="0" xfId="2" applyNumberFormat="1" applyBorder="1" applyAlignment="1">
      <alignment horizontal="left" vertical="center"/>
    </xf>
    <xf numFmtId="3" fontId="15" fillId="0" borderId="16" xfId="2" applyNumberFormat="1" applyBorder="1" applyAlignment="1">
      <alignment horizontal="left" vertical="center"/>
    </xf>
    <xf numFmtId="3" fontId="15" fillId="0" borderId="36" xfId="2" applyNumberFormat="1" applyBorder="1" applyAlignment="1">
      <alignment horizontal="center"/>
    </xf>
    <xf numFmtId="3" fontId="15" fillId="0" borderId="37" xfId="2" applyNumberFormat="1" applyBorder="1" applyAlignment="1">
      <alignment horizontal="right" vertical="center"/>
    </xf>
    <xf numFmtId="3" fontId="15" fillId="0" borderId="38" xfId="2" applyNumberFormat="1" applyBorder="1" applyAlignment="1">
      <alignment horizontal="right" vertical="center"/>
    </xf>
    <xf numFmtId="3" fontId="15" fillId="0" borderId="24" xfId="2" applyNumberFormat="1" applyBorder="1" applyAlignment="1">
      <alignment horizontal="right" vertical="center"/>
    </xf>
    <xf numFmtId="0" fontId="15" fillId="0" borderId="30" xfId="2" applyBorder="1" applyAlignment="1">
      <alignment horizontal="right"/>
    </xf>
    <xf numFmtId="3" fontId="15" fillId="7" borderId="33" xfId="2" applyNumberFormat="1" applyFill="1" applyBorder="1"/>
    <xf numFmtId="0" fontId="15" fillId="0" borderId="31" xfId="2" applyFill="1" applyBorder="1"/>
    <xf numFmtId="0" fontId="15" fillId="0" borderId="37" xfId="2" applyFill="1" applyBorder="1"/>
    <xf numFmtId="0" fontId="16" fillId="0" borderId="31" xfId="2" applyFont="1" applyBorder="1" applyAlignment="1">
      <alignment horizontal="center" vertical="center" wrapText="1"/>
    </xf>
    <xf numFmtId="0" fontId="16" fillId="0" borderId="33" xfId="2" applyFont="1" applyBorder="1" applyAlignment="1">
      <alignment horizontal="center" vertical="center" wrapText="1"/>
    </xf>
    <xf numFmtId="0" fontId="15" fillId="0" borderId="0" xfId="2" applyAlignment="1"/>
    <xf numFmtId="3" fontId="15" fillId="0" borderId="30" xfId="2" applyNumberFormat="1" applyBorder="1" applyAlignment="1">
      <alignment horizontal="center" vertical="center"/>
    </xf>
    <xf numFmtId="3" fontId="15" fillId="0" borderId="0" xfId="2" applyNumberFormat="1" applyBorder="1" applyAlignment="1">
      <alignment horizontal="center" vertical="center"/>
    </xf>
    <xf numFmtId="3" fontId="15" fillId="0" borderId="16" xfId="2" applyNumberFormat="1" applyBorder="1" applyAlignment="1">
      <alignment horizontal="center" vertical="center"/>
    </xf>
    <xf numFmtId="3" fontId="15" fillId="0" borderId="30" xfId="2" applyNumberFormat="1" applyBorder="1" applyAlignment="1">
      <alignment horizontal="left" wrapText="1"/>
    </xf>
    <xf numFmtId="3" fontId="15" fillId="0" borderId="0" xfId="2" applyNumberFormat="1" applyBorder="1" applyAlignment="1">
      <alignment horizontal="left" wrapText="1"/>
    </xf>
    <xf numFmtId="3" fontId="15" fillId="4" borderId="11" xfId="2" applyNumberFormat="1" applyFill="1" applyBorder="1"/>
    <xf numFmtId="12" fontId="15" fillId="4" borderId="40" xfId="2" applyNumberFormat="1" applyFill="1" applyBorder="1"/>
    <xf numFmtId="3" fontId="15" fillId="0" borderId="37" xfId="2" applyNumberFormat="1" applyFill="1" applyBorder="1" applyAlignment="1">
      <alignment horizontal="right" vertical="center" wrapText="1"/>
    </xf>
    <xf numFmtId="3" fontId="15" fillId="0" borderId="38" xfId="2" applyNumberFormat="1" applyFill="1" applyBorder="1" applyAlignment="1">
      <alignment horizontal="right" vertical="center" wrapText="1"/>
    </xf>
    <xf numFmtId="0" fontId="17" fillId="0" borderId="31" xfId="2" applyFont="1" applyBorder="1" applyAlignment="1">
      <alignment horizontal="center" vertical="center" wrapText="1"/>
    </xf>
    <xf numFmtId="0" fontId="17" fillId="0" borderId="32" xfId="2" applyFont="1" applyBorder="1" applyAlignment="1">
      <alignment horizontal="center" vertical="center" wrapText="1"/>
    </xf>
    <xf numFmtId="0" fontId="17" fillId="0" borderId="33" xfId="2" applyFont="1" applyBorder="1" applyAlignment="1">
      <alignment horizontal="center" vertical="center" wrapText="1"/>
    </xf>
    <xf numFmtId="0" fontId="15" fillId="0" borderId="35" xfId="2" applyBorder="1" applyAlignment="1">
      <alignment horizontal="left" vertical="center" wrapText="1"/>
    </xf>
    <xf numFmtId="0" fontId="15" fillId="0" borderId="36" xfId="2" applyBorder="1" applyAlignment="1">
      <alignment horizontal="left" vertical="center" wrapText="1"/>
    </xf>
    <xf numFmtId="3" fontId="17" fillId="0" borderId="41" xfId="2" applyNumberFormat="1" applyFont="1" applyBorder="1" applyAlignment="1">
      <alignment horizontal="center" vertical="center" wrapText="1"/>
    </xf>
    <xf numFmtId="3" fontId="17" fillId="0" borderId="42" xfId="2" applyNumberFormat="1" applyFont="1" applyBorder="1" applyAlignment="1">
      <alignment horizontal="center" vertical="center" wrapText="1"/>
    </xf>
    <xf numFmtId="3" fontId="17" fillId="0" borderId="28" xfId="2" applyNumberFormat="1" applyFont="1" applyBorder="1" applyAlignment="1">
      <alignment horizontal="center" vertical="center" wrapText="1"/>
    </xf>
    <xf numFmtId="12" fontId="15" fillId="7" borderId="42" xfId="2" applyNumberFormat="1" applyFill="1" applyBorder="1"/>
    <xf numFmtId="3" fontId="15" fillId="0" borderId="41" xfId="2" applyNumberFormat="1" applyBorder="1" applyAlignment="1">
      <alignment horizontal="left" wrapText="1"/>
    </xf>
    <xf numFmtId="3" fontId="15" fillId="0" borderId="42" xfId="2" applyNumberFormat="1" applyBorder="1" applyAlignment="1">
      <alignment horizontal="left" wrapText="1"/>
    </xf>
    <xf numFmtId="3" fontId="15" fillId="0" borderId="28" xfId="2" applyNumberFormat="1" applyBorder="1" applyAlignment="1">
      <alignment horizontal="left" wrapText="1"/>
    </xf>
    <xf numFmtId="9" fontId="0" fillId="0" borderId="0" xfId="4" applyFont="1"/>
    <xf numFmtId="165" fontId="15" fillId="0" borderId="0" xfId="2" applyNumberFormat="1"/>
    <xf numFmtId="12" fontId="15" fillId="0" borderId="45" xfId="2" applyNumberFormat="1" applyBorder="1"/>
    <xf numFmtId="3" fontId="15" fillId="0" borderId="41" xfId="2" applyNumberFormat="1" applyBorder="1" applyAlignment="1"/>
    <xf numFmtId="3" fontId="15" fillId="7" borderId="42" xfId="2" applyNumberFormat="1" applyFill="1" applyBorder="1" applyAlignment="1"/>
    <xf numFmtId="12" fontId="15" fillId="7" borderId="42" xfId="2" applyNumberFormat="1" applyFill="1" applyBorder="1" applyAlignment="1"/>
    <xf numFmtId="3" fontId="15" fillId="0" borderId="30" xfId="2" applyNumberFormat="1" applyBorder="1" applyAlignment="1">
      <alignment horizontal="left" vertical="center" wrapText="1"/>
    </xf>
    <xf numFmtId="12" fontId="15" fillId="0" borderId="49" xfId="2" applyNumberFormat="1" applyBorder="1"/>
    <xf numFmtId="3" fontId="15" fillId="0" borderId="37" xfId="2" applyNumberFormat="1" applyBorder="1" applyAlignment="1">
      <alignment horizontal="left" vertical="center" wrapText="1"/>
    </xf>
    <xf numFmtId="3" fontId="16" fillId="0" borderId="30" xfId="2" applyNumberFormat="1" applyFont="1" applyFill="1" applyBorder="1" applyAlignment="1">
      <alignment horizontal="right"/>
    </xf>
    <xf numFmtId="3" fontId="16" fillId="0" borderId="0" xfId="2" applyNumberFormat="1" applyFont="1" applyFill="1" applyBorder="1" applyAlignment="1">
      <alignment horizontal="right"/>
    </xf>
    <xf numFmtId="3" fontId="16" fillId="0" borderId="30" xfId="2" applyNumberFormat="1" applyFont="1" applyFill="1" applyBorder="1" applyAlignment="1">
      <alignment horizontal="right"/>
    </xf>
    <xf numFmtId="3" fontId="16" fillId="0" borderId="0" xfId="2" applyNumberFormat="1" applyFont="1" applyFill="1" applyBorder="1" applyAlignment="1">
      <alignment horizontal="right"/>
    </xf>
    <xf numFmtId="12" fontId="19" fillId="7" borderId="16" xfId="2" applyNumberFormat="1" applyFont="1" applyFill="1" applyBorder="1"/>
    <xf numFmtId="3" fontId="19" fillId="0" borderId="0" xfId="2" applyNumberFormat="1" applyFont="1"/>
    <xf numFmtId="3" fontId="15" fillId="0" borderId="30" xfId="2" applyNumberFormat="1" applyFill="1" applyBorder="1" applyAlignment="1">
      <alignment horizontal="right"/>
    </xf>
    <xf numFmtId="3" fontId="42" fillId="0" borderId="30" xfId="2" applyNumberFormat="1" applyFont="1" applyBorder="1" applyAlignment="1">
      <alignment horizontal="center" vertical="center" wrapText="1"/>
    </xf>
    <xf numFmtId="3" fontId="42" fillId="0" borderId="0" xfId="2" applyNumberFormat="1" applyFont="1" applyBorder="1" applyAlignment="1">
      <alignment horizontal="center" vertical="center" wrapText="1"/>
    </xf>
    <xf numFmtId="3" fontId="42" fillId="0" borderId="16" xfId="2" applyNumberFormat="1" applyFont="1" applyBorder="1" applyAlignment="1">
      <alignment horizontal="center" vertical="center" wrapText="1"/>
    </xf>
    <xf numFmtId="3" fontId="23" fillId="0" borderId="30" xfId="2" applyNumberFormat="1" applyFont="1" applyBorder="1" applyAlignment="1">
      <alignment horizontal="center" vertical="center" wrapText="1"/>
    </xf>
    <xf numFmtId="3" fontId="23" fillId="0" borderId="0" xfId="2" applyNumberFormat="1" applyFont="1" applyBorder="1" applyAlignment="1">
      <alignment horizontal="center" vertical="center" wrapText="1"/>
    </xf>
    <xf numFmtId="3" fontId="23" fillId="0" borderId="16" xfId="2" applyNumberFormat="1" applyFont="1" applyBorder="1" applyAlignment="1">
      <alignment horizontal="center" vertical="center" wrapText="1"/>
    </xf>
    <xf numFmtId="3" fontId="15" fillId="0" borderId="11" xfId="2" applyNumberFormat="1" applyBorder="1" applyAlignment="1">
      <alignment horizontal="left"/>
    </xf>
    <xf numFmtId="3" fontId="41" fillId="0" borderId="30" xfId="2" applyNumberFormat="1" applyFont="1" applyBorder="1" applyAlignment="1">
      <alignment horizontal="center" vertical="center" wrapText="1"/>
    </xf>
    <xf numFmtId="3" fontId="41" fillId="0" borderId="0" xfId="2" applyNumberFormat="1" applyFont="1" applyBorder="1" applyAlignment="1">
      <alignment horizontal="center" vertical="center" wrapText="1"/>
    </xf>
    <xf numFmtId="3" fontId="41" fillId="0" borderId="16" xfId="2" applyNumberFormat="1" applyFont="1" applyBorder="1" applyAlignment="1">
      <alignment horizontal="center" vertical="center" wrapText="1"/>
    </xf>
    <xf numFmtId="3" fontId="15" fillId="0" borderId="30" xfId="2" applyNumberFormat="1" applyFill="1" applyBorder="1" applyAlignment="1">
      <alignment horizontal="left"/>
    </xf>
    <xf numFmtId="3" fontId="15" fillId="0" borderId="42" xfId="2" applyNumberFormat="1" applyFill="1" applyBorder="1"/>
    <xf numFmtId="12" fontId="15" fillId="0" borderId="28" xfId="2" applyNumberFormat="1" applyFill="1" applyBorder="1"/>
    <xf numFmtId="3" fontId="17" fillId="0" borderId="37" xfId="2" applyNumberFormat="1" applyFont="1" applyBorder="1" applyAlignment="1">
      <alignment horizontal="center" vertical="center" wrapText="1"/>
    </xf>
    <xf numFmtId="3" fontId="17" fillId="0" borderId="38" xfId="2" applyNumberFormat="1" applyFont="1" applyBorder="1" applyAlignment="1">
      <alignment horizontal="center" vertical="center" wrapText="1"/>
    </xf>
    <xf numFmtId="3" fontId="15" fillId="0" borderId="41" xfId="2" applyNumberFormat="1" applyFill="1" applyBorder="1" applyAlignment="1">
      <alignment horizontal="center" vertical="center" wrapText="1"/>
    </xf>
    <xf numFmtId="3" fontId="15" fillId="0" borderId="42" xfId="2" applyNumberFormat="1" applyFill="1" applyBorder="1" applyAlignment="1">
      <alignment horizontal="center" vertical="center" wrapText="1"/>
    </xf>
    <xf numFmtId="3" fontId="15" fillId="0" borderId="28" xfId="2" applyNumberFormat="1" applyFill="1" applyBorder="1" applyAlignment="1">
      <alignment horizontal="center" vertical="center" wrapText="1"/>
    </xf>
    <xf numFmtId="3" fontId="15" fillId="0" borderId="32" xfId="2" applyNumberFormat="1" applyFill="1" applyBorder="1"/>
    <xf numFmtId="12" fontId="15" fillId="0" borderId="33" xfId="2" applyNumberFormat="1" applyFill="1" applyBorder="1"/>
    <xf numFmtId="3" fontId="19" fillId="7" borderId="38" xfId="2" applyNumberFormat="1" applyFont="1" applyFill="1" applyBorder="1"/>
    <xf numFmtId="12" fontId="15" fillId="0" borderId="42" xfId="2" applyNumberFormat="1" applyFill="1" applyBorder="1"/>
    <xf numFmtId="0" fontId="15" fillId="0" borderId="24" xfId="2" applyBorder="1" applyAlignment="1">
      <alignment horizontal="left"/>
    </xf>
    <xf numFmtId="3" fontId="15" fillId="7" borderId="41" xfId="2" applyNumberFormat="1" applyFill="1" applyBorder="1" applyAlignment="1"/>
    <xf numFmtId="12" fontId="15" fillId="7" borderId="28" xfId="2" applyNumberFormat="1" applyFill="1" applyBorder="1" applyAlignment="1"/>
    <xf numFmtId="3" fontId="16" fillId="0" borderId="30" xfId="2" applyNumberFormat="1" applyFont="1" applyBorder="1" applyAlignment="1">
      <alignment horizontal="center"/>
    </xf>
    <xf numFmtId="3" fontId="16" fillId="0" borderId="0" xfId="2" applyNumberFormat="1" applyFont="1" applyBorder="1" applyAlignment="1">
      <alignment horizontal="center"/>
    </xf>
    <xf numFmtId="3" fontId="15" fillId="0" borderId="30" xfId="2" applyNumberFormat="1" applyBorder="1" applyAlignment="1">
      <alignment horizontal="right" wrapText="1"/>
    </xf>
    <xf numFmtId="3" fontId="16" fillId="0" borderId="30" xfId="2" applyNumberFormat="1" applyFont="1" applyBorder="1" applyAlignment="1">
      <alignment horizontal="left" wrapText="1"/>
    </xf>
    <xf numFmtId="3" fontId="16" fillId="0" borderId="0" xfId="2" applyNumberFormat="1" applyFont="1" applyBorder="1" applyAlignment="1">
      <alignment horizontal="left" wrapText="1"/>
    </xf>
    <xf numFmtId="3" fontId="15" fillId="7" borderId="40" xfId="2" applyNumberFormat="1" applyFill="1" applyBorder="1"/>
    <xf numFmtId="3" fontId="15" fillId="0" borderId="30" xfId="2" applyNumberFormat="1" applyFill="1" applyBorder="1" applyAlignment="1">
      <alignment horizontal="right" wrapText="1"/>
    </xf>
    <xf numFmtId="3" fontId="16" fillId="0" borderId="30" xfId="2" applyNumberFormat="1" applyFont="1" applyFill="1" applyBorder="1" applyAlignment="1">
      <alignment horizontal="left" wrapText="1"/>
    </xf>
    <xf numFmtId="3" fontId="16" fillId="0" borderId="0" xfId="2" applyNumberFormat="1" applyFont="1" applyFill="1" applyBorder="1" applyAlignment="1">
      <alignment horizontal="left" wrapText="1"/>
    </xf>
    <xf numFmtId="3" fontId="16" fillId="0" borderId="30" xfId="2" applyNumberFormat="1" applyFont="1" applyBorder="1" applyAlignment="1">
      <alignment horizontal="left"/>
    </xf>
    <xf numFmtId="3" fontId="16" fillId="0" borderId="0" xfId="2" applyNumberFormat="1" applyFont="1" applyBorder="1" applyAlignment="1">
      <alignment horizontal="left"/>
    </xf>
    <xf numFmtId="3" fontId="15" fillId="0" borderId="0" xfId="2" applyNumberFormat="1" applyFont="1" applyBorder="1" applyAlignment="1">
      <alignment horizontal="left"/>
    </xf>
    <xf numFmtId="3" fontId="16" fillId="0" borderId="37" xfId="2" applyNumberFormat="1" applyFont="1" applyBorder="1" applyAlignment="1">
      <alignment horizontal="left"/>
    </xf>
    <xf numFmtId="3" fontId="16" fillId="0" borderId="38" xfId="2" applyNumberFormat="1" applyFont="1" applyBorder="1" applyAlignment="1">
      <alignment horizontal="left"/>
    </xf>
    <xf numFmtId="3" fontId="17" fillId="0" borderId="41" xfId="2" applyNumberFormat="1" applyFont="1" applyBorder="1" applyAlignment="1">
      <alignment horizontal="center" vertical="center"/>
    </xf>
    <xf numFmtId="3" fontId="17" fillId="0" borderId="42" xfId="2" applyNumberFormat="1" applyFont="1" applyBorder="1" applyAlignment="1">
      <alignment horizontal="center" vertical="center"/>
    </xf>
    <xf numFmtId="3" fontId="17" fillId="0" borderId="28" xfId="2" applyNumberFormat="1" applyFont="1" applyBorder="1" applyAlignment="1">
      <alignment horizontal="center" vertical="center"/>
    </xf>
    <xf numFmtId="3" fontId="15" fillId="0" borderId="37" xfId="2" applyNumberFormat="1" applyFill="1" applyBorder="1" applyAlignment="1">
      <alignment horizontal="left"/>
    </xf>
    <xf numFmtId="3" fontId="15" fillId="0" borderId="38" xfId="2" applyNumberFormat="1" applyFill="1" applyBorder="1" applyAlignment="1">
      <alignment horizontal="left"/>
    </xf>
    <xf numFmtId="3" fontId="30" fillId="0" borderId="32" xfId="2" applyNumberFormat="1" applyFont="1" applyBorder="1" applyAlignment="1">
      <alignment horizontal="center" vertical="center"/>
    </xf>
    <xf numFmtId="3" fontId="37" fillId="0" borderId="30" xfId="2" applyNumberFormat="1" applyFont="1" applyBorder="1" applyAlignment="1">
      <alignment horizontal="center"/>
    </xf>
    <xf numFmtId="3" fontId="37" fillId="0" borderId="0" xfId="2" applyNumberFormat="1" applyFont="1" applyBorder="1" applyAlignment="1">
      <alignment horizontal="center"/>
    </xf>
    <xf numFmtId="3" fontId="37" fillId="0" borderId="16" xfId="2" applyNumberFormat="1" applyFont="1" applyBorder="1" applyAlignment="1">
      <alignment horizontal="center"/>
    </xf>
    <xf numFmtId="171" fontId="15" fillId="0" borderId="0" xfId="2" applyNumberFormat="1"/>
    <xf numFmtId="3" fontId="15" fillId="0" borderId="41" xfId="2" applyNumberFormat="1" applyBorder="1" applyAlignment="1">
      <alignment vertical="center" wrapText="1"/>
    </xf>
    <xf numFmtId="2" fontId="19" fillId="7" borderId="0" xfId="2" applyNumberFormat="1" applyFont="1" applyFill="1"/>
    <xf numFmtId="2" fontId="15" fillId="7" borderId="0" xfId="2" applyNumberFormat="1" applyFill="1"/>
    <xf numFmtId="3" fontId="24" fillId="0" borderId="39" xfId="2" applyNumberFormat="1" applyFont="1" applyBorder="1" applyAlignment="1">
      <alignment horizontal="center" vertical="center" wrapText="1"/>
    </xf>
    <xf numFmtId="3" fontId="24" fillId="0" borderId="42" xfId="2" applyNumberFormat="1" applyFont="1" applyBorder="1" applyAlignment="1">
      <alignment horizontal="center" vertical="center" wrapText="1"/>
    </xf>
    <xf numFmtId="9" fontId="0" fillId="7" borderId="0" xfId="4" applyFont="1" applyFill="1"/>
    <xf numFmtId="3" fontId="30" fillId="0" borderId="41" xfId="2" applyNumberFormat="1" applyFont="1" applyBorder="1" applyAlignment="1">
      <alignment horizontal="center" vertical="center" wrapText="1"/>
    </xf>
    <xf numFmtId="3" fontId="30" fillId="0" borderId="42" xfId="2" applyNumberFormat="1" applyFont="1" applyBorder="1" applyAlignment="1">
      <alignment horizontal="center" vertical="center" wrapText="1"/>
    </xf>
    <xf numFmtId="3" fontId="30" fillId="0" borderId="28" xfId="2" applyNumberFormat="1" applyFont="1" applyBorder="1" applyAlignment="1">
      <alignment horizontal="center" vertical="center" wrapText="1"/>
    </xf>
    <xf numFmtId="3" fontId="15" fillId="0" borderId="35" xfId="2" applyNumberFormat="1" applyBorder="1" applyAlignment="1">
      <alignment horizontal="center" vertical="center" wrapText="1"/>
    </xf>
    <xf numFmtId="3" fontId="15" fillId="0" borderId="37" xfId="2" applyNumberFormat="1" applyBorder="1" applyAlignment="1">
      <alignment horizontal="center"/>
    </xf>
    <xf numFmtId="3" fontId="15" fillId="0" borderId="30" xfId="2" applyNumberFormat="1" applyBorder="1" applyAlignment="1">
      <alignment vertical="center"/>
    </xf>
    <xf numFmtId="3" fontId="15" fillId="0" borderId="16" xfId="2" applyNumberFormat="1" applyBorder="1" applyAlignment="1">
      <alignment vertical="center"/>
    </xf>
    <xf numFmtId="3" fontId="15" fillId="0" borderId="30" xfId="2" applyNumberFormat="1" applyFill="1" applyBorder="1" applyAlignment="1">
      <alignment vertical="center"/>
    </xf>
    <xf numFmtId="3" fontId="15" fillId="0" borderId="16" xfId="2" applyNumberFormat="1" applyFill="1" applyBorder="1" applyAlignment="1">
      <alignment vertical="center"/>
    </xf>
    <xf numFmtId="3" fontId="15" fillId="0" borderId="41" xfId="2" applyNumberFormat="1" applyFill="1" applyBorder="1" applyAlignment="1">
      <alignment vertical="center"/>
    </xf>
    <xf numFmtId="3" fontId="15" fillId="0" borderId="28" xfId="2" applyNumberFormat="1" applyFill="1" applyBorder="1" applyAlignment="1">
      <alignment vertical="center"/>
    </xf>
    <xf numFmtId="3" fontId="37" fillId="0" borderId="37" xfId="2" applyNumberFormat="1" applyFont="1" applyBorder="1" applyAlignment="1">
      <alignment horizontal="center" vertical="center" wrapText="1"/>
    </xf>
    <xf numFmtId="3" fontId="37" fillId="0" borderId="38" xfId="2" applyNumberFormat="1" applyFont="1" applyBorder="1" applyAlignment="1">
      <alignment horizontal="center" vertical="center" wrapText="1"/>
    </xf>
    <xf numFmtId="3" fontId="37" fillId="0" borderId="24" xfId="2" applyNumberFormat="1" applyFont="1" applyBorder="1" applyAlignment="1">
      <alignment horizontal="center" vertical="center" wrapText="1"/>
    </xf>
    <xf numFmtId="3" fontId="15" fillId="0" borderId="39" xfId="2" applyNumberFormat="1" applyBorder="1" applyAlignment="1">
      <alignment horizontal="center" vertical="center" wrapText="1"/>
    </xf>
    <xf numFmtId="3" fontId="15" fillId="0" borderId="37" xfId="2" applyNumberFormat="1" applyBorder="1" applyAlignment="1">
      <alignment vertical="center" wrapText="1"/>
    </xf>
    <xf numFmtId="3" fontId="15" fillId="0" borderId="38" xfId="2" applyNumberFormat="1" applyBorder="1" applyAlignment="1">
      <alignment vertical="center" wrapText="1"/>
    </xf>
    <xf numFmtId="3" fontId="15" fillId="0" borderId="24" xfId="2" applyNumberFormat="1" applyBorder="1" applyAlignment="1">
      <alignment vertical="center" wrapText="1"/>
    </xf>
    <xf numFmtId="3" fontId="15" fillId="0" borderId="35" xfId="2" applyNumberFormat="1" applyBorder="1" applyAlignment="1">
      <alignment horizontal="left"/>
    </xf>
    <xf numFmtId="3" fontId="16" fillId="0" borderId="0" xfId="2" applyNumberFormat="1" applyFont="1"/>
    <xf numFmtId="3" fontId="30" fillId="0" borderId="30" xfId="2" applyNumberFormat="1" applyFont="1" applyBorder="1" applyAlignment="1">
      <alignment horizontal="center" vertical="center" wrapText="1"/>
    </xf>
    <xf numFmtId="3" fontId="30" fillId="0" borderId="16" xfId="2" applyNumberFormat="1" applyFont="1" applyBorder="1" applyAlignment="1">
      <alignment horizontal="center" vertical="center" wrapText="1"/>
    </xf>
    <xf numFmtId="3" fontId="30" fillId="0" borderId="37" xfId="2" applyNumberFormat="1" applyFont="1" applyFill="1" applyBorder="1" applyAlignment="1">
      <alignment horizontal="center" vertical="center" wrapText="1"/>
    </xf>
    <xf numFmtId="3" fontId="30" fillId="0" borderId="38" xfId="2" applyNumberFormat="1" applyFont="1" applyFill="1" applyBorder="1" applyAlignment="1">
      <alignment horizontal="center" vertical="center" wrapText="1"/>
    </xf>
    <xf numFmtId="3" fontId="24" fillId="0" borderId="39" xfId="2" applyNumberFormat="1" applyFont="1" applyBorder="1" applyAlignment="1">
      <alignment horizontal="center" vertical="center" wrapText="1"/>
    </xf>
    <xf numFmtId="3" fontId="24" fillId="0" borderId="41" xfId="2" applyNumberFormat="1" applyFont="1" applyBorder="1" applyAlignment="1">
      <alignment horizontal="center" vertical="center" wrapText="1"/>
    </xf>
    <xf numFmtId="3" fontId="24" fillId="0" borderId="42" xfId="2" applyNumberFormat="1" applyFont="1" applyBorder="1" applyAlignment="1">
      <alignment horizontal="center" vertical="center" wrapText="1"/>
    </xf>
    <xf numFmtId="3" fontId="24" fillId="0" borderId="28" xfId="2" applyNumberFormat="1" applyFont="1" applyBorder="1" applyAlignment="1">
      <alignment horizontal="center" vertical="center" wrapText="1"/>
    </xf>
    <xf numFmtId="3" fontId="15" fillId="0" borderId="36" xfId="2" applyNumberFormat="1" applyFill="1" applyBorder="1" applyAlignment="1">
      <alignment horizontal="center" vertical="center"/>
    </xf>
    <xf numFmtId="3" fontId="15" fillId="0" borderId="41" xfId="2" applyNumberFormat="1" applyBorder="1" applyAlignment="1">
      <alignment horizontal="right"/>
    </xf>
    <xf numFmtId="3" fontId="15" fillId="0" borderId="42" xfId="2" applyNumberFormat="1" applyBorder="1" applyAlignment="1">
      <alignment horizontal="right"/>
    </xf>
    <xf numFmtId="3" fontId="15" fillId="0" borderId="28" xfId="2" applyNumberFormat="1" applyBorder="1" applyAlignment="1">
      <alignment horizontal="right"/>
    </xf>
    <xf numFmtId="3" fontId="15" fillId="0" borderId="48" xfId="2" applyNumberFormat="1" applyBorder="1" applyAlignment="1">
      <alignment horizontal="center"/>
    </xf>
    <xf numFmtId="12" fontId="15" fillId="0" borderId="47" xfId="2" applyNumberFormat="1" applyBorder="1" applyAlignment="1"/>
    <xf numFmtId="3" fontId="30" fillId="0" borderId="37" xfId="2" applyNumberFormat="1" applyFont="1" applyBorder="1" applyAlignment="1">
      <alignment horizontal="center" vertical="center" wrapText="1"/>
    </xf>
    <xf numFmtId="3" fontId="30" fillId="0" borderId="38" xfId="2" applyNumberFormat="1" applyFont="1" applyBorder="1" applyAlignment="1">
      <alignment horizontal="center" vertical="center" wrapText="1"/>
    </xf>
    <xf numFmtId="3" fontId="15" fillId="0" borderId="35" xfId="2" applyNumberFormat="1" applyBorder="1" applyAlignment="1">
      <alignment horizontal="center" vertical="center" wrapText="1"/>
    </xf>
    <xf numFmtId="3" fontId="24" fillId="0" borderId="41" xfId="2" applyNumberFormat="1" applyFont="1" applyBorder="1" applyAlignment="1">
      <alignment horizontal="center" vertical="center"/>
    </xf>
    <xf numFmtId="3" fontId="24" fillId="0" borderId="42" xfId="2" applyNumberFormat="1" applyFont="1" applyBorder="1" applyAlignment="1">
      <alignment horizontal="center" vertical="center"/>
    </xf>
    <xf numFmtId="3" fontId="24" fillId="0" borderId="28" xfId="2" applyNumberFormat="1" applyFont="1" applyBorder="1" applyAlignment="1">
      <alignment horizontal="center" vertical="center"/>
    </xf>
    <xf numFmtId="3" fontId="19" fillId="7" borderId="30" xfId="2" applyNumberFormat="1" applyFont="1" applyFill="1" applyBorder="1"/>
    <xf numFmtId="3" fontId="15" fillId="0" borderId="42" xfId="2" applyNumberFormat="1" applyBorder="1" applyAlignment="1"/>
    <xf numFmtId="3" fontId="15" fillId="0" borderId="28" xfId="2" applyNumberFormat="1" applyBorder="1" applyAlignment="1"/>
    <xf numFmtId="0" fontId="15" fillId="0" borderId="41" xfId="2" applyBorder="1" applyAlignment="1">
      <alignment horizontal="right"/>
    </xf>
    <xf numFmtId="0" fontId="15" fillId="0" borderId="42" xfId="2" applyBorder="1" applyAlignment="1">
      <alignment horizontal="right"/>
    </xf>
    <xf numFmtId="3" fontId="30" fillId="0" borderId="39" xfId="2" applyNumberFormat="1" applyFont="1" applyBorder="1" applyAlignment="1">
      <alignment horizontal="center" vertical="center" wrapText="1"/>
    </xf>
    <xf numFmtId="3" fontId="15" fillId="0" borderId="31" xfId="2" applyNumberFormat="1" applyBorder="1" applyAlignment="1">
      <alignment horizontal="center" vertical="center"/>
    </xf>
    <xf numFmtId="3" fontId="15" fillId="0" borderId="37" xfId="2" applyNumberFormat="1" applyBorder="1" applyAlignment="1">
      <alignment horizontal="center" vertical="center"/>
    </xf>
    <xf numFmtId="3" fontId="15" fillId="0" borderId="28" xfId="2" applyNumberFormat="1" applyBorder="1" applyAlignment="1">
      <alignment vertical="center" wrapText="1"/>
    </xf>
    <xf numFmtId="3" fontId="15" fillId="0" borderId="41" xfId="2" applyNumberFormat="1" applyBorder="1" applyAlignment="1">
      <alignment wrapText="1"/>
    </xf>
    <xf numFmtId="1" fontId="15" fillId="0" borderId="30" xfId="2" applyNumberFormat="1" applyBorder="1" applyAlignment="1">
      <alignment horizontal="right"/>
    </xf>
    <xf numFmtId="3" fontId="16" fillId="0" borderId="41" xfId="2" applyNumberFormat="1" applyFont="1" applyFill="1" applyBorder="1" applyAlignment="1">
      <alignment horizontal="center" vertical="center"/>
    </xf>
    <xf numFmtId="3" fontId="16" fillId="0" borderId="42" xfId="2" applyNumberFormat="1" applyFont="1" applyFill="1" applyBorder="1" applyAlignment="1">
      <alignment horizontal="center" vertical="center"/>
    </xf>
    <xf numFmtId="3" fontId="16" fillId="0" borderId="28" xfId="2" applyNumberFormat="1" applyFont="1" applyFill="1" applyBorder="1" applyAlignment="1">
      <alignment horizontal="center" vertical="center"/>
    </xf>
    <xf numFmtId="3" fontId="15" fillId="0" borderId="30" xfId="2" applyNumberFormat="1" applyBorder="1" applyAlignment="1">
      <alignment vertical="center" wrapText="1"/>
    </xf>
    <xf numFmtId="3" fontId="15" fillId="0" borderId="0" xfId="2" applyNumberFormat="1" applyBorder="1" applyAlignment="1">
      <alignment vertical="center" wrapText="1"/>
    </xf>
    <xf numFmtId="3" fontId="15" fillId="0" borderId="16" xfId="2" applyNumberFormat="1" applyBorder="1" applyAlignment="1">
      <alignment vertical="center" wrapText="1"/>
    </xf>
    <xf numFmtId="12" fontId="19" fillId="7" borderId="28" xfId="2" applyNumberFormat="1" applyFont="1" applyFill="1" applyBorder="1"/>
    <xf numFmtId="3" fontId="15" fillId="0" borderId="31" xfId="2" applyNumberFormat="1" applyFill="1" applyBorder="1" applyAlignment="1">
      <alignment horizontal="left" wrapText="1"/>
    </xf>
    <xf numFmtId="3" fontId="15" fillId="0" borderId="32" xfId="2" applyNumberFormat="1" applyFill="1" applyBorder="1" applyAlignment="1">
      <alignment horizontal="left" wrapText="1"/>
    </xf>
    <xf numFmtId="3" fontId="15" fillId="0" borderId="30" xfId="2" applyNumberFormat="1" applyBorder="1" applyAlignment="1">
      <alignment horizontal="center" vertical="center"/>
    </xf>
    <xf numFmtId="3" fontId="15" fillId="0" borderId="16" xfId="2" applyNumberFormat="1" applyBorder="1" applyAlignment="1">
      <alignment horizontal="center" vertical="center"/>
    </xf>
    <xf numFmtId="12" fontId="33" fillId="7" borderId="0" xfId="2" applyNumberFormat="1" applyFont="1" applyFill="1"/>
    <xf numFmtId="3" fontId="15" fillId="0" borderId="0" xfId="2" applyNumberFormat="1" applyBorder="1"/>
    <xf numFmtId="3" fontId="15" fillId="0" borderId="30" xfId="2" applyNumberFormat="1" applyBorder="1" applyAlignment="1">
      <alignment horizontal="left" vertical="top"/>
    </xf>
    <xf numFmtId="3" fontId="15" fillId="0" borderId="0" xfId="2" applyNumberFormat="1" applyBorder="1" applyAlignment="1">
      <alignment horizontal="left" vertical="top"/>
    </xf>
    <xf numFmtId="3" fontId="16" fillId="0" borderId="41" xfId="2" applyNumberFormat="1" applyFont="1" applyFill="1" applyBorder="1" applyAlignment="1">
      <alignment horizontal="center"/>
    </xf>
    <xf numFmtId="3" fontId="16" fillId="0" borderId="42" xfId="2" applyNumberFormat="1" applyFont="1" applyFill="1" applyBorder="1" applyAlignment="1">
      <alignment horizontal="center"/>
    </xf>
    <xf numFmtId="3" fontId="16" fillId="0" borderId="28" xfId="2" applyNumberFormat="1" applyFont="1" applyFill="1" applyBorder="1" applyAlignment="1">
      <alignment horizontal="center"/>
    </xf>
    <xf numFmtId="3" fontId="24" fillId="0" borderId="33" xfId="2" applyNumberFormat="1" applyFont="1" applyBorder="1" applyAlignment="1">
      <alignment horizontal="center" vertical="center"/>
    </xf>
    <xf numFmtId="3" fontId="24" fillId="0" borderId="0" xfId="2" applyNumberFormat="1" applyFont="1"/>
    <xf numFmtId="0" fontId="24" fillId="0" borderId="0" xfId="2" applyFont="1"/>
    <xf numFmtId="3" fontId="24" fillId="0" borderId="24" xfId="2" applyNumberFormat="1" applyFont="1" applyBorder="1" applyAlignment="1">
      <alignment horizontal="center" vertical="center"/>
    </xf>
    <xf numFmtId="3" fontId="16" fillId="0" borderId="39" xfId="2" applyNumberFormat="1" applyFont="1" applyBorder="1" applyAlignment="1">
      <alignment horizontal="center" vertical="center" wrapText="1"/>
    </xf>
    <xf numFmtId="3" fontId="24" fillId="0" borderId="39" xfId="2" applyNumberFormat="1" applyFont="1" applyBorder="1" applyAlignment="1">
      <alignment horizontal="center" vertical="center"/>
    </xf>
    <xf numFmtId="12" fontId="19" fillId="7" borderId="24" xfId="2" applyNumberFormat="1" applyFont="1" applyFill="1" applyBorder="1"/>
    <xf numFmtId="3" fontId="15" fillId="0" borderId="24" xfId="2" applyNumberFormat="1" applyBorder="1" applyAlignment="1">
      <alignment horizontal="left"/>
    </xf>
    <xf numFmtId="3" fontId="15" fillId="0" borderId="0" xfId="2" applyNumberFormat="1" applyAlignment="1">
      <alignment vertical="center" wrapText="1"/>
    </xf>
    <xf numFmtId="12" fontId="15" fillId="7" borderId="39" xfId="2" applyNumberFormat="1" applyFill="1" applyBorder="1"/>
    <xf numFmtId="3" fontId="19" fillId="7" borderId="41" xfId="2" applyNumberFormat="1" applyFont="1" applyFill="1" applyBorder="1"/>
    <xf numFmtId="12" fontId="19" fillId="7" borderId="39" xfId="2" applyNumberFormat="1" applyFont="1" applyFill="1" applyBorder="1"/>
    <xf numFmtId="3" fontId="43" fillId="0" borderId="39" xfId="2" applyNumberFormat="1" applyFont="1" applyBorder="1" applyAlignment="1">
      <alignment horizontal="center" vertical="center"/>
    </xf>
    <xf numFmtId="3" fontId="43" fillId="0" borderId="39" xfId="2" applyNumberFormat="1" applyFont="1" applyBorder="1" applyAlignment="1">
      <alignment horizontal="center" vertical="center"/>
    </xf>
    <xf numFmtId="3" fontId="43" fillId="0" borderId="39" xfId="2" applyNumberFormat="1" applyFont="1" applyBorder="1" applyAlignment="1">
      <alignment horizontal="center" vertical="center" wrapText="1"/>
    </xf>
    <xf numFmtId="3" fontId="43" fillId="0" borderId="39" xfId="2" applyNumberFormat="1" applyFont="1" applyBorder="1" applyAlignment="1">
      <alignment horizontal="center" vertical="center" wrapText="1"/>
    </xf>
    <xf numFmtId="3" fontId="15" fillId="0" borderId="34" xfId="2" applyNumberFormat="1" applyBorder="1" applyAlignment="1">
      <alignment horizontal="center"/>
    </xf>
    <xf numFmtId="3" fontId="15" fillId="0" borderId="35" xfId="2" applyNumberFormat="1" applyBorder="1" applyAlignment="1">
      <alignment horizontal="center"/>
    </xf>
    <xf numFmtId="3" fontId="15" fillId="0" borderId="36" xfId="2" applyNumberFormat="1" applyBorder="1" applyAlignment="1">
      <alignment horizontal="center"/>
    </xf>
    <xf numFmtId="3" fontId="15" fillId="0" borderId="39" xfId="2" applyNumberFormat="1" applyBorder="1" applyAlignment="1">
      <alignment horizontal="center"/>
    </xf>
    <xf numFmtId="3" fontId="15" fillId="0" borderId="42" xfId="2" applyNumberFormat="1" applyBorder="1" applyAlignment="1">
      <alignment horizontal="center" wrapText="1"/>
    </xf>
    <xf numFmtId="3" fontId="15" fillId="0" borderId="28" xfId="2" applyNumberFormat="1" applyBorder="1" applyAlignment="1">
      <alignment horizontal="center" wrapText="1"/>
    </xf>
    <xf numFmtId="3" fontId="19" fillId="0" borderId="41" xfId="2" applyNumberFormat="1" applyFont="1" applyBorder="1" applyAlignment="1">
      <alignment horizontal="center"/>
    </xf>
    <xf numFmtId="3" fontId="19" fillId="0" borderId="42" xfId="2" applyNumberFormat="1" applyFont="1" applyBorder="1" applyAlignment="1">
      <alignment horizontal="center"/>
    </xf>
    <xf numFmtId="3" fontId="19" fillId="0" borderId="28" xfId="2" applyNumberFormat="1" applyFont="1" applyBorder="1" applyAlignment="1"/>
    <xf numFmtId="3" fontId="24" fillId="0" borderId="31" xfId="2" applyNumberFormat="1" applyFont="1" applyBorder="1" applyAlignment="1">
      <alignment horizontal="center" vertical="center" wrapText="1"/>
    </xf>
    <xf numFmtId="3" fontId="24" fillId="0" borderId="32" xfId="2" applyNumberFormat="1" applyFont="1" applyBorder="1" applyAlignment="1">
      <alignment horizontal="center" vertical="center" wrapText="1"/>
    </xf>
    <xf numFmtId="3" fontId="24" fillId="0" borderId="33" xfId="2" applyNumberFormat="1" applyFont="1" applyBorder="1" applyAlignment="1">
      <alignment horizontal="center" vertical="center" wrapText="1"/>
    </xf>
    <xf numFmtId="3" fontId="24" fillId="0" borderId="37" xfId="2" applyNumberFormat="1" applyFont="1" applyBorder="1" applyAlignment="1">
      <alignment horizontal="center" vertical="center" wrapText="1"/>
    </xf>
    <xf numFmtId="3" fontId="24" fillId="0" borderId="38" xfId="2" applyNumberFormat="1" applyFont="1" applyBorder="1" applyAlignment="1">
      <alignment horizontal="center" vertical="center" wrapText="1"/>
    </xf>
    <xf numFmtId="3" fontId="24" fillId="0" borderId="24" xfId="2" applyNumberFormat="1" applyFont="1" applyBorder="1" applyAlignment="1">
      <alignment horizontal="center" vertical="center" wrapText="1"/>
    </xf>
    <xf numFmtId="3" fontId="43" fillId="0" borderId="41" xfId="2" applyNumberFormat="1" applyFont="1" applyBorder="1" applyAlignment="1">
      <alignment horizontal="center" vertical="center" wrapText="1"/>
    </xf>
    <xf numFmtId="3" fontId="43" fillId="0" borderId="28" xfId="2" applyNumberFormat="1" applyFont="1" applyBorder="1" applyAlignment="1">
      <alignment horizontal="center" vertical="center" wrapText="1"/>
    </xf>
    <xf numFmtId="3" fontId="24" fillId="0" borderId="0" xfId="2" applyNumberFormat="1" applyFont="1" applyBorder="1" applyAlignment="1">
      <alignment horizontal="center"/>
    </xf>
    <xf numFmtId="3" fontId="43" fillId="0" borderId="28" xfId="2" applyNumberFormat="1" applyFont="1" applyBorder="1" applyAlignment="1">
      <alignment horizontal="center" vertical="center"/>
    </xf>
    <xf numFmtId="12" fontId="19" fillId="7" borderId="32" xfId="2" applyNumberFormat="1" applyFont="1" applyFill="1" applyBorder="1"/>
    <xf numFmtId="3" fontId="15" fillId="0" borderId="31" xfId="2" applyNumberFormat="1" applyBorder="1" applyAlignment="1">
      <alignment horizontal="left"/>
    </xf>
    <xf numFmtId="3" fontId="15" fillId="0" borderId="32" xfId="2" applyNumberFormat="1" applyBorder="1" applyAlignment="1">
      <alignment horizontal="left"/>
    </xf>
    <xf numFmtId="3" fontId="15" fillId="0" borderId="33" xfId="2" applyNumberFormat="1" applyBorder="1" applyAlignment="1">
      <alignment horizontal="left"/>
    </xf>
    <xf numFmtId="0" fontId="30" fillId="0" borderId="39" xfId="2" applyFont="1" applyBorder="1" applyAlignment="1">
      <alignment horizontal="center" vertical="center" wrapText="1"/>
    </xf>
    <xf numFmtId="0" fontId="15" fillId="0" borderId="0" xfId="2" applyAlignment="1">
      <alignment horizontal="center" vertical="center" wrapText="1"/>
    </xf>
    <xf numFmtId="3" fontId="24" fillId="0" borderId="39" xfId="2" applyNumberFormat="1" applyFont="1" applyBorder="1" applyAlignment="1">
      <alignment vertical="center"/>
    </xf>
    <xf numFmtId="3" fontId="24" fillId="0" borderId="0" xfId="2" applyNumberFormat="1" applyFont="1" applyAlignment="1">
      <alignment horizontal="center" vertical="center" wrapText="1"/>
    </xf>
    <xf numFmtId="0" fontId="24" fillId="0" borderId="0" xfId="2" applyFont="1" applyAlignment="1">
      <alignment horizontal="center" vertical="center" wrapText="1"/>
    </xf>
    <xf numFmtId="3" fontId="43" fillId="0" borderId="0" xfId="2" applyNumberFormat="1" applyFont="1" applyAlignment="1">
      <alignment horizontal="center" vertical="center"/>
    </xf>
    <xf numFmtId="0" fontId="43" fillId="0" borderId="0" xfId="2" applyFont="1" applyAlignment="1">
      <alignment horizontal="center" vertical="center"/>
    </xf>
    <xf numFmtId="3" fontId="15" fillId="0" borderId="35" xfId="2" applyNumberFormat="1" applyBorder="1" applyAlignment="1">
      <alignment horizontal="right"/>
    </xf>
    <xf numFmtId="3" fontId="16" fillId="0" borderId="35" xfId="2" applyNumberFormat="1" applyFont="1" applyBorder="1"/>
    <xf numFmtId="3" fontId="15" fillId="0" borderId="39" xfId="2" applyNumberFormat="1" applyBorder="1" applyAlignment="1">
      <alignment horizontal="right"/>
    </xf>
    <xf numFmtId="3" fontId="24" fillId="0" borderId="28" xfId="2" applyNumberFormat="1" applyFont="1" applyBorder="1" applyAlignment="1">
      <alignment horizontal="center" vertical="center"/>
    </xf>
    <xf numFmtId="3" fontId="24" fillId="0" borderId="41" xfId="2" applyNumberFormat="1" applyFont="1" applyBorder="1" applyAlignment="1">
      <alignment horizontal="center" vertical="center"/>
    </xf>
    <xf numFmtId="3" fontId="24" fillId="0" borderId="39" xfId="2" applyNumberFormat="1" applyFont="1" applyBorder="1" applyAlignment="1">
      <alignment horizontal="center" vertical="center"/>
    </xf>
    <xf numFmtId="3" fontId="15" fillId="0" borderId="37" xfId="2" applyNumberFormat="1" applyBorder="1" applyAlignment="1">
      <alignment horizontal="right" vertical="center" wrapText="1"/>
    </xf>
    <xf numFmtId="3" fontId="15" fillId="0" borderId="38" xfId="2" applyNumberFormat="1" applyBorder="1" applyAlignment="1">
      <alignment horizontal="right" vertical="center" wrapText="1"/>
    </xf>
    <xf numFmtId="3" fontId="15" fillId="0" borderId="50" xfId="2" applyNumberFormat="1" applyBorder="1"/>
    <xf numFmtId="12" fontId="15" fillId="0" borderId="53" xfId="2" applyNumberFormat="1" applyBorder="1"/>
    <xf numFmtId="12" fontId="15" fillId="4" borderId="0" xfId="2" applyNumberFormat="1" applyFill="1"/>
    <xf numFmtId="12" fontId="15" fillId="0" borderId="20" xfId="2" applyNumberFormat="1" applyBorder="1"/>
    <xf numFmtId="172" fontId="0" fillId="0" borderId="0" xfId="4" applyNumberFormat="1" applyFont="1"/>
    <xf numFmtId="3" fontId="30" fillId="0" borderId="0" xfId="2" applyNumberFormat="1" applyFont="1" applyBorder="1" applyAlignment="1">
      <alignment horizontal="center" vertical="center" wrapText="1"/>
    </xf>
    <xf numFmtId="3" fontId="30" fillId="0" borderId="16" xfId="2" applyNumberFormat="1" applyFont="1" applyBorder="1" applyAlignment="1">
      <alignment horizontal="center" vertical="center" wrapText="1"/>
    </xf>
    <xf numFmtId="3" fontId="15" fillId="0" borderId="11" xfId="2" applyNumberFormat="1" applyBorder="1" applyAlignment="1">
      <alignment horizontal="right"/>
    </xf>
    <xf numFmtId="3" fontId="15" fillId="0" borderId="0" xfId="2" applyNumberFormat="1" applyFill="1" applyBorder="1" applyAlignment="1"/>
    <xf numFmtId="3" fontId="15" fillId="0" borderId="11" xfId="2" applyNumberFormat="1" applyFill="1" applyBorder="1" applyAlignment="1">
      <alignment horizontal="right"/>
    </xf>
    <xf numFmtId="3" fontId="15" fillId="0" borderId="11" xfId="2" applyNumberFormat="1" applyFill="1" applyBorder="1" applyAlignment="1">
      <alignment horizontal="left"/>
    </xf>
    <xf numFmtId="3" fontId="15" fillId="0" borderId="30" xfId="2" applyNumberFormat="1" applyFill="1" applyBorder="1" applyAlignment="1">
      <alignment horizontal="left" wrapText="1"/>
    </xf>
    <xf numFmtId="12" fontId="19" fillId="7" borderId="0" xfId="2" applyNumberFormat="1" applyFont="1" applyFill="1" applyBorder="1"/>
    <xf numFmtId="12" fontId="15" fillId="7" borderId="11" xfId="2" applyNumberFormat="1" applyFill="1" applyBorder="1"/>
    <xf numFmtId="3" fontId="15" fillId="0" borderId="41" xfId="2" applyNumberFormat="1" applyBorder="1" applyAlignment="1">
      <alignment horizontal="center" wrapText="1"/>
    </xf>
    <xf numFmtId="3" fontId="15" fillId="0" borderId="16" xfId="2" applyNumberFormat="1" applyBorder="1" applyAlignment="1">
      <alignment horizontal="left" wrapText="1"/>
    </xf>
    <xf numFmtId="3" fontId="40" fillId="0" borderId="39" xfId="2" applyNumberFormat="1" applyFont="1" applyBorder="1" applyAlignment="1">
      <alignment horizontal="center" wrapText="1"/>
    </xf>
    <xf numFmtId="3" fontId="15" fillId="4" borderId="0" xfId="2" applyNumberFormat="1" applyFill="1" applyBorder="1"/>
    <xf numFmtId="3" fontId="15" fillId="0" borderId="31" xfId="2" applyNumberFormat="1" applyFill="1" applyBorder="1" applyAlignment="1">
      <alignment horizontal="right"/>
    </xf>
    <xf numFmtId="3" fontId="15" fillId="0" borderId="32" xfId="2" applyNumberFormat="1" applyFill="1" applyBorder="1" applyAlignment="1">
      <alignment horizontal="right"/>
    </xf>
    <xf numFmtId="3" fontId="44" fillId="4" borderId="0" xfId="2" applyNumberFormat="1" applyFont="1" applyFill="1" applyBorder="1"/>
    <xf numFmtId="3" fontId="44" fillId="4" borderId="16" xfId="2" applyNumberFormat="1" applyFont="1" applyFill="1" applyBorder="1"/>
    <xf numFmtId="3" fontId="45" fillId="0" borderId="30" xfId="2" applyNumberFormat="1" applyFont="1" applyFill="1" applyBorder="1" applyAlignment="1">
      <alignment horizontal="right"/>
    </xf>
    <xf numFmtId="3" fontId="45" fillId="0" borderId="0" xfId="2" applyNumberFormat="1" applyFont="1" applyFill="1" applyBorder="1" applyAlignment="1">
      <alignment horizontal="right"/>
    </xf>
    <xf numFmtId="3" fontId="15" fillId="4" borderId="16" xfId="2" applyNumberFormat="1" applyFill="1" applyBorder="1"/>
    <xf numFmtId="3" fontId="46" fillId="0" borderId="14" xfId="2" applyNumberFormat="1" applyFont="1" applyBorder="1"/>
    <xf numFmtId="3" fontId="46" fillId="0" borderId="49" xfId="2" applyNumberFormat="1" applyFont="1" applyBorder="1"/>
    <xf numFmtId="3" fontId="38" fillId="4" borderId="11" xfId="2" applyNumberFormat="1" applyFont="1" applyFill="1" applyBorder="1"/>
    <xf numFmtId="3" fontId="15" fillId="0" borderId="0" xfId="2" applyNumberFormat="1" applyFill="1" applyBorder="1" applyAlignment="1">
      <alignment horizontal="left" wrapText="1"/>
    </xf>
    <xf numFmtId="3" fontId="15" fillId="0" borderId="11" xfId="2" applyNumberFormat="1" applyFill="1" applyBorder="1" applyAlignment="1">
      <alignment horizontal="left" wrapText="1"/>
    </xf>
    <xf numFmtId="3" fontId="15" fillId="4" borderId="0" xfId="2" applyNumberFormat="1" applyFont="1" applyFill="1" applyBorder="1"/>
    <xf numFmtId="12" fontId="15" fillId="4" borderId="0" xfId="2" applyNumberFormat="1" applyFill="1" applyBorder="1"/>
    <xf numFmtId="12" fontId="15" fillId="0" borderId="11" xfId="2" applyNumberFormat="1" applyBorder="1" applyAlignment="1">
      <alignment horizontal="right"/>
    </xf>
    <xf numFmtId="3" fontId="15" fillId="0" borderId="37" xfId="2" applyNumberFormat="1" applyBorder="1" applyAlignment="1">
      <alignment wrapText="1"/>
    </xf>
    <xf numFmtId="3" fontId="30" fillId="0" borderId="41" xfId="2" applyNumberFormat="1" applyFont="1" applyBorder="1" applyAlignment="1">
      <alignment vertical="center" wrapText="1"/>
    </xf>
    <xf numFmtId="3" fontId="30" fillId="0" borderId="42" xfId="2" applyNumberFormat="1" applyFont="1" applyBorder="1" applyAlignment="1">
      <alignment vertical="center" wrapText="1"/>
    </xf>
    <xf numFmtId="3" fontId="30" fillId="0" borderId="28" xfId="2" applyNumberFormat="1" applyFont="1" applyBorder="1" applyAlignment="1">
      <alignment vertical="center" wrapText="1"/>
    </xf>
    <xf numFmtId="3" fontId="17" fillId="0" borderId="39" xfId="2" applyNumberFormat="1" applyFont="1" applyBorder="1" applyAlignment="1">
      <alignment horizontal="center" vertical="center" wrapText="1"/>
    </xf>
    <xf numFmtId="3" fontId="15" fillId="0" borderId="41" xfId="2" applyNumberFormat="1" applyFill="1" applyBorder="1" applyAlignment="1">
      <alignment horizontal="right"/>
    </xf>
    <xf numFmtId="12" fontId="15" fillId="4" borderId="41" xfId="2" applyNumberFormat="1" applyFill="1" applyBorder="1"/>
    <xf numFmtId="3" fontId="38" fillId="4" borderId="41" xfId="2" applyNumberFormat="1" applyFont="1" applyFill="1" applyBorder="1"/>
    <xf numFmtId="3" fontId="15" fillId="4" borderId="42" xfId="2" applyNumberFormat="1" applyFill="1" applyBorder="1"/>
    <xf numFmtId="3" fontId="15" fillId="4" borderId="28" xfId="2" applyNumberFormat="1" applyFill="1" applyBorder="1"/>
    <xf numFmtId="3" fontId="30" fillId="0" borderId="39" xfId="2" applyNumberFormat="1" applyFont="1" applyBorder="1" applyAlignment="1">
      <alignment horizontal="center" vertical="center"/>
    </xf>
    <xf numFmtId="3" fontId="15" fillId="0" borderId="41" xfId="2" applyNumberFormat="1" applyFill="1" applyBorder="1" applyAlignment="1">
      <alignment horizontal="center" vertical="center" wrapText="1"/>
    </xf>
    <xf numFmtId="4" fontId="15" fillId="0" borderId="30" xfId="2" applyNumberFormat="1" applyBorder="1"/>
    <xf numFmtId="4" fontId="15" fillId="0" borderId="0" xfId="2" applyNumberFormat="1" applyBorder="1"/>
    <xf numFmtId="10" fontId="0" fillId="4" borderId="0" xfId="4" applyNumberFormat="1" applyFont="1" applyFill="1"/>
    <xf numFmtId="10" fontId="38" fillId="4" borderId="0" xfId="4" applyNumberFormat="1" applyFont="1" applyFill="1"/>
    <xf numFmtId="4" fontId="15" fillId="0" borderId="41" xfId="2" applyNumberFormat="1" applyBorder="1"/>
    <xf numFmtId="4" fontId="15" fillId="0" borderId="42" xfId="2" applyNumberFormat="1" applyBorder="1"/>
    <xf numFmtId="4" fontId="15" fillId="0" borderId="28" xfId="2" applyNumberFormat="1" applyBorder="1"/>
    <xf numFmtId="3" fontId="15" fillId="0" borderId="0" xfId="2" applyNumberFormat="1" applyBorder="1" applyAlignment="1">
      <alignment horizontal="center" wrapText="1"/>
    </xf>
    <xf numFmtId="3" fontId="15" fillId="0" borderId="16" xfId="2" applyNumberFormat="1" applyBorder="1" applyAlignment="1">
      <alignment horizontal="center" wrapText="1"/>
    </xf>
    <xf numFmtId="3" fontId="37" fillId="0" borderId="41" xfId="2" applyNumberFormat="1" applyFont="1" applyBorder="1" applyAlignment="1">
      <alignment horizontal="center" vertical="center" wrapText="1"/>
    </xf>
    <xf numFmtId="3" fontId="37" fillId="0" borderId="42" xfId="2" applyNumberFormat="1" applyFont="1" applyBorder="1" applyAlignment="1">
      <alignment horizontal="center" vertical="center" wrapText="1"/>
    </xf>
    <xf numFmtId="3" fontId="37" fillId="0" borderId="28" xfId="2" applyNumberFormat="1" applyFont="1" applyBorder="1" applyAlignment="1">
      <alignment horizontal="center" vertical="center" wrapText="1"/>
    </xf>
    <xf numFmtId="3" fontId="15" fillId="0" borderId="39" xfId="2" applyNumberFormat="1" applyFill="1" applyBorder="1" applyAlignment="1">
      <alignment horizontal="right"/>
    </xf>
    <xf numFmtId="3" fontId="30" fillId="0" borderId="41" xfId="2" applyNumberFormat="1" applyFont="1" applyBorder="1" applyAlignment="1">
      <alignment horizontal="center" vertical="center"/>
    </xf>
    <xf numFmtId="3" fontId="30" fillId="0" borderId="42" xfId="2" applyNumberFormat="1" applyFont="1" applyBorder="1" applyAlignment="1">
      <alignment horizontal="center" vertical="center"/>
    </xf>
    <xf numFmtId="3" fontId="30" fillId="0" borderId="28" xfId="2" applyNumberFormat="1" applyFont="1" applyBorder="1" applyAlignment="1">
      <alignment horizontal="center" vertical="center"/>
    </xf>
    <xf numFmtId="3" fontId="38" fillId="4" borderId="0" xfId="2" applyNumberFormat="1" applyFont="1" applyFill="1"/>
    <xf numFmtId="3" fontId="15" fillId="0" borderId="39" xfId="2" applyNumberFormat="1" applyBorder="1" applyAlignment="1">
      <alignment horizontal="center" wrapText="1"/>
    </xf>
    <xf numFmtId="3" fontId="24" fillId="0" borderId="28" xfId="2" applyNumberFormat="1" applyFont="1" applyBorder="1" applyAlignment="1">
      <alignment horizontal="center" wrapText="1"/>
    </xf>
    <xf numFmtId="3" fontId="24" fillId="0" borderId="39" xfId="2" applyNumberFormat="1" applyFont="1" applyBorder="1" applyAlignment="1">
      <alignment horizontal="center" wrapText="1"/>
    </xf>
    <xf numFmtId="3" fontId="40" fillId="0" borderId="39" xfId="2" applyNumberFormat="1" applyFont="1" applyBorder="1" applyAlignment="1">
      <alignment horizontal="center" vertical="center" wrapText="1"/>
    </xf>
    <xf numFmtId="3" fontId="24" fillId="0" borderId="39" xfId="2" applyNumberFormat="1" applyFont="1" applyBorder="1" applyAlignment="1">
      <alignment horizontal="center"/>
    </xf>
    <xf numFmtId="3" fontId="43" fillId="0" borderId="28" xfId="2" applyNumberFormat="1" applyFont="1" applyBorder="1" applyAlignment="1">
      <alignment horizontal="center" wrapText="1"/>
    </xf>
    <xf numFmtId="3" fontId="43" fillId="0" borderId="39" xfId="2" applyNumberFormat="1" applyFont="1" applyBorder="1" applyAlignment="1">
      <alignment horizontal="center" wrapText="1"/>
    </xf>
    <xf numFmtId="3" fontId="15" fillId="4" borderId="32" xfId="2" applyNumberFormat="1" applyFill="1" applyBorder="1"/>
    <xf numFmtId="12" fontId="15" fillId="4" borderId="32" xfId="2" applyNumberFormat="1" applyFill="1" applyBorder="1"/>
    <xf numFmtId="3" fontId="38" fillId="4" borderId="32" xfId="2" applyNumberFormat="1" applyFont="1" applyFill="1" applyBorder="1"/>
    <xf numFmtId="3" fontId="15" fillId="0" borderId="31" xfId="2" applyNumberFormat="1" applyFill="1" applyBorder="1" applyAlignment="1">
      <alignment horizontal="left"/>
    </xf>
    <xf numFmtId="3" fontId="15" fillId="0" borderId="32" xfId="2" applyNumberFormat="1" applyFill="1" applyBorder="1" applyAlignment="1">
      <alignment horizontal="left"/>
    </xf>
    <xf numFmtId="3" fontId="15" fillId="0" borderId="33" xfId="2" applyNumberFormat="1" applyFill="1" applyBorder="1" applyAlignment="1">
      <alignment horizontal="left"/>
    </xf>
    <xf numFmtId="3" fontId="15" fillId="0" borderId="24" xfId="2" applyNumberFormat="1" applyFill="1" applyBorder="1" applyAlignment="1">
      <alignment horizontal="left"/>
    </xf>
    <xf numFmtId="3" fontId="15" fillId="0" borderId="37" xfId="2" applyNumberFormat="1" applyBorder="1" applyAlignment="1">
      <alignment horizontal="center" wrapText="1"/>
    </xf>
    <xf numFmtId="3" fontId="15" fillId="0" borderId="38" xfId="2" applyNumberFormat="1" applyBorder="1" applyAlignment="1">
      <alignment horizontal="center" wrapText="1"/>
    </xf>
    <xf numFmtId="3" fontId="15" fillId="0" borderId="24" xfId="2" applyNumberFormat="1" applyBorder="1" applyAlignment="1">
      <alignment horizontal="center" wrapText="1"/>
    </xf>
    <xf numFmtId="3" fontId="15" fillId="10" borderId="0" xfId="2" applyNumberFormat="1" applyFill="1" applyBorder="1"/>
    <xf numFmtId="10" fontId="0" fillId="0" borderId="0" xfId="4" applyNumberFormat="1" applyFont="1"/>
    <xf numFmtId="10" fontId="0" fillId="0" borderId="30" xfId="4" applyNumberFormat="1" applyFont="1" applyBorder="1" applyAlignment="1">
      <alignment wrapText="1"/>
    </xf>
    <xf numFmtId="12" fontId="15" fillId="4" borderId="16" xfId="2" applyNumberFormat="1" applyFill="1" applyBorder="1"/>
    <xf numFmtId="3" fontId="15" fillId="0" borderId="0" xfId="2" applyNumberFormat="1" applyFont="1" applyBorder="1"/>
    <xf numFmtId="3" fontId="15" fillId="0" borderId="30" xfId="2" applyNumberFormat="1" applyFont="1" applyBorder="1" applyAlignment="1">
      <alignment horizontal="right" vertical="center"/>
    </xf>
    <xf numFmtId="3" fontId="15" fillId="0" borderId="30" xfId="2" applyNumberFormat="1" applyBorder="1" applyAlignment="1">
      <alignment horizontal="right" vertical="center"/>
    </xf>
    <xf numFmtId="3" fontId="15" fillId="0" borderId="0" xfId="2" applyNumberFormat="1" applyBorder="1" applyAlignment="1">
      <alignment horizontal="right" vertical="center"/>
    </xf>
    <xf numFmtId="3" fontId="15" fillId="0" borderId="42" xfId="2" applyNumberFormat="1" applyFont="1" applyBorder="1" applyAlignment="1">
      <alignment horizontal="center" vertical="center" wrapText="1"/>
    </xf>
    <xf numFmtId="3" fontId="15" fillId="0" borderId="28" xfId="2" applyNumberFormat="1" applyFont="1" applyBorder="1" applyAlignment="1">
      <alignment horizontal="center" vertical="center" wrapText="1"/>
    </xf>
    <xf numFmtId="3" fontId="40" fillId="0" borderId="41" xfId="2" applyNumberFormat="1" applyFont="1" applyBorder="1" applyAlignment="1">
      <alignment horizontal="center" vertical="center"/>
    </xf>
    <xf numFmtId="3" fontId="40" fillId="0" borderId="28" xfId="2" applyNumberFormat="1" applyFont="1" applyBorder="1" applyAlignment="1">
      <alignment horizontal="center" vertical="center"/>
    </xf>
    <xf numFmtId="3" fontId="15" fillId="10" borderId="16" xfId="2" applyNumberFormat="1" applyFill="1" applyBorder="1"/>
    <xf numFmtId="3" fontId="15" fillId="11" borderId="16" xfId="2" applyNumberFormat="1" applyFill="1" applyBorder="1"/>
    <xf numFmtId="3" fontId="15" fillId="10" borderId="28" xfId="2" applyNumberFormat="1" applyFill="1" applyBorder="1"/>
    <xf numFmtId="3" fontId="15" fillId="11" borderId="28" xfId="2" applyNumberFormat="1" applyFill="1" applyBorder="1"/>
    <xf numFmtId="3" fontId="15" fillId="0" borderId="41" xfId="2" applyNumberFormat="1" applyFont="1" applyBorder="1" applyAlignment="1">
      <alignment horizontal="center" vertical="center" wrapText="1"/>
    </xf>
    <xf numFmtId="3" fontId="15" fillId="0" borderId="38" xfId="2" applyNumberFormat="1" applyFont="1" applyBorder="1" applyAlignment="1">
      <alignment horizontal="center" vertical="center" wrapText="1"/>
    </xf>
    <xf numFmtId="3" fontId="15" fillId="0" borderId="24" xfId="2" applyNumberFormat="1" applyFont="1" applyBorder="1" applyAlignment="1">
      <alignment horizontal="center" vertical="center" wrapText="1"/>
    </xf>
    <xf numFmtId="3" fontId="15" fillId="0" borderId="35" xfId="2" applyNumberFormat="1" applyFill="1" applyBorder="1" applyAlignment="1">
      <alignment horizontal="right"/>
    </xf>
    <xf numFmtId="3" fontId="38" fillId="4" borderId="38" xfId="2" applyNumberFormat="1" applyFont="1" applyFill="1" applyBorder="1"/>
    <xf numFmtId="12" fontId="15" fillId="4" borderId="38" xfId="2" applyNumberFormat="1" applyFill="1" applyBorder="1"/>
    <xf numFmtId="12" fontId="38" fillId="4" borderId="38" xfId="2" applyNumberFormat="1" applyFont="1" applyFill="1" applyBorder="1"/>
    <xf numFmtId="3" fontId="30" fillId="0" borderId="41" xfId="2" applyNumberFormat="1" applyFont="1" applyFill="1" applyBorder="1" applyAlignment="1">
      <alignment horizontal="center" vertical="center" wrapText="1"/>
    </xf>
    <xf numFmtId="3" fontId="30" fillId="0" borderId="42" xfId="2" applyNumberFormat="1" applyFont="1" applyFill="1" applyBorder="1" applyAlignment="1">
      <alignment horizontal="center" vertical="center" wrapText="1"/>
    </xf>
    <xf numFmtId="3" fontId="30" fillId="0" borderId="28" xfId="2" applyNumberFormat="1" applyFont="1" applyFill="1" applyBorder="1" applyAlignment="1">
      <alignment horizontal="center" vertical="center" wrapText="1"/>
    </xf>
    <xf numFmtId="3" fontId="36" fillId="0" borderId="42" xfId="2" applyNumberFormat="1" applyFont="1" applyBorder="1" applyAlignment="1">
      <alignment horizontal="center"/>
    </xf>
    <xf numFmtId="3" fontId="36" fillId="0" borderId="28" xfId="2" applyNumberFormat="1" applyFont="1" applyBorder="1" applyAlignment="1">
      <alignment horizontal="center"/>
    </xf>
    <xf numFmtId="3" fontId="17" fillId="0" borderId="0" xfId="2" applyNumberFormat="1" applyFont="1" applyAlignment="1">
      <alignment horizontal="center" vertical="center" wrapText="1"/>
    </xf>
    <xf numFmtId="3" fontId="36" fillId="0" borderId="39" xfId="2" applyNumberFormat="1" applyFont="1" applyBorder="1" applyAlignment="1">
      <alignment horizontal="center" vertical="center"/>
    </xf>
    <xf numFmtId="3" fontId="36" fillId="0" borderId="41" xfId="2" applyNumberFormat="1" applyFont="1" applyBorder="1" applyAlignment="1">
      <alignment horizontal="center" vertical="center"/>
    </xf>
    <xf numFmtId="3" fontId="15" fillId="0" borderId="39" xfId="2" applyNumberFormat="1" applyBorder="1" applyAlignment="1">
      <alignment vertical="center" wrapText="1"/>
    </xf>
    <xf numFmtId="3" fontId="43" fillId="0" borderId="31" xfId="2" applyNumberFormat="1" applyFont="1" applyBorder="1" applyAlignment="1">
      <alignment horizontal="center" wrapText="1"/>
    </xf>
    <xf numFmtId="3" fontId="43" fillId="0" borderId="32" xfId="2" applyNumberFormat="1" applyFont="1" applyBorder="1" applyAlignment="1">
      <alignment horizontal="center" wrapText="1"/>
    </xf>
    <xf numFmtId="3" fontId="43" fillId="0" borderId="33" xfId="2" applyNumberFormat="1" applyFont="1" applyBorder="1" applyAlignment="1">
      <alignment horizontal="center" wrapText="1"/>
    </xf>
    <xf numFmtId="3" fontId="43" fillId="0" borderId="41" xfId="2" applyNumberFormat="1" applyFont="1" applyBorder="1" applyAlignment="1">
      <alignment horizontal="center" wrapText="1"/>
    </xf>
    <xf numFmtId="12" fontId="15" fillId="4" borderId="30" xfId="2" applyNumberFormat="1" applyFill="1" applyBorder="1"/>
    <xf numFmtId="3" fontId="24" fillId="0" borderId="31" xfId="2" applyNumberFormat="1" applyFont="1" applyFill="1" applyBorder="1" applyAlignment="1">
      <alignment vertical="center"/>
    </xf>
    <xf numFmtId="3" fontId="15" fillId="0" borderId="0" xfId="2" applyNumberFormat="1" applyFill="1" applyBorder="1" applyAlignment="1">
      <alignment vertical="center"/>
    </xf>
    <xf numFmtId="3" fontId="15" fillId="0" borderId="31" xfId="2" applyNumberFormat="1" applyFill="1" applyBorder="1" applyAlignment="1">
      <alignment vertical="center"/>
    </xf>
    <xf numFmtId="3" fontId="15" fillId="0" borderId="33" xfId="2" applyNumberFormat="1" applyFill="1" applyBorder="1" applyAlignment="1">
      <alignment vertical="center"/>
    </xf>
    <xf numFmtId="12" fontId="15" fillId="0" borderId="0" xfId="2" applyNumberFormat="1" applyFill="1" applyBorder="1" applyAlignment="1">
      <alignment vertical="center"/>
    </xf>
    <xf numFmtId="3" fontId="46" fillId="0" borderId="41" xfId="2" applyNumberFormat="1" applyFont="1" applyBorder="1" applyAlignment="1">
      <alignment horizontal="left"/>
    </xf>
    <xf numFmtId="3" fontId="46" fillId="0" borderId="42" xfId="2" applyNumberFormat="1" applyFont="1" applyBorder="1" applyAlignment="1">
      <alignment horizontal="left"/>
    </xf>
    <xf numFmtId="3" fontId="46" fillId="0" borderId="28" xfId="2" applyNumberFormat="1" applyFont="1" applyBorder="1" applyAlignment="1">
      <alignment horizontal="left"/>
    </xf>
    <xf numFmtId="3" fontId="15" fillId="10" borderId="30" xfId="2" applyNumberFormat="1" applyFill="1" applyBorder="1"/>
    <xf numFmtId="3" fontId="24" fillId="0" borderId="34" xfId="2" applyNumberFormat="1" applyFont="1" applyBorder="1" applyAlignment="1">
      <alignment horizontal="center" vertical="center" wrapText="1"/>
    </xf>
    <xf numFmtId="3" fontId="15" fillId="0" borderId="0" xfId="2" applyNumberFormat="1" applyBorder="1" applyAlignment="1">
      <alignment horizontal="left" vertical="center" wrapText="1"/>
    </xf>
    <xf numFmtId="3" fontId="24" fillId="0" borderId="31" xfId="2" applyNumberFormat="1" applyFont="1" applyBorder="1" applyAlignment="1">
      <alignment horizontal="right" wrapText="1"/>
    </xf>
    <xf numFmtId="3" fontId="24" fillId="0" borderId="32" xfId="2" applyNumberFormat="1" applyFont="1" applyBorder="1" applyAlignment="1">
      <alignment horizontal="right" wrapText="1"/>
    </xf>
    <xf numFmtId="3" fontId="24" fillId="0" borderId="33" xfId="2" applyNumberFormat="1" applyFont="1" applyBorder="1" applyAlignment="1">
      <alignment horizontal="right" wrapText="1"/>
    </xf>
    <xf numFmtId="3" fontId="15" fillId="0" borderId="35" xfId="2" applyNumberFormat="1" applyBorder="1" applyAlignment="1">
      <alignment horizontal="center" vertical="center"/>
    </xf>
    <xf numFmtId="3" fontId="24" fillId="0" borderId="31" xfId="2" applyNumberFormat="1" applyFont="1" applyBorder="1" applyAlignment="1">
      <alignment horizontal="center" vertical="center" wrapText="1"/>
    </xf>
    <xf numFmtId="3" fontId="24" fillId="0" borderId="32" xfId="2" applyNumberFormat="1" applyFont="1" applyBorder="1" applyAlignment="1">
      <alignment horizontal="center" vertical="center" wrapText="1"/>
    </xf>
    <xf numFmtId="12" fontId="24" fillId="0" borderId="33" xfId="2" applyNumberFormat="1" applyFont="1" applyBorder="1" applyAlignment="1">
      <alignment horizontal="center" vertical="center" wrapText="1"/>
    </xf>
    <xf numFmtId="3" fontId="24" fillId="0" borderId="31" xfId="2" applyNumberFormat="1" applyFont="1" applyBorder="1" applyAlignment="1">
      <alignment horizontal="left" vertical="center" wrapText="1"/>
    </xf>
    <xf numFmtId="3" fontId="24" fillId="0" borderId="32" xfId="2" applyNumberFormat="1" applyFont="1" applyBorder="1" applyAlignment="1">
      <alignment horizontal="left" vertical="center" wrapText="1"/>
    </xf>
    <xf numFmtId="3" fontId="24" fillId="0" borderId="33" xfId="2" applyNumberFormat="1" applyFont="1" applyBorder="1" applyAlignment="1">
      <alignment horizontal="left" vertical="center" wrapText="1"/>
    </xf>
    <xf numFmtId="3" fontId="24" fillId="0" borderId="30" xfId="2" applyNumberFormat="1" applyFont="1" applyBorder="1" applyAlignment="1">
      <alignment horizontal="left" vertical="center" wrapText="1"/>
    </xf>
    <xf numFmtId="3" fontId="24" fillId="0" borderId="0" xfId="2" applyNumberFormat="1" applyFont="1" applyBorder="1" applyAlignment="1">
      <alignment horizontal="left" vertical="center" wrapText="1"/>
    </xf>
    <xf numFmtId="3" fontId="24" fillId="0" borderId="16" xfId="2" applyNumberFormat="1" applyFont="1" applyBorder="1" applyAlignment="1">
      <alignment horizontal="left" vertical="center" wrapText="1"/>
    </xf>
    <xf numFmtId="3" fontId="43" fillId="0" borderId="0" xfId="2" applyNumberFormat="1" applyFont="1" applyAlignment="1">
      <alignment horizontal="center" vertical="center" wrapText="1"/>
    </xf>
    <xf numFmtId="3" fontId="15" fillId="0" borderId="36" xfId="2" applyNumberFormat="1" applyFill="1" applyBorder="1" applyAlignment="1">
      <alignment horizontal="right" vertical="center"/>
    </xf>
    <xf numFmtId="3" fontId="24" fillId="0" borderId="41" xfId="2" applyNumberFormat="1" applyFont="1" applyBorder="1" applyAlignment="1">
      <alignment vertical="center" wrapText="1"/>
    </xf>
    <xf numFmtId="3" fontId="24" fillId="0" borderId="39" xfId="2" applyNumberFormat="1" applyFont="1" applyBorder="1" applyAlignment="1">
      <alignment vertical="center" wrapText="1"/>
    </xf>
    <xf numFmtId="3" fontId="43" fillId="0" borderId="39" xfId="2" applyNumberFormat="1" applyFont="1" applyBorder="1" applyAlignment="1">
      <alignment horizontal="center"/>
    </xf>
    <xf numFmtId="3" fontId="43" fillId="0" borderId="41" xfId="2" applyNumberFormat="1" applyFont="1" applyBorder="1" applyAlignment="1">
      <alignment horizontal="center"/>
    </xf>
    <xf numFmtId="3" fontId="43" fillId="0" borderId="42" xfId="2" applyNumberFormat="1" applyFont="1" applyBorder="1" applyAlignment="1">
      <alignment horizontal="center"/>
    </xf>
    <xf numFmtId="3" fontId="43" fillId="0" borderId="28" xfId="2" applyNumberFormat="1" applyFont="1" applyBorder="1" applyAlignment="1">
      <alignment horizontal="center"/>
    </xf>
    <xf numFmtId="3" fontId="43" fillId="0" borderId="41" xfId="2" applyNumberFormat="1" applyFont="1" applyBorder="1" applyAlignment="1">
      <alignment horizontal="center" vertical="center"/>
    </xf>
    <xf numFmtId="3" fontId="43" fillId="0" borderId="42" xfId="2" applyNumberFormat="1" applyFont="1" applyBorder="1" applyAlignment="1">
      <alignment horizontal="center" vertical="center"/>
    </xf>
    <xf numFmtId="3" fontId="43" fillId="0" borderId="28" xfId="2" applyNumberFormat="1" applyFont="1" applyBorder="1" applyAlignment="1">
      <alignment horizontal="center" vertical="center"/>
    </xf>
    <xf numFmtId="3" fontId="43" fillId="0" borderId="34" xfId="2" applyNumberFormat="1" applyFont="1" applyBorder="1" applyAlignment="1">
      <alignment horizontal="center" vertical="center" wrapText="1"/>
    </xf>
    <xf numFmtId="3" fontId="43" fillId="0" borderId="31" xfId="2" applyNumberFormat="1" applyFont="1" applyBorder="1" applyAlignment="1">
      <alignment horizontal="center" vertical="center" wrapText="1"/>
    </xf>
    <xf numFmtId="3" fontId="43" fillId="0" borderId="32" xfId="2" applyNumberFormat="1" applyFont="1" applyBorder="1" applyAlignment="1">
      <alignment horizontal="center" vertical="center" wrapText="1"/>
    </xf>
    <xf numFmtId="3" fontId="43" fillId="0" borderId="33" xfId="2" applyNumberFormat="1" applyFont="1" applyBorder="1" applyAlignment="1">
      <alignment horizontal="center" vertical="center" wrapText="1"/>
    </xf>
    <xf numFmtId="3" fontId="43" fillId="0" borderId="36" xfId="2" applyNumberFormat="1" applyFont="1" applyBorder="1" applyAlignment="1">
      <alignment horizontal="center" vertical="center" wrapText="1"/>
    </xf>
    <xf numFmtId="3" fontId="43" fillId="0" borderId="37" xfId="2" applyNumberFormat="1" applyFont="1" applyBorder="1" applyAlignment="1">
      <alignment horizontal="center" vertical="center" wrapText="1"/>
    </xf>
    <xf numFmtId="3" fontId="43" fillId="0" borderId="38" xfId="2" applyNumberFormat="1" applyFont="1" applyBorder="1" applyAlignment="1">
      <alignment horizontal="center" vertical="center" wrapText="1"/>
    </xf>
    <xf numFmtId="3" fontId="43" fillId="0" borderId="24" xfId="2" applyNumberFormat="1" applyFont="1" applyBorder="1" applyAlignment="1">
      <alignment horizontal="center" vertical="center" wrapText="1"/>
    </xf>
    <xf numFmtId="3" fontId="15" fillId="0" borderId="0" xfId="2" applyNumberFormat="1" applyAlignment="1">
      <alignment horizontal="center"/>
    </xf>
    <xf numFmtId="3" fontId="40" fillId="0" borderId="31" xfId="2" applyNumberFormat="1" applyFont="1" applyBorder="1" applyAlignment="1">
      <alignment horizontal="center" vertical="center" wrapText="1"/>
    </xf>
    <xf numFmtId="3" fontId="40" fillId="0" borderId="32" xfId="2" applyNumberFormat="1" applyFont="1" applyBorder="1" applyAlignment="1">
      <alignment horizontal="center" vertical="center" wrapText="1"/>
    </xf>
    <xf numFmtId="3" fontId="40" fillId="0" borderId="33" xfId="2" applyNumberFormat="1" applyFont="1" applyBorder="1" applyAlignment="1">
      <alignment horizontal="center" vertical="center" wrapText="1"/>
    </xf>
    <xf numFmtId="3" fontId="40" fillId="0" borderId="37" xfId="2" applyNumberFormat="1" applyFont="1" applyBorder="1" applyAlignment="1">
      <alignment horizontal="center" vertical="center" wrapText="1"/>
    </xf>
    <xf numFmtId="3" fontId="40" fillId="0" borderId="38" xfId="2" applyNumberFormat="1" applyFont="1" applyBorder="1" applyAlignment="1">
      <alignment horizontal="center" vertical="center" wrapText="1"/>
    </xf>
    <xf numFmtId="3" fontId="40" fillId="0" borderId="24" xfId="2" applyNumberFormat="1" applyFont="1" applyBorder="1" applyAlignment="1">
      <alignment horizontal="center" vertical="center" wrapText="1"/>
    </xf>
    <xf numFmtId="3" fontId="15" fillId="0" borderId="41" xfId="2" applyNumberFormat="1" applyBorder="1" applyAlignment="1">
      <alignment horizontal="left" vertical="center"/>
    </xf>
    <xf numFmtId="3" fontId="15" fillId="0" borderId="42" xfId="2" applyNumberFormat="1" applyBorder="1" applyAlignment="1">
      <alignment horizontal="left" vertical="center"/>
    </xf>
    <xf numFmtId="3" fontId="15" fillId="0" borderId="28" xfId="2" applyNumberFormat="1" applyBorder="1" applyAlignment="1">
      <alignment horizontal="left" vertical="center"/>
    </xf>
    <xf numFmtId="3" fontId="16" fillId="0" borderId="41" xfId="2" applyNumberFormat="1" applyFont="1" applyBorder="1" applyAlignment="1">
      <alignment horizontal="center" vertical="center"/>
    </xf>
    <xf numFmtId="3" fontId="16" fillId="0" borderId="42" xfId="2" applyNumberFormat="1" applyFont="1" applyBorder="1" applyAlignment="1">
      <alignment horizontal="center" vertical="center"/>
    </xf>
    <xf numFmtId="3" fontId="16" fillId="0" borderId="28" xfId="2" applyNumberFormat="1" applyFont="1" applyBorder="1" applyAlignment="1">
      <alignment horizontal="center" vertical="center"/>
    </xf>
    <xf numFmtId="3" fontId="16" fillId="0" borderId="0" xfId="2" applyNumberFormat="1" applyFont="1" applyBorder="1" applyAlignment="1">
      <alignment horizontal="center" vertical="center"/>
    </xf>
    <xf numFmtId="12" fontId="16" fillId="0" borderId="16" xfId="2" applyNumberFormat="1" applyFont="1" applyBorder="1" applyAlignment="1">
      <alignment horizontal="center" vertical="center"/>
    </xf>
    <xf numFmtId="12" fontId="15" fillId="0" borderId="0" xfId="2" applyNumberFormat="1" applyBorder="1" applyAlignment="1"/>
    <xf numFmtId="3" fontId="31" fillId="0" borderId="11" xfId="2" applyNumberFormat="1" applyFont="1" applyBorder="1" applyAlignment="1">
      <alignment horizontal="center" vertical="center"/>
    </xf>
    <xf numFmtId="12" fontId="31" fillId="0" borderId="40" xfId="2" applyNumberFormat="1" applyFont="1" applyBorder="1" applyAlignment="1">
      <alignment horizontal="center" vertical="center"/>
    </xf>
    <xf numFmtId="3" fontId="16" fillId="0" borderId="16" xfId="2" applyNumberFormat="1" applyFont="1" applyBorder="1" applyAlignment="1">
      <alignment horizontal="center" vertical="center"/>
    </xf>
    <xf numFmtId="3" fontId="31" fillId="4" borderId="0" xfId="2" applyNumberFormat="1" applyFont="1" applyFill="1" applyBorder="1" applyAlignment="1">
      <alignment horizontal="center" vertical="center"/>
    </xf>
    <xf numFmtId="12" fontId="31" fillId="4" borderId="0" xfId="2" applyNumberFormat="1" applyFont="1" applyFill="1" applyBorder="1" applyAlignment="1">
      <alignment horizontal="center" vertical="center"/>
    </xf>
    <xf numFmtId="3" fontId="45" fillId="0" borderId="30" xfId="2" applyNumberFormat="1" applyFont="1" applyBorder="1" applyAlignment="1">
      <alignment horizontal="right"/>
    </xf>
    <xf numFmtId="3" fontId="45" fillId="0" borderId="0" xfId="2" applyNumberFormat="1" applyFont="1" applyBorder="1" applyAlignment="1">
      <alignment horizontal="right"/>
    </xf>
    <xf numFmtId="3" fontId="23" fillId="4" borderId="0" xfId="2" applyNumberFormat="1" applyFont="1" applyFill="1" applyBorder="1" applyAlignment="1">
      <alignment horizontal="center" vertical="center"/>
    </xf>
    <xf numFmtId="3" fontId="47" fillId="4" borderId="0" xfId="2" applyNumberFormat="1" applyFont="1" applyFill="1" applyBorder="1"/>
    <xf numFmtId="3" fontId="16" fillId="0" borderId="11" xfId="2" applyNumberFormat="1" applyFont="1" applyBorder="1" applyAlignment="1">
      <alignment horizontal="center" vertical="center"/>
    </xf>
    <xf numFmtId="3" fontId="16" fillId="0" borderId="40" xfId="2" applyNumberFormat="1" applyFont="1" applyBorder="1" applyAlignment="1">
      <alignment horizontal="center" vertical="center"/>
    </xf>
    <xf numFmtId="3" fontId="47" fillId="4" borderId="11" xfId="2" applyNumberFormat="1" applyFont="1" applyFill="1" applyBorder="1"/>
    <xf numFmtId="3" fontId="38" fillId="4" borderId="16" xfId="2" applyNumberFormat="1" applyFont="1" applyFill="1" applyBorder="1"/>
    <xf numFmtId="3" fontId="15" fillId="0" borderId="37" xfId="2" applyNumberFormat="1" applyFill="1" applyBorder="1" applyAlignment="1">
      <alignment wrapText="1"/>
    </xf>
    <xf numFmtId="3" fontId="2" fillId="0" borderId="39" xfId="2" applyNumberFormat="1" applyFont="1" applyBorder="1" applyAlignment="1">
      <alignment horizontal="center" vertical="center"/>
    </xf>
    <xf numFmtId="3" fontId="48" fillId="0" borderId="39" xfId="2" applyNumberFormat="1" applyFont="1" applyBorder="1" applyAlignment="1">
      <alignment horizontal="center" vertical="center"/>
    </xf>
    <xf numFmtId="3" fontId="48" fillId="0" borderId="39" xfId="2" applyNumberFormat="1" applyFont="1" applyBorder="1" applyAlignment="1">
      <alignment horizontal="center" vertical="center"/>
    </xf>
    <xf numFmtId="3" fontId="48" fillId="0" borderId="28" xfId="2" applyNumberFormat="1" applyFont="1" applyBorder="1" applyAlignment="1">
      <alignment horizontal="center" vertical="center"/>
    </xf>
    <xf numFmtId="3" fontId="48" fillId="0" borderId="41" xfId="2" applyNumberFormat="1" applyFont="1" applyBorder="1" applyAlignment="1">
      <alignment horizontal="center" vertical="center"/>
    </xf>
    <xf numFmtId="3" fontId="49" fillId="0" borderId="39" xfId="2" applyNumberFormat="1" applyFont="1" applyBorder="1" applyAlignment="1">
      <alignment horizontal="center" vertical="center" wrapText="1"/>
    </xf>
    <xf numFmtId="3" fontId="48" fillId="0" borderId="0" xfId="2" applyNumberFormat="1" applyFont="1"/>
    <xf numFmtId="3" fontId="2" fillId="0" borderId="39" xfId="2" applyNumberFormat="1" applyFont="1" applyBorder="1" applyAlignment="1">
      <alignment horizontal="center" vertical="center" wrapText="1"/>
    </xf>
    <xf numFmtId="3" fontId="50" fillId="0" borderId="39" xfId="2" applyNumberFormat="1" applyFont="1" applyBorder="1" applyAlignment="1">
      <alignment horizontal="center" vertical="center" wrapText="1"/>
    </xf>
    <xf numFmtId="3" fontId="50" fillId="0" borderId="28" xfId="2" applyNumberFormat="1" applyFont="1" applyBorder="1" applyAlignment="1">
      <alignment horizontal="center" vertical="center" wrapText="1"/>
    </xf>
    <xf numFmtId="3" fontId="50" fillId="0" borderId="41" xfId="2" applyNumberFormat="1" applyFont="1" applyBorder="1" applyAlignment="1">
      <alignment horizontal="center" vertical="center" wrapText="1"/>
    </xf>
    <xf numFmtId="3" fontId="50" fillId="0" borderId="39" xfId="2" applyNumberFormat="1" applyFont="1" applyBorder="1" applyAlignment="1">
      <alignment horizontal="center" vertical="center" wrapText="1"/>
    </xf>
    <xf numFmtId="3" fontId="50" fillId="0" borderId="0" xfId="2" applyNumberFormat="1" applyFont="1"/>
    <xf numFmtId="4" fontId="15" fillId="0" borderId="0" xfId="2" applyNumberFormat="1"/>
    <xf numFmtId="3" fontId="15" fillId="0" borderId="41" xfId="2" applyNumberFormat="1" applyBorder="1" applyAlignment="1">
      <alignment horizontal="left"/>
    </xf>
    <xf numFmtId="3" fontId="15" fillId="0" borderId="42" xfId="2" applyNumberFormat="1" applyBorder="1" applyAlignment="1">
      <alignment horizontal="left"/>
    </xf>
    <xf numFmtId="3" fontId="15" fillId="0" borderId="28" xfId="2" applyNumberFormat="1" applyBorder="1" applyAlignment="1">
      <alignment horizontal="left"/>
    </xf>
    <xf numFmtId="3" fontId="2" fillId="0" borderId="31" xfId="2" applyNumberFormat="1" applyFont="1" applyBorder="1" applyAlignment="1">
      <alignment horizontal="center" vertical="center"/>
    </xf>
    <xf numFmtId="3" fontId="2" fillId="0" borderId="32" xfId="2" applyNumberFormat="1" applyFont="1" applyBorder="1" applyAlignment="1">
      <alignment horizontal="center" vertical="center"/>
    </xf>
    <xf numFmtId="3" fontId="2" fillId="0" borderId="33" xfId="2" applyNumberFormat="1" applyFont="1" applyBorder="1" applyAlignment="1">
      <alignment horizontal="center" vertical="center"/>
    </xf>
    <xf numFmtId="3" fontId="46" fillId="0" borderId="0" xfId="2" applyNumberFormat="1" applyFont="1" applyBorder="1" applyAlignment="1">
      <alignment horizontal="center" vertical="center"/>
    </xf>
    <xf numFmtId="3" fontId="46" fillId="0" borderId="16" xfId="2" applyNumberFormat="1" applyFont="1" applyBorder="1" applyAlignment="1">
      <alignment horizontal="center" vertical="center"/>
    </xf>
    <xf numFmtId="3" fontId="2" fillId="0" borderId="41" xfId="2" applyNumberFormat="1" applyFont="1" applyBorder="1" applyAlignment="1">
      <alignment horizontal="center" vertical="center"/>
    </xf>
    <xf numFmtId="3" fontId="2" fillId="0" borderId="42" xfId="2" applyNumberFormat="1" applyFont="1" applyBorder="1" applyAlignment="1">
      <alignment horizontal="center" vertical="center"/>
    </xf>
    <xf numFmtId="3" fontId="2" fillId="0" borderId="28" xfId="2" applyNumberFormat="1" applyFont="1" applyBorder="1" applyAlignment="1">
      <alignment horizontal="center" vertical="center"/>
    </xf>
    <xf numFmtId="3" fontId="48" fillId="0" borderId="39" xfId="2" applyNumberFormat="1" applyFont="1" applyBorder="1" applyAlignment="1">
      <alignment horizontal="center" vertical="center" wrapText="1"/>
    </xf>
    <xf numFmtId="3" fontId="48" fillId="0" borderId="41" xfId="2" applyNumberFormat="1" applyFont="1" applyBorder="1" applyAlignment="1">
      <alignment horizontal="center" vertical="center" wrapText="1"/>
    </xf>
    <xf numFmtId="3" fontId="48" fillId="0" borderId="42" xfId="2" applyNumberFormat="1" applyFont="1" applyBorder="1" applyAlignment="1">
      <alignment horizontal="center" vertical="center" wrapText="1"/>
    </xf>
    <xf numFmtId="3" fontId="48" fillId="0" borderId="28" xfId="2" applyNumberFormat="1" applyFont="1" applyBorder="1" applyAlignment="1">
      <alignment horizontal="center" vertical="center" wrapText="1"/>
    </xf>
    <xf numFmtId="3" fontId="15" fillId="0" borderId="0" xfId="2" applyNumberFormat="1" applyFill="1" applyBorder="1" applyAlignment="1">
      <alignment horizontal="center" vertical="center"/>
    </xf>
    <xf numFmtId="12" fontId="48" fillId="0" borderId="0" xfId="2" applyNumberFormat="1" applyFont="1" applyFill="1" applyBorder="1" applyAlignment="1">
      <alignment horizontal="left" vertical="top"/>
    </xf>
    <xf numFmtId="12" fontId="48" fillId="0" borderId="32" xfId="2" applyNumberFormat="1" applyFont="1" applyFill="1" applyBorder="1" applyAlignment="1">
      <alignment horizontal="center" vertical="top"/>
    </xf>
    <xf numFmtId="3" fontId="15" fillId="0" borderId="32" xfId="2" applyNumberFormat="1" applyFill="1" applyBorder="1" applyAlignment="1">
      <alignment horizontal="left" vertical="center"/>
    </xf>
    <xf numFmtId="3" fontId="15" fillId="0" borderId="32" xfId="2" applyNumberFormat="1" applyFill="1" applyBorder="1" applyAlignment="1">
      <alignment horizontal="center" vertical="center"/>
    </xf>
    <xf numFmtId="3" fontId="15" fillId="0" borderId="0" xfId="2" applyNumberFormat="1" applyFill="1" applyBorder="1" applyAlignment="1">
      <alignment horizontal="left" vertical="center"/>
    </xf>
    <xf numFmtId="3" fontId="15" fillId="0" borderId="16" xfId="2" applyNumberFormat="1" applyFill="1" applyBorder="1" applyAlignment="1">
      <alignment horizontal="center" vertical="center"/>
    </xf>
    <xf numFmtId="3" fontId="15" fillId="0" borderId="0" xfId="2" applyNumberFormat="1" applyBorder="1" applyAlignment="1">
      <alignment horizontal="center" vertical="center"/>
    </xf>
    <xf numFmtId="12" fontId="48" fillId="0" borderId="0" xfId="2" applyNumberFormat="1" applyFont="1" applyBorder="1" applyAlignment="1">
      <alignment horizontal="left" vertical="top"/>
    </xf>
    <xf numFmtId="12" fontId="48" fillId="0" borderId="0" xfId="2" applyNumberFormat="1" applyFont="1" applyFill="1" applyBorder="1" applyAlignment="1">
      <alignment horizontal="center" vertical="top"/>
    </xf>
    <xf numFmtId="3" fontId="15" fillId="0" borderId="0" xfId="2" applyNumberFormat="1" applyBorder="1" applyAlignment="1">
      <alignment horizontal="left" vertical="center"/>
    </xf>
    <xf numFmtId="3" fontId="15" fillId="0" borderId="35" xfId="2" applyNumberFormat="1" applyBorder="1" applyAlignment="1">
      <alignment vertical="center"/>
    </xf>
    <xf numFmtId="3" fontId="15" fillId="0" borderId="30" xfId="2" applyNumberFormat="1" applyFill="1" applyBorder="1" applyAlignment="1">
      <alignment horizontal="center" vertical="center"/>
    </xf>
    <xf numFmtId="3" fontId="15" fillId="0" borderId="63" xfId="2" applyNumberFormat="1" applyBorder="1" applyAlignment="1">
      <alignment horizontal="center" vertical="center"/>
    </xf>
    <xf numFmtId="3" fontId="15" fillId="0" borderId="16" xfId="2" applyNumberFormat="1" applyFill="1" applyBorder="1" applyAlignment="1">
      <alignment horizontal="center" vertical="center"/>
    </xf>
    <xf numFmtId="3" fontId="15" fillId="0" borderId="35" xfId="2" applyNumberFormat="1" applyBorder="1" applyAlignment="1">
      <alignment horizontal="right" vertical="center"/>
    </xf>
    <xf numFmtId="3" fontId="15" fillId="0" borderId="38" xfId="2" applyNumberFormat="1" applyFill="1" applyBorder="1" applyAlignment="1">
      <alignment horizontal="center" vertical="center"/>
    </xf>
    <xf numFmtId="12" fontId="48" fillId="0" borderId="38" xfId="2" applyNumberFormat="1" applyFont="1" applyBorder="1" applyAlignment="1">
      <alignment horizontal="left" vertical="top"/>
    </xf>
    <xf numFmtId="12" fontId="48" fillId="0" borderId="38" xfId="2" applyNumberFormat="1" applyFont="1" applyFill="1" applyBorder="1" applyAlignment="1">
      <alignment horizontal="center" vertical="top"/>
    </xf>
    <xf numFmtId="3" fontId="15" fillId="0" borderId="38" xfId="2" applyNumberFormat="1" applyBorder="1" applyAlignment="1">
      <alignment horizontal="left" vertical="center"/>
    </xf>
    <xf numFmtId="3" fontId="15" fillId="0" borderId="38" xfId="2" applyNumberFormat="1" applyBorder="1" applyAlignment="1">
      <alignment horizontal="center" vertical="center"/>
    </xf>
    <xf numFmtId="3" fontId="15" fillId="0" borderId="38" xfId="2" applyNumberFormat="1" applyFill="1" applyBorder="1" applyAlignment="1">
      <alignment horizontal="center" vertical="center"/>
    </xf>
    <xf numFmtId="3" fontId="15" fillId="0" borderId="24" xfId="2" applyNumberFormat="1" applyBorder="1" applyAlignment="1">
      <alignment horizontal="center" vertical="center"/>
    </xf>
    <xf numFmtId="3" fontId="48" fillId="0" borderId="28" xfId="2" applyNumberFormat="1" applyFont="1" applyBorder="1" applyAlignment="1">
      <alignment horizontal="center" vertical="center"/>
    </xf>
    <xf numFmtId="3" fontId="15" fillId="0" borderId="36" xfId="2" applyNumberFormat="1" applyBorder="1" applyAlignment="1">
      <alignment horizontal="right" vertical="center"/>
    </xf>
    <xf numFmtId="3" fontId="2" fillId="0" borderId="41" xfId="2" applyNumberFormat="1" applyFont="1" applyBorder="1" applyAlignment="1">
      <alignment horizontal="center" vertical="center" wrapText="1"/>
    </xf>
    <xf numFmtId="3" fontId="2" fillId="0" borderId="42" xfId="2" applyNumberFormat="1" applyFont="1" applyBorder="1" applyAlignment="1">
      <alignment horizontal="center" vertical="center" wrapText="1"/>
    </xf>
    <xf numFmtId="3" fontId="2" fillId="0" borderId="28" xfId="2" applyNumberFormat="1" applyFont="1" applyBorder="1" applyAlignment="1">
      <alignment horizontal="center" vertical="center" wrapText="1"/>
    </xf>
    <xf numFmtId="3" fontId="15" fillId="0" borderId="39" xfId="2" applyNumberFormat="1" applyBorder="1" applyAlignment="1">
      <alignment horizontal="right" vertical="center"/>
    </xf>
    <xf numFmtId="0" fontId="46" fillId="0" borderId="41" xfId="2" applyFont="1" applyBorder="1" applyAlignment="1">
      <alignment horizontal="center" vertical="center"/>
    </xf>
    <xf numFmtId="0" fontId="46" fillId="0" borderId="42" xfId="2" applyFont="1" applyBorder="1" applyAlignment="1">
      <alignment horizontal="center" vertical="center"/>
    </xf>
    <xf numFmtId="0" fontId="46" fillId="0" borderId="28" xfId="2" applyFont="1" applyBorder="1" applyAlignment="1">
      <alignment horizontal="center" vertical="center"/>
    </xf>
    <xf numFmtId="12" fontId="15" fillId="0" borderId="0" xfId="2" applyNumberFormat="1" applyBorder="1" applyAlignment="1">
      <alignment horizontal="left"/>
    </xf>
    <xf numFmtId="0" fontId="15" fillId="0" borderId="0" xfId="2" applyBorder="1" applyAlignment="1">
      <alignment horizontal="left"/>
    </xf>
    <xf numFmtId="0" fontId="15" fillId="0" borderId="37" xfId="2" applyBorder="1" applyAlignment="1">
      <alignment horizontal="right"/>
    </xf>
    <xf numFmtId="12" fontId="15" fillId="0" borderId="38" xfId="2" applyNumberFormat="1" applyBorder="1" applyAlignment="1">
      <alignment horizontal="left"/>
    </xf>
    <xf numFmtId="0" fontId="15" fillId="0" borderId="38" xfId="2" applyBorder="1" applyAlignment="1">
      <alignment horizontal="left"/>
    </xf>
    <xf numFmtId="3" fontId="51" fillId="0" borderId="41" xfId="2" applyNumberFormat="1" applyFont="1" applyBorder="1" applyAlignment="1">
      <alignment horizontal="center" vertical="center" wrapText="1"/>
    </xf>
    <xf numFmtId="3" fontId="51" fillId="0" borderId="28" xfId="2" applyNumberFormat="1" applyFont="1" applyBorder="1" applyAlignment="1">
      <alignment horizontal="center" vertical="center" wrapText="1"/>
    </xf>
    <xf numFmtId="3" fontId="15" fillId="4" borderId="33" xfId="2" applyNumberFormat="1" applyFill="1" applyBorder="1"/>
    <xf numFmtId="3" fontId="48" fillId="0" borderId="39" xfId="2" applyNumberFormat="1" applyFont="1" applyBorder="1" applyAlignment="1">
      <alignment horizontal="center"/>
    </xf>
    <xf numFmtId="3" fontId="46" fillId="0" borderId="31" xfId="2" applyNumberFormat="1" applyFont="1" applyBorder="1" applyAlignment="1">
      <alignment horizontal="center" vertical="center" wrapText="1"/>
    </xf>
    <xf numFmtId="3" fontId="46" fillId="0" borderId="33" xfId="2" applyNumberFormat="1" applyFont="1" applyBorder="1" applyAlignment="1">
      <alignment horizontal="center" vertical="center" wrapText="1"/>
    </xf>
    <xf numFmtId="3" fontId="50" fillId="0" borderId="30" xfId="2" applyNumberFormat="1" applyFont="1" applyBorder="1" applyAlignment="1">
      <alignment horizontal="left" vertical="center" wrapText="1"/>
    </xf>
    <xf numFmtId="3" fontId="50" fillId="0" borderId="16" xfId="2" applyNumberFormat="1" applyFont="1" applyBorder="1" applyAlignment="1">
      <alignment horizontal="left" vertical="center" wrapText="1"/>
    </xf>
    <xf numFmtId="3" fontId="49" fillId="0" borderId="28" xfId="2" applyNumberFormat="1" applyFont="1" applyBorder="1" applyAlignment="1">
      <alignment horizontal="center" vertical="center" wrapText="1"/>
    </xf>
    <xf numFmtId="3" fontId="43" fillId="0" borderId="42" xfId="2" applyNumberFormat="1" applyFont="1" applyBorder="1" applyAlignment="1">
      <alignment horizontal="center" vertical="center" wrapText="1"/>
    </xf>
    <xf numFmtId="3" fontId="40" fillId="0" borderId="41" xfId="2" applyNumberFormat="1" applyFont="1" applyBorder="1" applyAlignment="1">
      <alignment horizontal="center" vertical="center" wrapText="1"/>
    </xf>
    <xf numFmtId="3" fontId="40" fillId="0" borderId="28" xfId="2" applyNumberFormat="1" applyFont="1" applyBorder="1" applyAlignment="1">
      <alignment horizontal="center" vertical="center" wrapText="1"/>
    </xf>
    <xf numFmtId="3" fontId="15" fillId="0" borderId="0" xfId="2" applyNumberFormat="1" applyAlignment="1">
      <alignment horizontal="center" vertical="center" wrapText="1"/>
    </xf>
    <xf numFmtId="3" fontId="49" fillId="0" borderId="39" xfId="2" applyNumberFormat="1" applyFont="1" applyBorder="1" applyAlignment="1">
      <alignment horizontal="center" vertical="center" wrapText="1"/>
    </xf>
    <xf numFmtId="3" fontId="49" fillId="0" borderId="0" xfId="2" applyNumberFormat="1" applyFont="1" applyAlignment="1">
      <alignment horizontal="center" vertical="center" wrapText="1"/>
    </xf>
    <xf numFmtId="3" fontId="49" fillId="0" borderId="30" xfId="2" applyNumberFormat="1" applyFont="1" applyBorder="1" applyAlignment="1">
      <alignment horizontal="center" vertical="center" wrapText="1"/>
    </xf>
    <xf numFmtId="3" fontId="49" fillId="0" borderId="36" xfId="2" applyNumberFormat="1" applyFont="1" applyBorder="1" applyAlignment="1">
      <alignment horizontal="center" vertical="center" wrapText="1"/>
    </xf>
    <xf numFmtId="3" fontId="49" fillId="0" borderId="37" xfId="2" applyNumberFormat="1" applyFont="1" applyBorder="1" applyAlignment="1">
      <alignment horizontal="center" vertical="center" wrapText="1"/>
    </xf>
    <xf numFmtId="3" fontId="49" fillId="0" borderId="24" xfId="2" applyNumberFormat="1" applyFont="1" applyBorder="1" applyAlignment="1">
      <alignment horizontal="center" vertical="center" wrapText="1"/>
    </xf>
    <xf numFmtId="3" fontId="49" fillId="0" borderId="41" xfId="2" applyNumberFormat="1" applyFont="1" applyBorder="1" applyAlignment="1">
      <alignment horizontal="center" vertical="center" wrapText="1"/>
    </xf>
    <xf numFmtId="3" fontId="49" fillId="0" borderId="28" xfId="2" applyNumberFormat="1" applyFont="1" applyBorder="1" applyAlignment="1">
      <alignment horizontal="center" vertical="center" wrapText="1"/>
    </xf>
    <xf numFmtId="3" fontId="15" fillId="0" borderId="38" xfId="2" applyNumberFormat="1" applyFill="1" applyBorder="1"/>
    <xf numFmtId="3" fontId="43" fillId="0" borderId="28" xfId="2" applyNumberFormat="1" applyFont="1" applyBorder="1" applyAlignment="1">
      <alignment horizontal="center" vertical="center" wrapText="1"/>
    </xf>
    <xf numFmtId="3" fontId="49" fillId="0" borderId="35" xfId="2" applyNumberFormat="1" applyFont="1" applyBorder="1" applyAlignment="1">
      <alignment horizontal="center" vertical="center" wrapText="1"/>
    </xf>
    <xf numFmtId="3" fontId="49" fillId="0" borderId="30" xfId="2" applyNumberFormat="1" applyFont="1" applyBorder="1" applyAlignment="1">
      <alignment horizontal="center" vertical="center" wrapText="1"/>
    </xf>
    <xf numFmtId="3" fontId="49" fillId="0" borderId="16" xfId="2" applyNumberFormat="1" applyFont="1" applyBorder="1" applyAlignment="1">
      <alignment horizontal="center" vertical="center" wrapText="1"/>
    </xf>
    <xf numFmtId="3" fontId="1" fillId="0" borderId="41" xfId="2" applyNumberFormat="1" applyFont="1" applyBorder="1" applyAlignment="1">
      <alignment horizontal="center" vertical="center" wrapText="1"/>
    </xf>
    <xf numFmtId="3" fontId="1" fillId="0" borderId="42" xfId="2" applyNumberFormat="1" applyFont="1" applyBorder="1" applyAlignment="1">
      <alignment horizontal="center" vertical="center" wrapText="1"/>
    </xf>
    <xf numFmtId="3" fontId="1" fillId="0" borderId="28" xfId="2" applyNumberFormat="1" applyFont="1" applyBorder="1" applyAlignment="1">
      <alignment horizontal="center" vertical="center" wrapText="1"/>
    </xf>
    <xf numFmtId="3" fontId="1" fillId="0" borderId="0" xfId="2" applyNumberFormat="1" applyFont="1" applyAlignment="1">
      <alignment horizontal="center" vertical="center" wrapText="1"/>
    </xf>
    <xf numFmtId="3" fontId="48" fillId="0" borderId="28" xfId="2" applyNumberFormat="1" applyFont="1" applyBorder="1" applyAlignment="1">
      <alignment horizontal="center" vertical="center" wrapText="1"/>
    </xf>
    <xf numFmtId="3" fontId="48" fillId="0" borderId="0" xfId="2" applyNumberFormat="1" applyFont="1" applyAlignment="1">
      <alignment horizontal="center" vertical="center" wrapText="1"/>
    </xf>
    <xf numFmtId="3" fontId="15" fillId="0" borderId="31" xfId="2" applyNumberFormat="1" applyBorder="1" applyAlignment="1">
      <alignment horizontal="center" vertical="center" wrapText="1"/>
    </xf>
    <xf numFmtId="3" fontId="50" fillId="0" borderId="34" xfId="2" applyNumberFormat="1" applyFont="1" applyBorder="1" applyAlignment="1">
      <alignment horizontal="center" vertical="center" wrapText="1"/>
    </xf>
    <xf numFmtId="3" fontId="48" fillId="0" borderId="39" xfId="2" applyNumberFormat="1" applyFont="1" applyBorder="1" applyAlignment="1">
      <alignment horizontal="center" vertical="center" wrapText="1"/>
    </xf>
    <xf numFmtId="3" fontId="15" fillId="0" borderId="30" xfId="2" applyNumberFormat="1" applyBorder="1" applyAlignment="1">
      <alignment horizontal="center" vertical="center" wrapText="1"/>
    </xf>
    <xf numFmtId="3" fontId="50" fillId="0" borderId="36" xfId="2" applyNumberFormat="1" applyFont="1" applyBorder="1" applyAlignment="1">
      <alignment horizontal="center" vertical="center" wrapText="1"/>
    </xf>
    <xf numFmtId="3" fontId="50" fillId="0" borderId="34" xfId="2" applyNumberFormat="1" applyFont="1" applyBorder="1" applyAlignment="1">
      <alignment horizontal="center" vertical="center" wrapText="1"/>
    </xf>
    <xf numFmtId="3" fontId="50" fillId="0" borderId="0" xfId="2" applyNumberFormat="1" applyFont="1" applyAlignment="1">
      <alignment horizontal="center" vertical="center" wrapText="1"/>
    </xf>
    <xf numFmtId="3" fontId="2" fillId="0" borderId="0" xfId="2" applyNumberFormat="1" applyFont="1" applyAlignment="1">
      <alignment horizontal="center" vertical="center" wrapText="1"/>
    </xf>
    <xf numFmtId="3" fontId="15" fillId="0" borderId="34" xfId="2" applyNumberFormat="1" applyBorder="1" applyAlignment="1">
      <alignment horizontal="left" vertical="center"/>
    </xf>
    <xf numFmtId="3" fontId="15" fillId="0" borderId="36" xfId="2" applyNumberFormat="1" applyBorder="1" applyAlignment="1">
      <alignment horizontal="left" vertical="center"/>
    </xf>
    <xf numFmtId="3" fontId="47" fillId="0" borderId="41" xfId="2" applyNumberFormat="1" applyFont="1" applyBorder="1" applyAlignment="1">
      <alignment horizontal="center"/>
    </xf>
    <xf numFmtId="3" fontId="47" fillId="0" borderId="42" xfId="2" applyNumberFormat="1" applyFont="1" applyBorder="1" applyAlignment="1">
      <alignment horizontal="center"/>
    </xf>
    <xf numFmtId="3" fontId="48" fillId="0" borderId="41" xfId="2" applyNumberFormat="1" applyFont="1" applyBorder="1" applyAlignment="1">
      <alignment vertical="center" wrapText="1"/>
    </xf>
    <xf numFmtId="3" fontId="48" fillId="0" borderId="39" xfId="2" applyNumberFormat="1" applyFont="1" applyBorder="1" applyAlignment="1">
      <alignment vertical="center" wrapText="1"/>
    </xf>
    <xf numFmtId="3" fontId="15" fillId="0" borderId="37" xfId="2" applyNumberFormat="1" applyBorder="1" applyAlignment="1">
      <alignment horizontal="left" vertical="center"/>
    </xf>
    <xf numFmtId="3" fontId="47" fillId="0" borderId="0" xfId="2" applyNumberFormat="1" applyFont="1" applyBorder="1" applyAlignment="1">
      <alignment horizontal="center"/>
    </xf>
    <xf numFmtId="3" fontId="50" fillId="0" borderId="33" xfId="2" applyNumberFormat="1" applyFont="1" applyBorder="1" applyAlignment="1">
      <alignment horizontal="center" vertical="center" wrapText="1"/>
    </xf>
    <xf numFmtId="3" fontId="47" fillId="0" borderId="31" xfId="2" applyNumberFormat="1" applyFont="1" applyBorder="1" applyAlignment="1">
      <alignment horizontal="center"/>
    </xf>
    <xf numFmtId="3" fontId="15" fillId="0" borderId="33" xfId="2" applyNumberFormat="1" applyBorder="1" applyAlignment="1">
      <alignment horizontal="center"/>
    </xf>
    <xf numFmtId="3" fontId="47" fillId="0" borderId="30" xfId="2" applyNumberFormat="1" applyFont="1" applyBorder="1" applyAlignment="1">
      <alignment horizontal="center"/>
    </xf>
    <xf numFmtId="3" fontId="47" fillId="0" borderId="16" xfId="2" applyNumberFormat="1" applyFont="1" applyBorder="1" applyAlignment="1">
      <alignment horizontal="center"/>
    </xf>
    <xf numFmtId="3" fontId="47" fillId="0" borderId="24" xfId="2" applyNumberFormat="1" applyFont="1" applyBorder="1" applyAlignment="1">
      <alignment horizontal="center"/>
    </xf>
    <xf numFmtId="3" fontId="15" fillId="0" borderId="31" xfId="2" applyNumberFormat="1" applyBorder="1" applyAlignment="1">
      <alignment horizontal="right" vertical="top"/>
    </xf>
    <xf numFmtId="3" fontId="15" fillId="0" borderId="32" xfId="2" applyNumberFormat="1" applyBorder="1" applyAlignment="1">
      <alignment horizontal="right" vertical="top"/>
    </xf>
    <xf numFmtId="3" fontId="15" fillId="0" borderId="37" xfId="2" applyNumberFormat="1" applyBorder="1" applyAlignment="1">
      <alignment horizontal="right" vertical="top"/>
    </xf>
    <xf numFmtId="3" fontId="15" fillId="0" borderId="38" xfId="2" applyNumberFormat="1" applyBorder="1" applyAlignment="1">
      <alignment horizontal="right" vertical="top"/>
    </xf>
    <xf numFmtId="3" fontId="15" fillId="0" borderId="24" xfId="2" applyNumberFormat="1" applyBorder="1" applyAlignment="1">
      <alignment horizontal="right" vertical="top"/>
    </xf>
    <xf numFmtId="3" fontId="15" fillId="0" borderId="37" xfId="2" applyNumberFormat="1" applyBorder="1" applyAlignment="1">
      <alignment horizontal="right" vertical="top"/>
    </xf>
    <xf numFmtId="3" fontId="15" fillId="0" borderId="38" xfId="2" applyNumberFormat="1" applyBorder="1" applyAlignment="1">
      <alignment horizontal="right" vertical="top"/>
    </xf>
    <xf numFmtId="3" fontId="2" fillId="0" borderId="39" xfId="2" applyNumberFormat="1" applyFont="1" applyBorder="1" applyAlignment="1">
      <alignment horizontal="left" vertical="center"/>
    </xf>
    <xf numFmtId="3" fontId="46" fillId="0" borderId="41" xfId="2" applyNumberFormat="1" applyFont="1" applyBorder="1" applyAlignment="1">
      <alignment horizontal="center" vertical="center"/>
    </xf>
    <xf numFmtId="3" fontId="46" fillId="0" borderId="42" xfId="2" applyNumberFormat="1" applyFont="1" applyBorder="1" applyAlignment="1">
      <alignment horizontal="center" vertical="center"/>
    </xf>
    <xf numFmtId="3" fontId="46" fillId="0" borderId="28" xfId="2" applyNumberFormat="1" applyFont="1" applyBorder="1" applyAlignment="1">
      <alignment horizontal="center" vertical="center"/>
    </xf>
    <xf numFmtId="3" fontId="1" fillId="0" borderId="28" xfId="2" applyNumberFormat="1" applyFont="1" applyBorder="1" applyAlignment="1">
      <alignment horizontal="center" vertical="center"/>
    </xf>
    <xf numFmtId="3" fontId="1" fillId="0" borderId="39" xfId="2" applyNumberFormat="1" applyFont="1" applyBorder="1" applyAlignment="1">
      <alignment horizontal="center" vertical="center"/>
    </xf>
    <xf numFmtId="3" fontId="15" fillId="0" borderId="0" xfId="2" applyNumberFormat="1" applyAlignment="1">
      <alignment vertical="center"/>
    </xf>
    <xf numFmtId="3" fontId="48" fillId="12" borderId="39" xfId="2" applyNumberFormat="1" applyFont="1" applyFill="1" applyBorder="1" applyAlignment="1">
      <alignment horizontal="center" vertical="center" wrapText="1"/>
    </xf>
    <xf numFmtId="3" fontId="48" fillId="0" borderId="0" xfId="2" applyNumberFormat="1" applyFont="1" applyAlignment="1">
      <alignment horizontal="center" vertical="center" wrapText="1"/>
    </xf>
    <xf numFmtId="3" fontId="38" fillId="4" borderId="0" xfId="2" applyNumberFormat="1" applyFont="1" applyFill="1" applyBorder="1"/>
    <xf numFmtId="3" fontId="15" fillId="0" borderId="0" xfId="2" applyNumberFormat="1" applyAlignment="1">
      <alignment horizontal="center" vertical="center"/>
    </xf>
    <xf numFmtId="3" fontId="49" fillId="0" borderId="0" xfId="2" applyNumberFormat="1" applyFont="1" applyAlignment="1">
      <alignment horizontal="center" vertical="center"/>
    </xf>
    <xf numFmtId="3" fontId="49" fillId="0" borderId="39" xfId="2" applyNumberFormat="1" applyFont="1" applyBorder="1" applyAlignment="1">
      <alignment horizontal="center" vertical="center"/>
    </xf>
    <xf numFmtId="3" fontId="49" fillId="12" borderId="39" xfId="2" applyNumberFormat="1" applyFont="1" applyFill="1" applyBorder="1" applyAlignment="1">
      <alignment horizontal="center" vertical="center"/>
    </xf>
    <xf numFmtId="3" fontId="49" fillId="0" borderId="42" xfId="2" applyNumberFormat="1" applyFont="1" applyBorder="1" applyAlignment="1">
      <alignment horizontal="center" vertical="center" wrapText="1"/>
    </xf>
    <xf numFmtId="3" fontId="15" fillId="12" borderId="0" xfId="2" applyNumberFormat="1" applyFill="1" applyBorder="1"/>
    <xf numFmtId="3" fontId="15" fillId="12" borderId="38" xfId="2" applyNumberFormat="1" applyFill="1" applyBorder="1"/>
    <xf numFmtId="3" fontId="15" fillId="12" borderId="39" xfId="2" applyNumberFormat="1" applyFill="1" applyBorder="1" applyAlignment="1">
      <alignment horizontal="center" vertical="center" wrapText="1"/>
    </xf>
    <xf numFmtId="3" fontId="48" fillId="0" borderId="31" xfId="2" applyNumberFormat="1" applyFont="1" applyBorder="1" applyAlignment="1">
      <alignment horizontal="center" vertical="center" wrapText="1"/>
    </xf>
    <xf numFmtId="3" fontId="48" fillId="0" borderId="37" xfId="2" applyNumberFormat="1" applyFont="1" applyBorder="1" applyAlignment="1">
      <alignment horizontal="center" vertical="center" wrapText="1"/>
    </xf>
    <xf numFmtId="3" fontId="48" fillId="12" borderId="39" xfId="2" applyNumberFormat="1" applyFont="1" applyFill="1" applyBorder="1" applyAlignment="1">
      <alignment horizontal="center" vertical="center" wrapText="1"/>
    </xf>
    <xf numFmtId="3" fontId="48" fillId="0" borderId="41" xfId="2" applyNumberFormat="1" applyFont="1" applyBorder="1" applyAlignment="1">
      <alignment horizontal="center" vertical="center" wrapText="1"/>
    </xf>
    <xf numFmtId="3" fontId="49" fillId="12" borderId="39" xfId="2" applyNumberFormat="1" applyFont="1" applyFill="1" applyBorder="1" applyAlignment="1">
      <alignment horizontal="center" vertical="center" wrapText="1"/>
    </xf>
    <xf numFmtId="3" fontId="49" fillId="0" borderId="34" xfId="2" applyNumberFormat="1" applyFont="1" applyBorder="1" applyAlignment="1">
      <alignment horizontal="center" vertical="center" wrapText="1"/>
    </xf>
    <xf numFmtId="3" fontId="49" fillId="0" borderId="0" xfId="2" applyNumberFormat="1" applyFont="1"/>
    <xf numFmtId="3" fontId="49" fillId="0" borderId="36" xfId="2" applyNumberFormat="1" applyFont="1" applyBorder="1" applyAlignment="1">
      <alignment horizontal="center" vertical="center" wrapText="1"/>
    </xf>
    <xf numFmtId="3" fontId="15" fillId="13" borderId="0" xfId="2" applyNumberFormat="1" applyFill="1"/>
    <xf numFmtId="12" fontId="15" fillId="13" borderId="0" xfId="2" applyNumberFormat="1" applyFill="1"/>
    <xf numFmtId="3" fontId="50" fillId="0" borderId="39" xfId="2" applyNumberFormat="1" applyFont="1" applyBorder="1" applyAlignment="1">
      <alignment vertical="center"/>
    </xf>
    <xf numFmtId="3" fontId="50" fillId="0" borderId="39" xfId="2" applyNumberFormat="1" applyFont="1" applyBorder="1" applyAlignment="1">
      <alignment horizontal="center" vertical="center"/>
    </xf>
    <xf numFmtId="3" fontId="50" fillId="0" borderId="35" xfId="2" applyNumberFormat="1" applyFont="1" applyBorder="1"/>
    <xf numFmtId="3" fontId="15" fillId="13" borderId="35" xfId="2" applyNumberFormat="1" applyFill="1" applyBorder="1"/>
    <xf numFmtId="3" fontId="48" fillId="0" borderId="31" xfId="2" applyNumberFormat="1" applyFont="1" applyBorder="1" applyAlignment="1">
      <alignment horizontal="center"/>
    </xf>
    <xf numFmtId="3" fontId="48" fillId="0" borderId="32" xfId="2" applyNumberFormat="1" applyFont="1" applyBorder="1" applyAlignment="1">
      <alignment horizontal="center"/>
    </xf>
    <xf numFmtId="3" fontId="48" fillId="0" borderId="33" xfId="2" applyNumberFormat="1" applyFont="1" applyBorder="1" applyAlignment="1">
      <alignment horizontal="center"/>
    </xf>
    <xf numFmtId="3" fontId="48" fillId="0" borderId="41" xfId="2" applyNumberFormat="1" applyFont="1" applyBorder="1" applyAlignment="1">
      <alignment horizontal="center"/>
    </xf>
    <xf numFmtId="3" fontId="48" fillId="0" borderId="42" xfId="2" applyNumberFormat="1" applyFont="1" applyBorder="1" applyAlignment="1">
      <alignment horizontal="center"/>
    </xf>
    <xf numFmtId="3" fontId="48" fillId="0" borderId="28" xfId="2" applyNumberFormat="1" applyFont="1" applyBorder="1" applyAlignment="1">
      <alignment horizontal="center"/>
    </xf>
    <xf numFmtId="3" fontId="50" fillId="0" borderId="30" xfId="2" applyNumberFormat="1" applyFont="1" applyBorder="1"/>
    <xf numFmtId="3" fontId="15" fillId="13" borderId="41" xfId="2" applyNumberFormat="1" applyFill="1" applyBorder="1" applyAlignment="1">
      <alignment horizontal="center"/>
    </xf>
    <xf numFmtId="3" fontId="15" fillId="13" borderId="42" xfId="2" applyNumberFormat="1" applyFill="1" applyBorder="1" applyAlignment="1">
      <alignment horizontal="center"/>
    </xf>
    <xf numFmtId="3" fontId="15" fillId="13" borderId="28" xfId="2" applyNumberFormat="1" applyFill="1" applyBorder="1" applyAlignment="1">
      <alignment horizontal="center"/>
    </xf>
    <xf numFmtId="3" fontId="50" fillId="0" borderId="41" xfId="2" applyNumberFormat="1" applyFont="1" applyBorder="1" applyAlignment="1">
      <alignment horizontal="center" vertical="center"/>
    </xf>
    <xf numFmtId="3" fontId="50" fillId="0" borderId="28" xfId="2" applyNumberFormat="1" applyFont="1" applyBorder="1" applyAlignment="1">
      <alignment horizontal="center" vertical="center"/>
    </xf>
    <xf numFmtId="3" fontId="50" fillId="0" borderId="42" xfId="2" applyNumberFormat="1" applyFont="1" applyBorder="1" applyAlignment="1">
      <alignment vertical="center"/>
    </xf>
    <xf numFmtId="3" fontId="50" fillId="0" borderId="28" xfId="2" applyNumberFormat="1" applyFont="1" applyBorder="1" applyAlignment="1">
      <alignment vertical="center"/>
    </xf>
    <xf numFmtId="3" fontId="48" fillId="0" borderId="35" xfId="2" applyNumberFormat="1" applyFont="1" applyBorder="1"/>
    <xf numFmtId="3" fontId="49" fillId="0" borderId="35" xfId="2" applyNumberFormat="1" applyFont="1" applyBorder="1"/>
    <xf numFmtId="3" fontId="15" fillId="13" borderId="41" xfId="2" applyNumberFormat="1" applyFill="1" applyBorder="1"/>
    <xf numFmtId="3" fontId="38" fillId="13" borderId="41" xfId="2" applyNumberFormat="1" applyFont="1" applyFill="1" applyBorder="1"/>
    <xf numFmtId="3" fontId="49" fillId="0" borderId="34" xfId="2" applyNumberFormat="1" applyFont="1" applyBorder="1"/>
    <xf numFmtId="3" fontId="50" fillId="0" borderId="42" xfId="2" applyNumberFormat="1" applyFont="1" applyBorder="1" applyAlignment="1">
      <alignment horizontal="center" vertical="center"/>
    </xf>
    <xf numFmtId="3" fontId="49" fillId="0" borderId="36" xfId="2" applyNumberFormat="1" applyFont="1" applyBorder="1"/>
    <xf numFmtId="3" fontId="15" fillId="13" borderId="37" xfId="2" applyNumberFormat="1" applyFill="1" applyBorder="1"/>
    <xf numFmtId="3" fontId="50" fillId="0" borderId="36" xfId="2" applyNumberFormat="1" applyFont="1" applyBorder="1" applyAlignment="1">
      <alignment horizontal="center" wrapText="1"/>
    </xf>
    <xf numFmtId="3" fontId="48" fillId="0" borderId="36" xfId="2" applyNumberFormat="1" applyFont="1" applyBorder="1"/>
    <xf numFmtId="3" fontId="15" fillId="0" borderId="37" xfId="2" applyNumberFormat="1" applyBorder="1" applyAlignment="1">
      <alignment horizontal="left" wrapText="1"/>
    </xf>
    <xf numFmtId="3" fontId="15" fillId="0" borderId="0" xfId="2" applyNumberFormat="1" applyAlignment="1">
      <alignment horizontal="left" wrapText="1"/>
    </xf>
    <xf numFmtId="3" fontId="15" fillId="3" borderId="30" xfId="2" applyNumberFormat="1" applyFill="1" applyBorder="1"/>
    <xf numFmtId="3" fontId="15" fillId="0" borderId="35" xfId="2" applyNumberFormat="1" applyBorder="1" applyAlignment="1">
      <alignment wrapText="1"/>
    </xf>
    <xf numFmtId="3" fontId="2" fillId="0" borderId="31" xfId="2" applyNumberFormat="1" applyFont="1" applyBorder="1" applyAlignment="1">
      <alignment horizontal="center" vertical="center" wrapText="1"/>
    </xf>
    <xf numFmtId="3" fontId="2" fillId="0" borderId="32" xfId="2" applyNumberFormat="1" applyFont="1" applyBorder="1" applyAlignment="1">
      <alignment horizontal="center" vertical="center" wrapText="1"/>
    </xf>
    <xf numFmtId="3" fontId="2" fillId="0" borderId="33" xfId="2" applyNumberFormat="1" applyFont="1" applyBorder="1" applyAlignment="1">
      <alignment horizontal="center" vertical="center" wrapText="1"/>
    </xf>
    <xf numFmtId="3" fontId="2" fillId="0" borderId="0" xfId="2" applyNumberFormat="1" applyFont="1" applyBorder="1" applyAlignment="1">
      <alignment horizontal="center" vertical="center"/>
    </xf>
    <xf numFmtId="3" fontId="2" fillId="0" borderId="0" xfId="2" applyNumberFormat="1" applyFont="1" applyBorder="1" applyAlignment="1">
      <alignment horizontal="center" vertical="center"/>
    </xf>
    <xf numFmtId="3" fontId="15" fillId="0" borderId="30" xfId="2" applyNumberFormat="1" applyFont="1" applyBorder="1" applyAlignment="1">
      <alignment horizontal="center" vertical="center" wrapText="1"/>
    </xf>
    <xf numFmtId="3" fontId="15" fillId="0" borderId="0" xfId="2" applyNumberFormat="1" applyFont="1" applyBorder="1" applyAlignment="1">
      <alignment horizontal="center" vertical="center" wrapText="1"/>
    </xf>
    <xf numFmtId="3" fontId="15" fillId="0" borderId="16" xfId="2" applyNumberFormat="1" applyFont="1" applyBorder="1" applyAlignment="1">
      <alignment horizontal="center" vertical="center" wrapText="1"/>
    </xf>
    <xf numFmtId="3" fontId="15" fillId="0" borderId="35" xfId="2" applyNumberFormat="1" applyBorder="1" applyAlignment="1">
      <alignment horizontal="center" vertical="center"/>
    </xf>
    <xf numFmtId="9" fontId="43" fillId="0" borderId="41" xfId="4" applyFont="1" applyBorder="1" applyAlignment="1">
      <alignment horizontal="center" vertical="center" wrapText="1"/>
    </xf>
    <xf numFmtId="9" fontId="43" fillId="0" borderId="42" xfId="4" applyFont="1" applyBorder="1" applyAlignment="1">
      <alignment horizontal="center" vertical="center" wrapText="1"/>
    </xf>
    <xf numFmtId="9" fontId="43" fillId="0" borderId="28" xfId="4" applyFont="1" applyBorder="1" applyAlignment="1">
      <alignment horizontal="center" vertical="center" wrapText="1"/>
    </xf>
    <xf numFmtId="9" fontId="43" fillId="0" borderId="39" xfId="4" applyFont="1" applyBorder="1" applyAlignment="1">
      <alignment horizontal="center" vertical="center" wrapText="1"/>
    </xf>
    <xf numFmtId="3" fontId="52" fillId="0" borderId="41" xfId="2" applyNumberFormat="1" applyFont="1" applyBorder="1" applyAlignment="1">
      <alignment horizontal="center" vertical="center" wrapText="1"/>
    </xf>
    <xf numFmtId="3" fontId="52" fillId="0" borderId="42" xfId="2" applyNumberFormat="1" applyFont="1" applyBorder="1" applyAlignment="1">
      <alignment horizontal="center" vertical="center" wrapText="1"/>
    </xf>
    <xf numFmtId="3" fontId="52" fillId="0" borderId="28" xfId="2" applyNumberFormat="1" applyFont="1" applyBorder="1" applyAlignment="1">
      <alignment horizontal="center" vertical="center" wrapText="1"/>
    </xf>
    <xf numFmtId="3" fontId="15" fillId="12" borderId="30" xfId="2" applyNumberFormat="1" applyFill="1" applyBorder="1"/>
    <xf numFmtId="3" fontId="15" fillId="12" borderId="41" xfId="2" applyNumberFormat="1" applyFill="1" applyBorder="1"/>
    <xf numFmtId="12" fontId="15" fillId="10" borderId="16" xfId="2" applyNumberFormat="1" applyFill="1" applyBorder="1"/>
    <xf numFmtId="3" fontId="48" fillId="0" borderId="39" xfId="2" applyNumberFormat="1" applyFont="1" applyBorder="1" applyAlignment="1">
      <alignment horizontal="center" wrapText="1"/>
    </xf>
    <xf numFmtId="3" fontId="44" fillId="4" borderId="0" xfId="2" applyNumberFormat="1" applyFont="1" applyFill="1"/>
    <xf numFmtId="3" fontId="46" fillId="0" borderId="41" xfId="2" applyNumberFormat="1" applyFont="1" applyBorder="1" applyAlignment="1">
      <alignment horizontal="center" vertical="center" wrapText="1"/>
    </xf>
    <xf numFmtId="3" fontId="46" fillId="0" borderId="42" xfId="2" applyNumberFormat="1" applyFont="1" applyBorder="1" applyAlignment="1">
      <alignment horizontal="center" vertical="center" wrapText="1"/>
    </xf>
    <xf numFmtId="3" fontId="46" fillId="0" borderId="28" xfId="2" applyNumberFormat="1" applyFont="1" applyBorder="1" applyAlignment="1">
      <alignment horizontal="center" vertical="center" wrapText="1"/>
    </xf>
    <xf numFmtId="3" fontId="50" fillId="0" borderId="39" xfId="2" applyNumberFormat="1" applyFont="1" applyBorder="1" applyAlignment="1">
      <alignment vertical="center" wrapText="1"/>
    </xf>
    <xf numFmtId="3" fontId="50" fillId="0" borderId="28" xfId="2" applyNumberFormat="1" applyFont="1" applyBorder="1" applyAlignment="1">
      <alignment vertical="center" wrapText="1"/>
    </xf>
    <xf numFmtId="3" fontId="15" fillId="0" borderId="37" xfId="2" applyNumberFormat="1" applyBorder="1" applyAlignment="1">
      <alignment horizontal="left"/>
    </xf>
    <xf numFmtId="3" fontId="46" fillId="0" borderId="39" xfId="2" applyNumberFormat="1" applyFont="1" applyBorder="1" applyAlignment="1">
      <alignment horizontal="center" vertical="center"/>
    </xf>
    <xf numFmtId="3" fontId="50" fillId="0" borderId="28" xfId="2" applyNumberFormat="1" applyFont="1" applyBorder="1" applyAlignment="1">
      <alignment horizontal="center" vertical="center" wrapText="1"/>
    </xf>
    <xf numFmtId="3" fontId="50" fillId="0" borderId="28" xfId="2" applyNumberFormat="1" applyFont="1" applyBorder="1" applyAlignment="1">
      <alignment horizontal="center"/>
    </xf>
    <xf numFmtId="3" fontId="50" fillId="0" borderId="39" xfId="2" applyNumberFormat="1" applyFont="1" applyBorder="1" applyAlignment="1">
      <alignment horizontal="center"/>
    </xf>
    <xf numFmtId="3" fontId="15" fillId="10" borderId="35" xfId="2" applyNumberFormat="1" applyFill="1" applyBorder="1"/>
    <xf numFmtId="3" fontId="50" fillId="0" borderId="34" xfId="2" applyNumberFormat="1" applyFont="1" applyBorder="1" applyAlignment="1">
      <alignment wrapText="1"/>
    </xf>
    <xf numFmtId="3" fontId="50" fillId="0" borderId="35" xfId="2" applyNumberFormat="1" applyFont="1" applyBorder="1" applyAlignment="1">
      <alignment wrapText="1"/>
    </xf>
    <xf numFmtId="3" fontId="50" fillId="0" borderId="37" xfId="2" applyNumberFormat="1" applyFont="1" applyBorder="1"/>
    <xf numFmtId="12" fontId="15" fillId="4" borderId="42" xfId="2" applyNumberFormat="1" applyFill="1" applyBorder="1"/>
    <xf numFmtId="3" fontId="38" fillId="4" borderId="42" xfId="2" applyNumberFormat="1" applyFont="1" applyFill="1" applyBorder="1"/>
    <xf numFmtId="3" fontId="15" fillId="0" borderId="41" xfId="2" applyNumberFormat="1" applyFill="1" applyBorder="1" applyAlignment="1">
      <alignment horizontal="left"/>
    </xf>
    <xf numFmtId="3" fontId="15" fillId="0" borderId="42" xfId="2" applyNumberFormat="1" applyFill="1" applyBorder="1" applyAlignment="1">
      <alignment horizontal="left"/>
    </xf>
    <xf numFmtId="3" fontId="15" fillId="0" borderId="28" xfId="2" applyNumberFormat="1" applyFill="1" applyBorder="1" applyAlignment="1">
      <alignment horizontal="left"/>
    </xf>
    <xf numFmtId="3" fontId="46" fillId="0" borderId="30" xfId="2" applyNumberFormat="1" applyFont="1" applyBorder="1" applyAlignment="1">
      <alignment vertical="center"/>
    </xf>
    <xf numFmtId="3" fontId="46" fillId="0" borderId="0" xfId="2" applyNumberFormat="1" applyFont="1" applyBorder="1" applyAlignment="1">
      <alignment vertical="center"/>
    </xf>
    <xf numFmtId="3" fontId="46" fillId="0" borderId="16" xfId="2" applyNumberFormat="1" applyFont="1" applyBorder="1" applyAlignment="1">
      <alignment vertical="center"/>
    </xf>
    <xf numFmtId="3" fontId="46" fillId="0" borderId="30" xfId="2" applyNumberFormat="1" applyFont="1" applyBorder="1" applyAlignment="1">
      <alignment horizontal="left" vertical="center"/>
    </xf>
    <xf numFmtId="3" fontId="46" fillId="0" borderId="0" xfId="2" applyNumberFormat="1" applyFont="1" applyBorder="1" applyAlignment="1">
      <alignment horizontal="left" vertical="center"/>
    </xf>
    <xf numFmtId="3" fontId="46" fillId="0" borderId="16" xfId="2" applyNumberFormat="1" applyFont="1" applyBorder="1" applyAlignment="1">
      <alignment horizontal="left" vertical="center"/>
    </xf>
    <xf numFmtId="0" fontId="2" fillId="0" borderId="39" xfId="2" applyFont="1" applyBorder="1" applyAlignment="1">
      <alignment horizontal="center" vertical="center"/>
    </xf>
    <xf numFmtId="0" fontId="15" fillId="0" borderId="39" xfId="2" applyBorder="1" applyAlignment="1">
      <alignment horizontal="left" vertical="center"/>
    </xf>
    <xf numFmtId="0" fontId="15" fillId="0" borderId="39" xfId="2" applyBorder="1" applyAlignment="1">
      <alignment horizontal="center" vertical="center"/>
    </xf>
    <xf numFmtId="49" fontId="15" fillId="0" borderId="33" xfId="2" applyNumberFormat="1" applyBorder="1"/>
    <xf numFmtId="49" fontId="15" fillId="0" borderId="16" xfId="2" applyNumberFormat="1" applyBorder="1"/>
    <xf numFmtId="49" fontId="15" fillId="0" borderId="24" xfId="2" applyNumberFormat="1" applyBorder="1"/>
    <xf numFmtId="3" fontId="50" fillId="0" borderId="28" xfId="2" applyNumberFormat="1" applyFont="1" applyBorder="1" applyAlignment="1">
      <alignment horizontal="center"/>
    </xf>
    <xf numFmtId="3" fontId="50" fillId="0" borderId="39" xfId="2" applyNumberFormat="1" applyFont="1" applyBorder="1" applyAlignment="1">
      <alignment horizontal="center"/>
    </xf>
    <xf numFmtId="3" fontId="50" fillId="0" borderId="35" xfId="2" applyNumberFormat="1" applyFont="1" applyFill="1" applyBorder="1"/>
    <xf numFmtId="3" fontId="50" fillId="0" borderId="41" xfId="2" applyNumberFormat="1" applyFont="1" applyFill="1" applyBorder="1" applyAlignment="1">
      <alignment horizontal="left" wrapText="1"/>
    </xf>
    <xf numFmtId="3" fontId="50" fillId="0" borderId="42" xfId="2" applyNumberFormat="1" applyFont="1" applyFill="1" applyBorder="1" applyAlignment="1">
      <alignment horizontal="left" wrapText="1"/>
    </xf>
    <xf numFmtId="3" fontId="50" fillId="0" borderId="28" xfId="2" applyNumberFormat="1" applyFont="1" applyFill="1" applyBorder="1" applyAlignment="1">
      <alignment horizontal="left" wrapText="1"/>
    </xf>
    <xf numFmtId="3" fontId="53" fillId="0" borderId="39" xfId="2" applyNumberFormat="1" applyFont="1" applyBorder="1" applyAlignment="1">
      <alignment horizontal="center" vertical="center"/>
    </xf>
    <xf numFmtId="3" fontId="54" fillId="0" borderId="39" xfId="2" applyNumberFormat="1" applyFont="1" applyBorder="1" applyAlignment="1">
      <alignment horizontal="center" vertical="center" wrapText="1"/>
    </xf>
    <xf numFmtId="3" fontId="55" fillId="0" borderId="39" xfId="2" applyNumberFormat="1" applyFont="1" applyFill="1" applyBorder="1" applyAlignment="1">
      <alignment horizontal="center" vertical="center" wrapText="1"/>
    </xf>
    <xf numFmtId="3" fontId="55" fillId="0" borderId="39" xfId="2" applyNumberFormat="1" applyFont="1" applyBorder="1" applyAlignment="1">
      <alignment horizontal="center" vertical="center" wrapText="1"/>
    </xf>
    <xf numFmtId="3" fontId="15" fillId="12" borderId="31" xfId="2" applyNumberFormat="1" applyFill="1" applyBorder="1" applyAlignment="1">
      <alignment horizontal="left"/>
    </xf>
    <xf numFmtId="3" fontId="15" fillId="12" borderId="32" xfId="2" applyNumberFormat="1" applyFill="1" applyBorder="1" applyAlignment="1">
      <alignment horizontal="left"/>
    </xf>
    <xf numFmtId="3" fontId="15" fillId="12" borderId="30" xfId="2" applyNumberFormat="1" applyFill="1" applyBorder="1" applyAlignment="1">
      <alignment horizontal="left"/>
    </xf>
    <xf numFmtId="3" fontId="15" fillId="12" borderId="0" xfId="2" applyNumberFormat="1" applyFill="1" applyBorder="1" applyAlignment="1">
      <alignment horizontal="left"/>
    </xf>
    <xf numFmtId="3" fontId="48" fillId="0" borderId="39" xfId="2" applyNumberFormat="1" applyFont="1" applyFill="1" applyBorder="1" applyAlignment="1">
      <alignment horizontal="center" vertical="center" wrapText="1"/>
    </xf>
    <xf numFmtId="3" fontId="15" fillId="0" borderId="41" xfId="2" applyNumberFormat="1" applyFill="1" applyBorder="1" applyAlignment="1">
      <alignment horizontal="center"/>
    </xf>
    <xf numFmtId="3" fontId="15" fillId="0" borderId="42" xfId="2" applyNumberFormat="1" applyFill="1" applyBorder="1" applyAlignment="1">
      <alignment horizontal="center"/>
    </xf>
    <xf numFmtId="3" fontId="15" fillId="0" borderId="28" xfId="2" applyNumberFormat="1" applyFill="1" applyBorder="1" applyAlignment="1">
      <alignment horizontal="center"/>
    </xf>
    <xf numFmtId="3" fontId="15" fillId="0" borderId="39" xfId="2" applyNumberFormat="1" applyFill="1" applyBorder="1" applyAlignment="1">
      <alignment horizontal="center"/>
    </xf>
    <xf numFmtId="3" fontId="43" fillId="0" borderId="31" xfId="2" applyNumberFormat="1" applyFont="1" applyFill="1" applyBorder="1" applyAlignment="1">
      <alignment horizontal="center" vertical="center" wrapText="1"/>
    </xf>
    <xf numFmtId="3" fontId="43" fillId="0" borderId="32" xfId="2" applyNumberFormat="1" applyFont="1" applyFill="1" applyBorder="1" applyAlignment="1">
      <alignment horizontal="center" vertical="center" wrapText="1"/>
    </xf>
    <xf numFmtId="3" fontId="43" fillId="0" borderId="33" xfId="2" applyNumberFormat="1" applyFont="1" applyFill="1" applyBorder="1" applyAlignment="1">
      <alignment horizontal="center" vertical="center" wrapText="1"/>
    </xf>
    <xf numFmtId="3" fontId="43" fillId="0" borderId="39" xfId="2" applyNumberFormat="1" applyFont="1" applyFill="1" applyBorder="1" applyAlignment="1">
      <alignment horizontal="center" vertical="center" wrapText="1"/>
    </xf>
    <xf numFmtId="3" fontId="43" fillId="12" borderId="39" xfId="2" applyNumberFormat="1" applyFont="1" applyFill="1" applyBorder="1" applyAlignment="1">
      <alignment horizontal="center" vertical="center" wrapText="1"/>
    </xf>
    <xf numFmtId="3" fontId="43" fillId="0" borderId="37" xfId="2" applyNumberFormat="1" applyFont="1" applyFill="1" applyBorder="1" applyAlignment="1">
      <alignment horizontal="center" vertical="center" wrapText="1"/>
    </xf>
    <xf numFmtId="3" fontId="43" fillId="0" borderId="38" xfId="2" applyNumberFormat="1" applyFont="1" applyFill="1" applyBorder="1" applyAlignment="1">
      <alignment horizontal="center" vertical="center" wrapText="1"/>
    </xf>
    <xf numFmtId="3" fontId="43" fillId="0" borderId="24" xfId="2" applyNumberFormat="1" applyFont="1" applyFill="1" applyBorder="1" applyAlignment="1">
      <alignment horizontal="center" vertical="center" wrapText="1"/>
    </xf>
    <xf numFmtId="3" fontId="54" fillId="12" borderId="39" xfId="2" applyNumberFormat="1" applyFont="1" applyFill="1" applyBorder="1" applyAlignment="1">
      <alignment horizontal="center" vertical="center" wrapText="1"/>
    </xf>
    <xf numFmtId="3" fontId="54" fillId="0" borderId="39" xfId="2" applyNumberFormat="1" applyFont="1" applyFill="1" applyBorder="1" applyAlignment="1">
      <alignment horizontal="center" vertical="center" wrapText="1"/>
    </xf>
    <xf numFmtId="3" fontId="55" fillId="0" borderId="41" xfId="2" applyNumberFormat="1" applyFont="1" applyFill="1" applyBorder="1" applyAlignment="1">
      <alignment horizontal="center" vertical="center" wrapText="1"/>
    </xf>
    <xf numFmtId="3" fontId="55" fillId="0" borderId="28" xfId="2" applyNumberFormat="1" applyFont="1" applyFill="1" applyBorder="1" applyAlignment="1">
      <alignment horizontal="center" vertical="center" wrapText="1"/>
    </xf>
    <xf numFmtId="3" fontId="15" fillId="12" borderId="31" xfId="2" applyNumberFormat="1" applyFill="1" applyBorder="1"/>
    <xf numFmtId="3" fontId="15" fillId="12" borderId="33" xfId="2" applyNumberFormat="1" applyFill="1" applyBorder="1"/>
    <xf numFmtId="3" fontId="15" fillId="12" borderId="16" xfId="2" applyNumberFormat="1" applyFill="1" applyBorder="1"/>
    <xf numFmtId="3" fontId="52" fillId="0" borderId="39" xfId="2" applyNumberFormat="1" applyFont="1" applyBorder="1" applyAlignment="1">
      <alignment horizontal="center" vertical="center"/>
    </xf>
    <xf numFmtId="3" fontId="46" fillId="0" borderId="39" xfId="2" applyNumberFormat="1" applyFont="1" applyBorder="1" applyAlignment="1">
      <alignment horizontal="center" vertical="center" wrapText="1"/>
    </xf>
    <xf numFmtId="49" fontId="48" fillId="0" borderId="39" xfId="2" applyNumberFormat="1" applyFont="1" applyBorder="1" applyAlignment="1">
      <alignment horizontal="center" vertical="center" wrapText="1"/>
    </xf>
    <xf numFmtId="49" fontId="48" fillId="0" borderId="39" xfId="2" applyNumberFormat="1" applyFont="1" applyFill="1" applyBorder="1" applyAlignment="1">
      <alignment horizontal="center" vertical="center" wrapText="1"/>
    </xf>
    <xf numFmtId="3" fontId="15" fillId="0" borderId="31" xfId="2" applyNumberFormat="1" applyFill="1" applyBorder="1" applyAlignment="1">
      <alignment horizontal="center" vertical="center"/>
    </xf>
    <xf numFmtId="3" fontId="15" fillId="0" borderId="33" xfId="2" applyNumberFormat="1" applyFill="1" applyBorder="1" applyAlignment="1">
      <alignment horizontal="center" vertical="center"/>
    </xf>
    <xf numFmtId="3" fontId="47" fillId="0" borderId="41" xfId="2" applyNumberFormat="1" applyFont="1" applyBorder="1" applyAlignment="1">
      <alignment horizontal="center" vertical="center" wrapText="1"/>
    </xf>
    <xf numFmtId="3" fontId="47" fillId="0" borderId="39" xfId="2" applyNumberFormat="1" applyFont="1" applyBorder="1" applyAlignment="1">
      <alignment horizontal="center" vertical="center" wrapText="1"/>
    </xf>
    <xf numFmtId="3" fontId="47" fillId="0" borderId="0" xfId="2" applyNumberFormat="1" applyFont="1" applyAlignment="1">
      <alignment horizontal="center" vertical="center" wrapText="1"/>
    </xf>
    <xf numFmtId="3" fontId="50" fillId="0" borderId="39" xfId="2" applyNumberFormat="1" applyFont="1" applyBorder="1" applyAlignment="1">
      <alignment horizontal="center" vertical="center"/>
    </xf>
    <xf numFmtId="3" fontId="15" fillId="0" borderId="35" xfId="2" applyNumberFormat="1" applyBorder="1" applyAlignment="1">
      <alignment horizontal="center" vertical="top"/>
    </xf>
    <xf numFmtId="3" fontId="15" fillId="0" borderId="35" xfId="2" applyNumberFormat="1" applyBorder="1" applyAlignment="1">
      <alignment horizontal="center" vertical="top"/>
    </xf>
    <xf numFmtId="3" fontId="15" fillId="4" borderId="35" xfId="2" applyNumberFormat="1" applyFill="1" applyBorder="1"/>
    <xf numFmtId="12" fontId="15" fillId="4" borderId="35" xfId="2" applyNumberFormat="1" applyFill="1" applyBorder="1"/>
    <xf numFmtId="3" fontId="38" fillId="4" borderId="35" xfId="2" applyNumberFormat="1" applyFont="1" applyFill="1" applyBorder="1"/>
    <xf numFmtId="3" fontId="38" fillId="4" borderId="41" xfId="2" applyNumberFormat="1" applyFont="1" applyFill="1" applyBorder="1" applyAlignment="1">
      <alignment horizontal="center"/>
    </xf>
    <xf numFmtId="3" fontId="38" fillId="4" borderId="42" xfId="2" applyNumberFormat="1" applyFont="1" applyFill="1" applyBorder="1" applyAlignment="1">
      <alignment horizontal="center"/>
    </xf>
    <xf numFmtId="3" fontId="38" fillId="4" borderId="28" xfId="2" applyNumberFormat="1" applyFont="1" applyFill="1" applyBorder="1" applyAlignment="1">
      <alignment horizontal="center"/>
    </xf>
    <xf numFmtId="3" fontId="15" fillId="4" borderId="41" xfId="2" applyNumberFormat="1" applyFill="1" applyBorder="1" applyAlignment="1">
      <alignment horizontal="center"/>
    </xf>
    <xf numFmtId="3" fontId="15" fillId="4" borderId="42" xfId="2" applyNumberFormat="1" applyFill="1" applyBorder="1" applyAlignment="1">
      <alignment horizontal="center"/>
    </xf>
    <xf numFmtId="3" fontId="15" fillId="4" borderId="28" xfId="2" applyNumberFormat="1" applyFill="1" applyBorder="1" applyAlignment="1">
      <alignment horizontal="center"/>
    </xf>
    <xf numFmtId="3" fontId="48" fillId="0" borderId="34" xfId="2" applyNumberFormat="1" applyFont="1" applyBorder="1" applyAlignment="1">
      <alignment horizontal="center" vertical="center"/>
    </xf>
    <xf numFmtId="3" fontId="48" fillId="0" borderId="35" xfId="2" applyNumberFormat="1" applyFont="1" applyBorder="1" applyAlignment="1">
      <alignment horizontal="center" vertical="center"/>
    </xf>
    <xf numFmtId="3" fontId="48" fillId="0" borderId="36" xfId="2" applyNumberFormat="1" applyFont="1" applyBorder="1" applyAlignment="1">
      <alignment horizontal="center" vertical="center"/>
    </xf>
    <xf numFmtId="3" fontId="49" fillId="0" borderId="39" xfId="2" applyNumberFormat="1" applyFont="1" applyBorder="1" applyAlignment="1">
      <alignment vertical="center"/>
    </xf>
    <xf numFmtId="3" fontId="50" fillId="0" borderId="28" xfId="2" applyNumberFormat="1" applyFont="1" applyBorder="1" applyAlignment="1">
      <alignment horizontal="center" vertical="center"/>
    </xf>
    <xf numFmtId="3" fontId="50" fillId="0" borderId="34" xfId="2" applyNumberFormat="1" applyFont="1" applyBorder="1" applyAlignment="1">
      <alignment horizontal="center" wrapText="1"/>
    </xf>
    <xf numFmtId="3" fontId="50" fillId="0" borderId="36" xfId="2" applyNumberFormat="1" applyFont="1" applyBorder="1" applyAlignment="1">
      <alignment horizontal="center" wrapText="1"/>
    </xf>
    <xf numFmtId="3" fontId="15" fillId="0" borderId="34" xfId="2" applyNumberFormat="1" applyBorder="1" applyAlignment="1"/>
    <xf numFmtId="3" fontId="48" fillId="0" borderId="33" xfId="2" applyNumberFormat="1" applyFont="1" applyBorder="1" applyAlignment="1">
      <alignment horizontal="center" vertical="center"/>
    </xf>
    <xf numFmtId="3" fontId="48" fillId="0" borderId="42" xfId="2" applyNumberFormat="1" applyFont="1" applyBorder="1" applyAlignment="1">
      <alignment horizontal="center" vertical="center"/>
    </xf>
    <xf numFmtId="3" fontId="49" fillId="0" borderId="30" xfId="2" applyNumberFormat="1" applyFont="1" applyBorder="1"/>
    <xf numFmtId="3" fontId="49" fillId="0" borderId="37" xfId="2" applyNumberFormat="1" applyFont="1" applyBorder="1"/>
    <xf numFmtId="3" fontId="47" fillId="0" borderId="39" xfId="2" applyNumberFormat="1" applyFont="1" applyBorder="1" applyAlignment="1">
      <alignment horizontal="center" vertical="center"/>
    </xf>
    <xf numFmtId="3" fontId="47" fillId="0" borderId="42" xfId="2" applyNumberFormat="1" applyFont="1" applyBorder="1" applyAlignment="1">
      <alignment horizontal="center" vertical="center"/>
    </xf>
    <xf numFmtId="3" fontId="47" fillId="0" borderId="28" xfId="2" applyNumberFormat="1" applyFont="1" applyBorder="1" applyAlignment="1">
      <alignment horizontal="center" vertical="center"/>
    </xf>
    <xf numFmtId="3" fontId="48" fillId="0" borderId="39" xfId="2" applyNumberFormat="1" applyFont="1" applyBorder="1" applyAlignment="1">
      <alignment horizontal="center"/>
    </xf>
    <xf numFmtId="3" fontId="56" fillId="0" borderId="39" xfId="2" applyNumberFormat="1" applyFont="1" applyBorder="1" applyAlignment="1">
      <alignment horizontal="center"/>
    </xf>
    <xf numFmtId="49" fontId="15" fillId="0" borderId="33" xfId="2" applyNumberFormat="1" applyBorder="1" applyAlignment="1">
      <alignment horizontal="right"/>
    </xf>
    <xf numFmtId="49" fontId="15" fillId="0" borderId="16" xfId="2" applyNumberFormat="1" applyBorder="1" applyAlignment="1">
      <alignment horizontal="right"/>
    </xf>
    <xf numFmtId="3" fontId="15" fillId="0" borderId="31" xfId="2" applyNumberFormat="1" applyFill="1" applyBorder="1" applyAlignment="1">
      <alignment horizontal="left" vertical="top"/>
    </xf>
    <xf numFmtId="3" fontId="15" fillId="0" borderId="32" xfId="2" applyNumberFormat="1" applyFill="1" applyBorder="1" applyAlignment="1">
      <alignment horizontal="left" vertical="top"/>
    </xf>
    <xf numFmtId="3" fontId="15" fillId="0" borderId="33" xfId="2" applyNumberFormat="1" applyFill="1" applyBorder="1" applyAlignment="1">
      <alignment horizontal="left" vertical="top"/>
    </xf>
    <xf numFmtId="3" fontId="47" fillId="0" borderId="39" xfId="2" applyNumberFormat="1" applyFont="1" applyBorder="1" applyAlignment="1">
      <alignment horizontal="center"/>
    </xf>
    <xf numFmtId="3" fontId="47" fillId="0" borderId="28" xfId="2" applyNumberFormat="1" applyFont="1" applyBorder="1" applyAlignment="1">
      <alignment horizontal="center"/>
    </xf>
    <xf numFmtId="3" fontId="47" fillId="0" borderId="39" xfId="2" applyNumberFormat="1" applyFont="1" applyBorder="1" applyAlignment="1">
      <alignment horizontal="center"/>
    </xf>
    <xf numFmtId="49" fontId="15" fillId="0" borderId="35" xfId="2" applyNumberFormat="1" applyBorder="1"/>
    <xf numFmtId="49" fontId="15" fillId="0" borderId="36" xfId="2" applyNumberFormat="1" applyBorder="1"/>
    <xf numFmtId="49" fontId="15" fillId="0" borderId="0" xfId="2" applyNumberFormat="1"/>
    <xf numFmtId="3" fontId="50" fillId="0" borderId="30" xfId="2" applyNumberFormat="1" applyFont="1" applyBorder="1" applyAlignment="1">
      <alignment horizontal="center" vertical="center"/>
    </xf>
    <xf numFmtId="3" fontId="50" fillId="0" borderId="0" xfId="2" applyNumberFormat="1" applyFont="1" applyBorder="1" applyAlignment="1">
      <alignment horizontal="center" vertical="center"/>
    </xf>
    <xf numFmtId="3" fontId="15" fillId="0" borderId="44" xfId="2" applyNumberFormat="1" applyBorder="1"/>
    <xf numFmtId="49" fontId="15" fillId="0" borderId="41" xfId="2" applyNumberFormat="1" applyBorder="1" applyAlignment="1">
      <alignment horizontal="center" vertical="center"/>
    </xf>
    <xf numFmtId="49" fontId="15" fillId="0" borderId="42" xfId="2" applyNumberFormat="1" applyBorder="1" applyAlignment="1">
      <alignment horizontal="center" vertical="center"/>
    </xf>
    <xf numFmtId="49" fontId="15" fillId="0" borderId="28" xfId="2" applyNumberFormat="1" applyBorder="1" applyAlignment="1">
      <alignment horizontal="center" vertical="center"/>
    </xf>
    <xf numFmtId="3" fontId="40" fillId="0" borderId="39" xfId="2" applyNumberFormat="1" applyFont="1" applyBorder="1" applyAlignment="1">
      <alignment horizontal="center" vertical="center" wrapText="1"/>
    </xf>
    <xf numFmtId="3" fontId="43" fillId="0" borderId="41" xfId="2" applyNumberFormat="1" applyFont="1" applyBorder="1" applyAlignment="1">
      <alignment horizontal="center" vertical="center" wrapText="1"/>
    </xf>
    <xf numFmtId="3" fontId="48" fillId="0" borderId="39" xfId="2" applyNumberFormat="1" applyFont="1" applyBorder="1" applyAlignment="1">
      <alignment vertical="center"/>
    </xf>
    <xf numFmtId="3" fontId="15" fillId="0" borderId="28" xfId="2" applyNumberFormat="1" applyBorder="1" applyAlignment="1">
      <alignment horizontal="center"/>
    </xf>
    <xf numFmtId="13" fontId="15" fillId="0" borderId="16" xfId="2" applyNumberFormat="1" applyBorder="1"/>
    <xf numFmtId="0" fontId="15" fillId="6" borderId="30" xfId="2" applyFill="1" applyBorder="1"/>
    <xf numFmtId="13" fontId="15" fillId="0" borderId="24" xfId="2" applyNumberFormat="1" applyBorder="1"/>
    <xf numFmtId="0" fontId="16" fillId="5" borderId="38" xfId="2" applyFont="1" applyFill="1" applyBorder="1" applyAlignment="1">
      <alignment horizontal="left"/>
    </xf>
    <xf numFmtId="0" fontId="16" fillId="0" borderId="31" xfId="2" applyFont="1" applyBorder="1" applyAlignment="1">
      <alignment horizontal="left"/>
    </xf>
    <xf numFmtId="0" fontId="16" fillId="0" borderId="32" xfId="2" applyFont="1" applyBorder="1" applyAlignment="1">
      <alignment horizontal="left"/>
    </xf>
    <xf numFmtId="0" fontId="16" fillId="0" borderId="33" xfId="2" applyFont="1" applyBorder="1" applyAlignment="1">
      <alignment horizontal="left"/>
    </xf>
    <xf numFmtId="0" fontId="43" fillId="0" borderId="30" xfId="2" applyFont="1" applyBorder="1" applyAlignment="1">
      <alignment horizontal="left"/>
    </xf>
    <xf numFmtId="0" fontId="43" fillId="0" borderId="0" xfId="2" applyFont="1" applyBorder="1" applyAlignment="1">
      <alignment horizontal="left"/>
    </xf>
    <xf numFmtId="0" fontId="43" fillId="0" borderId="16" xfId="2" applyFont="1" applyBorder="1" applyAlignment="1">
      <alignment horizontal="left"/>
    </xf>
    <xf numFmtId="0" fontId="16" fillId="5" borderId="0" xfId="2" applyFont="1" applyFill="1" applyBorder="1" applyAlignment="1">
      <alignment horizontal="left"/>
    </xf>
    <xf numFmtId="0" fontId="15" fillId="0" borderId="0" xfId="2" applyBorder="1" applyAlignment="1">
      <alignment wrapText="1"/>
    </xf>
    <xf numFmtId="0" fontId="15" fillId="0" borderId="38" xfId="2" applyFill="1" applyBorder="1"/>
    <xf numFmtId="0" fontId="15" fillId="0" borderId="34" xfId="2" applyBorder="1" applyAlignment="1">
      <alignment horizontal="center"/>
    </xf>
    <xf numFmtId="0" fontId="15" fillId="0" borderId="36" xfId="2" applyBorder="1" applyAlignment="1">
      <alignment horizontal="center"/>
    </xf>
    <xf numFmtId="0" fontId="15" fillId="0" borderId="30" xfId="2" applyBorder="1" applyAlignment="1">
      <alignment horizontal="center"/>
    </xf>
    <xf numFmtId="0" fontId="23" fillId="0" borderId="30" xfId="2" applyFont="1" applyBorder="1" applyAlignment="1">
      <alignment horizontal="left" vertical="center" wrapText="1"/>
    </xf>
    <xf numFmtId="0" fontId="23" fillId="0" borderId="0" xfId="2" applyFont="1" applyBorder="1" applyAlignment="1">
      <alignment horizontal="left" vertical="center" wrapText="1"/>
    </xf>
    <xf numFmtId="0" fontId="23" fillId="0" borderId="16" xfId="2" applyFont="1" applyBorder="1" applyAlignment="1">
      <alignment horizontal="left" vertical="center" wrapText="1"/>
    </xf>
    <xf numFmtId="0" fontId="15" fillId="0" borderId="16" xfId="2" applyBorder="1" applyAlignment="1">
      <alignment horizontal="left" wrapText="1"/>
    </xf>
    <xf numFmtId="0" fontId="15" fillId="0" borderId="37" xfId="2" applyFill="1" applyBorder="1" applyAlignment="1">
      <alignment wrapText="1"/>
    </xf>
    <xf numFmtId="0" fontId="15" fillId="0" borderId="37" xfId="2" applyBorder="1" applyAlignment="1">
      <alignment horizontal="left" wrapText="1"/>
    </xf>
    <xf numFmtId="0" fontId="15" fillId="0" borderId="24" xfId="2" applyBorder="1" applyAlignment="1">
      <alignment horizontal="left" wrapText="1"/>
    </xf>
    <xf numFmtId="173" fontId="15" fillId="0" borderId="16" xfId="2" applyNumberFormat="1" applyBorder="1"/>
    <xf numFmtId="173" fontId="15" fillId="0" borderId="0" xfId="2" applyNumberFormat="1"/>
    <xf numFmtId="173" fontId="15" fillId="0" borderId="24" xfId="2" applyNumberFormat="1" applyBorder="1"/>
    <xf numFmtId="3" fontId="15" fillId="7" borderId="24" xfId="2" applyNumberFormat="1" applyFill="1" applyBorder="1"/>
    <xf numFmtId="0" fontId="16" fillId="0" borderId="31" xfId="2" applyFont="1" applyBorder="1" applyAlignment="1">
      <alignment vertical="center"/>
    </xf>
    <xf numFmtId="0" fontId="15" fillId="0" borderId="34" xfId="2" applyBorder="1" applyAlignment="1">
      <alignment horizontal="center" vertical="center"/>
    </xf>
    <xf numFmtId="2" fontId="15" fillId="0" borderId="35" xfId="2" applyNumberFormat="1" applyBorder="1"/>
    <xf numFmtId="2" fontId="15" fillId="0" borderId="36" xfId="2" applyNumberFormat="1" applyBorder="1"/>
    <xf numFmtId="0" fontId="15" fillId="0" borderId="38" xfId="2" applyBorder="1" applyAlignment="1">
      <alignment horizontal="left" wrapText="1"/>
    </xf>
    <xf numFmtId="0" fontId="21" fillId="0" borderId="41" xfId="2" applyFont="1" applyBorder="1" applyAlignment="1">
      <alignment horizontal="left" vertical="center"/>
    </xf>
    <xf numFmtId="0" fontId="21" fillId="0" borderId="42" xfId="2" applyFont="1" applyBorder="1" applyAlignment="1">
      <alignment horizontal="left" vertical="center"/>
    </xf>
    <xf numFmtId="0" fontId="21" fillId="0" borderId="28" xfId="2" applyFont="1" applyBorder="1" applyAlignment="1">
      <alignment horizontal="left" vertical="center"/>
    </xf>
    <xf numFmtId="0" fontId="15" fillId="0" borderId="41" xfId="2" applyBorder="1" applyAlignment="1">
      <alignment horizontal="center" vertical="center"/>
    </xf>
    <xf numFmtId="3" fontId="19" fillId="7" borderId="37" xfId="2" applyNumberFormat="1" applyFont="1" applyFill="1" applyBorder="1"/>
    <xf numFmtId="0" fontId="15" fillId="0" borderId="0" xfId="2" applyFill="1" applyBorder="1" applyAlignment="1">
      <alignment horizontal="center"/>
    </xf>
    <xf numFmtId="0" fontId="17" fillId="0" borderId="30" xfId="2" applyFont="1" applyBorder="1" applyAlignment="1">
      <alignment horizontal="left"/>
    </xf>
    <xf numFmtId="0" fontId="17" fillId="0" borderId="0" xfId="2" applyFont="1" applyBorder="1" applyAlignment="1">
      <alignment horizontal="left"/>
    </xf>
    <xf numFmtId="0" fontId="41" fillId="0" borderId="31" xfId="2" applyFont="1" applyBorder="1" applyAlignment="1">
      <alignment horizontal="center" wrapText="1"/>
    </xf>
    <xf numFmtId="0" fontId="41" fillId="0" borderId="32" xfId="2" applyFont="1" applyBorder="1" applyAlignment="1">
      <alignment horizontal="center" wrapText="1"/>
    </xf>
    <xf numFmtId="0" fontId="41" fillId="0" borderId="33" xfId="2" applyFont="1" applyBorder="1" applyAlignment="1">
      <alignment horizontal="center" wrapText="1"/>
    </xf>
    <xf numFmtId="3" fontId="58" fillId="0" borderId="0" xfId="2" applyNumberFormat="1" applyFont="1" applyFill="1" applyBorder="1"/>
    <xf numFmtId="3" fontId="58" fillId="0" borderId="16" xfId="2" applyNumberFormat="1" applyFont="1" applyFill="1" applyBorder="1"/>
    <xf numFmtId="0" fontId="19" fillId="0" borderId="0" xfId="2" applyFont="1"/>
    <xf numFmtId="0" fontId="16" fillId="0" borderId="30" xfId="2" applyFont="1" applyBorder="1" applyAlignment="1">
      <alignment horizontal="center"/>
    </xf>
    <xf numFmtId="165" fontId="15" fillId="0" borderId="0" xfId="2" applyNumberFormat="1" applyFill="1" applyBorder="1"/>
    <xf numFmtId="165" fontId="15" fillId="0" borderId="0" xfId="2" applyNumberFormat="1" applyBorder="1"/>
    <xf numFmtId="0" fontId="15" fillId="0" borderId="39" xfId="2" applyBorder="1" applyAlignment="1">
      <alignment vertical="center"/>
    </xf>
    <xf numFmtId="0" fontId="15" fillId="0" borderId="41" xfId="2" applyBorder="1" applyAlignment="1">
      <alignment horizontal="center" wrapText="1"/>
    </xf>
    <xf numFmtId="0" fontId="15" fillId="0" borderId="28" xfId="2" applyBorder="1" applyAlignment="1">
      <alignment horizontal="center" wrapText="1"/>
    </xf>
    <xf numFmtId="0" fontId="59" fillId="0" borderId="30" xfId="2" applyFont="1" applyBorder="1" applyAlignment="1">
      <alignment horizontal="center"/>
    </xf>
    <xf numFmtId="0" fontId="59" fillId="0" borderId="0" xfId="2" applyFont="1" applyBorder="1" applyAlignment="1">
      <alignment horizontal="center"/>
    </xf>
    <xf numFmtId="0" fontId="59" fillId="0" borderId="16" xfId="2" applyFont="1" applyBorder="1" applyAlignment="1">
      <alignment horizontal="center"/>
    </xf>
    <xf numFmtId="0" fontId="15" fillId="0" borderId="41" xfId="2" applyBorder="1" applyAlignment="1">
      <alignment horizontal="center" vertical="center" wrapText="1"/>
    </xf>
    <xf numFmtId="0" fontId="60" fillId="0" borderId="31" xfId="2" applyFont="1" applyBorder="1" applyAlignment="1">
      <alignment horizontal="center" vertical="center" wrapText="1"/>
    </xf>
    <xf numFmtId="0" fontId="60" fillId="0" borderId="32" xfId="2" applyFont="1" applyBorder="1" applyAlignment="1">
      <alignment horizontal="center" vertical="center" wrapText="1"/>
    </xf>
    <xf numFmtId="0" fontId="60" fillId="0" borderId="33" xfId="2" applyFont="1" applyBorder="1" applyAlignment="1">
      <alignment horizontal="center" vertical="center" wrapText="1"/>
    </xf>
    <xf numFmtId="0" fontId="15" fillId="0" borderId="37" xfId="2" applyBorder="1" applyAlignment="1">
      <alignment horizontal="center"/>
    </xf>
    <xf numFmtId="0" fontId="15" fillId="0" borderId="41" xfId="2" applyFill="1" applyBorder="1" applyAlignment="1">
      <alignment horizontal="left"/>
    </xf>
    <xf numFmtId="0" fontId="15" fillId="0" borderId="42" xfId="2" applyFill="1" applyBorder="1" applyAlignment="1">
      <alignment horizontal="left"/>
    </xf>
    <xf numFmtId="0" fontId="15" fillId="0" borderId="28" xfId="2" applyFill="1" applyBorder="1" applyAlignment="1">
      <alignment horizontal="left"/>
    </xf>
    <xf numFmtId="0" fontId="15" fillId="0" borderId="31" xfId="2" applyFill="1" applyBorder="1" applyAlignment="1">
      <alignment horizontal="left" wrapText="1"/>
    </xf>
    <xf numFmtId="0" fontId="15" fillId="0" borderId="32" xfId="2" applyFill="1" applyBorder="1" applyAlignment="1">
      <alignment horizontal="left" wrapText="1"/>
    </xf>
    <xf numFmtId="0" fontId="15" fillId="0" borderId="33" xfId="2" applyFill="1" applyBorder="1" applyAlignment="1">
      <alignment horizontal="left" wrapText="1"/>
    </xf>
    <xf numFmtId="0" fontId="15" fillId="0" borderId="30" xfId="2" applyFill="1" applyBorder="1" applyAlignment="1">
      <alignment horizontal="left" wrapText="1"/>
    </xf>
    <xf numFmtId="0" fontId="15" fillId="0" borderId="30" xfId="2" applyFill="1" applyBorder="1" applyAlignment="1">
      <alignment horizontal="left" wrapText="1"/>
    </xf>
    <xf numFmtId="0" fontId="15" fillId="0" borderId="0" xfId="2" applyFill="1" applyBorder="1" applyAlignment="1">
      <alignment horizontal="left" wrapText="1"/>
    </xf>
    <xf numFmtId="0" fontId="15" fillId="0" borderId="37" xfId="2" applyFill="1" applyBorder="1" applyAlignment="1">
      <alignment horizontal="left" wrapText="1"/>
    </xf>
    <xf numFmtId="0" fontId="15" fillId="0" borderId="38" xfId="2" applyFill="1" applyBorder="1" applyAlignment="1">
      <alignment horizontal="left" wrapText="1"/>
    </xf>
    <xf numFmtId="0" fontId="37" fillId="0" borderId="31" xfId="2" applyFont="1" applyBorder="1" applyAlignment="1">
      <alignment horizontal="center" vertical="center"/>
    </xf>
    <xf numFmtId="0" fontId="37" fillId="0" borderId="33" xfId="2" applyFont="1" applyBorder="1" applyAlignment="1">
      <alignment horizontal="center" vertical="center"/>
    </xf>
    <xf numFmtId="0" fontId="15" fillId="0" borderId="39" xfId="2" applyBorder="1" applyAlignment="1">
      <alignment horizontal="center"/>
    </xf>
    <xf numFmtId="0" fontId="15" fillId="0" borderId="28" xfId="2" applyBorder="1" applyAlignment="1">
      <alignment horizontal="center"/>
    </xf>
    <xf numFmtId="0" fontId="15" fillId="0" borderId="36" xfId="2" applyBorder="1" applyAlignment="1">
      <alignment horizontal="right"/>
    </xf>
    <xf numFmtId="0" fontId="15" fillId="0" borderId="41" xfId="2" applyBorder="1" applyAlignment="1">
      <alignment vertical="center"/>
    </xf>
    <xf numFmtId="0" fontId="15" fillId="0" borderId="30" xfId="2" applyBorder="1" applyAlignment="1">
      <alignment horizontal="right" wrapText="1"/>
    </xf>
    <xf numFmtId="0" fontId="15" fillId="0" borderId="0" xfId="2" applyBorder="1" applyAlignment="1">
      <alignment horizontal="right" wrapText="1"/>
    </xf>
    <xf numFmtId="0" fontId="36" fillId="0" borderId="31" xfId="2" applyFont="1" applyBorder="1" applyAlignment="1">
      <alignment horizontal="center" vertical="center"/>
    </xf>
    <xf numFmtId="0" fontId="36" fillId="0" borderId="32" xfId="2" applyFont="1" applyBorder="1" applyAlignment="1">
      <alignment horizontal="center" vertical="center"/>
    </xf>
    <xf numFmtId="0" fontId="36" fillId="0" borderId="33" xfId="2" applyFont="1" applyBorder="1" applyAlignment="1">
      <alignment horizontal="center" vertical="center"/>
    </xf>
    <xf numFmtId="0" fontId="36" fillId="0" borderId="41" xfId="2" applyFont="1" applyBorder="1" applyAlignment="1">
      <alignment horizontal="left" vertical="center"/>
    </xf>
    <xf numFmtId="0" fontId="36" fillId="0" borderId="42" xfId="2" applyFont="1" applyBorder="1" applyAlignment="1">
      <alignment horizontal="left" vertical="center"/>
    </xf>
    <xf numFmtId="0" fontId="36" fillId="0" borderId="28" xfId="2" applyFont="1" applyBorder="1" applyAlignment="1">
      <alignment horizontal="left" vertical="center"/>
    </xf>
    <xf numFmtId="0" fontId="15" fillId="0" borderId="0" xfId="2" applyFill="1" applyBorder="1" applyAlignment="1">
      <alignment horizontal="left"/>
    </xf>
    <xf numFmtId="0" fontId="15" fillId="0" borderId="0" xfId="2" applyFill="1" applyBorder="1" applyAlignment="1">
      <alignment horizontal="left"/>
    </xf>
    <xf numFmtId="0" fontId="15" fillId="0" borderId="14" xfId="2" applyBorder="1"/>
    <xf numFmtId="0" fontId="17" fillId="0" borderId="31" xfId="2" applyFont="1" applyBorder="1" applyAlignment="1">
      <alignment horizontal="left" vertical="center" wrapText="1"/>
    </xf>
    <xf numFmtId="0" fontId="17" fillId="0" borderId="32" xfId="2" applyFont="1" applyBorder="1" applyAlignment="1">
      <alignment horizontal="left" vertical="center" wrapText="1"/>
    </xf>
    <xf numFmtId="0" fontId="17" fillId="0" borderId="33" xfId="2" applyFont="1" applyBorder="1" applyAlignment="1">
      <alignment horizontal="left" vertical="center" wrapText="1"/>
    </xf>
    <xf numFmtId="0" fontId="15" fillId="0" borderId="0" xfId="2" applyAlignment="1">
      <alignment horizontal="left"/>
    </xf>
    <xf numFmtId="0" fontId="15" fillId="0" borderId="36" xfId="2" applyFill="1" applyBorder="1"/>
    <xf numFmtId="0" fontId="16" fillId="0" borderId="30" xfId="2" applyFont="1" applyBorder="1" applyAlignment="1">
      <alignment vertical="center" wrapText="1"/>
    </xf>
    <xf numFmtId="0" fontId="16" fillId="0" borderId="0" xfId="2" applyFont="1" applyBorder="1" applyAlignment="1">
      <alignment vertical="center" wrapText="1"/>
    </xf>
    <xf numFmtId="0" fontId="16" fillId="0" borderId="16" xfId="2" applyFont="1" applyBorder="1" applyAlignment="1">
      <alignment vertical="center" wrapText="1"/>
    </xf>
    <xf numFmtId="0" fontId="15" fillId="8" borderId="30" xfId="2" applyFill="1" applyBorder="1"/>
    <xf numFmtId="3" fontId="16" fillId="0" borderId="44" xfId="2" applyNumberFormat="1" applyFont="1" applyFill="1" applyBorder="1"/>
    <xf numFmtId="3" fontId="16" fillId="0" borderId="20" xfId="2" applyNumberFormat="1" applyFont="1" applyFill="1" applyBorder="1"/>
    <xf numFmtId="3" fontId="15" fillId="0" borderId="20" xfId="2" applyNumberFormat="1" applyFill="1" applyBorder="1"/>
    <xf numFmtId="3" fontId="15" fillId="0" borderId="45" xfId="2" applyNumberFormat="1" applyFill="1" applyBorder="1"/>
    <xf numFmtId="3" fontId="15" fillId="0" borderId="56" xfId="2" applyNumberFormat="1" applyFill="1" applyBorder="1"/>
    <xf numFmtId="3" fontId="15" fillId="0" borderId="57" xfId="2" applyNumberFormat="1" applyFill="1" applyBorder="1"/>
    <xf numFmtId="0" fontId="16" fillId="0" borderId="30" xfId="2" applyFont="1" applyBorder="1" applyAlignment="1">
      <alignment wrapText="1"/>
    </xf>
    <xf numFmtId="0" fontId="20" fillId="0" borderId="30" xfId="2" applyFont="1" applyBorder="1"/>
    <xf numFmtId="0" fontId="15" fillId="0" borderId="41" xfId="2" applyBorder="1" applyAlignment="1">
      <alignment horizontal="left"/>
    </xf>
    <xf numFmtId="0" fontId="15" fillId="0" borderId="42" xfId="2" applyBorder="1" applyAlignment="1">
      <alignment horizontal="left"/>
    </xf>
    <xf numFmtId="0" fontId="15" fillId="0" borderId="57" xfId="2" applyBorder="1"/>
    <xf numFmtId="3" fontId="15" fillId="0" borderId="61" xfId="2" applyNumberFormat="1" applyBorder="1"/>
    <xf numFmtId="0" fontId="16" fillId="0" borderId="41" xfId="2" applyFont="1" applyBorder="1" applyAlignment="1">
      <alignment horizontal="center" vertical="center" wrapText="1"/>
    </xf>
    <xf numFmtId="0" fontId="16" fillId="0" borderId="28" xfId="2" applyFont="1" applyBorder="1" applyAlignment="1">
      <alignment horizontal="center" vertical="center" wrapText="1"/>
    </xf>
    <xf numFmtId="3" fontId="19" fillId="7" borderId="42" xfId="2" applyNumberFormat="1" applyFont="1" applyFill="1" applyBorder="1"/>
    <xf numFmtId="3" fontId="15" fillId="0" borderId="41" xfId="2" applyNumberFormat="1" applyFill="1" applyBorder="1" applyAlignment="1">
      <alignment horizontal="left" wrapText="1"/>
    </xf>
    <xf numFmtId="3" fontId="15" fillId="0" borderId="42" xfId="2" applyNumberFormat="1" applyFill="1" applyBorder="1" applyAlignment="1">
      <alignment horizontal="left" wrapText="1"/>
    </xf>
    <xf numFmtId="3" fontId="15" fillId="0" borderId="28" xfId="2" applyNumberFormat="1" applyFill="1" applyBorder="1" applyAlignment="1">
      <alignment horizontal="left" wrapText="1"/>
    </xf>
    <xf numFmtId="0" fontId="30" fillId="0" borderId="41" xfId="2" applyFont="1" applyBorder="1" applyAlignment="1">
      <alignment horizontal="center" vertical="center" wrapText="1"/>
    </xf>
    <xf numFmtId="0" fontId="30" fillId="0" borderId="42" xfId="2" applyFont="1" applyBorder="1" applyAlignment="1">
      <alignment horizontal="center" vertical="center" wrapText="1"/>
    </xf>
    <xf numFmtId="0" fontId="30" fillId="0" borderId="28" xfId="2" applyFont="1" applyBorder="1" applyAlignment="1">
      <alignment horizontal="center" vertical="center" wrapText="1"/>
    </xf>
    <xf numFmtId="3" fontId="20" fillId="0" borderId="30" xfId="2" applyNumberFormat="1" applyFont="1" applyBorder="1"/>
    <xf numFmtId="0" fontId="21" fillId="0" borderId="41" xfId="2" applyFont="1" applyBorder="1" applyAlignment="1">
      <alignment horizontal="center" vertical="center" wrapText="1"/>
    </xf>
    <xf numFmtId="0" fontId="21" fillId="0" borderId="42" xfId="2" applyFont="1" applyBorder="1" applyAlignment="1">
      <alignment horizontal="center" vertical="center" wrapText="1"/>
    </xf>
    <xf numFmtId="0" fontId="21" fillId="0" borderId="28" xfId="2" applyFont="1" applyBorder="1" applyAlignment="1">
      <alignment horizontal="center" vertical="center" wrapText="1"/>
    </xf>
    <xf numFmtId="0" fontId="15" fillId="0" borderId="30" xfId="2" applyBorder="1" applyAlignment="1">
      <alignment horizontal="left" vertical="center" wrapText="1"/>
    </xf>
    <xf numFmtId="0" fontId="15" fillId="0" borderId="37" xfId="2" applyBorder="1" applyAlignment="1">
      <alignment horizontal="left" vertical="center" wrapText="1"/>
    </xf>
    <xf numFmtId="0" fontId="61" fillId="14" borderId="0" xfId="2" applyFont="1" applyFill="1" applyAlignment="1">
      <alignment horizontal="center" vertical="center"/>
    </xf>
    <xf numFmtId="0" fontId="61" fillId="14" borderId="31" xfId="2" applyFont="1" applyFill="1" applyBorder="1" applyAlignment="1">
      <alignment horizontal="center" vertical="center"/>
    </xf>
    <xf numFmtId="0" fontId="61" fillId="14" borderId="32" xfId="2" applyFont="1" applyFill="1" applyBorder="1" applyAlignment="1">
      <alignment horizontal="center" vertical="center"/>
    </xf>
    <xf numFmtId="0" fontId="61" fillId="14" borderId="33" xfId="2" applyFont="1" applyFill="1" applyBorder="1" applyAlignment="1">
      <alignment horizontal="center" vertical="center"/>
    </xf>
    <xf numFmtId="0" fontId="61" fillId="14" borderId="31" xfId="2" applyFont="1" applyFill="1" applyBorder="1" applyAlignment="1">
      <alignment horizontal="center" vertical="center"/>
    </xf>
    <xf numFmtId="3" fontId="62" fillId="0" borderId="6" xfId="2" applyNumberFormat="1" applyFont="1" applyBorder="1" applyAlignment="1">
      <alignment wrapText="1"/>
    </xf>
    <xf numFmtId="3" fontId="63" fillId="0" borderId="6" xfId="2" applyNumberFormat="1" applyFont="1" applyBorder="1" applyAlignment="1">
      <alignment wrapText="1"/>
    </xf>
    <xf numFmtId="3" fontId="46" fillId="0" borderId="41" xfId="2" applyNumberFormat="1" applyFont="1" applyBorder="1"/>
    <xf numFmtId="0" fontId="46" fillId="0" borderId="42" xfId="2" applyFont="1" applyBorder="1"/>
    <xf numFmtId="12" fontId="46" fillId="0" borderId="28" xfId="2" applyNumberFormat="1" applyFont="1" applyBorder="1"/>
    <xf numFmtId="0" fontId="46" fillId="0" borderId="0" xfId="2" applyFont="1"/>
    <xf numFmtId="0" fontId="15" fillId="4" borderId="0" xfId="2" applyFill="1"/>
    <xf numFmtId="0" fontId="38" fillId="4" borderId="0" xfId="2" applyFont="1" applyFill="1"/>
    <xf numFmtId="0" fontId="44" fillId="4" borderId="0" xfId="2" applyFont="1" applyFill="1"/>
    <xf numFmtId="0" fontId="62" fillId="0" borderId="6" xfId="2" applyFont="1" applyBorder="1"/>
    <xf numFmtId="3" fontId="15" fillId="0" borderId="0" xfId="2" applyNumberFormat="1" applyBorder="1" applyAlignment="1">
      <alignment vertical="center"/>
    </xf>
    <xf numFmtId="12" fontId="15" fillId="0" borderId="16" xfId="2" applyNumberFormat="1" applyBorder="1" applyAlignment="1">
      <alignment vertical="center"/>
    </xf>
    <xf numFmtId="12" fontId="15" fillId="0" borderId="16" xfId="2" applyNumberFormat="1" applyBorder="1" applyAlignment="1"/>
    <xf numFmtId="0" fontId="16" fillId="0" borderId="41" xfId="2" applyFont="1" applyFill="1" applyBorder="1" applyAlignment="1">
      <alignment wrapText="1"/>
    </xf>
    <xf numFmtId="3" fontId="46" fillId="0" borderId="42" xfId="2" applyNumberFormat="1" applyFont="1" applyBorder="1"/>
    <xf numFmtId="0" fontId="61" fillId="14" borderId="30" xfId="2" applyFont="1" applyFill="1" applyBorder="1" applyAlignment="1">
      <alignment horizontal="center" vertical="center"/>
    </xf>
    <xf numFmtId="0" fontId="61" fillId="14" borderId="0" xfId="2" applyFont="1" applyFill="1" applyAlignment="1">
      <alignment horizontal="center" vertical="center"/>
    </xf>
    <xf numFmtId="0" fontId="64" fillId="14" borderId="38" xfId="2" applyFont="1" applyFill="1" applyBorder="1" applyAlignment="1">
      <alignment horizontal="center" vertical="center" wrapText="1"/>
    </xf>
    <xf numFmtId="0" fontId="61" fillId="14" borderId="38" xfId="2" applyFont="1" applyFill="1" applyBorder="1" applyAlignment="1">
      <alignment horizontal="center" vertical="center"/>
    </xf>
    <xf numFmtId="3" fontId="44" fillId="0" borderId="30" xfId="2" applyNumberFormat="1" applyFont="1" applyBorder="1"/>
    <xf numFmtId="0" fontId="44" fillId="0" borderId="0" xfId="2" applyFont="1" applyBorder="1"/>
    <xf numFmtId="12" fontId="44" fillId="0" borderId="16" xfId="2" applyNumberFormat="1" applyFont="1" applyBorder="1"/>
    <xf numFmtId="3" fontId="38" fillId="0" borderId="30" xfId="2" applyNumberFormat="1" applyFont="1" applyBorder="1"/>
    <xf numFmtId="0" fontId="38" fillId="0" borderId="0" xfId="2" applyFont="1" applyBorder="1"/>
    <xf numFmtId="12" fontId="38" fillId="0" borderId="16" xfId="2" applyNumberFormat="1" applyFont="1" applyBorder="1"/>
    <xf numFmtId="0" fontId="38" fillId="0" borderId="16" xfId="2" applyFont="1" applyBorder="1"/>
    <xf numFmtId="3" fontId="38" fillId="0" borderId="0" xfId="2" applyNumberFormat="1" applyFont="1" applyBorder="1"/>
    <xf numFmtId="0" fontId="23" fillId="0" borderId="0" xfId="2" applyFont="1"/>
    <xf numFmtId="3" fontId="23" fillId="0" borderId="0" xfId="2" applyNumberFormat="1" applyFont="1"/>
    <xf numFmtId="0" fontId="31" fillId="0" borderId="0" xfId="2" applyFont="1"/>
    <xf numFmtId="3" fontId="15" fillId="0" borderId="0" xfId="2" applyNumberFormat="1" applyBorder="1" applyAlignment="1">
      <alignment wrapText="1"/>
    </xf>
    <xf numFmtId="3" fontId="16" fillId="0" borderId="41" xfId="2" applyNumberFormat="1" applyFont="1" applyBorder="1"/>
    <xf numFmtId="0" fontId="16" fillId="0" borderId="42" xfId="2" applyFont="1" applyBorder="1"/>
    <xf numFmtId="12" fontId="16" fillId="0" borderId="28" xfId="2" applyNumberFormat="1" applyFont="1" applyBorder="1"/>
    <xf numFmtId="3" fontId="16" fillId="0" borderId="42" xfId="2" applyNumberFormat="1" applyFont="1" applyBorder="1"/>
    <xf numFmtId="12" fontId="16" fillId="0" borderId="42" xfId="2" applyNumberFormat="1" applyFont="1" applyBorder="1"/>
    <xf numFmtId="3" fontId="16" fillId="0" borderId="28" xfId="2" applyNumberFormat="1" applyFont="1" applyBorder="1"/>
    <xf numFmtId="0" fontId="46" fillId="0" borderId="41" xfId="2" applyFont="1" applyBorder="1"/>
    <xf numFmtId="0" fontId="46" fillId="0" borderId="28" xfId="2" applyFont="1" applyBorder="1"/>
    <xf numFmtId="12" fontId="15" fillId="4" borderId="24" xfId="2" applyNumberFormat="1" applyFill="1" applyBorder="1"/>
    <xf numFmtId="3" fontId="15" fillId="4" borderId="31" xfId="2" applyNumberFormat="1" applyFill="1" applyBorder="1" applyAlignment="1"/>
    <xf numFmtId="3" fontId="44" fillId="4" borderId="37" xfId="2" applyNumberFormat="1" applyFont="1" applyFill="1" applyBorder="1"/>
    <xf numFmtId="3" fontId="38" fillId="4" borderId="37" xfId="2" applyNumberFormat="1" applyFont="1" applyFill="1" applyBorder="1"/>
    <xf numFmtId="12" fontId="38" fillId="4" borderId="24" xfId="2" applyNumberFormat="1" applyFont="1" applyFill="1" applyBorder="1"/>
    <xf numFmtId="12" fontId="15" fillId="4" borderId="28" xfId="2" applyNumberFormat="1" applyFill="1" applyBorder="1"/>
    <xf numFmtId="0" fontId="61" fillId="14" borderId="41" xfId="2" applyFont="1" applyFill="1" applyBorder="1" applyAlignment="1">
      <alignment horizontal="center" vertical="center"/>
    </xf>
    <xf numFmtId="0" fontId="61" fillId="14" borderId="28" xfId="2" applyFont="1" applyFill="1" applyBorder="1" applyAlignment="1">
      <alignment horizontal="center" vertical="center"/>
    </xf>
    <xf numFmtId="3" fontId="61" fillId="14" borderId="41" xfId="2" applyNumberFormat="1" applyFont="1" applyFill="1" applyBorder="1" applyAlignment="1">
      <alignment horizontal="center" vertical="center"/>
    </xf>
    <xf numFmtId="3" fontId="61" fillId="14" borderId="28" xfId="2" applyNumberFormat="1" applyFont="1" applyFill="1" applyBorder="1" applyAlignment="1">
      <alignment horizontal="center" vertical="center"/>
    </xf>
    <xf numFmtId="0" fontId="31" fillId="0" borderId="30" xfId="2" applyFont="1" applyBorder="1"/>
    <xf numFmtId="3" fontId="31" fillId="0" borderId="30" xfId="2" applyNumberFormat="1" applyFont="1" applyBorder="1"/>
    <xf numFmtId="3" fontId="31" fillId="0" borderId="0" xfId="2" applyNumberFormat="1" applyFont="1" applyBorder="1"/>
    <xf numFmtId="12" fontId="31" fillId="0" borderId="16" xfId="2" applyNumberFormat="1" applyFont="1" applyBorder="1"/>
    <xf numFmtId="3" fontId="31" fillId="0" borderId="16" xfId="2" applyNumberFormat="1" applyFont="1" applyBorder="1"/>
    <xf numFmtId="0" fontId="31" fillId="0" borderId="0" xfId="2" applyFont="1" applyBorder="1"/>
    <xf numFmtId="12" fontId="15" fillId="0" borderId="16" xfId="2" applyNumberFormat="1" applyFill="1" applyBorder="1" applyAlignment="1">
      <alignment wrapText="1"/>
    </xf>
    <xf numFmtId="3" fontId="15" fillId="0" borderId="16" xfId="2" applyNumberFormat="1" applyFill="1" applyBorder="1" applyAlignment="1">
      <alignment wrapText="1"/>
    </xf>
    <xf numFmtId="12" fontId="15" fillId="0" borderId="16" xfId="2" applyNumberFormat="1" applyBorder="1" applyAlignment="1">
      <alignment wrapText="1"/>
    </xf>
    <xf numFmtId="3" fontId="15" fillId="0" borderId="16" xfId="2" applyNumberFormat="1" applyBorder="1" applyAlignment="1">
      <alignment wrapText="1"/>
    </xf>
    <xf numFmtId="0" fontId="15" fillId="0" borderId="16" xfId="2" applyBorder="1" applyAlignment="1">
      <alignment wrapText="1"/>
    </xf>
    <xf numFmtId="3" fontId="15" fillId="0" borderId="30" xfId="2" applyNumberFormat="1" applyBorder="1" applyAlignment="1">
      <alignment horizontal="right" vertical="center" wrapText="1"/>
    </xf>
    <xf numFmtId="0" fontId="15" fillId="0" borderId="30" xfId="2" applyBorder="1" applyAlignment="1">
      <alignment horizontal="right" vertical="center" wrapText="1"/>
    </xf>
    <xf numFmtId="3" fontId="19" fillId="4" borderId="0" xfId="2" applyNumberFormat="1" applyFont="1" applyFill="1"/>
    <xf numFmtId="0" fontId="4" fillId="2" borderId="0" xfId="5" applyFont="1" applyFill="1"/>
    <xf numFmtId="0" fontId="4" fillId="15" borderId="0" xfId="5" applyFont="1" applyFill="1"/>
    <xf numFmtId="0" fontId="0" fillId="15" borderId="0" xfId="0" applyFill="1"/>
  </cellXfs>
  <cellStyles count="6">
    <cellStyle name="Millares 2" xfId="3"/>
    <cellStyle name="Normal" xfId="0" builtinId="0"/>
    <cellStyle name="Normal 2" xfId="2"/>
    <cellStyle name="Normal 3" xfId="5"/>
    <cellStyle name="Porcentaje" xfId="1" builtinId="5"/>
    <cellStyle name="Porcentaje 2" xfId="4"/>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63" Type="http://schemas.openxmlformats.org/officeDocument/2006/relationships/worksheet" Target="worksheets/sheet62.xml"/><Relationship Id="rId64" Type="http://schemas.openxmlformats.org/officeDocument/2006/relationships/worksheet" Target="worksheets/sheet63.xml"/><Relationship Id="rId65" Type="http://schemas.openxmlformats.org/officeDocument/2006/relationships/worksheet" Target="worksheets/sheet64.xml"/><Relationship Id="rId66" Type="http://schemas.openxmlformats.org/officeDocument/2006/relationships/worksheet" Target="worksheets/sheet65.xml"/><Relationship Id="rId67" Type="http://schemas.openxmlformats.org/officeDocument/2006/relationships/worksheet" Target="worksheets/sheet66.xml"/><Relationship Id="rId68" Type="http://schemas.openxmlformats.org/officeDocument/2006/relationships/worksheet" Target="worksheets/sheet67.xml"/><Relationship Id="rId69" Type="http://schemas.openxmlformats.org/officeDocument/2006/relationships/worksheet" Target="worksheets/sheet68.xml"/><Relationship Id="rId50" Type="http://schemas.openxmlformats.org/officeDocument/2006/relationships/worksheet" Target="worksheets/sheet49.xml"/><Relationship Id="rId51" Type="http://schemas.openxmlformats.org/officeDocument/2006/relationships/worksheet" Target="worksheets/sheet50.xml"/><Relationship Id="rId52" Type="http://schemas.openxmlformats.org/officeDocument/2006/relationships/worksheet" Target="worksheets/sheet51.xml"/><Relationship Id="rId53" Type="http://schemas.openxmlformats.org/officeDocument/2006/relationships/worksheet" Target="worksheets/sheet52.xml"/><Relationship Id="rId54" Type="http://schemas.openxmlformats.org/officeDocument/2006/relationships/worksheet" Target="worksheets/sheet53.xml"/><Relationship Id="rId55" Type="http://schemas.openxmlformats.org/officeDocument/2006/relationships/worksheet" Target="worksheets/sheet54.xml"/><Relationship Id="rId56" Type="http://schemas.openxmlformats.org/officeDocument/2006/relationships/worksheet" Target="worksheets/sheet55.xml"/><Relationship Id="rId57" Type="http://schemas.openxmlformats.org/officeDocument/2006/relationships/worksheet" Target="worksheets/sheet56.xml"/><Relationship Id="rId58" Type="http://schemas.openxmlformats.org/officeDocument/2006/relationships/worksheet" Target="worksheets/sheet57.xml"/><Relationship Id="rId59" Type="http://schemas.openxmlformats.org/officeDocument/2006/relationships/worksheet" Target="worksheets/sheet58.xml"/><Relationship Id="rId40" Type="http://schemas.openxmlformats.org/officeDocument/2006/relationships/worksheet" Target="worksheets/sheet39.xml"/><Relationship Id="rId41" Type="http://schemas.openxmlformats.org/officeDocument/2006/relationships/worksheet" Target="worksheets/sheet40.xml"/><Relationship Id="rId42" Type="http://schemas.openxmlformats.org/officeDocument/2006/relationships/worksheet" Target="worksheets/sheet41.xml"/><Relationship Id="rId43" Type="http://schemas.openxmlformats.org/officeDocument/2006/relationships/worksheet" Target="worksheets/sheet42.xml"/><Relationship Id="rId44" Type="http://schemas.openxmlformats.org/officeDocument/2006/relationships/worksheet" Target="worksheets/sheet43.xml"/><Relationship Id="rId45" Type="http://schemas.openxmlformats.org/officeDocument/2006/relationships/worksheet" Target="worksheets/sheet44.xml"/><Relationship Id="rId46" Type="http://schemas.openxmlformats.org/officeDocument/2006/relationships/worksheet" Target="worksheets/sheet45.xml"/><Relationship Id="rId47" Type="http://schemas.openxmlformats.org/officeDocument/2006/relationships/worksheet" Target="worksheets/sheet46.xml"/><Relationship Id="rId48" Type="http://schemas.openxmlformats.org/officeDocument/2006/relationships/worksheet" Target="worksheets/sheet47.xml"/><Relationship Id="rId49" Type="http://schemas.openxmlformats.org/officeDocument/2006/relationships/worksheet" Target="worksheets/sheet48.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30" Type="http://schemas.openxmlformats.org/officeDocument/2006/relationships/worksheet" Target="worksheets/sheet30.xml"/><Relationship Id="rId31" Type="http://schemas.openxmlformats.org/officeDocument/2006/relationships/worksheet" Target="worksheets/sheet31.xml"/><Relationship Id="rId32" Type="http://schemas.openxmlformats.org/officeDocument/2006/relationships/worksheet" Target="worksheets/sheet32.xml"/><Relationship Id="rId33" Type="http://schemas.openxmlformats.org/officeDocument/2006/relationships/chartsheet" Target="chartsheets/sheet1.xml"/><Relationship Id="rId34" Type="http://schemas.openxmlformats.org/officeDocument/2006/relationships/worksheet" Target="worksheets/sheet33.xml"/><Relationship Id="rId35" Type="http://schemas.openxmlformats.org/officeDocument/2006/relationships/worksheet" Target="worksheets/sheet34.xml"/><Relationship Id="rId36" Type="http://schemas.openxmlformats.org/officeDocument/2006/relationships/worksheet" Target="worksheets/sheet35.xml"/><Relationship Id="rId37" Type="http://schemas.openxmlformats.org/officeDocument/2006/relationships/worksheet" Target="worksheets/sheet36.xml"/><Relationship Id="rId38" Type="http://schemas.openxmlformats.org/officeDocument/2006/relationships/worksheet" Target="worksheets/sheet37.xml"/><Relationship Id="rId39" Type="http://schemas.openxmlformats.org/officeDocument/2006/relationships/worksheet" Target="worksheets/sheet38.xml"/><Relationship Id="rId80" Type="http://schemas.openxmlformats.org/officeDocument/2006/relationships/sharedStrings" Target="sharedStrings.xml"/><Relationship Id="rId81" Type="http://schemas.openxmlformats.org/officeDocument/2006/relationships/calcChain" Target="calcChain.xml"/><Relationship Id="rId70" Type="http://schemas.openxmlformats.org/officeDocument/2006/relationships/worksheet" Target="worksheets/sheet69.xml"/><Relationship Id="rId71" Type="http://schemas.openxmlformats.org/officeDocument/2006/relationships/worksheet" Target="worksheets/sheet70.xml"/><Relationship Id="rId72" Type="http://schemas.openxmlformats.org/officeDocument/2006/relationships/worksheet" Target="worksheets/sheet71.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73" Type="http://schemas.openxmlformats.org/officeDocument/2006/relationships/worksheet" Target="worksheets/sheet72.xml"/><Relationship Id="rId74" Type="http://schemas.openxmlformats.org/officeDocument/2006/relationships/worksheet" Target="worksheets/sheet73.xml"/><Relationship Id="rId75" Type="http://schemas.openxmlformats.org/officeDocument/2006/relationships/worksheet" Target="worksheets/sheet74.xml"/><Relationship Id="rId76" Type="http://schemas.openxmlformats.org/officeDocument/2006/relationships/worksheet" Target="worksheets/sheet75.xml"/><Relationship Id="rId77" Type="http://schemas.openxmlformats.org/officeDocument/2006/relationships/worksheet" Target="worksheets/sheet76.xml"/><Relationship Id="rId78" Type="http://schemas.openxmlformats.org/officeDocument/2006/relationships/theme" Target="theme/theme1.xml"/><Relationship Id="rId79" Type="http://schemas.openxmlformats.org/officeDocument/2006/relationships/styles" Target="styles.xml"/><Relationship Id="rId60" Type="http://schemas.openxmlformats.org/officeDocument/2006/relationships/worksheet" Target="worksheets/sheet59.xml"/><Relationship Id="rId61" Type="http://schemas.openxmlformats.org/officeDocument/2006/relationships/worksheet" Target="worksheets/sheet60.xml"/><Relationship Id="rId62" Type="http://schemas.openxmlformats.org/officeDocument/2006/relationships/worksheet" Target="worksheets/sheet61.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s-ES_tradnl" sz="1200"/>
              <a:t>GRÁFICO</a:t>
            </a:r>
          </a:p>
          <a:p>
            <a:pPr>
              <a:defRPr sz="1200"/>
            </a:pPr>
            <a:r>
              <a:rPr lang="es-ES_tradnl" sz="1200"/>
              <a:t>TIERRAS ADJUDICADAS POR EL GOBIERNO NACIONAL</a:t>
            </a:r>
          </a:p>
        </c:rich>
      </c:tx>
      <c:overlay val="0"/>
    </c:title>
    <c:autoTitleDeleted val="0"/>
    <c:view3D>
      <c:rotX val="8"/>
      <c:rotY val="20"/>
      <c:rAngAx val="1"/>
    </c:view3D>
    <c:floor>
      <c:thickness val="0"/>
    </c:floor>
    <c:sideWall>
      <c:thickness val="0"/>
    </c:sideWall>
    <c:backWall>
      <c:thickness val="0"/>
    </c:backWall>
    <c:plotArea>
      <c:layout/>
      <c:bar3DChart>
        <c:barDir val="col"/>
        <c:grouping val="clustered"/>
        <c:varyColors val="0"/>
        <c:ser>
          <c:idx val="1"/>
          <c:order val="0"/>
          <c:invertIfNegative val="0"/>
          <c:cat>
            <c:numRef>
              <c:f>'1874 Hacienda'!$A$248:$A$270</c:f>
              <c:numCache>
                <c:formatCode>0</c:formatCode>
                <c:ptCount val="23"/>
                <c:pt idx="0">
                  <c:v>1827.0</c:v>
                </c:pt>
                <c:pt idx="1">
                  <c:v>1833.0</c:v>
                </c:pt>
                <c:pt idx="2">
                  <c:v>1834.0</c:v>
                </c:pt>
                <c:pt idx="3">
                  <c:v>1835.0</c:v>
                </c:pt>
                <c:pt idx="4">
                  <c:v>1837.0</c:v>
                </c:pt>
                <c:pt idx="5">
                  <c:v>1852.0</c:v>
                </c:pt>
                <c:pt idx="6">
                  <c:v>1853.0</c:v>
                </c:pt>
                <c:pt idx="7">
                  <c:v>1854.0</c:v>
                </c:pt>
                <c:pt idx="8">
                  <c:v>1855.0</c:v>
                </c:pt>
                <c:pt idx="9">
                  <c:v>1856.0</c:v>
                </c:pt>
                <c:pt idx="10">
                  <c:v>1857.0</c:v>
                </c:pt>
                <c:pt idx="11">
                  <c:v>1858.0</c:v>
                </c:pt>
                <c:pt idx="12">
                  <c:v>1860.0</c:v>
                </c:pt>
                <c:pt idx="13">
                  <c:v>1864.0</c:v>
                </c:pt>
                <c:pt idx="14">
                  <c:v>1865.0</c:v>
                </c:pt>
                <c:pt idx="15">
                  <c:v>1866.0</c:v>
                </c:pt>
                <c:pt idx="16">
                  <c:v>1867.0</c:v>
                </c:pt>
                <c:pt idx="17">
                  <c:v>1868.0</c:v>
                </c:pt>
                <c:pt idx="18">
                  <c:v>1869.0</c:v>
                </c:pt>
                <c:pt idx="19">
                  <c:v>1870.0</c:v>
                </c:pt>
                <c:pt idx="20">
                  <c:v>1871.0</c:v>
                </c:pt>
                <c:pt idx="21">
                  <c:v>1872.0</c:v>
                </c:pt>
                <c:pt idx="22">
                  <c:v>1873.0</c:v>
                </c:pt>
              </c:numCache>
            </c:numRef>
          </c:cat>
          <c:val>
            <c:numRef>
              <c:f>'1874 Hacienda'!$B$248:$B$270</c:f>
              <c:numCache>
                <c:formatCode>#,##0</c:formatCode>
                <c:ptCount val="23"/>
                <c:pt idx="0">
                  <c:v>2710.0</c:v>
                </c:pt>
                <c:pt idx="1">
                  <c:v>25344.0</c:v>
                </c:pt>
                <c:pt idx="2">
                  <c:v>608.0</c:v>
                </c:pt>
                <c:pt idx="3">
                  <c:v>6400.0</c:v>
                </c:pt>
                <c:pt idx="4">
                  <c:v>16640.0</c:v>
                </c:pt>
                <c:pt idx="6">
                  <c:v>6064.0</c:v>
                </c:pt>
                <c:pt idx="7">
                  <c:v>9687.0</c:v>
                </c:pt>
                <c:pt idx="8">
                  <c:v>46670.0</c:v>
                </c:pt>
                <c:pt idx="9">
                  <c:v>13598.0</c:v>
                </c:pt>
                <c:pt idx="10">
                  <c:v>33836.0</c:v>
                </c:pt>
                <c:pt idx="11">
                  <c:v>1012.0</c:v>
                </c:pt>
                <c:pt idx="12">
                  <c:v>23645.0</c:v>
                </c:pt>
                <c:pt idx="13">
                  <c:v>13089.0</c:v>
                </c:pt>
                <c:pt idx="14">
                  <c:v>44884.0</c:v>
                </c:pt>
                <c:pt idx="15">
                  <c:v>72336.0</c:v>
                </c:pt>
                <c:pt idx="16">
                  <c:v>8366.0</c:v>
                </c:pt>
                <c:pt idx="17">
                  <c:v>25350.0</c:v>
                </c:pt>
                <c:pt idx="18">
                  <c:v>58861.0</c:v>
                </c:pt>
                <c:pt idx="19">
                  <c:v>17399.0</c:v>
                </c:pt>
                <c:pt idx="20">
                  <c:v>36913.0</c:v>
                </c:pt>
                <c:pt idx="21">
                  <c:v>107224.0</c:v>
                </c:pt>
                <c:pt idx="22">
                  <c:v>267821.0</c:v>
                </c:pt>
              </c:numCache>
            </c:numRef>
          </c:val>
        </c:ser>
        <c:dLbls>
          <c:showLegendKey val="0"/>
          <c:showVal val="0"/>
          <c:showCatName val="0"/>
          <c:showSerName val="0"/>
          <c:showPercent val="0"/>
          <c:showBubbleSize val="0"/>
        </c:dLbls>
        <c:gapWidth val="150"/>
        <c:shape val="box"/>
        <c:axId val="-230944944"/>
        <c:axId val="-231734800"/>
        <c:axId val="0"/>
      </c:bar3DChart>
      <c:catAx>
        <c:axId val="-230944944"/>
        <c:scaling>
          <c:orientation val="minMax"/>
        </c:scaling>
        <c:delete val="0"/>
        <c:axPos val="b"/>
        <c:title>
          <c:tx>
            <c:rich>
              <a:bodyPr/>
              <a:lstStyle/>
              <a:p>
                <a:pPr>
                  <a:defRPr/>
                </a:pPr>
                <a:r>
                  <a:rPr lang="es-ES_tradnl"/>
                  <a:t>FUENTE: </a:t>
                </a:r>
                <a:r>
                  <a:rPr lang="es-ES_tradnl" b="0"/>
                  <a:t>Parra</a:t>
                </a:r>
                <a:r>
                  <a:rPr lang="es-ES_tradnl" b="0" baseline="0"/>
                  <a:t> </a:t>
                </a:r>
                <a:r>
                  <a:rPr lang="es-ES_tradnl" b="0"/>
                  <a:t>(1874)</a:t>
                </a:r>
              </a:p>
            </c:rich>
          </c:tx>
          <c:layout>
            <c:manualLayout>
              <c:xMode val="edge"/>
              <c:yMode val="edge"/>
              <c:x val="0.00612085156022164"/>
              <c:y val="0.952369788386068"/>
            </c:manualLayout>
          </c:layout>
          <c:overlay val="0"/>
        </c:title>
        <c:numFmt formatCode="0" sourceLinked="1"/>
        <c:majorTickMark val="out"/>
        <c:minorTickMark val="none"/>
        <c:tickLblPos val="nextTo"/>
        <c:txPr>
          <a:bodyPr rot="-5400000" vert="horz"/>
          <a:lstStyle/>
          <a:p>
            <a:pPr>
              <a:defRPr b="1" i="0"/>
            </a:pPr>
            <a:endParaRPr lang="es-ES_tradnl"/>
          </a:p>
        </c:txPr>
        <c:crossAx val="-231734800"/>
        <c:crosses val="autoZero"/>
        <c:auto val="1"/>
        <c:lblAlgn val="ctr"/>
        <c:lblOffset val="100"/>
        <c:noMultiLvlLbl val="0"/>
      </c:catAx>
      <c:valAx>
        <c:axId val="-231734800"/>
        <c:scaling>
          <c:orientation val="minMax"/>
        </c:scaling>
        <c:delete val="0"/>
        <c:axPos val="l"/>
        <c:majorGridlines/>
        <c:title>
          <c:tx>
            <c:rich>
              <a:bodyPr/>
              <a:lstStyle/>
              <a:p>
                <a:pPr>
                  <a:defRPr/>
                </a:pPr>
                <a:r>
                  <a:rPr lang="es-ES_tradnl"/>
                  <a:t>HECTÁREAS</a:t>
                </a:r>
              </a:p>
            </c:rich>
          </c:tx>
          <c:overlay val="0"/>
        </c:title>
        <c:numFmt formatCode="#,##0" sourceLinked="1"/>
        <c:majorTickMark val="out"/>
        <c:minorTickMark val="none"/>
        <c:tickLblPos val="nextTo"/>
        <c:txPr>
          <a:bodyPr/>
          <a:lstStyle/>
          <a:p>
            <a:pPr>
              <a:defRPr b="1"/>
            </a:pPr>
            <a:endParaRPr lang="es-ES_tradnl"/>
          </a:p>
        </c:txPr>
        <c:crossAx val="-230944944"/>
        <c:crosses val="autoZero"/>
        <c:crossBetween val="between"/>
      </c:valAx>
    </c:plotArea>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sheetPr/>
  <sheetViews>
    <sheetView zoomScale="153" workbookViewId="0" zoomToFit="1"/>
  </sheetViews>
  <pageMargins left="0.75" right="0.75" top="1" bottom="1" header="0.5" footer="0.5"/>
  <drawing r:id="rId1"/>
</chartsheet>
</file>

<file path=xl/drawings/_rels/drawing1.xml.rels><?xml version="1.0" encoding="UTF-8" standalone="yes"?>
<Relationships xmlns="http://schemas.openxmlformats.org/package/2006/relationships"><Relationship Id="rId1" Type="http://schemas.openxmlformats.org/officeDocument/2006/relationships/image" Target="../media/image1.emf"/><Relationship Id="rId2" Type="http://schemas.openxmlformats.org/officeDocument/2006/relationships/image" Target="../media/image2.emf"/></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20239</xdr:rowOff>
    </xdr:from>
    <xdr:to>
      <xdr:col>0</xdr:col>
      <xdr:colOff>4305300</xdr:colOff>
      <xdr:row>3</xdr:row>
      <xdr:rowOff>1923</xdr:rowOff>
    </xdr:to>
    <xdr:pic>
      <xdr:nvPicPr>
        <xdr:cNvPr id="2" name="Imagen 1"/>
        <xdr:cNvPicPr>
          <a:picLocks noChangeAspect="1"/>
        </xdr:cNvPicPr>
      </xdr:nvPicPr>
      <xdr:blipFill>
        <a:blip xmlns:r="http://schemas.openxmlformats.org/officeDocument/2006/relationships" r:embed="rId1"/>
        <a:stretch>
          <a:fillRect/>
        </a:stretch>
      </xdr:blipFill>
      <xdr:spPr>
        <a:xfrm>
          <a:off x="0" y="20239"/>
          <a:ext cx="4305300" cy="476984"/>
        </a:xfrm>
        <a:prstGeom prst="rect">
          <a:avLst/>
        </a:prstGeom>
      </xdr:spPr>
    </xdr:pic>
    <xdr:clientData/>
  </xdr:twoCellAnchor>
  <xdr:twoCellAnchor editAs="oneCell">
    <xdr:from>
      <xdr:col>1</xdr:col>
      <xdr:colOff>0</xdr:colOff>
      <xdr:row>0</xdr:row>
      <xdr:rowOff>0</xdr:rowOff>
    </xdr:from>
    <xdr:to>
      <xdr:col>1</xdr:col>
      <xdr:colOff>1370263</xdr:colOff>
      <xdr:row>4</xdr:row>
      <xdr:rowOff>31195</xdr:rowOff>
    </xdr:to>
    <xdr:pic>
      <xdr:nvPicPr>
        <xdr:cNvPr id="3" name="Imagen 2"/>
        <xdr:cNvPicPr>
          <a:picLocks noChangeAspect="1"/>
        </xdr:cNvPicPr>
      </xdr:nvPicPr>
      <xdr:blipFill>
        <a:blip xmlns:r="http://schemas.openxmlformats.org/officeDocument/2006/relationships" r:embed="rId2"/>
        <a:stretch>
          <a:fillRect/>
        </a:stretch>
      </xdr:blipFill>
      <xdr:spPr>
        <a:xfrm>
          <a:off x="4318000" y="0"/>
          <a:ext cx="1370263" cy="6915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absoluteAnchor>
    <xdr:pos x="0" y="0"/>
    <xdr:ext cx="8674183" cy="6291895"/>
    <xdr:graphicFrame macro="">
      <xdr:nvGraphicFramePr>
        <xdr:cNvPr id="2" name="Gráfico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vmlDrawing" Target="../drawings/vmlDrawing2.vml"/><Relationship Id="rId2" Type="http://schemas.openxmlformats.org/officeDocument/2006/relationships/comments" Target="../comments2.xml"/></Relationships>
</file>

<file path=xl/worksheets/_rels/sheet7.xml.rels><?xml version="1.0" encoding="UTF-8" standalone="yes"?>
<Relationships xmlns="http://schemas.openxmlformats.org/package/2006/relationships"><Relationship Id="rId1" Type="http://schemas.openxmlformats.org/officeDocument/2006/relationships/vmlDrawing" Target="../drawings/vmlDrawing3.vml"/><Relationship Id="rId2" Type="http://schemas.openxmlformats.org/officeDocument/2006/relationships/comments" Target="../comments3.xml"/></Relationships>
</file>

<file path=xl/worksheets/_rels/sheet11.xml.rels><?xml version="1.0" encoding="UTF-8" standalone="yes"?>
<Relationships xmlns="http://schemas.openxmlformats.org/package/2006/relationships"><Relationship Id="rId1" Type="http://schemas.openxmlformats.org/officeDocument/2006/relationships/vmlDrawing" Target="../drawings/vmlDrawing4.vml"/><Relationship Id="rId2" Type="http://schemas.openxmlformats.org/officeDocument/2006/relationships/comments" Target="../comments4.xml"/></Relationships>
</file>

<file path=xl/worksheets/_rels/sheet17.xml.rels><?xml version="1.0" encoding="UTF-8" standalone="yes"?>
<Relationships xmlns="http://schemas.openxmlformats.org/package/2006/relationships"><Relationship Id="rId1" Type="http://schemas.openxmlformats.org/officeDocument/2006/relationships/vmlDrawing" Target="../drawings/vmlDrawing5.vml"/><Relationship Id="rId2" Type="http://schemas.openxmlformats.org/officeDocument/2006/relationships/comments" Target="../comments5.xml"/></Relationships>
</file>

<file path=xl/worksheets/_rels/sheet20.xml.rels><?xml version="1.0" encoding="UTF-8" standalone="yes"?>
<Relationships xmlns="http://schemas.openxmlformats.org/package/2006/relationships"><Relationship Id="rId1" Type="http://schemas.openxmlformats.org/officeDocument/2006/relationships/vmlDrawing" Target="../drawings/vmlDrawing6.vml"/><Relationship Id="rId2" Type="http://schemas.openxmlformats.org/officeDocument/2006/relationships/comments" Target="../comments6.xml"/></Relationships>
</file>

<file path=xl/worksheets/_rels/sheet21.xml.rels><?xml version="1.0" encoding="UTF-8" standalone="yes"?>
<Relationships xmlns="http://schemas.openxmlformats.org/package/2006/relationships"><Relationship Id="rId1" Type="http://schemas.openxmlformats.org/officeDocument/2006/relationships/vmlDrawing" Target="../drawings/vmlDrawing7.vml"/><Relationship Id="rId2" Type="http://schemas.openxmlformats.org/officeDocument/2006/relationships/comments" Target="../comments7.xml"/></Relationships>
</file>

<file path=xl/worksheets/_rels/sheet22.xml.rels><?xml version="1.0" encoding="UTF-8" standalone="yes"?>
<Relationships xmlns="http://schemas.openxmlformats.org/package/2006/relationships"><Relationship Id="rId1" Type="http://schemas.openxmlformats.org/officeDocument/2006/relationships/vmlDrawing" Target="../drawings/vmlDrawing8.vml"/><Relationship Id="rId2" Type="http://schemas.openxmlformats.org/officeDocument/2006/relationships/comments" Target="../comments8.xml"/></Relationships>
</file>

<file path=xl/worksheets/_rels/sheet26.xml.rels><?xml version="1.0" encoding="UTF-8" standalone="yes"?>
<Relationships xmlns="http://schemas.openxmlformats.org/package/2006/relationships"><Relationship Id="rId1" Type="http://schemas.openxmlformats.org/officeDocument/2006/relationships/vmlDrawing" Target="../drawings/vmlDrawing9.vml"/><Relationship Id="rId2" Type="http://schemas.openxmlformats.org/officeDocument/2006/relationships/comments" Target="../comments9.xml"/></Relationships>
</file>

<file path=xl/worksheets/_rels/sheet28.xml.rels><?xml version="1.0" encoding="UTF-8" standalone="yes"?>
<Relationships xmlns="http://schemas.openxmlformats.org/package/2006/relationships"><Relationship Id="rId1" Type="http://schemas.openxmlformats.org/officeDocument/2006/relationships/vmlDrawing" Target="../drawings/vmlDrawing10.vml"/><Relationship Id="rId2" Type="http://schemas.openxmlformats.org/officeDocument/2006/relationships/comments" Target="../comments10.xml"/></Relationships>
</file>

<file path=xl/worksheets/_rels/sheet30.xml.rels><?xml version="1.0" encoding="UTF-8" standalone="yes"?>
<Relationships xmlns="http://schemas.openxmlformats.org/package/2006/relationships"><Relationship Id="rId1" Type="http://schemas.openxmlformats.org/officeDocument/2006/relationships/vmlDrawing" Target="../drawings/vmlDrawing11.vml"/><Relationship Id="rId2" Type="http://schemas.openxmlformats.org/officeDocument/2006/relationships/comments" Target="../comments11.xml"/></Relationships>
</file>

<file path=xl/worksheets/_rels/sheet43.xml.rels><?xml version="1.0" encoding="UTF-8" standalone="yes"?>
<Relationships xmlns="http://schemas.openxmlformats.org/package/2006/relationships"><Relationship Id="rId1" Type="http://schemas.openxmlformats.org/officeDocument/2006/relationships/vmlDrawing" Target="../drawings/vmlDrawing12.vml"/><Relationship Id="rId2" Type="http://schemas.openxmlformats.org/officeDocument/2006/relationships/comments" Target="../comments12.xml"/></Relationships>
</file>

<file path=xl/worksheets/_rels/sheet44.xml.rels><?xml version="1.0" encoding="UTF-8" standalone="yes"?>
<Relationships xmlns="http://schemas.openxmlformats.org/package/2006/relationships"><Relationship Id="rId1" Type="http://schemas.openxmlformats.org/officeDocument/2006/relationships/vmlDrawing" Target="../drawings/vmlDrawing13.vml"/><Relationship Id="rId2" Type="http://schemas.openxmlformats.org/officeDocument/2006/relationships/comments" Target="../comments13.xml"/></Relationships>
</file>

<file path=xl/worksheets/_rels/sheet46.xml.rels><?xml version="1.0" encoding="UTF-8" standalone="yes"?>
<Relationships xmlns="http://schemas.openxmlformats.org/package/2006/relationships"><Relationship Id="rId1" Type="http://schemas.openxmlformats.org/officeDocument/2006/relationships/vmlDrawing" Target="../drawings/vmlDrawing14.vml"/><Relationship Id="rId2" Type="http://schemas.openxmlformats.org/officeDocument/2006/relationships/comments" Target="../comments14.xml"/></Relationships>
</file>

<file path=xl/worksheets/_rels/sheet59.xml.rels><?xml version="1.0" encoding="UTF-8" standalone="yes"?>
<Relationships xmlns="http://schemas.openxmlformats.org/package/2006/relationships"><Relationship Id="rId1" Type="http://schemas.openxmlformats.org/officeDocument/2006/relationships/vmlDrawing" Target="../drawings/vmlDrawing15.vml"/><Relationship Id="rId2" Type="http://schemas.openxmlformats.org/officeDocument/2006/relationships/comments" Target="../comments15.xml"/></Relationships>
</file>

<file path=xl/worksheets/_rels/sheet65.xml.rels><?xml version="1.0" encoding="UTF-8" standalone="yes"?>
<Relationships xmlns="http://schemas.openxmlformats.org/package/2006/relationships"><Relationship Id="rId1" Type="http://schemas.openxmlformats.org/officeDocument/2006/relationships/vmlDrawing" Target="../drawings/vmlDrawing16.vml"/><Relationship Id="rId2" Type="http://schemas.openxmlformats.org/officeDocument/2006/relationships/comments" Target="../comments16.xml"/></Relationships>
</file>

<file path=xl/worksheets/_rels/sheet72.xml.rels><?xml version="1.0" encoding="UTF-8" standalone="yes"?>
<Relationships xmlns="http://schemas.openxmlformats.org/package/2006/relationships"><Relationship Id="rId1" Type="http://schemas.openxmlformats.org/officeDocument/2006/relationships/vmlDrawing" Target="../drawings/vmlDrawing17.vml"/><Relationship Id="rId2" Type="http://schemas.openxmlformats.org/officeDocument/2006/relationships/comments" Target="../comments17.xml"/></Relationships>
</file>

<file path=xl/worksheets/_rels/sheet73.xml.rels><?xml version="1.0" encoding="UTF-8" standalone="yes"?>
<Relationships xmlns="http://schemas.openxmlformats.org/package/2006/relationships"><Relationship Id="rId1" Type="http://schemas.openxmlformats.org/officeDocument/2006/relationships/vmlDrawing" Target="../drawings/vmlDrawing18.vml"/><Relationship Id="rId2" Type="http://schemas.openxmlformats.org/officeDocument/2006/relationships/comments" Target="../comments18.xml"/></Relationships>
</file>

<file path=xl/worksheets/_rels/sheet74.xml.rels><?xml version="1.0" encoding="UTF-8" standalone="yes"?>
<Relationships xmlns="http://schemas.openxmlformats.org/package/2006/relationships"><Relationship Id="rId1" Type="http://schemas.openxmlformats.org/officeDocument/2006/relationships/vmlDrawing" Target="../drawings/vmlDrawing19.vml"/><Relationship Id="rId2" Type="http://schemas.openxmlformats.org/officeDocument/2006/relationships/comments" Target="../comments19.xml"/></Relationships>
</file>

<file path=xl/worksheets/_rels/sheet75.xml.rels><?xml version="1.0" encoding="UTF-8" standalone="yes"?>
<Relationships xmlns="http://schemas.openxmlformats.org/package/2006/relationships"><Relationship Id="rId1" Type="http://schemas.openxmlformats.org/officeDocument/2006/relationships/vmlDrawing" Target="../drawings/vmlDrawing20.vml"/><Relationship Id="rId2" Type="http://schemas.openxmlformats.org/officeDocument/2006/relationships/comments" Target="../comments20.xml"/></Relationships>
</file>

<file path=xl/worksheets/_rels/sheet76.xml.rels><?xml version="1.0" encoding="UTF-8" standalone="yes"?>
<Relationships xmlns="http://schemas.openxmlformats.org/package/2006/relationships"><Relationship Id="rId1" Type="http://schemas.openxmlformats.org/officeDocument/2006/relationships/vmlDrawing" Target="../drawings/vmlDrawing21.vml"/><Relationship Id="rId2" Type="http://schemas.openxmlformats.org/officeDocument/2006/relationships/comments" Target="../comments2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B19"/>
  <sheetViews>
    <sheetView tabSelected="1" workbookViewId="0">
      <selection activeCell="I13" sqref="I13"/>
    </sheetView>
  </sheetViews>
  <sheetFormatPr baseColWidth="10" defaultRowHeight="13" x14ac:dyDescent="0.15"/>
  <cols>
    <col min="1" max="1" width="56.6640625" customWidth="1"/>
    <col min="2" max="2" width="18" customWidth="1"/>
  </cols>
  <sheetData>
    <row r="4" spans="1:2" x14ac:dyDescent="0.15">
      <c r="A4" s="1789" t="s">
        <v>0</v>
      </c>
    </row>
    <row r="5" spans="1:2" x14ac:dyDescent="0.15">
      <c r="A5" s="1790" t="s">
        <v>6069</v>
      </c>
      <c r="B5" s="1791"/>
    </row>
    <row r="6" spans="1:2" x14ac:dyDescent="0.15">
      <c r="A6" s="1790" t="s">
        <v>1</v>
      </c>
      <c r="B6" s="1791"/>
    </row>
    <row r="8" spans="1:2" x14ac:dyDescent="0.15">
      <c r="A8" s="1" t="s">
        <v>2</v>
      </c>
    </row>
    <row r="9" spans="1:2" x14ac:dyDescent="0.15">
      <c r="A9" s="2"/>
    </row>
    <row r="10" spans="1:2" x14ac:dyDescent="0.15">
      <c r="A10" s="3" t="s">
        <v>3</v>
      </c>
    </row>
    <row r="11" spans="1:2" s="5" customFormat="1" ht="52" x14ac:dyDescent="0.15">
      <c r="A11" s="4" t="s">
        <v>4</v>
      </c>
    </row>
    <row r="12" spans="1:2" s="5" customFormat="1" x14ac:dyDescent="0.15">
      <c r="A12" s="4"/>
    </row>
    <row r="13" spans="1:2" ht="26" x14ac:dyDescent="0.15">
      <c r="A13" s="4" t="s">
        <v>5</v>
      </c>
    </row>
    <row r="14" spans="1:2" x14ac:dyDescent="0.15">
      <c r="A14" s="4"/>
    </row>
    <row r="15" spans="1:2" ht="26" x14ac:dyDescent="0.15">
      <c r="A15" s="4" t="s">
        <v>6</v>
      </c>
    </row>
    <row r="16" spans="1:2" x14ac:dyDescent="0.15">
      <c r="A16" s="4"/>
    </row>
    <row r="17" spans="1:1" ht="26" x14ac:dyDescent="0.15">
      <c r="A17" s="4" t="s">
        <v>7</v>
      </c>
    </row>
    <row r="18" spans="1:1" x14ac:dyDescent="0.15">
      <c r="A18" s="4"/>
    </row>
    <row r="19" spans="1:1" x14ac:dyDescent="0.15">
      <c r="A19" t="s">
        <v>8</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3"/>
  <sheetViews>
    <sheetView topLeftCell="A2" workbookViewId="0">
      <selection activeCell="B1" sqref="B1"/>
    </sheetView>
  </sheetViews>
  <sheetFormatPr baseColWidth="10" defaultRowHeight="13" x14ac:dyDescent="0.15"/>
  <cols>
    <col min="1" max="1" width="36.6640625" bestFit="1" customWidth="1"/>
    <col min="2" max="16384" width="10.83203125" style="7"/>
  </cols>
  <sheetData>
    <row r="1" spans="1:3" customFormat="1" x14ac:dyDescent="0.15">
      <c r="A1" t="s">
        <v>9</v>
      </c>
    </row>
    <row r="2" spans="1:3" customFormat="1" x14ac:dyDescent="0.15"/>
    <row r="3" spans="1:3" customFormat="1" x14ac:dyDescent="0.15">
      <c r="A3" t="s">
        <v>10</v>
      </c>
    </row>
    <row r="4" spans="1:3" customFormat="1" x14ac:dyDescent="0.15"/>
    <row r="5" spans="1:3" customFormat="1" x14ac:dyDescent="0.15">
      <c r="B5" s="6" t="s">
        <v>11</v>
      </c>
      <c r="C5" s="6" t="s">
        <v>12</v>
      </c>
    </row>
    <row r="6" spans="1:3" x14ac:dyDescent="0.15">
      <c r="A6" t="s">
        <v>13</v>
      </c>
      <c r="B6" s="7">
        <v>119902</v>
      </c>
      <c r="C6" s="8" t="s">
        <v>14</v>
      </c>
    </row>
    <row r="7" spans="1:3" x14ac:dyDescent="0.15">
      <c r="A7" t="s">
        <v>15</v>
      </c>
      <c r="B7" s="7">
        <v>194558</v>
      </c>
      <c r="C7" s="7">
        <v>6</v>
      </c>
    </row>
    <row r="8" spans="1:3" x14ac:dyDescent="0.15">
      <c r="A8" t="s">
        <v>16</v>
      </c>
      <c r="B8" s="7">
        <v>115010</v>
      </c>
      <c r="C8" s="8" t="s">
        <v>17</v>
      </c>
    </row>
    <row r="9" spans="1:3" x14ac:dyDescent="0.15">
      <c r="A9" t="s">
        <v>18</v>
      </c>
      <c r="B9" s="7">
        <v>172051</v>
      </c>
      <c r="C9" s="8" t="s">
        <v>19</v>
      </c>
    </row>
    <row r="10" spans="1:3" x14ac:dyDescent="0.15">
      <c r="A10" t="s">
        <v>20</v>
      </c>
      <c r="B10" s="7">
        <v>135573</v>
      </c>
      <c r="C10" s="8" t="s">
        <v>21</v>
      </c>
    </row>
    <row r="11" spans="1:3" x14ac:dyDescent="0.15">
      <c r="A11" t="s">
        <v>22</v>
      </c>
      <c r="B11" s="7">
        <v>87302</v>
      </c>
      <c r="C11" s="8" t="s">
        <v>23</v>
      </c>
    </row>
    <row r="12" spans="1:3" x14ac:dyDescent="0.15">
      <c r="A12" t="s">
        <v>24</v>
      </c>
      <c r="B12" s="7">
        <v>6218</v>
      </c>
      <c r="C12" s="8" t="s">
        <v>25</v>
      </c>
    </row>
    <row r="13" spans="1:3" x14ac:dyDescent="0.15">
      <c r="A13" t="s">
        <v>26</v>
      </c>
      <c r="B13" s="7">
        <v>2789</v>
      </c>
      <c r="C13" s="8" t="s">
        <v>25</v>
      </c>
    </row>
    <row r="14" spans="1:3" x14ac:dyDescent="0.15">
      <c r="A14" t="s">
        <v>27</v>
      </c>
      <c r="B14" s="7">
        <v>979</v>
      </c>
      <c r="C14" s="8" t="s">
        <v>14</v>
      </c>
    </row>
    <row r="15" spans="1:3" x14ac:dyDescent="0.15">
      <c r="A15" t="s">
        <v>28</v>
      </c>
      <c r="B15" s="7">
        <v>1015</v>
      </c>
      <c r="C15" s="8" t="s">
        <v>19</v>
      </c>
    </row>
    <row r="16" spans="1:3" x14ac:dyDescent="0.15">
      <c r="A16" t="s">
        <v>29</v>
      </c>
      <c r="B16" s="7">
        <v>1906</v>
      </c>
      <c r="C16" s="8" t="s">
        <v>30</v>
      </c>
    </row>
    <row r="17" spans="1:3" x14ac:dyDescent="0.15">
      <c r="A17" t="s">
        <v>31</v>
      </c>
      <c r="B17" s="7">
        <v>32747</v>
      </c>
      <c r="C17" s="8" t="s">
        <v>23</v>
      </c>
    </row>
    <row r="18" spans="1:3" x14ac:dyDescent="0.15">
      <c r="A18" t="s">
        <v>32</v>
      </c>
      <c r="B18" s="7">
        <v>187904</v>
      </c>
      <c r="C18" s="7">
        <v>7</v>
      </c>
    </row>
    <row r="19" spans="1:3" x14ac:dyDescent="0.15">
      <c r="A19" t="s">
        <v>33</v>
      </c>
      <c r="B19" s="7">
        <v>55866</v>
      </c>
      <c r="C19" s="7">
        <v>4</v>
      </c>
    </row>
    <row r="20" spans="1:3" x14ac:dyDescent="0.15">
      <c r="A20" t="s">
        <v>34</v>
      </c>
      <c r="B20" s="7">
        <v>60563</v>
      </c>
      <c r="C20" s="8" t="s">
        <v>35</v>
      </c>
    </row>
    <row r="21" spans="1:3" x14ac:dyDescent="0.15">
      <c r="A21" t="s">
        <v>36</v>
      </c>
      <c r="B21" s="7">
        <v>3282</v>
      </c>
      <c r="C21" s="8" t="s">
        <v>37</v>
      </c>
    </row>
    <row r="22" spans="1:3" x14ac:dyDescent="0.15">
      <c r="A22" t="s">
        <v>38</v>
      </c>
      <c r="B22" s="7">
        <v>200</v>
      </c>
      <c r="C22" s="7">
        <v>5</v>
      </c>
    </row>
    <row r="23" spans="1:3" x14ac:dyDescent="0.15">
      <c r="A23" t="s">
        <v>39</v>
      </c>
      <c r="B23" s="7">
        <v>7014</v>
      </c>
      <c r="C23" s="7">
        <v>1</v>
      </c>
    </row>
    <row r="24" spans="1:3" x14ac:dyDescent="0.15">
      <c r="A24" t="s">
        <v>40</v>
      </c>
      <c r="B24" s="7">
        <v>4147</v>
      </c>
      <c r="C24" s="7">
        <v>6</v>
      </c>
    </row>
    <row r="25" spans="1:3" x14ac:dyDescent="0.15">
      <c r="A25" t="s">
        <v>41</v>
      </c>
      <c r="B25" s="7">
        <v>4302</v>
      </c>
      <c r="C25" s="7">
        <v>1</v>
      </c>
    </row>
    <row r="26" spans="1:3" x14ac:dyDescent="0.15">
      <c r="A26" t="s">
        <v>42</v>
      </c>
      <c r="B26" s="7">
        <v>4433</v>
      </c>
      <c r="C26" s="7">
        <v>2</v>
      </c>
    </row>
    <row r="27" spans="1:3" x14ac:dyDescent="0.15">
      <c r="A27" t="s">
        <v>43</v>
      </c>
      <c r="B27" s="7">
        <v>1446</v>
      </c>
      <c r="C27" s="7">
        <v>6</v>
      </c>
    </row>
    <row r="28" spans="1:3" x14ac:dyDescent="0.15">
      <c r="A28" t="s">
        <v>44</v>
      </c>
      <c r="B28" s="7">
        <v>71543</v>
      </c>
      <c r="C28" s="8" t="s">
        <v>45</v>
      </c>
    </row>
    <row r="29" spans="1:3" x14ac:dyDescent="0.15">
      <c r="A29" t="s">
        <v>46</v>
      </c>
      <c r="B29" s="7">
        <v>2166</v>
      </c>
      <c r="C29" s="8" t="s">
        <v>47</v>
      </c>
    </row>
    <row r="30" spans="1:3" x14ac:dyDescent="0.15">
      <c r="A30" t="s">
        <v>48</v>
      </c>
      <c r="B30" s="7">
        <v>23243</v>
      </c>
      <c r="C30" s="8" t="s">
        <v>35</v>
      </c>
    </row>
    <row r="31" spans="1:3" x14ac:dyDescent="0.15">
      <c r="A31" t="s">
        <v>49</v>
      </c>
      <c r="B31" s="7">
        <v>3838</v>
      </c>
      <c r="C31" s="8" t="s">
        <v>50</v>
      </c>
    </row>
    <row r="32" spans="1:3" x14ac:dyDescent="0.15">
      <c r="A32" t="s">
        <v>51</v>
      </c>
      <c r="B32" s="7">
        <v>9221</v>
      </c>
      <c r="C32" s="7">
        <v>2</v>
      </c>
    </row>
    <row r="33" spans="1:3" x14ac:dyDescent="0.15">
      <c r="A33" t="s">
        <v>52</v>
      </c>
      <c r="B33" s="7">
        <v>500</v>
      </c>
      <c r="C33" s="7">
        <v>0</v>
      </c>
    </row>
    <row r="34" spans="1:3" x14ac:dyDescent="0.15">
      <c r="A34" t="s">
        <v>53</v>
      </c>
      <c r="B34" s="7">
        <v>679</v>
      </c>
      <c r="C34" s="7">
        <v>0</v>
      </c>
    </row>
    <row r="35" spans="1:3" x14ac:dyDescent="0.15">
      <c r="A35" t="s">
        <v>54</v>
      </c>
      <c r="B35" s="7">
        <v>88419</v>
      </c>
      <c r="C35" s="8" t="s">
        <v>17</v>
      </c>
    </row>
    <row r="36" spans="1:3" x14ac:dyDescent="0.15">
      <c r="A36" t="s">
        <v>55</v>
      </c>
      <c r="B36" s="7">
        <v>256035</v>
      </c>
      <c r="C36" s="8" t="s">
        <v>56</v>
      </c>
    </row>
    <row r="37" spans="1:3" x14ac:dyDescent="0.15">
      <c r="A37" t="s">
        <v>57</v>
      </c>
      <c r="B37" s="7">
        <v>15735</v>
      </c>
      <c r="C37" s="8" t="s">
        <v>58</v>
      </c>
    </row>
    <row r="38" spans="1:3" x14ac:dyDescent="0.15">
      <c r="A38" t="s">
        <v>59</v>
      </c>
      <c r="B38" s="7">
        <v>6389</v>
      </c>
      <c r="C38" s="7">
        <v>7</v>
      </c>
    </row>
    <row r="39" spans="1:3" x14ac:dyDescent="0.15">
      <c r="A39" t="s">
        <v>60</v>
      </c>
      <c r="B39" s="7">
        <v>9335</v>
      </c>
      <c r="C39" s="9" t="s">
        <v>61</v>
      </c>
    </row>
    <row r="40" spans="1:3" x14ac:dyDescent="0.15">
      <c r="A40" t="s">
        <v>62</v>
      </c>
      <c r="B40" s="7">
        <v>10445</v>
      </c>
      <c r="C40" s="8" t="s">
        <v>63</v>
      </c>
    </row>
    <row r="41" spans="1:3" x14ac:dyDescent="0.15">
      <c r="A41" t="s">
        <v>64</v>
      </c>
      <c r="B41" s="7">
        <v>45</v>
      </c>
      <c r="C41" s="7">
        <v>0</v>
      </c>
    </row>
    <row r="42" spans="1:3" x14ac:dyDescent="0.15">
      <c r="A42" t="s">
        <v>65</v>
      </c>
      <c r="B42" s="7">
        <v>534</v>
      </c>
      <c r="C42" s="7">
        <v>0</v>
      </c>
    </row>
    <row r="43" spans="1:3" x14ac:dyDescent="0.15">
      <c r="A43" t="s">
        <v>66</v>
      </c>
      <c r="B43" s="7">
        <v>8958</v>
      </c>
      <c r="C43" s="7">
        <v>0</v>
      </c>
    </row>
    <row r="44" spans="1:3" x14ac:dyDescent="0.15">
      <c r="A44" t="s">
        <v>67</v>
      </c>
      <c r="B44" s="7">
        <v>5123</v>
      </c>
      <c r="C44" s="8" t="s">
        <v>68</v>
      </c>
    </row>
    <row r="45" spans="1:3" x14ac:dyDescent="0.15">
      <c r="A45" t="s">
        <v>69</v>
      </c>
      <c r="B45" s="7">
        <v>23030</v>
      </c>
      <c r="C45" s="7">
        <v>0</v>
      </c>
    </row>
    <row r="46" spans="1:3" x14ac:dyDescent="0.15">
      <c r="A46" t="s">
        <v>70</v>
      </c>
      <c r="B46" s="7">
        <v>2801</v>
      </c>
      <c r="C46" s="8" t="s">
        <v>35</v>
      </c>
    </row>
    <row r="47" spans="1:3" x14ac:dyDescent="0.15">
      <c r="A47" t="s">
        <v>71</v>
      </c>
      <c r="B47" s="7">
        <v>2066</v>
      </c>
      <c r="C47" s="8" t="s">
        <v>19</v>
      </c>
    </row>
    <row r="48" spans="1:3" x14ac:dyDescent="0.15">
      <c r="A48" t="s">
        <v>72</v>
      </c>
      <c r="B48" s="7">
        <v>7310</v>
      </c>
      <c r="C48" s="8" t="s">
        <v>35</v>
      </c>
    </row>
    <row r="49" spans="1:5" x14ac:dyDescent="0.15">
      <c r="A49" t="s">
        <v>73</v>
      </c>
      <c r="B49" s="7">
        <v>4477</v>
      </c>
      <c r="C49" s="7">
        <v>2</v>
      </c>
    </row>
    <row r="50" spans="1:5" x14ac:dyDescent="0.15">
      <c r="A50" t="s">
        <v>74</v>
      </c>
      <c r="B50" s="7">
        <v>2799</v>
      </c>
      <c r="C50" s="8" t="s">
        <v>23</v>
      </c>
    </row>
    <row r="51" spans="1:5" x14ac:dyDescent="0.15">
      <c r="A51" t="s">
        <v>75</v>
      </c>
      <c r="B51" s="7">
        <v>2402</v>
      </c>
      <c r="C51" s="7">
        <v>2</v>
      </c>
    </row>
    <row r="52" spans="1:5" x14ac:dyDescent="0.15">
      <c r="A52" t="s">
        <v>76</v>
      </c>
      <c r="B52" s="7">
        <v>43057</v>
      </c>
      <c r="C52" s="8" t="s">
        <v>68</v>
      </c>
    </row>
    <row r="53" spans="1:5" x14ac:dyDescent="0.15">
      <c r="A53" t="s">
        <v>77</v>
      </c>
      <c r="B53" s="7">
        <v>139011</v>
      </c>
      <c r="C53" s="8" t="s">
        <v>37</v>
      </c>
    </row>
    <row r="54" spans="1:5" x14ac:dyDescent="0.15">
      <c r="A54" t="s">
        <v>78</v>
      </c>
      <c r="B54" s="7">
        <v>516188</v>
      </c>
      <c r="C54" s="7">
        <v>5</v>
      </c>
    </row>
    <row r="55" spans="1:5" x14ac:dyDescent="0.15">
      <c r="A55" t="s">
        <v>79</v>
      </c>
      <c r="B55" s="7">
        <v>25713</v>
      </c>
      <c r="C55" s="8" t="s">
        <v>58</v>
      </c>
    </row>
    <row r="56" spans="1:5" x14ac:dyDescent="0.15">
      <c r="A56" t="s">
        <v>80</v>
      </c>
      <c r="B56" s="7">
        <v>630</v>
      </c>
      <c r="C56" s="8" t="s">
        <v>81</v>
      </c>
    </row>
    <row r="57" spans="1:5" x14ac:dyDescent="0.15">
      <c r="A57" t="s">
        <v>82</v>
      </c>
      <c r="B57" s="7">
        <v>272</v>
      </c>
      <c r="C57" s="8" t="s">
        <v>58</v>
      </c>
    </row>
    <row r="58" spans="1:5" x14ac:dyDescent="0.15">
      <c r="A58" t="s">
        <v>83</v>
      </c>
      <c r="B58" s="7">
        <v>139</v>
      </c>
      <c r="C58" s="8" t="s">
        <v>84</v>
      </c>
    </row>
    <row r="59" spans="1:5" x14ac:dyDescent="0.15">
      <c r="A59" t="s">
        <v>85</v>
      </c>
      <c r="B59" s="7">
        <v>73</v>
      </c>
      <c r="C59" s="8" t="s">
        <v>23</v>
      </c>
    </row>
    <row r="60" spans="1:5" x14ac:dyDescent="0.15">
      <c r="A60" t="s">
        <v>86</v>
      </c>
      <c r="B60" s="7">
        <v>123</v>
      </c>
      <c r="C60" s="7">
        <v>4.25</v>
      </c>
    </row>
    <row r="62" spans="1:5" x14ac:dyDescent="0.15">
      <c r="A62" t="s">
        <v>87</v>
      </c>
    </row>
    <row r="63" spans="1:5" x14ac:dyDescent="0.15">
      <c r="D63" s="7">
        <f>SUM(B66:B89)+E63</f>
        <v>2651177.25</v>
      </c>
      <c r="E63" s="7">
        <f>D64/8</f>
        <v>7.25</v>
      </c>
    </row>
    <row r="64" spans="1:5" x14ac:dyDescent="0.15">
      <c r="A64" t="s">
        <v>88</v>
      </c>
      <c r="D64" s="7">
        <f>SUM(D66:D88)</f>
        <v>58</v>
      </c>
    </row>
    <row r="66" spans="1:5" x14ac:dyDescent="0.15">
      <c r="A66" t="s">
        <v>89</v>
      </c>
      <c r="B66" s="7">
        <v>1888066</v>
      </c>
      <c r="C66" s="9" t="s">
        <v>45</v>
      </c>
      <c r="D66" s="7">
        <v>7</v>
      </c>
    </row>
    <row r="67" spans="1:5" x14ac:dyDescent="0.15">
      <c r="A67" t="s">
        <v>90</v>
      </c>
      <c r="B67" s="7">
        <v>467848</v>
      </c>
      <c r="C67" s="9" t="s">
        <v>30</v>
      </c>
      <c r="D67" s="7">
        <v>5</v>
      </c>
    </row>
    <row r="68" spans="1:5" x14ac:dyDescent="0.15">
      <c r="A68" t="s">
        <v>91</v>
      </c>
      <c r="B68" s="7">
        <v>148011</v>
      </c>
      <c r="C68" s="7">
        <v>0</v>
      </c>
      <c r="D68" s="7">
        <v>5</v>
      </c>
    </row>
    <row r="69" spans="1:5" x14ac:dyDescent="0.15">
      <c r="A69" t="s">
        <v>92</v>
      </c>
      <c r="B69" s="7">
        <v>40147</v>
      </c>
      <c r="C69" s="7">
        <v>3</v>
      </c>
      <c r="D69" s="7">
        <v>3</v>
      </c>
    </row>
    <row r="70" spans="1:5" x14ac:dyDescent="0.15">
      <c r="A70" t="s">
        <v>93</v>
      </c>
      <c r="B70" s="7">
        <v>56</v>
      </c>
      <c r="C70" s="9" t="s">
        <v>23</v>
      </c>
      <c r="D70" s="7">
        <v>7</v>
      </c>
      <c r="E70" s="7">
        <v>1</v>
      </c>
    </row>
    <row r="71" spans="1:5" x14ac:dyDescent="0.15">
      <c r="A71" t="s">
        <v>94</v>
      </c>
      <c r="B71" s="7">
        <v>1904</v>
      </c>
      <c r="C71" s="7">
        <v>0</v>
      </c>
    </row>
    <row r="72" spans="1:5" x14ac:dyDescent="0.15">
      <c r="A72" t="s">
        <v>40</v>
      </c>
      <c r="B72" s="7">
        <v>449</v>
      </c>
      <c r="C72" s="9" t="s">
        <v>35</v>
      </c>
      <c r="D72" s="7">
        <v>7</v>
      </c>
      <c r="E72" s="7">
        <v>1</v>
      </c>
    </row>
    <row r="73" spans="1:5" x14ac:dyDescent="0.15">
      <c r="A73" t="s">
        <v>95</v>
      </c>
      <c r="B73" s="7">
        <v>823</v>
      </c>
      <c r="C73" s="9" t="s">
        <v>47</v>
      </c>
      <c r="D73" s="7">
        <v>2</v>
      </c>
    </row>
    <row r="75" spans="1:5" x14ac:dyDescent="0.15">
      <c r="A75" t="s">
        <v>96</v>
      </c>
    </row>
    <row r="77" spans="1:5" x14ac:dyDescent="0.15">
      <c r="A77" t="s">
        <v>97</v>
      </c>
      <c r="B77" s="7">
        <v>28734</v>
      </c>
      <c r="C77" s="9" t="s">
        <v>98</v>
      </c>
    </row>
    <row r="78" spans="1:5" x14ac:dyDescent="0.15">
      <c r="A78" t="s">
        <v>99</v>
      </c>
      <c r="B78" s="7">
        <v>1120</v>
      </c>
      <c r="C78" s="7">
        <v>0</v>
      </c>
    </row>
    <row r="79" spans="1:5" x14ac:dyDescent="0.15">
      <c r="A79" t="s">
        <v>100</v>
      </c>
      <c r="B79" s="7">
        <v>2187</v>
      </c>
      <c r="C79" s="9" t="s">
        <v>81</v>
      </c>
      <c r="D79" s="7">
        <v>3</v>
      </c>
    </row>
    <row r="80" spans="1:5" x14ac:dyDescent="0.15">
      <c r="A80" t="s">
        <v>101</v>
      </c>
      <c r="B80" s="7">
        <v>18286</v>
      </c>
      <c r="C80" s="9" t="s">
        <v>58</v>
      </c>
      <c r="D80" s="7">
        <v>1</v>
      </c>
    </row>
    <row r="81" spans="1:5" x14ac:dyDescent="0.15">
      <c r="A81" t="s">
        <v>102</v>
      </c>
      <c r="B81" s="7">
        <v>15272</v>
      </c>
      <c r="C81" s="9" t="s">
        <v>17</v>
      </c>
      <c r="D81" s="7">
        <v>5</v>
      </c>
      <c r="E81" s="7">
        <v>2</v>
      </c>
    </row>
    <row r="83" spans="1:5" x14ac:dyDescent="0.15">
      <c r="A83" t="s">
        <v>103</v>
      </c>
    </row>
    <row r="84" spans="1:5" x14ac:dyDescent="0.15">
      <c r="A84" t="s">
        <v>104</v>
      </c>
      <c r="B84" s="7">
        <v>9974</v>
      </c>
      <c r="C84" s="7">
        <v>2</v>
      </c>
      <c r="D84" s="7">
        <v>2</v>
      </c>
    </row>
    <row r="85" spans="1:5" x14ac:dyDescent="0.15">
      <c r="A85" t="s">
        <v>105</v>
      </c>
      <c r="B85" s="7">
        <v>4630</v>
      </c>
      <c r="C85" s="7">
        <v>3</v>
      </c>
      <c r="D85" s="7">
        <v>3</v>
      </c>
    </row>
    <row r="86" spans="1:5" x14ac:dyDescent="0.15">
      <c r="A86" t="s">
        <v>106</v>
      </c>
      <c r="B86" s="7">
        <v>10687</v>
      </c>
      <c r="C86" s="9" t="s">
        <v>58</v>
      </c>
      <c r="D86" s="7">
        <v>1</v>
      </c>
      <c r="E86" s="7">
        <v>1</v>
      </c>
    </row>
    <row r="87" spans="1:5" x14ac:dyDescent="0.15">
      <c r="A87" t="s">
        <v>107</v>
      </c>
      <c r="B87" s="7">
        <v>8314</v>
      </c>
      <c r="C87" s="7">
        <v>2</v>
      </c>
      <c r="D87" s="7">
        <v>2</v>
      </c>
    </row>
    <row r="88" spans="1:5" x14ac:dyDescent="0.15">
      <c r="A88" t="s">
        <v>108</v>
      </c>
      <c r="B88" s="7">
        <v>4432</v>
      </c>
      <c r="C88" s="9" t="s">
        <v>30</v>
      </c>
      <c r="D88" s="7">
        <v>5</v>
      </c>
    </row>
    <row r="89" spans="1:5" x14ac:dyDescent="0.15">
      <c r="A89" t="s">
        <v>109</v>
      </c>
      <c r="B89" s="7">
        <v>230</v>
      </c>
      <c r="C89" s="7">
        <v>0</v>
      </c>
    </row>
    <row r="91" spans="1:5" x14ac:dyDescent="0.15">
      <c r="A91" t="s">
        <v>110</v>
      </c>
    </row>
    <row r="93" spans="1:5" x14ac:dyDescent="0.15">
      <c r="A93" t="s">
        <v>111</v>
      </c>
      <c r="B93" s="7">
        <v>35115</v>
      </c>
      <c r="C93" s="10" t="s">
        <v>112</v>
      </c>
    </row>
    <row r="94" spans="1:5" x14ac:dyDescent="0.15">
      <c r="A94" t="s">
        <v>113</v>
      </c>
      <c r="B94" s="7">
        <v>66877</v>
      </c>
      <c r="C94" s="7">
        <v>5</v>
      </c>
    </row>
    <row r="96" spans="1:5" x14ac:dyDescent="0.15">
      <c r="A96" t="s">
        <v>114</v>
      </c>
    </row>
    <row r="98" spans="1:3" x14ac:dyDescent="0.15">
      <c r="A98" t="s">
        <v>115</v>
      </c>
      <c r="B98" s="7">
        <v>859066</v>
      </c>
      <c r="C98" s="9" t="s">
        <v>35</v>
      </c>
    </row>
    <row r="100" spans="1:3" x14ac:dyDescent="0.15">
      <c r="A100" t="s">
        <v>116</v>
      </c>
    </row>
    <row r="102" spans="1:3" x14ac:dyDescent="0.15">
      <c r="A102" t="s">
        <v>117</v>
      </c>
      <c r="B102" s="7">
        <v>94719</v>
      </c>
      <c r="C102" s="9" t="s">
        <v>47</v>
      </c>
    </row>
    <row r="104" spans="1:3" x14ac:dyDescent="0.15">
      <c r="A104" t="s">
        <v>118</v>
      </c>
      <c r="B104" s="7">
        <v>6196725</v>
      </c>
      <c r="C104" s="7">
        <v>3</v>
      </c>
    </row>
    <row r="106" spans="1:3" x14ac:dyDescent="0.15">
      <c r="B106" s="7">
        <f>SUM(B6:B102)</f>
        <v>6188453</v>
      </c>
    </row>
    <row r="108" spans="1:3" x14ac:dyDescent="0.15">
      <c r="B108" s="7">
        <f>B104-B106</f>
        <v>8272</v>
      </c>
    </row>
    <row r="109" spans="1:3" x14ac:dyDescent="0.15">
      <c r="B109" s="11">
        <f>B108/B104</f>
        <v>1.3348986763169254E-3</v>
      </c>
    </row>
    <row r="110" spans="1:3" x14ac:dyDescent="0.15">
      <c r="B110" s="11">
        <f>B108/B106</f>
        <v>1.3366830127012356E-3</v>
      </c>
    </row>
    <row r="112" spans="1:3" x14ac:dyDescent="0.15">
      <c r="A112" t="s">
        <v>119</v>
      </c>
    </row>
    <row r="113" spans="1:1" x14ac:dyDescent="0.15">
      <c r="A113" t="s">
        <v>120</v>
      </c>
    </row>
  </sheetData>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1"/>
  <sheetViews>
    <sheetView workbookViewId="0">
      <selection activeCell="B1" sqref="B1"/>
    </sheetView>
  </sheetViews>
  <sheetFormatPr baseColWidth="10" defaultRowHeight="13" x14ac:dyDescent="0.15"/>
  <cols>
    <col min="1" max="1" width="38" bestFit="1" customWidth="1"/>
    <col min="2" max="2" width="13.33203125" style="14" customWidth="1"/>
    <col min="3" max="3" width="15" style="14" customWidth="1"/>
    <col min="4" max="4" width="14" style="15" customWidth="1"/>
    <col min="5" max="16384" width="10.83203125" style="7"/>
  </cols>
  <sheetData>
    <row r="1" spans="1:4" customFormat="1" x14ac:dyDescent="0.15">
      <c r="A1" s="6" t="s">
        <v>121</v>
      </c>
      <c r="D1" s="12"/>
    </row>
    <row r="2" spans="1:4" customFormat="1" x14ac:dyDescent="0.15">
      <c r="A2" s="6" t="s">
        <v>122</v>
      </c>
      <c r="D2" s="12"/>
    </row>
    <row r="3" spans="1:4" customFormat="1" x14ac:dyDescent="0.15">
      <c r="D3" s="12"/>
    </row>
    <row r="4" spans="1:4" customFormat="1" x14ac:dyDescent="0.15">
      <c r="A4" s="6" t="s">
        <v>123</v>
      </c>
      <c r="D4" s="12"/>
    </row>
    <row r="5" spans="1:4" customFormat="1" x14ac:dyDescent="0.15">
      <c r="A5" s="6" t="s">
        <v>124</v>
      </c>
      <c r="B5" s="6" t="s">
        <v>125</v>
      </c>
      <c r="C5" s="6" t="s">
        <v>126</v>
      </c>
      <c r="D5" s="12"/>
    </row>
    <row r="6" spans="1:4" x14ac:dyDescent="0.15">
      <c r="A6" s="13" t="s">
        <v>89</v>
      </c>
      <c r="B6" s="14">
        <v>3178197.6</v>
      </c>
    </row>
    <row r="7" spans="1:4" x14ac:dyDescent="0.15">
      <c r="A7" s="13" t="s">
        <v>90</v>
      </c>
      <c r="B7" s="14">
        <v>582100.4</v>
      </c>
    </row>
    <row r="8" spans="1:4" x14ac:dyDescent="0.15">
      <c r="A8" s="13" t="s">
        <v>127</v>
      </c>
      <c r="B8" s="14">
        <v>424854</v>
      </c>
    </row>
    <row r="9" spans="1:4" x14ac:dyDescent="0.15">
      <c r="A9" s="13" t="s">
        <v>92</v>
      </c>
      <c r="B9" s="14">
        <v>75638</v>
      </c>
    </row>
    <row r="10" spans="1:4" x14ac:dyDescent="0.15">
      <c r="A10" s="13" t="s">
        <v>128</v>
      </c>
      <c r="B10" s="14">
        <v>1126.2</v>
      </c>
    </row>
    <row r="11" spans="1:4" x14ac:dyDescent="0.15">
      <c r="A11" s="13" t="s">
        <v>129</v>
      </c>
      <c r="B11" s="14">
        <v>456</v>
      </c>
    </row>
    <row r="12" spans="1:4" x14ac:dyDescent="0.15">
      <c r="A12" t="s">
        <v>130</v>
      </c>
      <c r="B12" s="14">
        <v>1434.7</v>
      </c>
    </row>
    <row r="13" spans="1:4" x14ac:dyDescent="0.15">
      <c r="A13" t="s">
        <v>131</v>
      </c>
      <c r="B13" s="14">
        <v>722.7</v>
      </c>
    </row>
    <row r="14" spans="1:4" x14ac:dyDescent="0.15">
      <c r="A14" t="s">
        <v>132</v>
      </c>
      <c r="B14" s="14">
        <v>55973.599999999999</v>
      </c>
    </row>
    <row r="15" spans="1:4" x14ac:dyDescent="0.15">
      <c r="A15" t="s">
        <v>133</v>
      </c>
      <c r="B15" s="14">
        <v>5578.4</v>
      </c>
    </row>
    <row r="16" spans="1:4" x14ac:dyDescent="0.15">
      <c r="A16" t="s">
        <v>55</v>
      </c>
      <c r="B16" s="14">
        <v>8152.3</v>
      </c>
    </row>
    <row r="17" spans="1:6" x14ac:dyDescent="0.15">
      <c r="A17" t="s">
        <v>134</v>
      </c>
      <c r="B17" s="14">
        <v>41658.5</v>
      </c>
    </row>
    <row r="18" spans="1:6" x14ac:dyDescent="0.15">
      <c r="A18" t="s">
        <v>135</v>
      </c>
      <c r="B18" s="14">
        <v>134</v>
      </c>
    </row>
    <row r="19" spans="1:6" x14ac:dyDescent="0.15">
      <c r="A19" t="s">
        <v>60</v>
      </c>
      <c r="B19" s="14">
        <v>2656.3</v>
      </c>
    </row>
    <row r="20" spans="1:6" x14ac:dyDescent="0.15">
      <c r="A20" t="s">
        <v>136</v>
      </c>
      <c r="B20" s="14">
        <v>101188.3</v>
      </c>
    </row>
    <row r="21" spans="1:6" x14ac:dyDescent="0.15">
      <c r="A21" t="s">
        <v>137</v>
      </c>
      <c r="B21" s="14">
        <v>1208146.3</v>
      </c>
      <c r="C21" s="14">
        <v>5688019.0999999996</v>
      </c>
      <c r="D21" s="15">
        <f>SUM(B6:B21)</f>
        <v>5688017.2999999998</v>
      </c>
    </row>
    <row r="23" spans="1:6" x14ac:dyDescent="0.15">
      <c r="A23" s="6" t="s">
        <v>138</v>
      </c>
    </row>
    <row r="24" spans="1:6" x14ac:dyDescent="0.15">
      <c r="A24" t="s">
        <v>139</v>
      </c>
      <c r="B24" s="14">
        <v>82522.100000000006</v>
      </c>
    </row>
    <row r="25" spans="1:6" x14ac:dyDescent="0.15">
      <c r="A25" t="s">
        <v>140</v>
      </c>
      <c r="B25" s="14">
        <v>2473557.2999999998</v>
      </c>
    </row>
    <row r="26" spans="1:6" x14ac:dyDescent="0.15">
      <c r="A26" t="s">
        <v>141</v>
      </c>
      <c r="B26" s="14">
        <v>40952</v>
      </c>
    </row>
    <row r="27" spans="1:6" x14ac:dyDescent="0.15">
      <c r="A27" t="s">
        <v>142</v>
      </c>
      <c r="B27" s="14">
        <v>5013.2</v>
      </c>
    </row>
    <row r="28" spans="1:6" x14ac:dyDescent="0.15">
      <c r="A28" t="s">
        <v>143</v>
      </c>
      <c r="B28" s="14">
        <v>5126.7</v>
      </c>
    </row>
    <row r="29" spans="1:6" x14ac:dyDescent="0.15">
      <c r="A29" t="s">
        <v>144</v>
      </c>
      <c r="C29" s="16">
        <v>142151.4</v>
      </c>
      <c r="D29" s="15">
        <f>SUM(B24:B28)</f>
        <v>2607171.3000000003</v>
      </c>
      <c r="E29" s="17">
        <f>B24+B26+B27+B28+8537.4</f>
        <v>142151.4</v>
      </c>
      <c r="F29" s="7">
        <f>C29-E29</f>
        <v>0</v>
      </c>
    </row>
    <row r="31" spans="1:6" x14ac:dyDescent="0.15">
      <c r="A31" s="6" t="s">
        <v>145</v>
      </c>
    </row>
    <row r="32" spans="1:6" x14ac:dyDescent="0.15">
      <c r="A32" t="s">
        <v>146</v>
      </c>
      <c r="B32" s="14">
        <v>800380.7</v>
      </c>
    </row>
    <row r="33" spans="1:4" x14ac:dyDescent="0.15">
      <c r="A33" t="s">
        <v>147</v>
      </c>
      <c r="B33" s="14">
        <v>137.5</v>
      </c>
      <c r="C33" s="14">
        <v>800518.5</v>
      </c>
      <c r="D33" s="15">
        <f>B32+B33</f>
        <v>800518.2</v>
      </c>
    </row>
    <row r="35" spans="1:4" x14ac:dyDescent="0.15">
      <c r="A35" s="6" t="s">
        <v>148</v>
      </c>
    </row>
    <row r="36" spans="1:4" x14ac:dyDescent="0.15">
      <c r="A36" t="s">
        <v>149</v>
      </c>
      <c r="B36" s="14">
        <v>66399.199999999997</v>
      </c>
    </row>
    <row r="37" spans="1:4" x14ac:dyDescent="0.15">
      <c r="A37" t="s">
        <v>150</v>
      </c>
      <c r="B37" s="14">
        <v>44043.7</v>
      </c>
    </row>
    <row r="38" spans="1:4" x14ac:dyDescent="0.15">
      <c r="A38" t="s">
        <v>151</v>
      </c>
      <c r="B38" s="14">
        <v>467.7</v>
      </c>
    </row>
    <row r="39" spans="1:4" x14ac:dyDescent="0.15">
      <c r="A39" t="s">
        <v>152</v>
      </c>
      <c r="B39" s="14">
        <v>210</v>
      </c>
    </row>
    <row r="40" spans="1:4" x14ac:dyDescent="0.15">
      <c r="A40" t="s">
        <v>153</v>
      </c>
      <c r="B40" s="14">
        <v>538.4</v>
      </c>
      <c r="C40" s="14">
        <v>111659</v>
      </c>
      <c r="D40" s="15">
        <f>SUM(B36:B40)</f>
        <v>111658.99999999999</v>
      </c>
    </row>
    <row r="42" spans="1:4" x14ac:dyDescent="0.15">
      <c r="A42" s="6" t="s">
        <v>154</v>
      </c>
    </row>
    <row r="43" spans="1:4" x14ac:dyDescent="0.15">
      <c r="A43" t="s">
        <v>155</v>
      </c>
      <c r="B43" s="14">
        <v>231171.7</v>
      </c>
    </row>
    <row r="44" spans="1:4" x14ac:dyDescent="0.15">
      <c r="A44" t="s">
        <v>32</v>
      </c>
      <c r="B44" s="14">
        <v>213261.3</v>
      </c>
    </row>
    <row r="45" spans="1:4" x14ac:dyDescent="0.15">
      <c r="A45" t="s">
        <v>31</v>
      </c>
      <c r="B45" s="14">
        <v>34737.699999999997</v>
      </c>
    </row>
    <row r="46" spans="1:4" x14ac:dyDescent="0.15">
      <c r="A46" t="s">
        <v>33</v>
      </c>
      <c r="B46" s="14">
        <v>52776.5</v>
      </c>
    </row>
    <row r="47" spans="1:4" x14ac:dyDescent="0.15">
      <c r="A47" t="s">
        <v>34</v>
      </c>
      <c r="B47" s="14">
        <v>28126.400000000001</v>
      </c>
    </row>
    <row r="48" spans="1:4" x14ac:dyDescent="0.15">
      <c r="A48" t="s">
        <v>156</v>
      </c>
      <c r="B48" s="14">
        <v>2246.6</v>
      </c>
    </row>
    <row r="49" spans="1:2" x14ac:dyDescent="0.15">
      <c r="A49" t="s">
        <v>157</v>
      </c>
      <c r="B49" s="14">
        <v>97933.6</v>
      </c>
    </row>
    <row r="50" spans="1:2" x14ac:dyDescent="0.15">
      <c r="A50" t="s">
        <v>60</v>
      </c>
      <c r="B50" s="14">
        <v>20726.400000000001</v>
      </c>
    </row>
    <row r="51" spans="1:2" x14ac:dyDescent="0.15">
      <c r="A51" t="s">
        <v>36</v>
      </c>
      <c r="B51" s="14">
        <v>2094.5</v>
      </c>
    </row>
    <row r="52" spans="1:2" x14ac:dyDescent="0.15">
      <c r="A52" t="s">
        <v>158</v>
      </c>
      <c r="B52" s="14">
        <v>2000.3</v>
      </c>
    </row>
    <row r="53" spans="1:2" x14ac:dyDescent="0.15">
      <c r="A53" t="s">
        <v>159</v>
      </c>
      <c r="B53" s="14">
        <v>539.1</v>
      </c>
    </row>
    <row r="54" spans="1:2" x14ac:dyDescent="0.15">
      <c r="A54" t="s">
        <v>160</v>
      </c>
      <c r="B54" s="14">
        <v>93488.3</v>
      </c>
    </row>
    <row r="55" spans="1:2" x14ac:dyDescent="0.15">
      <c r="A55" t="s">
        <v>161</v>
      </c>
      <c r="B55" s="14">
        <v>3182.3</v>
      </c>
    </row>
    <row r="56" spans="1:2" x14ac:dyDescent="0.15">
      <c r="A56" t="s">
        <v>162</v>
      </c>
      <c r="B56" s="14">
        <v>83</v>
      </c>
    </row>
    <row r="57" spans="1:2" x14ac:dyDescent="0.15">
      <c r="A57" t="s">
        <v>163</v>
      </c>
      <c r="B57" s="14">
        <v>37665.4</v>
      </c>
    </row>
    <row r="58" spans="1:2" x14ac:dyDescent="0.15">
      <c r="A58" t="s">
        <v>164</v>
      </c>
      <c r="B58" s="14">
        <v>500</v>
      </c>
    </row>
    <row r="59" spans="1:2" x14ac:dyDescent="0.15">
      <c r="A59" t="s">
        <v>165</v>
      </c>
      <c r="B59" s="14">
        <v>53</v>
      </c>
    </row>
    <row r="60" spans="1:2" x14ac:dyDescent="0.15">
      <c r="A60" t="s">
        <v>166</v>
      </c>
      <c r="B60" s="14">
        <v>8391.6</v>
      </c>
    </row>
    <row r="61" spans="1:2" x14ac:dyDescent="0.15">
      <c r="A61" t="s">
        <v>167</v>
      </c>
      <c r="B61" s="14">
        <v>7814.5</v>
      </c>
    </row>
    <row r="62" spans="1:2" x14ac:dyDescent="0.15">
      <c r="A62" t="s">
        <v>168</v>
      </c>
      <c r="B62" s="14">
        <v>1280.7</v>
      </c>
    </row>
    <row r="63" spans="1:2" x14ac:dyDescent="0.15">
      <c r="A63" t="s">
        <v>169</v>
      </c>
      <c r="B63" s="14">
        <v>860.2</v>
      </c>
    </row>
    <row r="64" spans="1:2" x14ac:dyDescent="0.15">
      <c r="A64" t="s">
        <v>170</v>
      </c>
      <c r="B64" s="14">
        <v>131363.6</v>
      </c>
    </row>
    <row r="65" spans="1:2" x14ac:dyDescent="0.15">
      <c r="A65" t="s">
        <v>171</v>
      </c>
      <c r="B65" s="14">
        <v>1895701.7</v>
      </c>
    </row>
    <row r="66" spans="1:2" x14ac:dyDescent="0.15">
      <c r="A66" t="s">
        <v>172</v>
      </c>
      <c r="B66" s="14">
        <v>31748.1</v>
      </c>
    </row>
    <row r="67" spans="1:2" x14ac:dyDescent="0.15">
      <c r="A67" t="s">
        <v>173</v>
      </c>
      <c r="B67" s="14">
        <v>254216.5</v>
      </c>
    </row>
    <row r="68" spans="1:2" x14ac:dyDescent="0.15">
      <c r="A68" t="s">
        <v>59</v>
      </c>
      <c r="B68" s="14">
        <v>3904.5</v>
      </c>
    </row>
    <row r="69" spans="1:2" x14ac:dyDescent="0.15">
      <c r="A69" t="s">
        <v>42</v>
      </c>
      <c r="B69" s="14">
        <v>1466.6</v>
      </c>
    </row>
    <row r="70" spans="1:2" x14ac:dyDescent="0.15">
      <c r="A70" t="s">
        <v>48</v>
      </c>
      <c r="B70" s="14">
        <v>20528.5</v>
      </c>
    </row>
    <row r="71" spans="1:2" x14ac:dyDescent="0.15">
      <c r="A71" t="s">
        <v>40</v>
      </c>
      <c r="B71" s="14">
        <v>2505.3000000000002</v>
      </c>
    </row>
    <row r="72" spans="1:2" x14ac:dyDescent="0.15">
      <c r="A72" t="s">
        <v>174</v>
      </c>
      <c r="B72" s="14">
        <v>1531.7</v>
      </c>
    </row>
    <row r="73" spans="1:2" x14ac:dyDescent="0.15">
      <c r="A73" t="s">
        <v>64</v>
      </c>
      <c r="B73" s="14">
        <v>81.400000000000006</v>
      </c>
    </row>
    <row r="74" spans="1:2" x14ac:dyDescent="0.15">
      <c r="A74" t="s">
        <v>175</v>
      </c>
      <c r="B74" s="14">
        <v>1586</v>
      </c>
    </row>
    <row r="75" spans="1:2" x14ac:dyDescent="0.15">
      <c r="A75" t="s">
        <v>76</v>
      </c>
      <c r="B75" s="14">
        <v>62483.7</v>
      </c>
    </row>
    <row r="76" spans="1:2" x14ac:dyDescent="0.15">
      <c r="A76" t="s">
        <v>176</v>
      </c>
      <c r="B76" s="14">
        <v>13731.7</v>
      </c>
    </row>
    <row r="77" spans="1:2" x14ac:dyDescent="0.15">
      <c r="A77" t="s">
        <v>177</v>
      </c>
      <c r="B77" s="14">
        <v>3480</v>
      </c>
    </row>
    <row r="78" spans="1:2" x14ac:dyDescent="0.15">
      <c r="A78" t="s">
        <v>178</v>
      </c>
      <c r="B78" s="14">
        <v>74792.100000000006</v>
      </c>
    </row>
    <row r="79" spans="1:2" x14ac:dyDescent="0.15">
      <c r="A79" t="s">
        <v>179</v>
      </c>
      <c r="B79" s="14">
        <v>28577.599999999999</v>
      </c>
    </row>
    <row r="80" spans="1:2" x14ac:dyDescent="0.15">
      <c r="A80" t="s">
        <v>180</v>
      </c>
      <c r="B80" s="14">
        <v>18816.400000000001</v>
      </c>
    </row>
    <row r="81" spans="1:4" x14ac:dyDescent="0.15">
      <c r="A81" t="s">
        <v>181</v>
      </c>
      <c r="B81" s="14">
        <v>12750.2</v>
      </c>
    </row>
    <row r="82" spans="1:4" x14ac:dyDescent="0.15">
      <c r="A82" t="s">
        <v>182</v>
      </c>
      <c r="B82" s="14">
        <v>138067.70000000001</v>
      </c>
    </row>
    <row r="83" spans="1:4" x14ac:dyDescent="0.15">
      <c r="A83" t="s">
        <v>183</v>
      </c>
      <c r="B83" s="14">
        <v>7700.3</v>
      </c>
    </row>
    <row r="84" spans="1:4" x14ac:dyDescent="0.15">
      <c r="A84" t="s">
        <v>65</v>
      </c>
      <c r="B84" s="14">
        <v>200.3</v>
      </c>
    </row>
    <row r="85" spans="1:4" x14ac:dyDescent="0.15">
      <c r="A85" t="s">
        <v>184</v>
      </c>
      <c r="B85" s="14">
        <v>75733.2</v>
      </c>
    </row>
    <row r="86" spans="1:4" x14ac:dyDescent="0.15">
      <c r="A86" t="s">
        <v>185</v>
      </c>
      <c r="B86" s="14">
        <v>316.2</v>
      </c>
    </row>
    <row r="87" spans="1:4" x14ac:dyDescent="0.15">
      <c r="A87" t="s">
        <v>186</v>
      </c>
      <c r="B87" s="14">
        <v>174531.4</v>
      </c>
    </row>
    <row r="88" spans="1:4" x14ac:dyDescent="0.15">
      <c r="A88" t="s">
        <v>51</v>
      </c>
      <c r="B88" s="14">
        <v>744.1</v>
      </c>
      <c r="C88" s="14">
        <v>3795488.6</v>
      </c>
      <c r="D88" s="15">
        <f>SUM(B43:B88)</f>
        <v>3795491.9000000008</v>
      </c>
    </row>
    <row r="90" spans="1:4" x14ac:dyDescent="0.15">
      <c r="A90" s="6" t="s">
        <v>187</v>
      </c>
    </row>
    <row r="91" spans="1:4" x14ac:dyDescent="0.15">
      <c r="A91" t="s">
        <v>181</v>
      </c>
      <c r="B91" s="14">
        <v>968078.5</v>
      </c>
    </row>
    <row r="92" spans="1:4" x14ac:dyDescent="0.15">
      <c r="A92" t="s">
        <v>188</v>
      </c>
      <c r="B92" s="14">
        <v>7939.1</v>
      </c>
    </row>
    <row r="93" spans="1:4" x14ac:dyDescent="0.15">
      <c r="A93" t="s">
        <v>33</v>
      </c>
      <c r="B93" s="14">
        <v>9517.6</v>
      </c>
    </row>
    <row r="94" spans="1:4" x14ac:dyDescent="0.15">
      <c r="A94" t="s">
        <v>13</v>
      </c>
      <c r="B94" s="14">
        <v>2864.6</v>
      </c>
    </row>
    <row r="95" spans="1:4" x14ac:dyDescent="0.15">
      <c r="A95" t="s">
        <v>189</v>
      </c>
      <c r="B95" s="14">
        <v>797</v>
      </c>
    </row>
    <row r="96" spans="1:4" x14ac:dyDescent="0.15">
      <c r="A96" t="s">
        <v>170</v>
      </c>
      <c r="B96" s="14">
        <v>12804.7</v>
      </c>
    </row>
    <row r="97" spans="1:2" x14ac:dyDescent="0.15">
      <c r="A97" t="s">
        <v>190</v>
      </c>
      <c r="B97" s="14">
        <v>10387.700000000001</v>
      </c>
    </row>
    <row r="98" spans="1:2" x14ac:dyDescent="0.15">
      <c r="A98" t="s">
        <v>191</v>
      </c>
      <c r="B98" s="14">
        <v>5720</v>
      </c>
    </row>
    <row r="99" spans="1:2" x14ac:dyDescent="0.15">
      <c r="A99" t="s">
        <v>192</v>
      </c>
      <c r="B99" s="14">
        <v>4909.3</v>
      </c>
    </row>
    <row r="100" spans="1:2" x14ac:dyDescent="0.15">
      <c r="A100" t="s">
        <v>193</v>
      </c>
      <c r="B100" s="14">
        <v>662</v>
      </c>
    </row>
    <row r="101" spans="1:2" x14ac:dyDescent="0.15">
      <c r="A101" t="s">
        <v>194</v>
      </c>
      <c r="B101" s="14">
        <v>5312.7</v>
      </c>
    </row>
    <row r="102" spans="1:2" x14ac:dyDescent="0.15">
      <c r="A102" t="s">
        <v>195</v>
      </c>
      <c r="B102" s="14">
        <v>541493.4</v>
      </c>
    </row>
    <row r="103" spans="1:2" x14ac:dyDescent="0.15">
      <c r="A103" t="s">
        <v>196</v>
      </c>
      <c r="B103" s="14">
        <v>6379</v>
      </c>
    </row>
    <row r="104" spans="1:2" x14ac:dyDescent="0.15">
      <c r="A104" t="s">
        <v>197</v>
      </c>
      <c r="B104" s="14">
        <v>1215.4000000000001</v>
      </c>
    </row>
    <row r="105" spans="1:2" x14ac:dyDescent="0.15">
      <c r="A105" t="s">
        <v>198</v>
      </c>
      <c r="B105" s="14">
        <v>17382</v>
      </c>
    </row>
    <row r="106" spans="1:2" x14ac:dyDescent="0.15">
      <c r="A106" t="s">
        <v>199</v>
      </c>
      <c r="B106" s="14">
        <v>91.7</v>
      </c>
    </row>
    <row r="107" spans="1:2" x14ac:dyDescent="0.15">
      <c r="A107" t="s">
        <v>44</v>
      </c>
      <c r="B107" s="14">
        <v>3789.5</v>
      </c>
    </row>
    <row r="108" spans="1:2" x14ac:dyDescent="0.15">
      <c r="A108" t="s">
        <v>200</v>
      </c>
      <c r="B108" s="14">
        <v>1</v>
      </c>
    </row>
    <row r="109" spans="1:2" x14ac:dyDescent="0.15">
      <c r="A109" t="s">
        <v>32</v>
      </c>
      <c r="B109" s="14">
        <v>2072</v>
      </c>
    </row>
    <row r="110" spans="1:2" x14ac:dyDescent="0.15">
      <c r="A110" t="s">
        <v>201</v>
      </c>
      <c r="B110" s="14">
        <v>380.3</v>
      </c>
    </row>
    <row r="111" spans="1:2" x14ac:dyDescent="0.15">
      <c r="A111" t="s">
        <v>60</v>
      </c>
      <c r="B111" s="14">
        <v>201.4</v>
      </c>
    </row>
    <row r="112" spans="1:2" x14ac:dyDescent="0.15">
      <c r="A112" t="s">
        <v>156</v>
      </c>
      <c r="B112" s="14">
        <v>67.400000000000006</v>
      </c>
    </row>
    <row r="113" spans="1:4" x14ac:dyDescent="0.15">
      <c r="A113" t="s">
        <v>91</v>
      </c>
      <c r="B113" s="14">
        <v>159.30000000000001</v>
      </c>
    </row>
    <row r="114" spans="1:4" x14ac:dyDescent="0.15">
      <c r="A114" t="s">
        <v>202</v>
      </c>
      <c r="B114" s="14">
        <v>3252.7</v>
      </c>
    </row>
    <row r="115" spans="1:4" x14ac:dyDescent="0.15">
      <c r="A115" t="s">
        <v>203</v>
      </c>
      <c r="B115" s="14">
        <v>10110.700000000001</v>
      </c>
    </row>
    <row r="116" spans="1:4" x14ac:dyDescent="0.15">
      <c r="A116" t="s">
        <v>204</v>
      </c>
      <c r="B116" s="14">
        <v>1312.3</v>
      </c>
    </row>
    <row r="117" spans="1:4" x14ac:dyDescent="0.15">
      <c r="A117" t="s">
        <v>205</v>
      </c>
      <c r="B117" s="14">
        <v>178.2</v>
      </c>
    </row>
    <row r="118" spans="1:4" x14ac:dyDescent="0.15">
      <c r="A118" t="s">
        <v>206</v>
      </c>
      <c r="B118" s="14">
        <v>1451</v>
      </c>
      <c r="C118" s="14">
        <v>1618534.5</v>
      </c>
      <c r="D118" s="15">
        <f>SUM(B91:B118)</f>
        <v>1618530.4999999995</v>
      </c>
    </row>
    <row r="120" spans="1:4" x14ac:dyDescent="0.15">
      <c r="A120" t="s">
        <v>207</v>
      </c>
      <c r="C120" s="14">
        <v>12156372.300000001</v>
      </c>
      <c r="D120" s="15">
        <f>D21+E29+D33+D40+D88+D118</f>
        <v>12156368.300000001</v>
      </c>
    </row>
    <row r="121" spans="1:4" x14ac:dyDescent="0.15">
      <c r="D121" s="15">
        <f>D120-D29+C29</f>
        <v>9691348.4000000004</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82"/>
  <sheetViews>
    <sheetView workbookViewId="0">
      <selection activeCell="B1" sqref="B1"/>
    </sheetView>
  </sheetViews>
  <sheetFormatPr baseColWidth="10" defaultRowHeight="13" x14ac:dyDescent="0.15"/>
  <cols>
    <col min="1" max="1" width="59" bestFit="1" customWidth="1"/>
    <col min="2" max="2" width="10.83203125" style="7" hidden="1" customWidth="1"/>
    <col min="3" max="3" width="10.83203125" style="19" hidden="1" customWidth="1"/>
    <col min="4" max="4" width="10.83203125" style="7" hidden="1" customWidth="1"/>
    <col min="5" max="5" width="10.83203125" style="19" hidden="1" customWidth="1"/>
    <col min="6" max="6" width="10.83203125" style="7"/>
    <col min="7" max="7" width="10.83203125" style="19"/>
    <col min="8" max="8" width="10.83203125" style="7"/>
    <col min="9" max="10" width="10.83203125" style="19"/>
    <col min="11" max="11" width="45.5" style="7" bestFit="1" customWidth="1"/>
    <col min="12" max="12" width="10.83203125" style="7"/>
    <col min="13" max="13" width="10.83203125" style="19"/>
    <col min="14" max="16384" width="10.83203125" style="7"/>
  </cols>
  <sheetData>
    <row r="1" spans="1:15" customFormat="1" x14ac:dyDescent="0.15">
      <c r="A1" s="6" t="s">
        <v>208</v>
      </c>
    </row>
    <row r="2" spans="1:15" customFormat="1" x14ac:dyDescent="0.15">
      <c r="A2" s="6" t="s">
        <v>209</v>
      </c>
    </row>
    <row r="3" spans="1:15" customFormat="1" x14ac:dyDescent="0.15">
      <c r="A3" s="6" t="s">
        <v>210</v>
      </c>
    </row>
    <row r="4" spans="1:15" customFormat="1" x14ac:dyDescent="0.15">
      <c r="A4" s="6" t="s">
        <v>211</v>
      </c>
    </row>
    <row r="5" spans="1:15" customFormat="1" x14ac:dyDescent="0.15"/>
    <row r="6" spans="1:15" customFormat="1" x14ac:dyDescent="0.15"/>
    <row r="7" spans="1:15" customFormat="1" x14ac:dyDescent="0.15"/>
    <row r="8" spans="1:15" customFormat="1" x14ac:dyDescent="0.15">
      <c r="A8" s="6" t="s">
        <v>212</v>
      </c>
      <c r="B8" s="6" t="s">
        <v>213</v>
      </c>
      <c r="C8" s="6"/>
      <c r="D8" s="6" t="s">
        <v>214</v>
      </c>
      <c r="E8" s="6"/>
      <c r="F8" s="6" t="s">
        <v>215</v>
      </c>
      <c r="G8" s="6"/>
      <c r="H8" s="18"/>
      <c r="I8" s="18"/>
      <c r="J8" s="18"/>
      <c r="K8" s="6" t="s">
        <v>216</v>
      </c>
      <c r="L8" s="6"/>
      <c r="M8" s="6"/>
      <c r="N8" s="6"/>
    </row>
    <row r="9" spans="1:15" customFormat="1" x14ac:dyDescent="0.15">
      <c r="A9" s="6"/>
      <c r="B9" s="6" t="s">
        <v>217</v>
      </c>
      <c r="C9" s="6" t="s">
        <v>218</v>
      </c>
      <c r="D9" s="6" t="s">
        <v>217</v>
      </c>
      <c r="E9" s="6" t="s">
        <v>218</v>
      </c>
      <c r="F9" s="6" t="s">
        <v>217</v>
      </c>
      <c r="G9" s="6" t="s">
        <v>218</v>
      </c>
      <c r="H9" s="6" t="s">
        <v>217</v>
      </c>
      <c r="I9" s="6" t="s">
        <v>218</v>
      </c>
      <c r="J9" s="6"/>
      <c r="K9" s="18"/>
      <c r="L9" s="6" t="s">
        <v>217</v>
      </c>
      <c r="M9" s="6" t="s">
        <v>218</v>
      </c>
      <c r="N9" s="6" t="s">
        <v>217</v>
      </c>
      <c r="O9" t="s">
        <v>218</v>
      </c>
    </row>
    <row r="10" spans="1:15" x14ac:dyDescent="0.15">
      <c r="A10" t="s">
        <v>219</v>
      </c>
      <c r="B10" s="7">
        <v>24618</v>
      </c>
      <c r="C10" s="10" t="s">
        <v>220</v>
      </c>
      <c r="F10" s="7">
        <v>24618</v>
      </c>
      <c r="G10" s="10" t="s">
        <v>220</v>
      </c>
      <c r="K10" s="7" t="s">
        <v>221</v>
      </c>
      <c r="L10" s="7">
        <v>58461</v>
      </c>
      <c r="M10" s="10" t="s">
        <v>222</v>
      </c>
    </row>
    <row r="11" spans="1:15" x14ac:dyDescent="0.15">
      <c r="A11" t="s">
        <v>13</v>
      </c>
      <c r="B11" s="7">
        <v>247788</v>
      </c>
      <c r="C11" s="10" t="s">
        <v>30</v>
      </c>
      <c r="F11" s="7">
        <v>247788</v>
      </c>
      <c r="G11" s="10" t="s">
        <v>30</v>
      </c>
      <c r="K11" s="7" t="s">
        <v>223</v>
      </c>
      <c r="L11" s="7">
        <v>159367</v>
      </c>
      <c r="M11" s="10" t="s">
        <v>98</v>
      </c>
    </row>
    <row r="12" spans="1:15" x14ac:dyDescent="0.15">
      <c r="A12" t="s">
        <v>32</v>
      </c>
      <c r="B12" s="7">
        <v>265837</v>
      </c>
      <c r="C12" s="19">
        <v>4</v>
      </c>
      <c r="F12" s="7">
        <v>265837</v>
      </c>
      <c r="G12" s="19">
        <v>4</v>
      </c>
      <c r="K12" s="7" t="s">
        <v>224</v>
      </c>
      <c r="L12" s="7">
        <v>58252</v>
      </c>
      <c r="M12" s="19">
        <v>2</v>
      </c>
    </row>
    <row r="13" spans="1:15" x14ac:dyDescent="0.15">
      <c r="A13" t="s">
        <v>225</v>
      </c>
      <c r="B13" s="7">
        <v>10208</v>
      </c>
      <c r="C13" s="10" t="s">
        <v>226</v>
      </c>
      <c r="F13" s="7">
        <v>10208</v>
      </c>
      <c r="G13" s="10" t="s">
        <v>226</v>
      </c>
      <c r="K13" s="7" t="s">
        <v>227</v>
      </c>
      <c r="L13" s="7">
        <v>1131662</v>
      </c>
      <c r="M13" s="10" t="s">
        <v>228</v>
      </c>
    </row>
    <row r="14" spans="1:15" x14ac:dyDescent="0.15">
      <c r="A14" t="s">
        <v>204</v>
      </c>
      <c r="B14" s="7">
        <v>115968</v>
      </c>
      <c r="C14" s="10" t="s">
        <v>229</v>
      </c>
      <c r="F14" s="7">
        <v>115968</v>
      </c>
      <c r="G14" s="10" t="s">
        <v>229</v>
      </c>
      <c r="K14" s="7" t="s">
        <v>230</v>
      </c>
      <c r="L14" s="7">
        <v>1917</v>
      </c>
      <c r="M14" s="10" t="s">
        <v>98</v>
      </c>
    </row>
    <row r="15" spans="1:15" x14ac:dyDescent="0.15">
      <c r="A15" t="s">
        <v>85</v>
      </c>
      <c r="B15" s="7">
        <v>16</v>
      </c>
      <c r="C15" s="19">
        <v>3</v>
      </c>
      <c r="F15" s="7">
        <v>16</v>
      </c>
      <c r="G15" s="19">
        <v>3</v>
      </c>
      <c r="K15" s="7" t="s">
        <v>231</v>
      </c>
      <c r="L15" s="7">
        <v>37942</v>
      </c>
      <c r="M15" s="10" t="s">
        <v>232</v>
      </c>
    </row>
    <row r="16" spans="1:15" x14ac:dyDescent="0.15">
      <c r="A16" t="s">
        <v>233</v>
      </c>
      <c r="B16" s="7">
        <v>463</v>
      </c>
      <c r="F16" s="7">
        <v>463</v>
      </c>
      <c r="G16" s="19">
        <v>3</v>
      </c>
      <c r="K16" s="7" t="s">
        <v>234</v>
      </c>
      <c r="L16" s="7">
        <v>923</v>
      </c>
      <c r="M16" s="19">
        <v>6</v>
      </c>
    </row>
    <row r="17" spans="1:13" x14ac:dyDescent="0.15">
      <c r="A17" t="s">
        <v>60</v>
      </c>
      <c r="B17" s="19">
        <v>8417</v>
      </c>
      <c r="C17" s="10" t="s">
        <v>47</v>
      </c>
      <c r="F17" s="19">
        <v>8417</v>
      </c>
      <c r="G17" s="10" t="s">
        <v>47</v>
      </c>
      <c r="K17" s="7" t="s">
        <v>235</v>
      </c>
      <c r="L17" s="7">
        <v>30919</v>
      </c>
      <c r="M17" s="19">
        <v>5</v>
      </c>
    </row>
    <row r="18" spans="1:13" x14ac:dyDescent="0.15">
      <c r="A18" t="s">
        <v>22</v>
      </c>
      <c r="D18" s="7">
        <v>6159</v>
      </c>
      <c r="E18" s="19">
        <v>3</v>
      </c>
      <c r="F18" s="7">
        <v>6159</v>
      </c>
      <c r="G18" s="19">
        <v>3</v>
      </c>
      <c r="K18" s="7" t="s">
        <v>236</v>
      </c>
      <c r="L18" s="19">
        <v>7029</v>
      </c>
      <c r="M18" s="10" t="s">
        <v>237</v>
      </c>
    </row>
    <row r="19" spans="1:13" x14ac:dyDescent="0.15">
      <c r="A19" t="s">
        <v>157</v>
      </c>
      <c r="B19" s="7">
        <v>43788</v>
      </c>
      <c r="C19" s="10" t="s">
        <v>238</v>
      </c>
      <c r="F19" s="7">
        <v>43788</v>
      </c>
      <c r="G19" s="10" t="s">
        <v>238</v>
      </c>
      <c r="K19" s="7" t="s">
        <v>239</v>
      </c>
      <c r="L19" s="7">
        <v>4919</v>
      </c>
      <c r="M19" s="10" t="s">
        <v>30</v>
      </c>
    </row>
    <row r="20" spans="1:13" x14ac:dyDescent="0.15">
      <c r="A20" t="s">
        <v>240</v>
      </c>
      <c r="B20" s="7">
        <v>2076</v>
      </c>
      <c r="C20" s="10" t="s">
        <v>45</v>
      </c>
      <c r="F20" s="7">
        <v>2076</v>
      </c>
      <c r="G20" s="10" t="s">
        <v>45</v>
      </c>
      <c r="K20" s="7" t="s">
        <v>241</v>
      </c>
      <c r="L20" s="7">
        <v>3648</v>
      </c>
      <c r="M20" s="10" t="s">
        <v>98</v>
      </c>
    </row>
    <row r="21" spans="1:13" x14ac:dyDescent="0.15">
      <c r="A21" t="s">
        <v>242</v>
      </c>
      <c r="D21" s="7">
        <v>2706</v>
      </c>
      <c r="F21" s="7">
        <v>2706</v>
      </c>
      <c r="K21" s="7" t="s">
        <v>243</v>
      </c>
      <c r="L21" s="7">
        <v>5793</v>
      </c>
      <c r="M21" s="19">
        <v>6</v>
      </c>
    </row>
    <row r="22" spans="1:13" x14ac:dyDescent="0.15">
      <c r="A22" t="s">
        <v>244</v>
      </c>
      <c r="B22" s="7">
        <v>401</v>
      </c>
      <c r="C22" s="19">
        <v>2</v>
      </c>
      <c r="F22" s="7">
        <v>401</v>
      </c>
      <c r="G22" s="19">
        <v>2</v>
      </c>
      <c r="K22" s="7" t="s">
        <v>179</v>
      </c>
      <c r="L22" s="7">
        <v>300</v>
      </c>
    </row>
    <row r="23" spans="1:13" x14ac:dyDescent="0.15">
      <c r="A23" t="s">
        <v>26</v>
      </c>
      <c r="B23" s="7">
        <v>1732</v>
      </c>
      <c r="F23" s="7">
        <v>1732</v>
      </c>
      <c r="K23" s="7" t="s">
        <v>245</v>
      </c>
      <c r="L23" s="7">
        <v>155</v>
      </c>
    </row>
    <row r="24" spans="1:13" x14ac:dyDescent="0.15">
      <c r="A24" t="s">
        <v>199</v>
      </c>
      <c r="D24" s="7">
        <v>25</v>
      </c>
      <c r="E24" s="10" t="s">
        <v>228</v>
      </c>
      <c r="F24" s="7">
        <v>25</v>
      </c>
      <c r="G24" s="10" t="s">
        <v>228</v>
      </c>
      <c r="K24" s="7" t="s">
        <v>246</v>
      </c>
      <c r="L24" s="7">
        <v>750</v>
      </c>
    </row>
    <row r="25" spans="1:13" x14ac:dyDescent="0.15">
      <c r="A25" t="s">
        <v>247</v>
      </c>
      <c r="B25" s="7">
        <v>12</v>
      </c>
      <c r="F25" s="7">
        <v>12</v>
      </c>
      <c r="K25" s="7" t="s">
        <v>248</v>
      </c>
      <c r="L25" s="7">
        <v>154</v>
      </c>
      <c r="M25" s="19">
        <v>2</v>
      </c>
    </row>
    <row r="26" spans="1:13" x14ac:dyDescent="0.15">
      <c r="A26" t="s">
        <v>249</v>
      </c>
      <c r="D26" s="7">
        <v>103</v>
      </c>
      <c r="E26" s="10" t="s">
        <v>226</v>
      </c>
      <c r="F26" s="7">
        <v>103</v>
      </c>
      <c r="G26" s="10" t="s">
        <v>226</v>
      </c>
      <c r="K26" s="7" t="s">
        <v>250</v>
      </c>
      <c r="L26" s="7">
        <v>5404</v>
      </c>
      <c r="M26" s="10" t="s">
        <v>238</v>
      </c>
    </row>
    <row r="27" spans="1:13" x14ac:dyDescent="0.15">
      <c r="A27" t="s">
        <v>251</v>
      </c>
      <c r="D27" s="7">
        <v>50458</v>
      </c>
      <c r="E27" s="19">
        <v>7</v>
      </c>
      <c r="F27" s="7">
        <v>50458</v>
      </c>
      <c r="G27" s="19">
        <v>7</v>
      </c>
      <c r="K27" s="7" t="s">
        <v>252</v>
      </c>
      <c r="L27" s="7">
        <v>3159</v>
      </c>
      <c r="M27" s="10" t="s">
        <v>226</v>
      </c>
    </row>
    <row r="28" spans="1:13" x14ac:dyDescent="0.15">
      <c r="A28" t="s">
        <v>253</v>
      </c>
      <c r="B28" s="7">
        <v>27154</v>
      </c>
      <c r="C28" s="10" t="s">
        <v>21</v>
      </c>
      <c r="F28" s="7">
        <v>27154</v>
      </c>
      <c r="G28" s="10" t="s">
        <v>21</v>
      </c>
      <c r="K28" s="7" t="s">
        <v>254</v>
      </c>
      <c r="L28" s="7">
        <v>47676</v>
      </c>
      <c r="M28" s="10" t="s">
        <v>255</v>
      </c>
    </row>
    <row r="29" spans="1:13" x14ac:dyDescent="0.15">
      <c r="A29" t="s">
        <v>75</v>
      </c>
      <c r="D29" s="7">
        <v>7795</v>
      </c>
      <c r="E29" s="19">
        <v>5</v>
      </c>
      <c r="F29" s="7">
        <v>7795</v>
      </c>
      <c r="G29" s="19">
        <v>5</v>
      </c>
      <c r="K29" s="7" t="s">
        <v>256</v>
      </c>
      <c r="L29" s="7">
        <v>1697</v>
      </c>
      <c r="M29" s="10" t="s">
        <v>257</v>
      </c>
    </row>
    <row r="30" spans="1:13" x14ac:dyDescent="0.15">
      <c r="A30" t="s">
        <v>27</v>
      </c>
      <c r="D30" s="7">
        <v>65</v>
      </c>
      <c r="E30" s="19">
        <v>6</v>
      </c>
      <c r="F30" s="7">
        <v>65</v>
      </c>
      <c r="G30" s="19">
        <v>6</v>
      </c>
      <c r="K30" s="7" t="s">
        <v>258</v>
      </c>
      <c r="L30" s="7">
        <v>180</v>
      </c>
      <c r="M30" s="10" t="s">
        <v>47</v>
      </c>
    </row>
    <row r="31" spans="1:13" x14ac:dyDescent="0.15">
      <c r="A31" t="s">
        <v>259</v>
      </c>
      <c r="B31" s="7">
        <v>2671</v>
      </c>
      <c r="C31" s="10" t="s">
        <v>237</v>
      </c>
      <c r="F31" s="7">
        <v>2671</v>
      </c>
      <c r="G31" s="10" t="s">
        <v>237</v>
      </c>
      <c r="K31" s="7" t="s">
        <v>260</v>
      </c>
      <c r="L31" s="7">
        <v>200</v>
      </c>
    </row>
    <row r="32" spans="1:13" x14ac:dyDescent="0.15">
      <c r="A32" t="s">
        <v>33</v>
      </c>
      <c r="D32" s="7">
        <v>5447</v>
      </c>
      <c r="F32" s="7">
        <v>5447</v>
      </c>
      <c r="K32" s="7" t="s">
        <v>261</v>
      </c>
      <c r="L32" s="7">
        <v>90</v>
      </c>
    </row>
    <row r="33" spans="1:12" x14ac:dyDescent="0.15">
      <c r="A33" t="s">
        <v>262</v>
      </c>
      <c r="D33" s="7">
        <v>2768</v>
      </c>
      <c r="E33" s="10" t="s">
        <v>47</v>
      </c>
      <c r="F33" s="7">
        <v>2768</v>
      </c>
      <c r="G33" s="10" t="s">
        <v>47</v>
      </c>
      <c r="K33" s="7" t="s">
        <v>263</v>
      </c>
      <c r="L33" s="7">
        <v>110</v>
      </c>
    </row>
    <row r="34" spans="1:12" x14ac:dyDescent="0.15">
      <c r="A34" t="s">
        <v>264</v>
      </c>
      <c r="D34" s="7">
        <v>23568</v>
      </c>
      <c r="E34" s="19">
        <v>2</v>
      </c>
      <c r="F34" s="7">
        <v>23568</v>
      </c>
      <c r="G34" s="19">
        <v>2</v>
      </c>
    </row>
    <row r="35" spans="1:12" x14ac:dyDescent="0.15">
      <c r="A35" t="s">
        <v>265</v>
      </c>
      <c r="D35" s="7">
        <v>1187</v>
      </c>
      <c r="E35" s="19">
        <v>2</v>
      </c>
      <c r="F35" s="7">
        <v>1187</v>
      </c>
      <c r="G35" s="19">
        <v>2</v>
      </c>
    </row>
    <row r="36" spans="1:12" x14ac:dyDescent="0.15">
      <c r="A36" t="s">
        <v>254</v>
      </c>
      <c r="B36" s="7">
        <v>9232</v>
      </c>
      <c r="C36" s="10" t="s">
        <v>21</v>
      </c>
      <c r="F36" s="7">
        <v>9232</v>
      </c>
      <c r="G36" s="10" t="s">
        <v>21</v>
      </c>
    </row>
    <row r="37" spans="1:12" x14ac:dyDescent="0.15">
      <c r="A37" t="s">
        <v>266</v>
      </c>
      <c r="B37" s="7">
        <v>96</v>
      </c>
      <c r="C37" s="19">
        <v>6</v>
      </c>
      <c r="F37" s="7">
        <v>96</v>
      </c>
      <c r="G37" s="19">
        <v>6</v>
      </c>
    </row>
    <row r="38" spans="1:12" x14ac:dyDescent="0.15">
      <c r="A38" t="s">
        <v>267</v>
      </c>
      <c r="D38" s="7">
        <v>1332</v>
      </c>
      <c r="E38" s="10" t="s">
        <v>47</v>
      </c>
      <c r="F38" s="7">
        <v>1332</v>
      </c>
      <c r="G38" s="10" t="s">
        <v>47</v>
      </c>
    </row>
    <row r="39" spans="1:12" x14ac:dyDescent="0.15">
      <c r="A39" t="s">
        <v>40</v>
      </c>
      <c r="B39" s="7">
        <v>1229</v>
      </c>
      <c r="C39" s="19">
        <v>6</v>
      </c>
      <c r="F39" s="7">
        <v>1229</v>
      </c>
      <c r="G39" s="19">
        <v>6</v>
      </c>
    </row>
    <row r="40" spans="1:12" x14ac:dyDescent="0.15">
      <c r="A40" t="s">
        <v>268</v>
      </c>
      <c r="D40" s="7">
        <v>3449</v>
      </c>
      <c r="E40" s="10" t="s">
        <v>37</v>
      </c>
      <c r="F40" s="7">
        <v>3449</v>
      </c>
      <c r="G40" s="10" t="s">
        <v>37</v>
      </c>
    </row>
    <row r="41" spans="1:12" x14ac:dyDescent="0.15">
      <c r="A41" t="s">
        <v>269</v>
      </c>
      <c r="B41" s="7">
        <v>1906</v>
      </c>
      <c r="C41" s="19">
        <v>7</v>
      </c>
      <c r="F41" s="7">
        <v>1906</v>
      </c>
      <c r="G41" s="19">
        <v>7</v>
      </c>
    </row>
    <row r="42" spans="1:12" x14ac:dyDescent="0.15">
      <c r="A42" t="s">
        <v>28</v>
      </c>
      <c r="B42" s="7">
        <v>131</v>
      </c>
      <c r="C42" s="19">
        <v>2</v>
      </c>
      <c r="F42" s="7">
        <v>132</v>
      </c>
      <c r="G42" s="19">
        <v>2</v>
      </c>
    </row>
    <row r="43" spans="1:12" x14ac:dyDescent="0.15">
      <c r="A43" t="s">
        <v>270</v>
      </c>
      <c r="B43" s="7">
        <v>470</v>
      </c>
      <c r="F43" s="7">
        <v>470</v>
      </c>
      <c r="H43" s="7">
        <v>869288</v>
      </c>
      <c r="I43" s="10" t="s">
        <v>257</v>
      </c>
      <c r="J43" s="10"/>
    </row>
    <row r="44" spans="1:12" x14ac:dyDescent="0.15">
      <c r="G44" s="7"/>
    </row>
    <row r="45" spans="1:12" x14ac:dyDescent="0.15">
      <c r="A45" s="6" t="s">
        <v>271</v>
      </c>
      <c r="G45" s="7"/>
      <c r="K45" s="6" t="s">
        <v>271</v>
      </c>
    </row>
    <row r="46" spans="1:12" x14ac:dyDescent="0.15">
      <c r="A46" t="s">
        <v>272</v>
      </c>
      <c r="B46" s="7">
        <v>81190</v>
      </c>
      <c r="F46" s="7">
        <v>81190</v>
      </c>
      <c r="G46" s="7"/>
      <c r="K46" s="7" t="s">
        <v>273</v>
      </c>
    </row>
    <row r="47" spans="1:12" x14ac:dyDescent="0.15">
      <c r="A47" t="s">
        <v>274</v>
      </c>
      <c r="B47" s="7">
        <v>44113</v>
      </c>
      <c r="C47" s="10" t="s">
        <v>30</v>
      </c>
      <c r="F47" s="7">
        <v>44113</v>
      </c>
      <c r="G47" s="20" t="s">
        <v>30</v>
      </c>
      <c r="H47" s="7">
        <f>B46+B47</f>
        <v>125303</v>
      </c>
      <c r="I47" s="10" t="s">
        <v>257</v>
      </c>
      <c r="J47" s="10"/>
      <c r="K47" s="7" t="s">
        <v>275</v>
      </c>
    </row>
    <row r="48" spans="1:12" x14ac:dyDescent="0.15">
      <c r="G48" s="21"/>
    </row>
    <row r="49" spans="1:15" x14ac:dyDescent="0.15">
      <c r="A49" s="6" t="s">
        <v>276</v>
      </c>
      <c r="G49" s="21"/>
      <c r="K49" s="6" t="s">
        <v>276</v>
      </c>
    </row>
    <row r="50" spans="1:15" x14ac:dyDescent="0.15">
      <c r="A50" s="13" t="s">
        <v>89</v>
      </c>
      <c r="B50" s="7">
        <v>373232</v>
      </c>
      <c r="C50" s="19">
        <v>5</v>
      </c>
      <c r="D50" s="7">
        <v>124410</v>
      </c>
      <c r="E50" s="19">
        <v>7</v>
      </c>
      <c r="F50" s="7">
        <v>497643</v>
      </c>
      <c r="G50" s="21">
        <v>4</v>
      </c>
      <c r="K50" s="7" t="s">
        <v>277</v>
      </c>
      <c r="L50" s="7">
        <v>32042</v>
      </c>
      <c r="M50" s="10" t="s">
        <v>222</v>
      </c>
    </row>
    <row r="51" spans="1:15" x14ac:dyDescent="0.15">
      <c r="A51" s="13" t="s">
        <v>278</v>
      </c>
      <c r="B51" s="7">
        <v>94061</v>
      </c>
      <c r="C51" s="10" t="s">
        <v>279</v>
      </c>
      <c r="D51" s="7">
        <v>13437</v>
      </c>
      <c r="E51" s="19">
        <v>3</v>
      </c>
      <c r="F51" s="7">
        <v>107499</v>
      </c>
      <c r="G51" s="10" t="s">
        <v>280</v>
      </c>
      <c r="K51" s="7" t="s">
        <v>281</v>
      </c>
      <c r="L51" s="7">
        <v>3174</v>
      </c>
      <c r="M51" s="10" t="s">
        <v>220</v>
      </c>
    </row>
    <row r="52" spans="1:15" x14ac:dyDescent="0.15">
      <c r="A52" s="13" t="s">
        <v>282</v>
      </c>
      <c r="B52" s="7">
        <v>83947</v>
      </c>
      <c r="C52" s="10" t="s">
        <v>283</v>
      </c>
      <c r="D52" s="7">
        <v>11992</v>
      </c>
      <c r="E52" s="10" t="s">
        <v>284</v>
      </c>
      <c r="F52" s="7">
        <v>95940</v>
      </c>
      <c r="G52" s="10" t="s">
        <v>21</v>
      </c>
      <c r="K52" s="7" t="s">
        <v>285</v>
      </c>
      <c r="L52" s="7">
        <v>1355</v>
      </c>
      <c r="M52" s="10" t="s">
        <v>226</v>
      </c>
    </row>
    <row r="53" spans="1:15" x14ac:dyDescent="0.15">
      <c r="A53" s="13" t="s">
        <v>286</v>
      </c>
      <c r="C53" s="22"/>
      <c r="D53" s="7">
        <v>28505</v>
      </c>
      <c r="E53" s="19">
        <v>6</v>
      </c>
      <c r="F53" s="7">
        <v>28505</v>
      </c>
      <c r="G53" s="19">
        <v>6</v>
      </c>
      <c r="K53" s="7" t="s">
        <v>287</v>
      </c>
      <c r="L53" s="7">
        <v>15304</v>
      </c>
      <c r="M53" s="19">
        <v>2</v>
      </c>
    </row>
    <row r="54" spans="1:15" x14ac:dyDescent="0.15">
      <c r="A54" s="13" t="s">
        <v>90</v>
      </c>
      <c r="D54" s="7">
        <v>24885</v>
      </c>
      <c r="E54" s="19">
        <v>1</v>
      </c>
      <c r="F54" s="23">
        <v>24885</v>
      </c>
      <c r="G54" s="19">
        <v>1</v>
      </c>
      <c r="K54" s="7" t="s">
        <v>288</v>
      </c>
      <c r="L54" s="7">
        <v>76077</v>
      </c>
      <c r="M54" s="10" t="s">
        <v>284</v>
      </c>
    </row>
    <row r="55" spans="1:15" x14ac:dyDescent="0.15">
      <c r="A55" s="13" t="s">
        <v>92</v>
      </c>
      <c r="B55" s="7">
        <v>2933</v>
      </c>
      <c r="C55" s="24" t="s">
        <v>220</v>
      </c>
      <c r="D55" s="7">
        <v>419</v>
      </c>
      <c r="E55" s="10" t="s">
        <v>98</v>
      </c>
      <c r="F55" s="7">
        <v>3352</v>
      </c>
      <c r="G55" s="19">
        <v>5</v>
      </c>
      <c r="K55" s="7" t="s">
        <v>289</v>
      </c>
      <c r="L55" s="7">
        <v>26</v>
      </c>
      <c r="M55" s="19">
        <v>2</v>
      </c>
    </row>
    <row r="56" spans="1:15" x14ac:dyDescent="0.15">
      <c r="A56" s="13" t="s">
        <v>290</v>
      </c>
      <c r="D56" s="7">
        <v>1630</v>
      </c>
      <c r="F56" s="7">
        <v>1630</v>
      </c>
      <c r="K56" s="7" t="s">
        <v>291</v>
      </c>
      <c r="L56" s="7">
        <v>3242</v>
      </c>
      <c r="M56" s="19">
        <v>3</v>
      </c>
    </row>
    <row r="57" spans="1:15" x14ac:dyDescent="0.15">
      <c r="A57" s="13" t="s">
        <v>292</v>
      </c>
      <c r="D57" s="7">
        <v>1013</v>
      </c>
      <c r="F57" s="7">
        <v>1013</v>
      </c>
      <c r="K57" s="7" t="s">
        <v>293</v>
      </c>
      <c r="L57" s="7">
        <v>16373</v>
      </c>
      <c r="M57" s="19">
        <v>4</v>
      </c>
    </row>
    <row r="58" spans="1:15" x14ac:dyDescent="0.15">
      <c r="A58" t="s">
        <v>294</v>
      </c>
      <c r="B58" s="7">
        <v>714</v>
      </c>
      <c r="C58" s="19">
        <v>4</v>
      </c>
      <c r="D58" s="7">
        <v>102</v>
      </c>
      <c r="E58" s="19">
        <v>4</v>
      </c>
      <c r="F58" s="7">
        <v>820</v>
      </c>
      <c r="K58" s="7" t="s">
        <v>295</v>
      </c>
      <c r="L58" s="7">
        <v>25183</v>
      </c>
      <c r="M58" s="19">
        <v>2</v>
      </c>
    </row>
    <row r="59" spans="1:15" x14ac:dyDescent="0.15">
      <c r="A59" t="s">
        <v>296</v>
      </c>
      <c r="B59" s="7">
        <v>282</v>
      </c>
      <c r="C59" s="19">
        <v>3</v>
      </c>
      <c r="D59" s="7">
        <v>40</v>
      </c>
      <c r="E59" s="19">
        <v>2</v>
      </c>
      <c r="F59" s="7">
        <v>322</v>
      </c>
      <c r="G59" s="10" t="s">
        <v>30</v>
      </c>
      <c r="K59" s="7" t="s">
        <v>297</v>
      </c>
      <c r="L59" s="7">
        <v>6410</v>
      </c>
      <c r="M59" s="10" t="s">
        <v>298</v>
      </c>
    </row>
    <row r="60" spans="1:15" x14ac:dyDescent="0.15">
      <c r="A60" t="s">
        <v>299</v>
      </c>
      <c r="D60" s="7">
        <v>4528</v>
      </c>
      <c r="F60" s="7">
        <v>4528</v>
      </c>
      <c r="K60" s="7" t="s">
        <v>300</v>
      </c>
      <c r="L60" s="7">
        <v>242</v>
      </c>
      <c r="M60" s="10" t="s">
        <v>45</v>
      </c>
    </row>
    <row r="61" spans="1:15" x14ac:dyDescent="0.15">
      <c r="A61" t="s">
        <v>60</v>
      </c>
      <c r="B61" s="7">
        <v>104</v>
      </c>
      <c r="C61" s="10" t="s">
        <v>47</v>
      </c>
      <c r="F61" s="7">
        <v>104</v>
      </c>
      <c r="G61" s="10" t="s">
        <v>47</v>
      </c>
      <c r="K61" s="7" t="s">
        <v>190</v>
      </c>
      <c r="L61" s="7">
        <v>11405</v>
      </c>
      <c r="M61" s="19">
        <v>1</v>
      </c>
    </row>
    <row r="62" spans="1:15" x14ac:dyDescent="0.15">
      <c r="A62" s="13" t="s">
        <v>129</v>
      </c>
      <c r="B62" s="7">
        <v>13</v>
      </c>
      <c r="F62" s="7">
        <v>13</v>
      </c>
      <c r="K62" s="7" t="s">
        <v>301</v>
      </c>
      <c r="L62" s="7">
        <v>340</v>
      </c>
    </row>
    <row r="63" spans="1:15" x14ac:dyDescent="0.15">
      <c r="A63" t="s">
        <v>302</v>
      </c>
      <c r="B63" s="7">
        <v>2557</v>
      </c>
      <c r="C63" s="19">
        <v>2</v>
      </c>
      <c r="D63" s="7">
        <v>365</v>
      </c>
      <c r="E63" s="10" t="s">
        <v>47</v>
      </c>
      <c r="F63" s="7">
        <v>2922</v>
      </c>
      <c r="G63" s="10" t="s">
        <v>220</v>
      </c>
      <c r="K63" s="7" t="s">
        <v>303</v>
      </c>
      <c r="L63" s="7">
        <v>6062</v>
      </c>
      <c r="M63" s="10" t="s">
        <v>226</v>
      </c>
    </row>
    <row r="64" spans="1:15" x14ac:dyDescent="0.15">
      <c r="A64" t="s">
        <v>304</v>
      </c>
      <c r="B64" s="7">
        <v>1476</v>
      </c>
      <c r="C64" s="10" t="s">
        <v>30</v>
      </c>
      <c r="D64" s="7">
        <v>210</v>
      </c>
      <c r="E64" s="10" t="s">
        <v>305</v>
      </c>
      <c r="F64" s="7">
        <v>1687</v>
      </c>
      <c r="G64" s="19">
        <v>5</v>
      </c>
      <c r="H64" s="7">
        <v>770867</v>
      </c>
      <c r="I64" s="19">
        <v>4</v>
      </c>
      <c r="K64" s="7" t="s">
        <v>306</v>
      </c>
      <c r="L64" s="7">
        <v>20355</v>
      </c>
      <c r="M64" s="10" t="s">
        <v>45</v>
      </c>
      <c r="N64" s="7">
        <v>217595</v>
      </c>
      <c r="O64" s="10" t="s">
        <v>222</v>
      </c>
    </row>
    <row r="66" spans="1:15" x14ac:dyDescent="0.15">
      <c r="A66" s="6" t="s">
        <v>307</v>
      </c>
      <c r="K66" s="6" t="s">
        <v>307</v>
      </c>
    </row>
    <row r="67" spans="1:15" x14ac:dyDescent="0.15">
      <c r="A67" t="s">
        <v>308</v>
      </c>
      <c r="D67" s="7">
        <v>486796</v>
      </c>
      <c r="E67" s="19">
        <v>2</v>
      </c>
      <c r="F67" s="7">
        <v>486796</v>
      </c>
      <c r="G67" s="19">
        <v>2</v>
      </c>
      <c r="K67" s="7" t="s">
        <v>309</v>
      </c>
      <c r="L67" s="7">
        <v>201367</v>
      </c>
      <c r="M67" s="10" t="s">
        <v>226</v>
      </c>
    </row>
    <row r="68" spans="1:15" x14ac:dyDescent="0.15">
      <c r="A68" t="s">
        <v>310</v>
      </c>
      <c r="D68" s="7">
        <v>1217</v>
      </c>
      <c r="E68" s="10" t="s">
        <v>220</v>
      </c>
      <c r="F68" s="7">
        <v>1217</v>
      </c>
      <c r="G68" s="10" t="s">
        <v>220</v>
      </c>
      <c r="K68" s="7" t="s">
        <v>311</v>
      </c>
      <c r="L68" s="7">
        <v>67428</v>
      </c>
      <c r="M68" s="10" t="s">
        <v>298</v>
      </c>
    </row>
    <row r="69" spans="1:15" x14ac:dyDescent="0.15">
      <c r="A69" t="s">
        <v>312</v>
      </c>
      <c r="D69" s="7">
        <v>757</v>
      </c>
      <c r="E69" s="10" t="s">
        <v>98</v>
      </c>
      <c r="F69" s="7">
        <v>757</v>
      </c>
      <c r="G69" s="10" t="s">
        <v>98</v>
      </c>
      <c r="H69" s="7">
        <v>488770</v>
      </c>
      <c r="I69" s="19">
        <v>7</v>
      </c>
      <c r="K69" s="7" t="s">
        <v>281</v>
      </c>
      <c r="L69" s="7">
        <v>8765</v>
      </c>
      <c r="M69" s="10" t="s">
        <v>21</v>
      </c>
      <c r="N69" s="7">
        <v>277560</v>
      </c>
      <c r="O69" s="10" t="s">
        <v>313</v>
      </c>
    </row>
    <row r="71" spans="1:15" x14ac:dyDescent="0.15">
      <c r="A71" s="6" t="s">
        <v>148</v>
      </c>
      <c r="K71" s="6" t="s">
        <v>148</v>
      </c>
    </row>
    <row r="72" spans="1:15" x14ac:dyDescent="0.15">
      <c r="A72" t="s">
        <v>149</v>
      </c>
      <c r="B72" s="7">
        <v>37766</v>
      </c>
      <c r="C72" s="10" t="s">
        <v>255</v>
      </c>
      <c r="F72" s="7">
        <v>37766</v>
      </c>
      <c r="G72" s="10" t="s">
        <v>255</v>
      </c>
      <c r="K72" s="7" t="s">
        <v>314</v>
      </c>
      <c r="L72" s="7">
        <v>45081</v>
      </c>
      <c r="M72" s="19">
        <v>1</v>
      </c>
    </row>
    <row r="73" spans="1:15" x14ac:dyDescent="0.15">
      <c r="A73" t="s">
        <v>150</v>
      </c>
      <c r="B73" s="7">
        <v>34835</v>
      </c>
      <c r="C73" s="10" t="s">
        <v>280</v>
      </c>
      <c r="F73" s="7">
        <v>34835</v>
      </c>
      <c r="G73" s="10" t="s">
        <v>280</v>
      </c>
      <c r="K73" s="7" t="s">
        <v>281</v>
      </c>
      <c r="L73" s="7">
        <v>8867</v>
      </c>
      <c r="M73" s="19">
        <v>4</v>
      </c>
    </row>
    <row r="74" spans="1:15" x14ac:dyDescent="0.15">
      <c r="A74" t="s">
        <v>151</v>
      </c>
      <c r="B74" s="7">
        <v>170</v>
      </c>
      <c r="F74" s="7">
        <v>170</v>
      </c>
      <c r="H74" s="7">
        <v>73080</v>
      </c>
      <c r="I74" s="10" t="s">
        <v>315</v>
      </c>
      <c r="J74" s="10"/>
      <c r="K74" s="7" t="s">
        <v>316</v>
      </c>
      <c r="L74" s="7">
        <v>3410</v>
      </c>
      <c r="M74" s="10" t="s">
        <v>317</v>
      </c>
      <c r="N74" s="7">
        <v>73743</v>
      </c>
      <c r="O74" s="10" t="s">
        <v>21</v>
      </c>
    </row>
    <row r="75" spans="1:15" x14ac:dyDescent="0.15">
      <c r="A75" t="s">
        <v>152</v>
      </c>
      <c r="B75" s="7">
        <v>308</v>
      </c>
      <c r="F75" s="7">
        <v>308</v>
      </c>
      <c r="K75" s="7" t="s">
        <v>318</v>
      </c>
      <c r="L75" s="7">
        <v>16384</v>
      </c>
      <c r="M75" s="19">
        <v>2</v>
      </c>
    </row>
    <row r="78" spans="1:15" x14ac:dyDescent="0.15">
      <c r="A78" t="s">
        <v>319</v>
      </c>
      <c r="B78" s="7">
        <v>1521932</v>
      </c>
      <c r="C78" s="10" t="s">
        <v>226</v>
      </c>
      <c r="D78" s="7">
        <v>805378</v>
      </c>
      <c r="E78" s="10" t="s">
        <v>320</v>
      </c>
      <c r="F78" s="7">
        <v>2327310</v>
      </c>
      <c r="G78" s="19">
        <v>6</v>
      </c>
      <c r="H78" s="7">
        <v>2327310</v>
      </c>
      <c r="I78" s="19">
        <v>6</v>
      </c>
      <c r="L78" s="7">
        <v>2129615</v>
      </c>
      <c r="M78" s="10" t="s">
        <v>226</v>
      </c>
    </row>
    <row r="79" spans="1:15" x14ac:dyDescent="0.15">
      <c r="A79" t="s">
        <v>321</v>
      </c>
      <c r="N79" s="7">
        <v>2129615</v>
      </c>
      <c r="O79" s="10" t="s">
        <v>226</v>
      </c>
    </row>
    <row r="80" spans="1:15" x14ac:dyDescent="0.15">
      <c r="A80" t="s">
        <v>322</v>
      </c>
      <c r="H80" s="7">
        <v>197695</v>
      </c>
      <c r="I80" s="10" t="s">
        <v>284</v>
      </c>
    </row>
    <row r="82" spans="1:1" x14ac:dyDescent="0.15">
      <c r="A82" t="s">
        <v>323</v>
      </c>
    </row>
  </sheetData>
  <pageMargins left="0.75" right="0.75" top="1" bottom="1" header="0.5" footer="0.5"/>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
  <sheetViews>
    <sheetView workbookViewId="0">
      <selection activeCell="B1" sqref="B1"/>
    </sheetView>
  </sheetViews>
  <sheetFormatPr baseColWidth="10" defaultRowHeight="13" x14ac:dyDescent="0.15"/>
  <cols>
    <col min="1" max="1" width="29.33203125" bestFit="1" customWidth="1"/>
    <col min="2" max="2" width="10.83203125" style="7"/>
    <col min="3" max="3" width="10.83203125" style="19"/>
    <col min="4" max="4" width="28" style="7" bestFit="1" customWidth="1"/>
    <col min="5" max="16384" width="10.83203125" style="7"/>
  </cols>
  <sheetData>
    <row r="1" spans="1:6" customFormat="1" x14ac:dyDescent="0.15">
      <c r="A1" s="6" t="s">
        <v>324</v>
      </c>
    </row>
    <row r="2" spans="1:6" customFormat="1" x14ac:dyDescent="0.15">
      <c r="A2" s="6" t="s">
        <v>325</v>
      </c>
    </row>
    <row r="3" spans="1:6" customFormat="1" x14ac:dyDescent="0.15"/>
    <row r="4" spans="1:6" customFormat="1" x14ac:dyDescent="0.15"/>
    <row r="5" spans="1:6" customFormat="1" x14ac:dyDescent="0.15">
      <c r="A5" s="25" t="s">
        <v>326</v>
      </c>
      <c r="B5" s="25"/>
      <c r="C5" s="25"/>
      <c r="D5" s="25" t="s">
        <v>327</v>
      </c>
      <c r="E5" s="25"/>
      <c r="F5" s="25"/>
    </row>
    <row r="6" spans="1:6" customFormat="1" x14ac:dyDescent="0.15">
      <c r="A6" s="26" t="s">
        <v>328</v>
      </c>
      <c r="B6" s="26" t="s">
        <v>329</v>
      </c>
      <c r="C6" s="26" t="s">
        <v>330</v>
      </c>
      <c r="E6" s="26" t="s">
        <v>329</v>
      </c>
      <c r="F6" s="26" t="s">
        <v>330</v>
      </c>
    </row>
    <row r="7" spans="1:6" customFormat="1" x14ac:dyDescent="0.15"/>
    <row r="8" spans="1:6" x14ac:dyDescent="0.15">
      <c r="A8" s="13" t="s">
        <v>331</v>
      </c>
      <c r="B8" s="7">
        <v>651695</v>
      </c>
      <c r="C8" s="10" t="s">
        <v>332</v>
      </c>
      <c r="D8" s="7" t="s">
        <v>223</v>
      </c>
      <c r="E8" s="7">
        <v>375017</v>
      </c>
      <c r="F8" s="10" t="s">
        <v>222</v>
      </c>
    </row>
    <row r="9" spans="1:6" x14ac:dyDescent="0.15">
      <c r="A9" s="13" t="s">
        <v>333</v>
      </c>
      <c r="B9" s="7">
        <v>13108</v>
      </c>
      <c r="C9" s="10" t="s">
        <v>334</v>
      </c>
      <c r="D9" s="7" t="s">
        <v>224</v>
      </c>
      <c r="E9" s="7">
        <v>260935</v>
      </c>
      <c r="F9" s="10" t="s">
        <v>335</v>
      </c>
    </row>
    <row r="10" spans="1:6" x14ac:dyDescent="0.15">
      <c r="A10" s="13" t="s">
        <v>336</v>
      </c>
      <c r="B10" s="7">
        <v>6628</v>
      </c>
      <c r="D10" s="7" t="s">
        <v>337</v>
      </c>
      <c r="E10" s="7">
        <v>842869</v>
      </c>
      <c r="F10" s="10" t="s">
        <v>338</v>
      </c>
    </row>
    <row r="11" spans="1:6" x14ac:dyDescent="0.15">
      <c r="A11" s="13" t="s">
        <v>339</v>
      </c>
      <c r="B11" s="7">
        <v>888</v>
      </c>
      <c r="D11" s="7" t="s">
        <v>340</v>
      </c>
      <c r="E11" s="7">
        <v>82704</v>
      </c>
      <c r="F11" s="10" t="s">
        <v>112</v>
      </c>
    </row>
    <row r="12" spans="1:6" x14ac:dyDescent="0.15">
      <c r="A12" s="13" t="s">
        <v>341</v>
      </c>
      <c r="B12" s="7">
        <v>327</v>
      </c>
      <c r="C12" s="19">
        <v>2</v>
      </c>
      <c r="D12" s="7" t="s">
        <v>342</v>
      </c>
      <c r="E12" s="7">
        <v>6982</v>
      </c>
      <c r="F12" s="10" t="s">
        <v>343</v>
      </c>
    </row>
    <row r="13" spans="1:6" x14ac:dyDescent="0.15">
      <c r="A13" s="13" t="s">
        <v>344</v>
      </c>
      <c r="B13" s="7">
        <v>328460</v>
      </c>
      <c r="C13" s="10" t="s">
        <v>232</v>
      </c>
      <c r="D13" s="7" t="s">
        <v>345</v>
      </c>
      <c r="E13" s="7">
        <v>4865</v>
      </c>
      <c r="F13" s="10" t="s">
        <v>21</v>
      </c>
    </row>
    <row r="14" spans="1:6" x14ac:dyDescent="0.15">
      <c r="A14" s="13" t="s">
        <v>346</v>
      </c>
      <c r="B14" s="7">
        <v>27837</v>
      </c>
      <c r="C14" s="10" t="s">
        <v>347</v>
      </c>
      <c r="D14" s="7" t="s">
        <v>348</v>
      </c>
      <c r="E14" s="7">
        <v>35646</v>
      </c>
      <c r="F14" s="7">
        <v>6</v>
      </c>
    </row>
    <row r="15" spans="1:6" x14ac:dyDescent="0.15">
      <c r="A15" t="s">
        <v>349</v>
      </c>
      <c r="B15" s="7">
        <v>5578</v>
      </c>
      <c r="C15" s="10" t="s">
        <v>334</v>
      </c>
      <c r="D15" s="7" t="s">
        <v>235</v>
      </c>
      <c r="E15" s="7">
        <v>273713</v>
      </c>
      <c r="F15" s="10" t="s">
        <v>222</v>
      </c>
    </row>
    <row r="16" spans="1:6" x14ac:dyDescent="0.15">
      <c r="A16" t="s">
        <v>350</v>
      </c>
      <c r="B16" s="7">
        <v>33752</v>
      </c>
      <c r="C16" s="10" t="s">
        <v>21</v>
      </c>
      <c r="D16" s="7" t="s">
        <v>230</v>
      </c>
      <c r="E16" s="7">
        <v>3257</v>
      </c>
      <c r="F16" s="7">
        <v>5</v>
      </c>
    </row>
    <row r="17" spans="1:6" x14ac:dyDescent="0.15">
      <c r="A17" t="s">
        <v>351</v>
      </c>
      <c r="B17" s="7">
        <v>2837</v>
      </c>
      <c r="C17" s="10" t="s">
        <v>332</v>
      </c>
      <c r="D17" s="7" t="s">
        <v>352</v>
      </c>
      <c r="E17" s="7">
        <v>49741</v>
      </c>
      <c r="F17" s="10" t="s">
        <v>338</v>
      </c>
    </row>
    <row r="18" spans="1:6" x14ac:dyDescent="0.15">
      <c r="A18" t="s">
        <v>353</v>
      </c>
      <c r="B18" s="7">
        <v>2883</v>
      </c>
      <c r="C18" s="10" t="s">
        <v>347</v>
      </c>
      <c r="D18" s="7" t="s">
        <v>354</v>
      </c>
      <c r="E18" s="7">
        <v>28048</v>
      </c>
      <c r="F18" s="7">
        <v>2</v>
      </c>
    </row>
    <row r="19" spans="1:6" x14ac:dyDescent="0.15">
      <c r="A19" t="s">
        <v>355</v>
      </c>
      <c r="B19" s="7">
        <v>108</v>
      </c>
      <c r="C19" s="10" t="s">
        <v>45</v>
      </c>
      <c r="D19" s="7" t="s">
        <v>356</v>
      </c>
      <c r="E19" s="7">
        <v>51764</v>
      </c>
      <c r="F19" s="10" t="s">
        <v>232</v>
      </c>
    </row>
    <row r="20" spans="1:6" x14ac:dyDescent="0.15">
      <c r="A20" t="s">
        <v>357</v>
      </c>
      <c r="B20" s="7">
        <v>254002</v>
      </c>
      <c r="C20" s="10" t="s">
        <v>334</v>
      </c>
      <c r="D20" s="7" t="s">
        <v>358</v>
      </c>
      <c r="E20" s="7">
        <v>224759</v>
      </c>
      <c r="F20" s="7">
        <v>4</v>
      </c>
    </row>
    <row r="21" spans="1:6" x14ac:dyDescent="0.15">
      <c r="A21" t="s">
        <v>31</v>
      </c>
      <c r="B21" s="7">
        <v>36367</v>
      </c>
      <c r="C21" s="10" t="s">
        <v>58</v>
      </c>
    </row>
    <row r="22" spans="1:6" x14ac:dyDescent="0.15">
      <c r="A22" t="s">
        <v>359</v>
      </c>
      <c r="B22" s="7">
        <v>120348</v>
      </c>
      <c r="C22" s="10" t="s">
        <v>45</v>
      </c>
    </row>
    <row r="23" spans="1:6" x14ac:dyDescent="0.15">
      <c r="A23" t="s">
        <v>360</v>
      </c>
      <c r="B23" s="7">
        <v>3646</v>
      </c>
      <c r="C23" s="10" t="s">
        <v>25</v>
      </c>
    </row>
    <row r="24" spans="1:6" x14ac:dyDescent="0.15">
      <c r="A24" t="s">
        <v>361</v>
      </c>
      <c r="B24" s="7">
        <v>2682</v>
      </c>
      <c r="C24" s="10" t="s">
        <v>37</v>
      </c>
    </row>
    <row r="25" spans="1:6" x14ac:dyDescent="0.15">
      <c r="A25" t="s">
        <v>362</v>
      </c>
      <c r="B25" s="7">
        <v>1982</v>
      </c>
    </row>
    <row r="26" spans="1:6" x14ac:dyDescent="0.15">
      <c r="A26" t="s">
        <v>363</v>
      </c>
      <c r="B26" s="7">
        <v>110172</v>
      </c>
      <c r="C26" s="10" t="s">
        <v>347</v>
      </c>
    </row>
    <row r="27" spans="1:6" x14ac:dyDescent="0.15">
      <c r="A27" t="s">
        <v>364</v>
      </c>
      <c r="B27" s="7">
        <v>93329</v>
      </c>
      <c r="C27" s="19">
        <v>2</v>
      </c>
    </row>
    <row r="28" spans="1:6" x14ac:dyDescent="0.15">
      <c r="A28" t="s">
        <v>365</v>
      </c>
      <c r="B28" s="7">
        <v>547985</v>
      </c>
      <c r="C28" s="10" t="s">
        <v>50</v>
      </c>
    </row>
    <row r="29" spans="1:6" x14ac:dyDescent="0.15">
      <c r="A29" t="s">
        <v>160</v>
      </c>
      <c r="B29" s="7">
        <v>6467</v>
      </c>
    </row>
    <row r="30" spans="1:6" x14ac:dyDescent="0.15">
      <c r="A30" t="s">
        <v>366</v>
      </c>
      <c r="B30" s="7">
        <v>20958</v>
      </c>
      <c r="C30" s="10" t="s">
        <v>334</v>
      </c>
    </row>
    <row r="31" spans="1:6" x14ac:dyDescent="0.15">
      <c r="A31" t="s">
        <v>367</v>
      </c>
      <c r="B31" s="7">
        <v>75260</v>
      </c>
      <c r="C31" s="10" t="s">
        <v>368</v>
      </c>
    </row>
    <row r="32" spans="1:6" x14ac:dyDescent="0.15">
      <c r="A32" t="s">
        <v>369</v>
      </c>
      <c r="B32" s="7">
        <v>27396</v>
      </c>
      <c r="C32" s="10" t="s">
        <v>112</v>
      </c>
    </row>
    <row r="33" spans="1:6" x14ac:dyDescent="0.15">
      <c r="A33" t="s">
        <v>75</v>
      </c>
      <c r="B33" s="7">
        <v>542</v>
      </c>
      <c r="C33" s="19">
        <v>6</v>
      </c>
    </row>
    <row r="34" spans="1:6" x14ac:dyDescent="0.15">
      <c r="A34" t="s">
        <v>59</v>
      </c>
      <c r="B34" s="7">
        <v>1130</v>
      </c>
      <c r="C34" s="10" t="s">
        <v>335</v>
      </c>
    </row>
    <row r="35" spans="1:6" x14ac:dyDescent="0.15">
      <c r="A35" t="s">
        <v>370</v>
      </c>
      <c r="B35" s="7">
        <v>7990</v>
      </c>
      <c r="C35" s="19">
        <v>3</v>
      </c>
    </row>
    <row r="36" spans="1:6" x14ac:dyDescent="0.15">
      <c r="A36" t="s">
        <v>371</v>
      </c>
      <c r="B36" s="7">
        <v>477</v>
      </c>
      <c r="C36" s="10" t="s">
        <v>368</v>
      </c>
    </row>
    <row r="37" spans="1:6" x14ac:dyDescent="0.15">
      <c r="A37" t="s">
        <v>372</v>
      </c>
      <c r="B37" s="7">
        <v>100170</v>
      </c>
      <c r="C37" s="19">
        <v>6</v>
      </c>
    </row>
    <row r="39" spans="1:6" x14ac:dyDescent="0.15">
      <c r="A39" t="s">
        <v>373</v>
      </c>
      <c r="B39" s="7">
        <v>2485015</v>
      </c>
      <c r="C39" s="10" t="s">
        <v>368</v>
      </c>
      <c r="E39" s="7">
        <v>2240308</v>
      </c>
      <c r="F39" s="10" t="s">
        <v>374</v>
      </c>
    </row>
    <row r="40" spans="1:6" x14ac:dyDescent="0.15">
      <c r="B40" s="27">
        <f>SUM(B8:B37)</f>
        <v>2485004</v>
      </c>
      <c r="C40" s="28">
        <f>94/8</f>
        <v>11.75</v>
      </c>
      <c r="E40" s="27">
        <f>SUM(E8:E20)</f>
        <v>2240300</v>
      </c>
      <c r="F40" s="27">
        <f>68/8</f>
        <v>8.5</v>
      </c>
    </row>
    <row r="41" spans="1:6" x14ac:dyDescent="0.15">
      <c r="B41" s="27">
        <f>B40+C40</f>
        <v>2485015.75</v>
      </c>
      <c r="E41" s="27">
        <f>E40+F40</f>
        <v>2240308.5</v>
      </c>
      <c r="F41" s="27"/>
    </row>
    <row r="43" spans="1:6" x14ac:dyDescent="0.15">
      <c r="A43" t="s">
        <v>375</v>
      </c>
    </row>
    <row r="45" spans="1:6" x14ac:dyDescent="0.15">
      <c r="A45" s="6" t="s">
        <v>376</v>
      </c>
      <c r="D45" s="18">
        <v>25185</v>
      </c>
      <c r="E45" s="29" t="s">
        <v>45</v>
      </c>
    </row>
    <row r="46" spans="1:6" x14ac:dyDescent="0.15">
      <c r="A46" t="s">
        <v>375</v>
      </c>
    </row>
  </sheetData>
  <mergeCells count="2">
    <mergeCell ref="A5:C5"/>
    <mergeCell ref="D5:F5"/>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16"/>
  <sheetViews>
    <sheetView workbookViewId="0">
      <selection activeCell="B1" sqref="B1"/>
    </sheetView>
  </sheetViews>
  <sheetFormatPr baseColWidth="10" defaultRowHeight="13" x14ac:dyDescent="0.15"/>
  <cols>
    <col min="1" max="1" width="20" bestFit="1" customWidth="1"/>
    <col min="2" max="16384" width="10.83203125" style="7"/>
  </cols>
  <sheetData>
    <row r="1" spans="1:3" customFormat="1" x14ac:dyDescent="0.15">
      <c r="A1" s="30" t="s">
        <v>377</v>
      </c>
    </row>
    <row r="2" spans="1:3" customFormat="1" x14ac:dyDescent="0.15">
      <c r="A2" s="30" t="s">
        <v>378</v>
      </c>
    </row>
    <row r="3" spans="1:3" customFormat="1" x14ac:dyDescent="0.15">
      <c r="A3" s="30" t="s">
        <v>379</v>
      </c>
    </row>
    <row r="4" spans="1:3" customFormat="1" x14ac:dyDescent="0.15">
      <c r="A4" s="6" t="s">
        <v>380</v>
      </c>
    </row>
    <row r="5" spans="1:3" customFormat="1" x14ac:dyDescent="0.15">
      <c r="B5" s="26" t="s">
        <v>381</v>
      </c>
      <c r="C5" s="26" t="s">
        <v>330</v>
      </c>
    </row>
    <row r="6" spans="1:3" x14ac:dyDescent="0.15">
      <c r="A6" s="13" t="s">
        <v>382</v>
      </c>
      <c r="B6" s="7">
        <v>1740904</v>
      </c>
    </row>
    <row r="7" spans="1:3" x14ac:dyDescent="0.15">
      <c r="A7" s="13" t="s">
        <v>383</v>
      </c>
      <c r="B7" s="7">
        <v>1749775</v>
      </c>
      <c r="C7" s="7">
        <v>6</v>
      </c>
    </row>
    <row r="8" spans="1:3" x14ac:dyDescent="0.15">
      <c r="A8" s="13" t="s">
        <v>384</v>
      </c>
      <c r="B8" s="7">
        <v>8871</v>
      </c>
      <c r="C8" s="7">
        <v>6</v>
      </c>
    </row>
    <row r="9" spans="1:3" x14ac:dyDescent="0.15">
      <c r="A9" s="13"/>
    </row>
    <row r="10" spans="1:3" x14ac:dyDescent="0.15">
      <c r="A10" s="13" t="s">
        <v>385</v>
      </c>
    </row>
    <row r="11" spans="1:3" x14ac:dyDescent="0.15">
      <c r="A11" s="13"/>
    </row>
    <row r="12" spans="1:3" x14ac:dyDescent="0.15">
      <c r="A12" s="13"/>
      <c r="B12" s="31">
        <f>B6-B7</f>
        <v>-8871</v>
      </c>
    </row>
    <row r="13" spans="1:3" x14ac:dyDescent="0.15">
      <c r="A13" s="13"/>
    </row>
    <row r="14" spans="1:3" x14ac:dyDescent="0.15">
      <c r="A14" s="13"/>
    </row>
    <row r="15" spans="1:3" x14ac:dyDescent="0.15">
      <c r="A15" s="13"/>
    </row>
    <row r="16" spans="1:3" x14ac:dyDescent="0.15">
      <c r="A16" s="13"/>
    </row>
  </sheetData>
  <pageMargins left="0.75" right="0.75" top="1" bottom="1" header="0.5" footer="0.5"/>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116"/>
  <sheetViews>
    <sheetView topLeftCell="A3" workbookViewId="0">
      <selection activeCell="B1" sqref="B1"/>
    </sheetView>
  </sheetViews>
  <sheetFormatPr baseColWidth="10" defaultRowHeight="13" x14ac:dyDescent="0.15"/>
  <cols>
    <col min="1" max="1" width="42.5" bestFit="1" customWidth="1"/>
    <col min="2" max="2" width="9.5" hidden="1" customWidth="1"/>
    <col min="3" max="3" width="8.5" style="7" hidden="1" customWidth="1"/>
    <col min="4" max="4" width="9.5" style="7" hidden="1" customWidth="1"/>
    <col min="5" max="5" width="8.5" style="7" hidden="1" customWidth="1"/>
    <col min="6" max="6" width="17.5" style="7" hidden="1" customWidth="1"/>
    <col min="7" max="7" width="9.5" style="7" hidden="1" customWidth="1"/>
    <col min="8" max="8" width="7.83203125" style="7" hidden="1" customWidth="1"/>
    <col min="9" max="9" width="17.5" style="7" customWidth="1"/>
    <col min="10" max="11" width="8.5" style="7" customWidth="1"/>
    <col min="12" max="12" width="17.5" style="7" customWidth="1"/>
    <col min="13" max="14" width="10.83203125" style="7"/>
    <col min="15" max="15" width="17.5" style="7" customWidth="1"/>
    <col min="16" max="17" width="10.83203125" style="7"/>
    <col min="18" max="18" width="17.5" style="7" customWidth="1"/>
    <col min="19" max="16384" width="10.83203125" style="7"/>
  </cols>
  <sheetData>
    <row r="1" spans="1:22" customFormat="1" x14ac:dyDescent="0.15">
      <c r="A1" s="6" t="s">
        <v>386</v>
      </c>
      <c r="B1" s="6"/>
    </row>
    <row r="2" spans="1:22" customFormat="1" x14ac:dyDescent="0.15">
      <c r="A2" s="6" t="s">
        <v>387</v>
      </c>
      <c r="B2" s="6"/>
    </row>
    <row r="3" spans="1:22" customFormat="1" x14ac:dyDescent="0.15">
      <c r="A3" s="6" t="s">
        <v>388</v>
      </c>
      <c r="B3" s="6"/>
    </row>
    <row r="4" spans="1:22" customFormat="1" x14ac:dyDescent="0.15"/>
    <row r="5" spans="1:22" customFormat="1" x14ac:dyDescent="0.15"/>
    <row r="6" spans="1:22" customFormat="1" x14ac:dyDescent="0.15"/>
    <row r="7" spans="1:22" customFormat="1" ht="14" thickBot="1" x14ac:dyDescent="0.2"/>
    <row r="8" spans="1:22" customFormat="1" x14ac:dyDescent="0.15">
      <c r="A8" s="32" t="s">
        <v>389</v>
      </c>
      <c r="B8" s="33"/>
      <c r="C8" s="34"/>
      <c r="D8" s="35" t="s">
        <v>390</v>
      </c>
      <c r="E8" s="36"/>
      <c r="F8" s="35" t="s">
        <v>391</v>
      </c>
      <c r="G8" s="37"/>
      <c r="H8" s="36"/>
      <c r="I8" s="35" t="s">
        <v>392</v>
      </c>
      <c r="J8" s="37"/>
      <c r="K8" s="36"/>
      <c r="L8" s="35" t="s">
        <v>393</v>
      </c>
      <c r="M8" s="37"/>
      <c r="N8" s="36"/>
      <c r="O8" s="35" t="s">
        <v>393</v>
      </c>
      <c r="P8" s="37"/>
      <c r="Q8" s="36"/>
      <c r="R8" s="35" t="s">
        <v>393</v>
      </c>
      <c r="S8" s="37"/>
      <c r="T8" s="36"/>
      <c r="U8" s="6"/>
      <c r="V8" s="6"/>
    </row>
    <row r="9" spans="1:22" customFormat="1" x14ac:dyDescent="0.15">
      <c r="A9" s="38"/>
      <c r="B9" s="39"/>
      <c r="C9" s="40"/>
      <c r="D9" s="41" t="s">
        <v>394</v>
      </c>
      <c r="E9" s="42"/>
      <c r="F9" s="41" t="s">
        <v>395</v>
      </c>
      <c r="G9" s="43"/>
      <c r="H9" s="42"/>
      <c r="I9" s="41" t="s">
        <v>396</v>
      </c>
      <c r="J9" s="43"/>
      <c r="K9" s="42"/>
      <c r="L9" s="41" t="s">
        <v>397</v>
      </c>
      <c r="M9" s="43"/>
      <c r="N9" s="42"/>
      <c r="O9" s="41" t="s">
        <v>398</v>
      </c>
      <c r="P9" s="43"/>
      <c r="Q9" s="42"/>
      <c r="R9" s="41" t="s">
        <v>399</v>
      </c>
      <c r="S9" s="43"/>
      <c r="T9" s="42"/>
      <c r="U9" s="6"/>
      <c r="V9" s="6"/>
    </row>
    <row r="10" spans="1:22" customFormat="1" x14ac:dyDescent="0.15">
      <c r="A10" s="38"/>
      <c r="B10" s="41">
        <v>1801</v>
      </c>
      <c r="C10" s="42"/>
      <c r="D10" s="41" t="s">
        <v>400</v>
      </c>
      <c r="E10" s="42"/>
      <c r="F10" s="39"/>
      <c r="G10" s="44"/>
      <c r="H10" s="40"/>
      <c r="I10" s="41" t="s">
        <v>401</v>
      </c>
      <c r="J10" s="43"/>
      <c r="K10" s="42"/>
      <c r="L10" s="41" t="s">
        <v>402</v>
      </c>
      <c r="M10" s="43"/>
      <c r="N10" s="42"/>
      <c r="O10" s="41" t="s">
        <v>403</v>
      </c>
      <c r="P10" s="43"/>
      <c r="Q10" s="42"/>
      <c r="R10" s="41" t="s">
        <v>404</v>
      </c>
      <c r="S10" s="43"/>
      <c r="T10" s="42"/>
      <c r="U10" s="6"/>
      <c r="V10" s="6"/>
    </row>
    <row r="11" spans="1:22" customFormat="1" x14ac:dyDescent="0.15">
      <c r="A11" s="38"/>
      <c r="B11" s="39"/>
      <c r="C11" s="40"/>
      <c r="D11" s="41" t="s">
        <v>405</v>
      </c>
      <c r="E11" s="42"/>
      <c r="F11" s="39"/>
      <c r="G11" s="44"/>
      <c r="H11" s="40"/>
      <c r="I11" s="39"/>
      <c r="J11" s="44"/>
      <c r="K11" s="40"/>
      <c r="L11" s="41" t="s">
        <v>406</v>
      </c>
      <c r="M11" s="43"/>
      <c r="N11" s="42"/>
      <c r="O11" s="39"/>
      <c r="P11" s="44"/>
      <c r="Q11" s="40"/>
      <c r="R11" s="39"/>
      <c r="S11" s="44"/>
      <c r="T11" s="40"/>
      <c r="U11" s="6"/>
      <c r="V11" s="6"/>
    </row>
    <row r="12" spans="1:22" customFormat="1" x14ac:dyDescent="0.15">
      <c r="A12" s="38"/>
      <c r="B12" s="39"/>
      <c r="C12" s="40"/>
      <c r="D12" s="39"/>
      <c r="E12" s="40"/>
      <c r="F12" s="39"/>
      <c r="G12" s="44"/>
      <c r="H12" s="40"/>
      <c r="I12" s="39"/>
      <c r="J12" s="44"/>
      <c r="K12" s="40"/>
      <c r="L12" s="41" t="s">
        <v>407</v>
      </c>
      <c r="M12" s="43"/>
      <c r="N12" s="42"/>
      <c r="O12" s="39"/>
      <c r="P12" s="44"/>
      <c r="Q12" s="40"/>
      <c r="R12" s="39"/>
      <c r="S12" s="44"/>
      <c r="T12" s="40"/>
      <c r="U12" s="6"/>
      <c r="V12" s="6"/>
    </row>
    <row r="13" spans="1:22" customFormat="1" x14ac:dyDescent="0.15">
      <c r="A13" s="38"/>
      <c r="B13" s="39"/>
      <c r="C13" s="40"/>
      <c r="D13" s="39"/>
      <c r="E13" s="40"/>
      <c r="F13" s="39"/>
      <c r="G13" s="44"/>
      <c r="H13" s="40"/>
      <c r="I13" s="39"/>
      <c r="J13" s="44"/>
      <c r="K13" s="40"/>
      <c r="L13" s="41" t="s">
        <v>408</v>
      </c>
      <c r="M13" s="43"/>
      <c r="N13" s="42"/>
      <c r="O13" s="39"/>
      <c r="P13" s="44"/>
      <c r="Q13" s="40"/>
      <c r="R13" s="39"/>
      <c r="S13" s="44"/>
      <c r="T13" s="40"/>
      <c r="U13" s="6"/>
      <c r="V13" s="6"/>
    </row>
    <row r="14" spans="1:22" customFormat="1" ht="14" thickBot="1" x14ac:dyDescent="0.2">
      <c r="A14" s="45"/>
      <c r="B14" s="46"/>
      <c r="C14" s="47"/>
      <c r="D14" s="46"/>
      <c r="E14" s="47"/>
      <c r="F14" s="46"/>
      <c r="G14" s="48"/>
      <c r="H14" s="47"/>
      <c r="I14" s="46"/>
      <c r="J14" s="48"/>
      <c r="K14" s="47"/>
      <c r="L14" s="49" t="s">
        <v>409</v>
      </c>
      <c r="M14" s="50"/>
      <c r="N14" s="51"/>
      <c r="O14" s="46"/>
      <c r="P14" s="48"/>
      <c r="Q14" s="47"/>
      <c r="R14" s="46"/>
      <c r="S14" s="48"/>
      <c r="T14" s="47"/>
      <c r="U14" s="6"/>
      <c r="V14" s="6"/>
    </row>
    <row r="15" spans="1:22" customFormat="1" ht="14" thickBot="1" x14ac:dyDescent="0.2">
      <c r="A15" s="52"/>
      <c r="B15" s="53"/>
      <c r="C15" s="54" t="s">
        <v>217</v>
      </c>
      <c r="D15" s="53"/>
      <c r="E15" s="54" t="s">
        <v>217</v>
      </c>
      <c r="F15" s="53"/>
      <c r="G15" s="54" t="s">
        <v>381</v>
      </c>
      <c r="H15" s="55" t="s">
        <v>330</v>
      </c>
      <c r="I15" s="56"/>
      <c r="J15" s="54" t="s">
        <v>381</v>
      </c>
      <c r="K15" s="55" t="s">
        <v>330</v>
      </c>
      <c r="L15" s="57"/>
      <c r="M15" s="54" t="s">
        <v>381</v>
      </c>
      <c r="N15" s="55" t="s">
        <v>330</v>
      </c>
      <c r="O15" s="56"/>
      <c r="P15" s="54" t="s">
        <v>381</v>
      </c>
      <c r="Q15" s="55" t="s">
        <v>330</v>
      </c>
      <c r="R15" s="56"/>
      <c r="S15" s="54" t="s">
        <v>381</v>
      </c>
      <c r="T15" s="55" t="s">
        <v>330</v>
      </c>
    </row>
    <row r="16" spans="1:22" x14ac:dyDescent="0.15">
      <c r="A16" s="58" t="s">
        <v>13</v>
      </c>
      <c r="B16" s="59"/>
      <c r="C16" s="60">
        <v>97762</v>
      </c>
      <c r="D16" s="61"/>
      <c r="E16" s="60">
        <v>184880</v>
      </c>
      <c r="F16" s="61"/>
      <c r="G16" s="62">
        <v>247788</v>
      </c>
      <c r="H16" s="63" t="s">
        <v>30</v>
      </c>
      <c r="I16" s="61"/>
      <c r="J16" s="62">
        <v>328460</v>
      </c>
      <c r="K16" s="63" t="s">
        <v>232</v>
      </c>
      <c r="L16" s="61"/>
      <c r="M16" s="62">
        <v>268346</v>
      </c>
      <c r="N16" s="64">
        <v>7</v>
      </c>
      <c r="O16" s="61"/>
      <c r="P16" s="62">
        <v>173955</v>
      </c>
      <c r="Q16" s="63" t="s">
        <v>35</v>
      </c>
      <c r="R16" s="61" t="s">
        <v>410</v>
      </c>
      <c r="S16" s="62"/>
      <c r="T16" s="64"/>
    </row>
    <row r="17" spans="1:20" x14ac:dyDescent="0.15">
      <c r="A17" s="58" t="s">
        <v>182</v>
      </c>
      <c r="B17" s="59"/>
      <c r="C17" s="60">
        <v>14424</v>
      </c>
      <c r="D17" s="61"/>
      <c r="E17" s="60">
        <v>47000</v>
      </c>
      <c r="F17" s="61" t="s">
        <v>410</v>
      </c>
      <c r="G17" s="62"/>
      <c r="H17" s="64"/>
      <c r="I17" s="61" t="s">
        <v>410</v>
      </c>
      <c r="J17" s="62"/>
      <c r="K17" s="64"/>
      <c r="L17" s="61" t="s">
        <v>410</v>
      </c>
      <c r="M17" s="62"/>
      <c r="N17" s="64"/>
      <c r="O17" s="61" t="s">
        <v>410</v>
      </c>
      <c r="P17" s="62"/>
      <c r="Q17" s="64"/>
      <c r="R17" s="61" t="s">
        <v>411</v>
      </c>
      <c r="S17" s="62"/>
      <c r="T17" s="64"/>
    </row>
    <row r="18" spans="1:20" x14ac:dyDescent="0.15">
      <c r="A18" s="58" t="s">
        <v>412</v>
      </c>
      <c r="B18" s="59"/>
      <c r="C18" s="60">
        <v>904</v>
      </c>
      <c r="D18" s="61"/>
      <c r="E18" s="60"/>
      <c r="F18" s="61" t="s">
        <v>413</v>
      </c>
      <c r="G18" s="62"/>
      <c r="H18" s="64"/>
      <c r="I18" s="61" t="s">
        <v>413</v>
      </c>
      <c r="J18" s="62"/>
      <c r="K18" s="64"/>
      <c r="L18" s="61" t="s">
        <v>413</v>
      </c>
      <c r="M18" s="62"/>
      <c r="N18" s="64"/>
      <c r="O18" s="61" t="s">
        <v>413</v>
      </c>
      <c r="P18" s="62"/>
      <c r="Q18" s="64"/>
      <c r="R18" s="61" t="s">
        <v>413</v>
      </c>
      <c r="S18" s="62"/>
      <c r="T18" s="64"/>
    </row>
    <row r="19" spans="1:20" x14ac:dyDescent="0.15">
      <c r="A19" s="58" t="s">
        <v>414</v>
      </c>
      <c r="B19" s="59"/>
      <c r="C19" s="60">
        <v>26574</v>
      </c>
      <c r="D19" s="61"/>
      <c r="E19" s="60"/>
      <c r="F19" s="61"/>
      <c r="G19" s="62">
        <v>43788</v>
      </c>
      <c r="H19" s="63" t="s">
        <v>415</v>
      </c>
      <c r="I19" s="61"/>
      <c r="J19" s="62"/>
      <c r="K19" s="64"/>
      <c r="L19" s="61"/>
      <c r="M19" s="62"/>
      <c r="N19" s="64"/>
      <c r="O19" s="61"/>
      <c r="P19" s="62"/>
      <c r="Q19" s="64"/>
      <c r="R19" s="61"/>
      <c r="S19" s="62"/>
      <c r="T19" s="64"/>
    </row>
    <row r="20" spans="1:20" x14ac:dyDescent="0.15">
      <c r="A20" s="58" t="s">
        <v>416</v>
      </c>
      <c r="B20" s="59"/>
      <c r="C20" s="60">
        <v>3223</v>
      </c>
      <c r="D20" s="61"/>
      <c r="E20" s="60"/>
      <c r="F20" s="61" t="s">
        <v>410</v>
      </c>
      <c r="G20" s="62"/>
      <c r="H20" s="64"/>
      <c r="I20" s="61" t="s">
        <v>413</v>
      </c>
      <c r="J20" s="62"/>
      <c r="K20" s="64"/>
      <c r="L20" s="61" t="s">
        <v>413</v>
      </c>
      <c r="M20" s="62"/>
      <c r="N20" s="64"/>
      <c r="O20" s="61" t="s">
        <v>413</v>
      </c>
      <c r="P20" s="62"/>
      <c r="Q20" s="64"/>
      <c r="R20" s="61" t="s">
        <v>413</v>
      </c>
      <c r="S20" s="62"/>
      <c r="T20" s="64"/>
    </row>
    <row r="21" spans="1:20" x14ac:dyDescent="0.15">
      <c r="A21" s="58" t="s">
        <v>417</v>
      </c>
      <c r="B21" s="59"/>
      <c r="C21" s="60">
        <v>3360</v>
      </c>
      <c r="D21" s="61"/>
      <c r="E21" s="60"/>
      <c r="F21" s="61"/>
      <c r="G21" s="62"/>
      <c r="H21" s="64"/>
      <c r="I21" s="61"/>
      <c r="J21" s="62"/>
      <c r="K21" s="64"/>
      <c r="L21" s="61"/>
      <c r="M21" s="62"/>
      <c r="N21" s="64"/>
      <c r="O21" s="61"/>
      <c r="P21" s="62"/>
      <c r="Q21" s="64"/>
      <c r="R21" s="61"/>
      <c r="S21" s="62"/>
      <c r="T21" s="64"/>
    </row>
    <row r="22" spans="1:20" x14ac:dyDescent="0.15">
      <c r="A22" s="58" t="s">
        <v>418</v>
      </c>
      <c r="B22" s="59"/>
      <c r="C22" s="60">
        <v>638</v>
      </c>
      <c r="D22" s="61"/>
      <c r="E22" s="60">
        <v>78000</v>
      </c>
      <c r="F22" s="61"/>
      <c r="G22" s="62">
        <v>24618</v>
      </c>
      <c r="H22" s="63" t="s">
        <v>220</v>
      </c>
      <c r="I22" s="61"/>
      <c r="J22" s="62">
        <v>36367</v>
      </c>
      <c r="K22" s="63" t="s">
        <v>419</v>
      </c>
      <c r="L22" s="61"/>
      <c r="M22" s="62">
        <v>42662</v>
      </c>
      <c r="N22" s="63" t="s">
        <v>37</v>
      </c>
      <c r="O22" s="61"/>
      <c r="P22" s="62">
        <v>64194</v>
      </c>
      <c r="Q22" s="63" t="s">
        <v>37</v>
      </c>
      <c r="R22" s="61"/>
      <c r="S22" s="62">
        <v>61814</v>
      </c>
      <c r="T22" s="64">
        <v>7</v>
      </c>
    </row>
    <row r="23" spans="1:20" x14ac:dyDescent="0.15">
      <c r="A23" s="58" t="s">
        <v>420</v>
      </c>
      <c r="B23" s="59"/>
      <c r="C23" s="60">
        <v>4394</v>
      </c>
      <c r="D23" s="61"/>
      <c r="E23" s="60">
        <v>15000</v>
      </c>
      <c r="F23" s="61" t="s">
        <v>410</v>
      </c>
      <c r="G23" s="62"/>
      <c r="H23" s="64"/>
      <c r="I23" s="61" t="s">
        <v>410</v>
      </c>
      <c r="J23" s="62"/>
      <c r="K23" s="64"/>
      <c r="L23" s="61" t="s">
        <v>410</v>
      </c>
      <c r="M23" s="62"/>
      <c r="N23" s="64"/>
      <c r="O23" s="61" t="s">
        <v>410</v>
      </c>
      <c r="P23" s="62"/>
      <c r="Q23" s="64"/>
      <c r="R23" s="61" t="s">
        <v>410</v>
      </c>
      <c r="S23" s="62"/>
      <c r="T23" s="64"/>
    </row>
    <row r="24" spans="1:20" x14ac:dyDescent="0.15">
      <c r="A24" s="58" t="s">
        <v>421</v>
      </c>
      <c r="B24" s="59"/>
      <c r="C24" s="60">
        <v>7974</v>
      </c>
      <c r="D24" s="61"/>
      <c r="E24" s="60">
        <v>4000</v>
      </c>
      <c r="F24" s="61" t="s">
        <v>413</v>
      </c>
      <c r="G24" s="62"/>
      <c r="H24" s="64"/>
      <c r="I24" s="61" t="s">
        <v>413</v>
      </c>
      <c r="J24" s="62"/>
      <c r="K24" s="64"/>
      <c r="L24" s="61" t="s">
        <v>413</v>
      </c>
      <c r="M24" s="62"/>
      <c r="N24" s="64"/>
      <c r="O24" s="61" t="s">
        <v>413</v>
      </c>
      <c r="P24" s="62"/>
      <c r="Q24" s="64"/>
      <c r="R24" s="61" t="s">
        <v>413</v>
      </c>
      <c r="S24" s="62"/>
      <c r="T24" s="64"/>
    </row>
    <row r="25" spans="1:20" x14ac:dyDescent="0.15">
      <c r="A25" s="58" t="s">
        <v>32</v>
      </c>
      <c r="B25" s="59"/>
      <c r="C25" s="60">
        <v>42725</v>
      </c>
      <c r="D25" s="61"/>
      <c r="E25" s="60">
        <v>65000</v>
      </c>
      <c r="F25" s="61"/>
      <c r="G25" s="62">
        <v>265837</v>
      </c>
      <c r="H25" s="64">
        <v>4</v>
      </c>
      <c r="I25" s="61"/>
      <c r="J25" s="62">
        <v>254002</v>
      </c>
      <c r="K25" s="64" t="s">
        <v>422</v>
      </c>
      <c r="L25" s="61"/>
      <c r="M25" s="62">
        <v>247119</v>
      </c>
      <c r="N25" s="64">
        <v>6</v>
      </c>
      <c r="O25" s="61"/>
      <c r="P25" s="62">
        <v>253748</v>
      </c>
      <c r="Q25" s="64">
        <v>7</v>
      </c>
      <c r="R25" s="61"/>
      <c r="S25" s="62">
        <v>225416</v>
      </c>
      <c r="T25" s="63" t="s">
        <v>47</v>
      </c>
    </row>
    <row r="26" spans="1:20" x14ac:dyDescent="0.15">
      <c r="A26" s="58" t="s">
        <v>33</v>
      </c>
      <c r="B26" s="59"/>
      <c r="C26" s="60">
        <v>6235</v>
      </c>
      <c r="D26" s="61"/>
      <c r="E26" s="60">
        <v>53000</v>
      </c>
      <c r="F26" s="61"/>
      <c r="G26" s="62">
        <v>5447</v>
      </c>
      <c r="H26" s="64"/>
      <c r="I26" s="61"/>
      <c r="J26" s="62">
        <v>33752</v>
      </c>
      <c r="K26" s="63" t="s">
        <v>21</v>
      </c>
      <c r="L26" s="61"/>
      <c r="M26" s="62">
        <v>40659</v>
      </c>
      <c r="N26" s="63" t="s">
        <v>37</v>
      </c>
      <c r="O26" s="61"/>
      <c r="P26" s="62">
        <v>36060</v>
      </c>
      <c r="Q26" s="63" t="s">
        <v>35</v>
      </c>
      <c r="R26" s="61"/>
      <c r="S26" s="62">
        <v>46529</v>
      </c>
      <c r="T26" s="63" t="s">
        <v>284</v>
      </c>
    </row>
    <row r="27" spans="1:20" x14ac:dyDescent="0.15">
      <c r="A27" s="58" t="s">
        <v>423</v>
      </c>
      <c r="B27" s="59" t="s">
        <v>424</v>
      </c>
      <c r="C27" s="60">
        <v>75341</v>
      </c>
      <c r="D27" s="59" t="s">
        <v>424</v>
      </c>
      <c r="E27" s="60">
        <v>295048</v>
      </c>
      <c r="F27" s="59" t="s">
        <v>425</v>
      </c>
      <c r="G27" s="62">
        <v>115068</v>
      </c>
      <c r="H27" s="63" t="s">
        <v>419</v>
      </c>
      <c r="I27" s="59" t="s">
        <v>425</v>
      </c>
      <c r="J27" s="62">
        <v>120348</v>
      </c>
      <c r="K27" s="63" t="s">
        <v>426</v>
      </c>
      <c r="L27" s="59" t="s">
        <v>425</v>
      </c>
      <c r="M27" s="62">
        <v>13557</v>
      </c>
      <c r="N27" s="63" t="s">
        <v>222</v>
      </c>
      <c r="O27" s="59" t="s">
        <v>425</v>
      </c>
      <c r="P27" s="62">
        <v>95026</v>
      </c>
      <c r="Q27" s="63" t="s">
        <v>427</v>
      </c>
      <c r="R27" s="59" t="s">
        <v>425</v>
      </c>
      <c r="S27" s="62">
        <v>99980</v>
      </c>
      <c r="T27" s="64">
        <v>1</v>
      </c>
    </row>
    <row r="28" spans="1:20" x14ac:dyDescent="0.15">
      <c r="A28" s="58" t="s">
        <v>428</v>
      </c>
      <c r="B28" s="59"/>
      <c r="C28" s="60">
        <v>1381</v>
      </c>
      <c r="D28" s="61"/>
      <c r="E28" s="60">
        <v>11500</v>
      </c>
      <c r="F28" s="61" t="s">
        <v>410</v>
      </c>
      <c r="G28" s="62"/>
      <c r="H28" s="64"/>
      <c r="I28" s="61" t="s">
        <v>410</v>
      </c>
      <c r="J28" s="62"/>
      <c r="K28" s="64"/>
      <c r="L28" s="61" t="s">
        <v>410</v>
      </c>
      <c r="M28" s="62"/>
      <c r="N28" s="64"/>
      <c r="O28" s="61" t="s">
        <v>410</v>
      </c>
      <c r="P28" s="62"/>
      <c r="Q28" s="64"/>
      <c r="R28" s="61" t="s">
        <v>410</v>
      </c>
      <c r="S28" s="62"/>
      <c r="T28" s="64"/>
    </row>
    <row r="29" spans="1:20" x14ac:dyDescent="0.15">
      <c r="A29" s="58" t="s">
        <v>429</v>
      </c>
      <c r="B29" s="59"/>
      <c r="C29" s="60">
        <v>1019</v>
      </c>
      <c r="D29" s="61"/>
      <c r="E29" s="60">
        <v>25000</v>
      </c>
      <c r="F29" s="61"/>
      <c r="G29" s="62">
        <v>1229</v>
      </c>
      <c r="H29" s="64">
        <v>6</v>
      </c>
      <c r="I29" s="61"/>
      <c r="J29" s="62"/>
      <c r="K29" s="64"/>
      <c r="L29" s="61"/>
      <c r="M29" s="62"/>
      <c r="N29" s="64"/>
      <c r="O29" s="61"/>
      <c r="P29" s="62"/>
      <c r="Q29" s="64"/>
      <c r="R29" s="61"/>
      <c r="S29" s="62"/>
      <c r="T29" s="64"/>
    </row>
    <row r="30" spans="1:20" x14ac:dyDescent="0.15">
      <c r="A30" s="58" t="s">
        <v>75</v>
      </c>
      <c r="B30" s="59"/>
      <c r="C30" s="60">
        <v>116</v>
      </c>
      <c r="D30" s="61"/>
      <c r="E30" s="60"/>
      <c r="F30" s="61"/>
      <c r="G30" s="62">
        <v>7795</v>
      </c>
      <c r="H30" s="64"/>
      <c r="I30" s="61"/>
      <c r="J30" s="62">
        <v>542</v>
      </c>
      <c r="K30" s="64">
        <v>6</v>
      </c>
      <c r="L30" s="61"/>
      <c r="M30" s="62">
        <v>5</v>
      </c>
      <c r="N30" s="64" t="s">
        <v>430</v>
      </c>
      <c r="O30" s="61"/>
      <c r="P30" s="62">
        <v>16</v>
      </c>
      <c r="Q30" s="63" t="s">
        <v>222</v>
      </c>
      <c r="R30" s="61"/>
      <c r="S30" s="62"/>
      <c r="T30" s="64"/>
    </row>
    <row r="31" spans="1:20" x14ac:dyDescent="0.15">
      <c r="A31" s="58" t="s">
        <v>431</v>
      </c>
      <c r="B31" s="59"/>
      <c r="C31" s="60">
        <v>370</v>
      </c>
      <c r="D31" s="61"/>
      <c r="E31" s="60">
        <v>700</v>
      </c>
      <c r="F31" s="61" t="s">
        <v>410</v>
      </c>
      <c r="G31" s="62"/>
      <c r="H31" s="64"/>
      <c r="I31" s="61" t="s">
        <v>410</v>
      </c>
      <c r="J31" s="62"/>
      <c r="K31" s="64"/>
      <c r="L31" s="61" t="s">
        <v>410</v>
      </c>
      <c r="M31" s="62"/>
      <c r="N31" s="64"/>
      <c r="O31" s="61" t="s">
        <v>410</v>
      </c>
      <c r="P31" s="62"/>
      <c r="Q31" s="64"/>
      <c r="R31" s="61" t="s">
        <v>410</v>
      </c>
      <c r="S31" s="62"/>
      <c r="T31" s="64"/>
    </row>
    <row r="32" spans="1:20" x14ac:dyDescent="0.15">
      <c r="A32" s="58" t="s">
        <v>432</v>
      </c>
      <c r="B32" s="59"/>
      <c r="C32" s="60">
        <v>3194</v>
      </c>
      <c r="D32" s="61"/>
      <c r="E32" s="60"/>
      <c r="F32" s="61"/>
      <c r="G32" s="62"/>
      <c r="H32" s="64"/>
      <c r="I32" s="61"/>
      <c r="J32" s="62"/>
      <c r="K32" s="64"/>
      <c r="L32" s="61"/>
      <c r="M32" s="62"/>
      <c r="N32" s="64"/>
      <c r="O32" s="61"/>
      <c r="P32" s="62"/>
      <c r="Q32" s="64"/>
      <c r="R32" s="61"/>
      <c r="S32" s="62"/>
      <c r="T32" s="64"/>
    </row>
    <row r="33" spans="1:20" x14ac:dyDescent="0.15">
      <c r="A33" s="58" t="s">
        <v>433</v>
      </c>
      <c r="B33" s="59"/>
      <c r="C33" s="60">
        <v>688503</v>
      </c>
      <c r="D33" s="61"/>
      <c r="E33" s="60"/>
      <c r="F33" s="61"/>
      <c r="G33" s="62"/>
      <c r="H33" s="64"/>
      <c r="I33" s="61"/>
      <c r="J33" s="62"/>
      <c r="K33" s="64"/>
      <c r="L33" s="61"/>
      <c r="M33" s="62"/>
      <c r="N33" s="64"/>
      <c r="O33" s="61"/>
      <c r="P33" s="62"/>
      <c r="Q33" s="64"/>
      <c r="R33" s="61"/>
      <c r="S33" s="62"/>
      <c r="T33" s="64"/>
    </row>
    <row r="34" spans="1:20" x14ac:dyDescent="0.15">
      <c r="A34" s="58" t="s">
        <v>434</v>
      </c>
      <c r="B34" s="59"/>
      <c r="C34" s="60">
        <v>24155</v>
      </c>
      <c r="D34" s="61"/>
      <c r="E34" s="60"/>
      <c r="F34" s="61" t="s">
        <v>413</v>
      </c>
      <c r="G34" s="62"/>
      <c r="H34" s="64"/>
      <c r="I34" s="61" t="s">
        <v>413</v>
      </c>
      <c r="J34" s="62"/>
      <c r="K34" s="64"/>
      <c r="L34" s="61" t="s">
        <v>413</v>
      </c>
      <c r="M34" s="62"/>
      <c r="N34" s="64"/>
      <c r="O34" s="61" t="s">
        <v>413</v>
      </c>
      <c r="P34" s="62"/>
      <c r="Q34" s="64"/>
      <c r="R34" s="61" t="s">
        <v>413</v>
      </c>
      <c r="S34" s="62"/>
      <c r="T34" s="64"/>
    </row>
    <row r="35" spans="1:20" x14ac:dyDescent="0.15">
      <c r="A35" s="58" t="s">
        <v>435</v>
      </c>
      <c r="B35" s="59"/>
      <c r="C35" s="60">
        <v>2196</v>
      </c>
      <c r="D35" s="61"/>
      <c r="E35" s="60">
        <v>10000</v>
      </c>
      <c r="F35" s="61" t="s">
        <v>413</v>
      </c>
      <c r="G35" s="62"/>
      <c r="H35" s="64"/>
      <c r="I35" s="61" t="s">
        <v>413</v>
      </c>
      <c r="J35" s="62"/>
      <c r="K35" s="64"/>
      <c r="L35" s="61" t="s">
        <v>413</v>
      </c>
      <c r="M35" s="62"/>
      <c r="N35" s="64"/>
      <c r="O35" s="61" t="s">
        <v>413</v>
      </c>
      <c r="P35" s="62"/>
      <c r="Q35" s="64"/>
      <c r="R35" s="61" t="s">
        <v>413</v>
      </c>
      <c r="S35" s="62"/>
      <c r="T35" s="64"/>
    </row>
    <row r="36" spans="1:20" x14ac:dyDescent="0.15">
      <c r="A36" s="58" t="s">
        <v>436</v>
      </c>
      <c r="B36" s="59"/>
      <c r="C36" s="60">
        <v>245</v>
      </c>
      <c r="D36" s="61"/>
      <c r="E36" s="60"/>
      <c r="F36" s="61" t="s">
        <v>413</v>
      </c>
      <c r="G36" s="62"/>
      <c r="H36" s="64"/>
      <c r="I36" s="61" t="s">
        <v>413</v>
      </c>
      <c r="J36" s="62"/>
      <c r="K36" s="64"/>
      <c r="L36" s="61" t="s">
        <v>413</v>
      </c>
      <c r="M36" s="62"/>
      <c r="N36" s="64"/>
      <c r="O36" s="61" t="s">
        <v>413</v>
      </c>
      <c r="P36" s="62"/>
      <c r="Q36" s="64"/>
      <c r="R36" s="61" t="s">
        <v>413</v>
      </c>
      <c r="S36" s="62"/>
      <c r="T36" s="64"/>
    </row>
    <row r="37" spans="1:20" x14ac:dyDescent="0.15">
      <c r="A37" s="58" t="s">
        <v>437</v>
      </c>
      <c r="B37" s="59"/>
      <c r="C37" s="60">
        <v>15072</v>
      </c>
      <c r="D37" s="61"/>
      <c r="E37" s="60"/>
      <c r="F37" s="61" t="s">
        <v>411</v>
      </c>
      <c r="G37" s="62"/>
      <c r="H37" s="64"/>
      <c r="I37" s="61" t="s">
        <v>413</v>
      </c>
      <c r="J37" s="62"/>
      <c r="K37" s="64"/>
      <c r="L37" s="61" t="s">
        <v>413</v>
      </c>
      <c r="M37" s="62"/>
      <c r="N37" s="64"/>
      <c r="O37" s="61" t="s">
        <v>413</v>
      </c>
      <c r="P37" s="62"/>
      <c r="Q37" s="64"/>
      <c r="R37" s="61" t="s">
        <v>413</v>
      </c>
      <c r="S37" s="62"/>
      <c r="T37" s="64"/>
    </row>
    <row r="38" spans="1:20" x14ac:dyDescent="0.15">
      <c r="A38" s="58" t="s">
        <v>438</v>
      </c>
      <c r="B38" s="59"/>
      <c r="C38" s="60">
        <v>2458</v>
      </c>
      <c r="D38" s="61"/>
      <c r="E38" s="60"/>
      <c r="F38" s="61"/>
      <c r="G38" s="62">
        <v>6159</v>
      </c>
      <c r="H38" s="64">
        <v>3</v>
      </c>
      <c r="I38" s="61"/>
      <c r="J38" s="62">
        <v>6467</v>
      </c>
      <c r="K38" s="64"/>
      <c r="L38" s="61"/>
      <c r="M38" s="62">
        <v>10860</v>
      </c>
      <c r="N38" s="63" t="s">
        <v>47</v>
      </c>
      <c r="O38" s="61"/>
      <c r="P38" s="62">
        <v>35386</v>
      </c>
      <c r="Q38" s="63" t="s">
        <v>439</v>
      </c>
      <c r="R38" s="61"/>
      <c r="S38" s="62">
        <v>25504</v>
      </c>
      <c r="T38" s="63" t="s">
        <v>439</v>
      </c>
    </row>
    <row r="39" spans="1:20" x14ac:dyDescent="0.15">
      <c r="A39" s="58" t="s">
        <v>440</v>
      </c>
      <c r="B39" s="59"/>
      <c r="C39" s="60">
        <v>19561</v>
      </c>
      <c r="D39" s="61"/>
      <c r="E39" s="60"/>
      <c r="F39" s="61"/>
      <c r="G39" s="62"/>
      <c r="H39" s="64"/>
      <c r="I39" s="61"/>
      <c r="J39" s="62"/>
      <c r="K39" s="64"/>
      <c r="L39" s="61"/>
      <c r="M39" s="62"/>
      <c r="N39" s="64"/>
      <c r="O39" s="61"/>
      <c r="P39" s="62"/>
      <c r="Q39" s="64"/>
      <c r="R39" s="61"/>
      <c r="S39" s="62"/>
      <c r="T39" s="64"/>
    </row>
    <row r="40" spans="1:20" x14ac:dyDescent="0.15">
      <c r="A40" s="58" t="s">
        <v>441</v>
      </c>
      <c r="B40" s="59"/>
      <c r="C40" s="60">
        <v>6179</v>
      </c>
      <c r="D40" s="61"/>
      <c r="E40" s="60">
        <v>22000</v>
      </c>
      <c r="F40" s="61"/>
      <c r="G40" s="62">
        <v>1732</v>
      </c>
      <c r="H40" s="64"/>
      <c r="I40" s="61"/>
      <c r="J40" s="62"/>
      <c r="K40" s="64"/>
      <c r="L40" s="61"/>
      <c r="M40" s="62"/>
      <c r="N40" s="64"/>
      <c r="O40" s="61"/>
      <c r="P40" s="62"/>
      <c r="Q40" s="64"/>
      <c r="R40" s="61"/>
      <c r="S40" s="62"/>
      <c r="T40" s="64"/>
    </row>
    <row r="41" spans="1:20" x14ac:dyDescent="0.15">
      <c r="A41" s="58" t="s">
        <v>442</v>
      </c>
      <c r="B41" s="59"/>
      <c r="C41" s="60">
        <v>6452</v>
      </c>
      <c r="D41" s="61"/>
      <c r="E41" s="60"/>
      <c r="F41" s="61"/>
      <c r="G41" s="62"/>
      <c r="H41" s="64"/>
      <c r="I41" s="61"/>
      <c r="J41" s="62"/>
      <c r="K41" s="64"/>
      <c r="L41" s="61"/>
      <c r="M41" s="62"/>
      <c r="N41" s="64"/>
      <c r="O41" s="61"/>
      <c r="P41" s="62"/>
      <c r="Q41" s="64"/>
      <c r="R41" s="61"/>
      <c r="S41" s="62"/>
      <c r="T41" s="64"/>
    </row>
    <row r="42" spans="1:20" x14ac:dyDescent="0.15">
      <c r="A42" s="58" t="s">
        <v>443</v>
      </c>
      <c r="B42" s="59"/>
      <c r="C42" s="60">
        <v>5863</v>
      </c>
      <c r="D42" s="61"/>
      <c r="E42" s="60">
        <v>30000</v>
      </c>
      <c r="F42" s="61" t="s">
        <v>410</v>
      </c>
      <c r="G42" s="62"/>
      <c r="H42" s="64"/>
      <c r="I42" s="61" t="s">
        <v>410</v>
      </c>
      <c r="J42" s="62"/>
      <c r="K42" s="64"/>
      <c r="L42" s="61" t="s">
        <v>410</v>
      </c>
      <c r="M42" s="62"/>
      <c r="N42" s="64"/>
      <c r="O42" s="61" t="s">
        <v>410</v>
      </c>
      <c r="P42" s="62"/>
      <c r="Q42" s="64"/>
      <c r="R42" s="61" t="s">
        <v>410</v>
      </c>
      <c r="S42" s="62"/>
      <c r="T42" s="64"/>
    </row>
    <row r="43" spans="1:20" x14ac:dyDescent="0.15">
      <c r="A43" s="58" t="s">
        <v>444</v>
      </c>
      <c r="B43" s="59"/>
      <c r="C43" s="60">
        <v>777</v>
      </c>
      <c r="D43" s="61"/>
      <c r="E43" s="60"/>
      <c r="F43" s="61" t="s">
        <v>413</v>
      </c>
      <c r="G43" s="62"/>
      <c r="H43" s="64"/>
      <c r="I43" s="61" t="s">
        <v>413</v>
      </c>
      <c r="J43" s="62"/>
      <c r="K43" s="64"/>
      <c r="L43" s="61" t="s">
        <v>413</v>
      </c>
      <c r="M43" s="62"/>
      <c r="N43" s="64"/>
      <c r="O43" s="61" t="s">
        <v>413</v>
      </c>
      <c r="P43" s="62"/>
      <c r="Q43" s="64"/>
      <c r="R43" s="61" t="s">
        <v>413</v>
      </c>
      <c r="S43" s="62"/>
      <c r="T43" s="64"/>
    </row>
    <row r="44" spans="1:20" x14ac:dyDescent="0.15">
      <c r="A44" s="58" t="s">
        <v>445</v>
      </c>
      <c r="B44" s="59"/>
      <c r="C44" s="60">
        <v>64039</v>
      </c>
      <c r="D44" s="61"/>
      <c r="E44" s="60">
        <v>470000</v>
      </c>
      <c r="F44" s="61"/>
      <c r="G44" s="62">
        <v>488770</v>
      </c>
      <c r="H44" s="64">
        <v>7</v>
      </c>
      <c r="I44" s="61"/>
      <c r="J44" s="62">
        <v>547985</v>
      </c>
      <c r="K44" s="63" t="s">
        <v>50</v>
      </c>
      <c r="L44" s="61"/>
      <c r="M44" s="62">
        <v>579507</v>
      </c>
      <c r="N44" s="64">
        <v>7</v>
      </c>
      <c r="O44" s="61"/>
      <c r="P44" s="62">
        <v>615493</v>
      </c>
      <c r="Q44" s="64" t="s">
        <v>430</v>
      </c>
      <c r="R44" s="61"/>
      <c r="S44" s="62">
        <v>731015</v>
      </c>
      <c r="T44" s="63" t="s">
        <v>220</v>
      </c>
    </row>
    <row r="45" spans="1:20" x14ac:dyDescent="0.15">
      <c r="A45" s="58" t="s">
        <v>446</v>
      </c>
      <c r="B45" s="59"/>
      <c r="C45" s="60">
        <v>440</v>
      </c>
      <c r="D45" s="61"/>
      <c r="E45" s="60">
        <v>12000</v>
      </c>
      <c r="F45" s="61" t="s">
        <v>410</v>
      </c>
      <c r="G45" s="62"/>
      <c r="H45" s="64"/>
      <c r="I45" s="61" t="s">
        <v>410</v>
      </c>
      <c r="J45" s="62"/>
      <c r="K45" s="64"/>
      <c r="L45" s="61" t="s">
        <v>410</v>
      </c>
      <c r="M45" s="62"/>
      <c r="N45" s="64"/>
      <c r="O45" s="61" t="s">
        <v>410</v>
      </c>
      <c r="P45" s="62"/>
      <c r="Q45" s="64"/>
      <c r="R45" s="61" t="s">
        <v>410</v>
      </c>
      <c r="S45" s="62"/>
      <c r="T45" s="64"/>
    </row>
    <row r="46" spans="1:20" x14ac:dyDescent="0.15">
      <c r="A46" s="58" t="s">
        <v>447</v>
      </c>
      <c r="B46" s="59"/>
      <c r="C46" s="60">
        <v>74468</v>
      </c>
      <c r="D46" s="61"/>
      <c r="E46" s="60"/>
      <c r="F46" s="61"/>
      <c r="G46" s="62">
        <v>27154</v>
      </c>
      <c r="H46" s="63" t="s">
        <v>21</v>
      </c>
      <c r="I46" s="61"/>
      <c r="J46" s="62">
        <v>27396</v>
      </c>
      <c r="K46" s="63" t="s">
        <v>112</v>
      </c>
      <c r="L46" s="61"/>
      <c r="M46" s="62">
        <v>26519</v>
      </c>
      <c r="N46" s="63" t="s">
        <v>47</v>
      </c>
      <c r="O46" s="61"/>
      <c r="P46" s="62">
        <v>3789</v>
      </c>
      <c r="Q46" s="64">
        <v>5</v>
      </c>
      <c r="R46" s="61"/>
      <c r="S46" s="62">
        <v>3535</v>
      </c>
      <c r="T46" s="63" t="s">
        <v>419</v>
      </c>
    </row>
    <row r="47" spans="1:20" x14ac:dyDescent="0.15">
      <c r="A47" s="58" t="s">
        <v>448</v>
      </c>
      <c r="B47" s="59"/>
      <c r="C47" s="60">
        <v>77964</v>
      </c>
      <c r="D47" s="61"/>
      <c r="E47" s="60"/>
      <c r="F47" s="61"/>
      <c r="G47" s="62"/>
      <c r="H47" s="64"/>
      <c r="I47" s="61"/>
      <c r="J47" s="62"/>
      <c r="K47" s="64"/>
      <c r="L47" s="61"/>
      <c r="M47" s="62"/>
      <c r="N47" s="64"/>
      <c r="O47" s="61"/>
      <c r="P47" s="62"/>
      <c r="Q47" s="64"/>
      <c r="R47" s="61"/>
      <c r="S47" s="62"/>
      <c r="T47" s="64"/>
    </row>
    <row r="48" spans="1:20" x14ac:dyDescent="0.15">
      <c r="A48" s="58" t="s">
        <v>449</v>
      </c>
      <c r="B48" s="59"/>
      <c r="C48" s="60">
        <v>6693</v>
      </c>
      <c r="D48" s="61"/>
      <c r="E48" s="60"/>
      <c r="F48" s="61"/>
      <c r="G48" s="62"/>
      <c r="H48" s="64"/>
      <c r="I48" s="61"/>
      <c r="J48" s="62"/>
      <c r="K48" s="64"/>
      <c r="L48" s="61"/>
      <c r="M48" s="62"/>
      <c r="N48" s="64"/>
      <c r="O48" s="61"/>
      <c r="P48" s="62"/>
      <c r="Q48" s="64"/>
      <c r="R48" s="61"/>
      <c r="S48" s="62"/>
      <c r="T48" s="64"/>
    </row>
    <row r="49" spans="1:20" x14ac:dyDescent="0.15">
      <c r="A49" s="58" t="s">
        <v>450</v>
      </c>
      <c r="B49" s="59"/>
      <c r="C49" s="60">
        <v>5248</v>
      </c>
      <c r="D49" s="61"/>
      <c r="E49" s="60"/>
      <c r="F49" s="61" t="s">
        <v>410</v>
      </c>
      <c r="G49" s="62"/>
      <c r="H49" s="64"/>
      <c r="I49" s="61" t="s">
        <v>410</v>
      </c>
      <c r="J49" s="62"/>
      <c r="K49" s="64"/>
      <c r="L49" s="61" t="s">
        <v>410</v>
      </c>
      <c r="M49" s="62"/>
      <c r="N49" s="64"/>
      <c r="O49" s="61" t="s">
        <v>410</v>
      </c>
      <c r="P49" s="62"/>
      <c r="Q49" s="64"/>
      <c r="R49" s="61" t="s">
        <v>410</v>
      </c>
      <c r="S49" s="62"/>
      <c r="T49" s="64"/>
    </row>
    <row r="50" spans="1:20" x14ac:dyDescent="0.15">
      <c r="A50" s="58" t="s">
        <v>451</v>
      </c>
      <c r="B50" s="59"/>
      <c r="C50" s="60">
        <v>2020</v>
      </c>
      <c r="D50" s="61"/>
      <c r="E50" s="60"/>
      <c r="F50" s="61"/>
      <c r="G50" s="62">
        <v>2706</v>
      </c>
      <c r="H50" s="64"/>
      <c r="I50" s="61"/>
      <c r="J50" s="62"/>
      <c r="K50" s="64"/>
      <c r="L50" s="61"/>
      <c r="M50" s="62"/>
      <c r="N50" s="64"/>
      <c r="O50" s="61"/>
      <c r="P50" s="62"/>
      <c r="Q50" s="64"/>
      <c r="R50" s="61"/>
      <c r="S50" s="62"/>
      <c r="T50" s="64"/>
    </row>
    <row r="51" spans="1:20" x14ac:dyDescent="0.15">
      <c r="A51" s="58" t="s">
        <v>452</v>
      </c>
      <c r="B51" s="59"/>
      <c r="C51" s="60">
        <v>10200</v>
      </c>
      <c r="D51" s="61"/>
      <c r="E51" s="60"/>
      <c r="F51" s="61"/>
      <c r="G51" s="62"/>
      <c r="H51" s="64"/>
      <c r="I51" s="61"/>
      <c r="J51" s="62"/>
      <c r="K51" s="64"/>
      <c r="L51" s="61"/>
      <c r="M51" s="62"/>
      <c r="N51" s="64"/>
      <c r="O51" s="61"/>
      <c r="P51" s="62"/>
      <c r="Q51" s="64"/>
      <c r="R51" s="61"/>
      <c r="S51" s="62"/>
      <c r="T51" s="64"/>
    </row>
    <row r="52" spans="1:20" x14ac:dyDescent="0.15">
      <c r="A52" s="58" t="s">
        <v>453</v>
      </c>
      <c r="B52" s="59"/>
      <c r="C52" s="60">
        <v>3853</v>
      </c>
      <c r="D52" s="61"/>
      <c r="E52" s="60"/>
      <c r="F52" s="61"/>
      <c r="G52" s="62">
        <v>2076</v>
      </c>
      <c r="H52" s="63" t="s">
        <v>426</v>
      </c>
      <c r="I52" s="61"/>
      <c r="J52" s="62"/>
      <c r="K52" s="64"/>
      <c r="L52" s="61"/>
      <c r="M52" s="62"/>
      <c r="N52" s="64"/>
      <c r="O52" s="61"/>
      <c r="P52" s="62"/>
      <c r="Q52" s="64"/>
      <c r="R52" s="61"/>
      <c r="S52" s="62"/>
      <c r="T52" s="64"/>
    </row>
    <row r="53" spans="1:20" x14ac:dyDescent="0.15">
      <c r="A53" s="58" t="s">
        <v>245</v>
      </c>
      <c r="B53" s="59"/>
      <c r="C53" s="60">
        <v>22500</v>
      </c>
      <c r="D53" s="61"/>
      <c r="E53" s="62">
        <v>47510</v>
      </c>
      <c r="F53" s="61"/>
      <c r="G53" s="62">
        <v>25</v>
      </c>
      <c r="H53" s="63" t="s">
        <v>332</v>
      </c>
      <c r="I53" s="61"/>
      <c r="J53" s="62"/>
      <c r="K53" s="64"/>
      <c r="L53" s="61"/>
      <c r="M53" s="62"/>
      <c r="N53" s="64"/>
      <c r="O53" s="61"/>
      <c r="P53" s="62"/>
      <c r="Q53" s="64"/>
      <c r="R53" s="61"/>
      <c r="S53" s="62"/>
      <c r="T53" s="64"/>
    </row>
    <row r="54" spans="1:20" x14ac:dyDescent="0.15">
      <c r="A54" s="58" t="s">
        <v>454</v>
      </c>
      <c r="B54" s="59"/>
      <c r="C54" s="60">
        <v>104</v>
      </c>
      <c r="D54" s="61"/>
      <c r="E54" s="60"/>
      <c r="F54" s="61"/>
      <c r="G54" s="62"/>
      <c r="H54" s="64"/>
      <c r="I54" s="61"/>
      <c r="J54" s="62"/>
      <c r="K54" s="64"/>
      <c r="L54" s="61"/>
      <c r="M54" s="62"/>
      <c r="N54" s="64"/>
      <c r="O54" s="61"/>
      <c r="P54" s="62"/>
      <c r="Q54" s="64"/>
      <c r="R54" s="61"/>
      <c r="S54" s="62"/>
      <c r="T54" s="64"/>
    </row>
    <row r="55" spans="1:20" x14ac:dyDescent="0.15">
      <c r="A55" s="58" t="s">
        <v>455</v>
      </c>
      <c r="B55" s="59"/>
      <c r="C55" s="60"/>
      <c r="D55" s="61"/>
      <c r="E55" s="60">
        <v>191000</v>
      </c>
      <c r="F55" s="61"/>
      <c r="G55" s="62">
        <v>770867</v>
      </c>
      <c r="H55" s="64">
        <v>4</v>
      </c>
      <c r="I55" s="61"/>
      <c r="J55" s="62">
        <v>672647</v>
      </c>
      <c r="K55" s="64" t="s">
        <v>456</v>
      </c>
      <c r="L55" s="61"/>
      <c r="M55" s="62">
        <v>570900</v>
      </c>
      <c r="N55" s="63" t="s">
        <v>30</v>
      </c>
      <c r="O55" s="61"/>
      <c r="P55" s="62">
        <v>626235</v>
      </c>
      <c r="Q55" s="63" t="s">
        <v>457</v>
      </c>
      <c r="R55" s="61"/>
      <c r="S55" s="62">
        <v>907111</v>
      </c>
      <c r="T55" s="64">
        <v>6</v>
      </c>
    </row>
    <row r="56" spans="1:20" x14ac:dyDescent="0.15">
      <c r="A56" s="58" t="s">
        <v>458</v>
      </c>
      <c r="B56" s="59"/>
      <c r="C56" s="60"/>
      <c r="D56" s="61"/>
      <c r="E56" s="60">
        <v>150000</v>
      </c>
      <c r="F56" s="61"/>
      <c r="G56" s="62">
        <v>125303</v>
      </c>
      <c r="H56" s="63" t="s">
        <v>459</v>
      </c>
      <c r="I56" s="61"/>
      <c r="J56" s="62">
        <v>110172</v>
      </c>
      <c r="K56" s="63" t="s">
        <v>30</v>
      </c>
      <c r="L56" s="61"/>
      <c r="M56" s="62">
        <v>112671</v>
      </c>
      <c r="N56" s="64">
        <v>2</v>
      </c>
      <c r="O56" s="61"/>
      <c r="P56" s="62">
        <v>117723</v>
      </c>
      <c r="Q56" s="63" t="s">
        <v>459</v>
      </c>
      <c r="R56" s="61"/>
      <c r="S56" s="62">
        <v>121300</v>
      </c>
      <c r="T56" s="63" t="s">
        <v>460</v>
      </c>
    </row>
    <row r="57" spans="1:20" x14ac:dyDescent="0.15">
      <c r="A57" s="58" t="s">
        <v>461</v>
      </c>
      <c r="B57" s="59"/>
      <c r="C57" s="60"/>
      <c r="D57" s="61"/>
      <c r="E57" s="60">
        <v>6000</v>
      </c>
      <c r="F57" s="61" t="s">
        <v>410</v>
      </c>
      <c r="G57" s="62"/>
      <c r="H57" s="64"/>
      <c r="I57" s="61" t="s">
        <v>410</v>
      </c>
      <c r="J57" s="62"/>
      <c r="K57" s="64"/>
      <c r="L57" s="61" t="s">
        <v>410</v>
      </c>
      <c r="M57" s="62"/>
      <c r="N57" s="64"/>
      <c r="O57" s="61" t="s">
        <v>410</v>
      </c>
      <c r="P57" s="62"/>
      <c r="Q57" s="64"/>
      <c r="R57" s="61" t="s">
        <v>410</v>
      </c>
      <c r="S57" s="62"/>
      <c r="T57" s="64" t="s">
        <v>462</v>
      </c>
    </row>
    <row r="58" spans="1:20" x14ac:dyDescent="0.15">
      <c r="A58" s="58" t="s">
        <v>463</v>
      </c>
      <c r="B58" s="59"/>
      <c r="C58" s="60"/>
      <c r="D58" s="61"/>
      <c r="E58" s="60">
        <v>100000</v>
      </c>
      <c r="F58" s="61"/>
      <c r="G58" s="62"/>
      <c r="H58" s="64"/>
      <c r="I58" s="61"/>
      <c r="J58" s="62"/>
      <c r="K58" s="64"/>
      <c r="L58" s="61"/>
      <c r="M58" s="62"/>
      <c r="N58" s="64"/>
      <c r="O58" s="61"/>
      <c r="P58" s="62"/>
      <c r="Q58" s="64"/>
      <c r="R58" s="61"/>
      <c r="S58" s="62"/>
      <c r="T58" s="64"/>
    </row>
    <row r="59" spans="1:20" x14ac:dyDescent="0.15">
      <c r="A59" s="58" t="s">
        <v>464</v>
      </c>
      <c r="B59" s="59"/>
      <c r="C59" s="60"/>
      <c r="D59" s="61"/>
      <c r="E59" s="60">
        <v>23000</v>
      </c>
      <c r="F59" s="61"/>
      <c r="G59" s="62"/>
      <c r="H59" s="64"/>
      <c r="I59" s="61"/>
      <c r="J59" s="62"/>
      <c r="K59" s="64"/>
      <c r="L59" s="61"/>
      <c r="M59" s="62"/>
      <c r="N59" s="64"/>
      <c r="O59" s="61"/>
      <c r="P59" s="62"/>
      <c r="Q59" s="64"/>
      <c r="R59" s="61"/>
      <c r="S59" s="62"/>
      <c r="T59" s="64"/>
    </row>
    <row r="60" spans="1:20" x14ac:dyDescent="0.15">
      <c r="A60" s="58" t="s">
        <v>465</v>
      </c>
      <c r="B60" s="59"/>
      <c r="C60" s="60"/>
      <c r="D60" s="61"/>
      <c r="E60" s="60">
        <v>35000</v>
      </c>
      <c r="F60" s="61"/>
      <c r="G60" s="62">
        <v>73080</v>
      </c>
      <c r="H60" s="64" t="s">
        <v>466</v>
      </c>
      <c r="I60" s="61"/>
      <c r="J60" s="62">
        <v>93329</v>
      </c>
      <c r="K60" s="64">
        <v>2</v>
      </c>
      <c r="L60" s="61"/>
      <c r="M60" s="62">
        <v>88414</v>
      </c>
      <c r="N60" s="63" t="s">
        <v>332</v>
      </c>
      <c r="O60" s="61"/>
      <c r="P60" s="62">
        <v>98598</v>
      </c>
      <c r="Q60" s="63" t="s">
        <v>21</v>
      </c>
      <c r="R60" s="61"/>
      <c r="S60" s="62">
        <v>90374</v>
      </c>
      <c r="T60" s="63" t="s">
        <v>426</v>
      </c>
    </row>
    <row r="61" spans="1:20" x14ac:dyDescent="0.15">
      <c r="A61" s="58" t="s">
        <v>467</v>
      </c>
      <c r="B61" s="59"/>
      <c r="C61" s="60"/>
      <c r="D61" s="61"/>
      <c r="E61" s="60">
        <v>6000</v>
      </c>
      <c r="F61" s="61" t="s">
        <v>410</v>
      </c>
      <c r="G61" s="62"/>
      <c r="H61" s="64"/>
      <c r="I61" s="61" t="s">
        <v>410</v>
      </c>
      <c r="J61" s="62"/>
      <c r="K61" s="64"/>
      <c r="L61" s="61" t="s">
        <v>410</v>
      </c>
      <c r="M61" s="62"/>
      <c r="N61" s="64"/>
      <c r="O61" s="61" t="s">
        <v>410</v>
      </c>
      <c r="P61" s="62"/>
      <c r="Q61" s="64"/>
      <c r="R61" s="61" t="s">
        <v>410</v>
      </c>
      <c r="S61" s="62"/>
      <c r="T61" s="64"/>
    </row>
    <row r="62" spans="1:20" x14ac:dyDescent="0.15">
      <c r="A62" s="58" t="s">
        <v>468</v>
      </c>
      <c r="B62" s="59"/>
      <c r="C62" s="60"/>
      <c r="D62" s="61"/>
      <c r="E62" s="60">
        <v>3500</v>
      </c>
      <c r="F62" s="61"/>
      <c r="G62" s="62">
        <v>96</v>
      </c>
      <c r="H62" s="64">
        <v>6</v>
      </c>
      <c r="I62" s="61"/>
      <c r="J62" s="62">
        <v>477</v>
      </c>
      <c r="K62" s="63" t="s">
        <v>469</v>
      </c>
      <c r="L62" s="61"/>
      <c r="M62" s="62">
        <v>266</v>
      </c>
      <c r="N62" s="63" t="s">
        <v>459</v>
      </c>
      <c r="O62" s="61"/>
      <c r="P62" s="62">
        <v>860</v>
      </c>
      <c r="Q62" s="64"/>
      <c r="R62" s="61"/>
      <c r="S62" s="62">
        <v>1011</v>
      </c>
      <c r="T62" s="63" t="s">
        <v>81</v>
      </c>
    </row>
    <row r="63" spans="1:20" x14ac:dyDescent="0.15">
      <c r="A63" s="58" t="s">
        <v>470</v>
      </c>
      <c r="B63" s="59"/>
      <c r="C63" s="60"/>
      <c r="D63" s="61"/>
      <c r="E63" s="60">
        <v>567958</v>
      </c>
      <c r="F63" s="61"/>
      <c r="G63" s="62">
        <v>9232</v>
      </c>
      <c r="H63" s="63" t="s">
        <v>21</v>
      </c>
      <c r="I63" s="61"/>
      <c r="J63" s="62">
        <v>100170</v>
      </c>
      <c r="K63" s="64">
        <v>6</v>
      </c>
      <c r="L63" s="61"/>
      <c r="M63" s="62">
        <v>84917</v>
      </c>
      <c r="N63" s="64">
        <v>5</v>
      </c>
      <c r="O63" s="61"/>
      <c r="P63" s="62">
        <v>76366</v>
      </c>
      <c r="Q63" s="63" t="s">
        <v>112</v>
      </c>
      <c r="R63" s="61"/>
      <c r="S63" s="62">
        <v>75508</v>
      </c>
      <c r="T63" s="63" t="s">
        <v>35</v>
      </c>
    </row>
    <row r="64" spans="1:20" x14ac:dyDescent="0.15">
      <c r="A64" s="58" t="s">
        <v>471</v>
      </c>
      <c r="B64" s="59"/>
      <c r="C64" s="60"/>
      <c r="D64" s="61"/>
      <c r="E64" s="60"/>
      <c r="F64" s="61"/>
      <c r="G64" s="62">
        <v>10208</v>
      </c>
      <c r="H64" s="63" t="s">
        <v>37</v>
      </c>
      <c r="I64" s="61" t="s">
        <v>410</v>
      </c>
      <c r="J64" s="62"/>
      <c r="K64" s="64"/>
      <c r="L64" s="61" t="s">
        <v>410</v>
      </c>
      <c r="M64" s="62"/>
      <c r="N64" s="64"/>
      <c r="O64" s="61" t="s">
        <v>410</v>
      </c>
      <c r="P64" s="62"/>
      <c r="Q64" s="64"/>
      <c r="R64" s="61" t="s">
        <v>410</v>
      </c>
      <c r="S64" s="62"/>
      <c r="T64" s="64"/>
    </row>
    <row r="65" spans="1:20" x14ac:dyDescent="0.15">
      <c r="A65" s="58" t="s">
        <v>472</v>
      </c>
      <c r="B65" s="59"/>
      <c r="C65" s="60"/>
      <c r="D65" s="61"/>
      <c r="E65" s="60"/>
      <c r="F65" s="61"/>
      <c r="G65" s="62">
        <v>16</v>
      </c>
      <c r="H65" s="64">
        <v>3</v>
      </c>
      <c r="I65" s="61"/>
      <c r="J65" s="62"/>
      <c r="K65" s="64"/>
      <c r="L65" s="61"/>
      <c r="M65" s="62"/>
      <c r="N65" s="64"/>
      <c r="O65" s="61"/>
      <c r="P65" s="62"/>
      <c r="Q65" s="64"/>
      <c r="R65" s="61"/>
      <c r="S65" s="62"/>
      <c r="T65" s="64"/>
    </row>
    <row r="66" spans="1:20" x14ac:dyDescent="0.15">
      <c r="A66" s="58" t="s">
        <v>256</v>
      </c>
      <c r="B66" s="59"/>
      <c r="C66" s="60"/>
      <c r="D66" s="61"/>
      <c r="E66" s="60"/>
      <c r="F66" s="61"/>
      <c r="G66" s="62">
        <v>463</v>
      </c>
      <c r="H66" s="64"/>
      <c r="I66" s="61"/>
      <c r="J66" s="62"/>
      <c r="K66" s="64"/>
      <c r="L66" s="61"/>
      <c r="M66" s="62"/>
      <c r="N66" s="64"/>
      <c r="O66" s="61"/>
      <c r="P66" s="62"/>
      <c r="Q66" s="64"/>
      <c r="R66" s="61"/>
      <c r="S66" s="62"/>
      <c r="T66" s="64"/>
    </row>
    <row r="67" spans="1:20" x14ac:dyDescent="0.15">
      <c r="A67" s="58" t="s">
        <v>60</v>
      </c>
      <c r="B67" s="59"/>
      <c r="C67" s="60"/>
      <c r="D67" s="61"/>
      <c r="E67" s="60"/>
      <c r="F67" s="61"/>
      <c r="G67" s="62">
        <v>8417</v>
      </c>
      <c r="H67" s="63" t="s">
        <v>47</v>
      </c>
      <c r="I67" s="61"/>
      <c r="J67" s="62">
        <v>7990</v>
      </c>
      <c r="K67" s="64">
        <v>3</v>
      </c>
      <c r="L67" s="61"/>
      <c r="M67" s="62">
        <v>7433</v>
      </c>
      <c r="N67" s="63" t="s">
        <v>415</v>
      </c>
      <c r="O67" s="61"/>
      <c r="P67" s="62">
        <v>6194</v>
      </c>
      <c r="Q67" s="63" t="s">
        <v>84</v>
      </c>
      <c r="R67" s="61"/>
      <c r="S67" s="62">
        <v>5429</v>
      </c>
      <c r="T67" s="64" t="s">
        <v>466</v>
      </c>
    </row>
    <row r="68" spans="1:20" x14ac:dyDescent="0.15">
      <c r="A68" s="58" t="s">
        <v>473</v>
      </c>
      <c r="B68" s="59"/>
      <c r="C68" s="60"/>
      <c r="D68" s="61"/>
      <c r="E68" s="60"/>
      <c r="F68" s="61"/>
      <c r="G68" s="62">
        <v>401</v>
      </c>
      <c r="H68" s="64">
        <v>2</v>
      </c>
      <c r="I68" s="61" t="s">
        <v>410</v>
      </c>
      <c r="J68" s="62"/>
      <c r="K68" s="64"/>
      <c r="L68" s="61" t="s">
        <v>410</v>
      </c>
      <c r="M68" s="62"/>
      <c r="N68" s="64"/>
      <c r="O68" s="61" t="s">
        <v>410</v>
      </c>
      <c r="P68" s="62"/>
      <c r="Q68" s="64"/>
      <c r="R68" s="61" t="s">
        <v>410</v>
      </c>
      <c r="S68" s="62"/>
      <c r="T68" s="64"/>
    </row>
    <row r="69" spans="1:20" x14ac:dyDescent="0.15">
      <c r="A69" s="58" t="s">
        <v>474</v>
      </c>
      <c r="B69" s="59"/>
      <c r="C69" s="60"/>
      <c r="D69" s="61"/>
      <c r="E69" s="60"/>
      <c r="F69" s="61"/>
      <c r="G69" s="62">
        <v>12</v>
      </c>
      <c r="H69" s="64"/>
      <c r="I69" s="61" t="s">
        <v>413</v>
      </c>
      <c r="J69" s="62"/>
      <c r="K69" s="64"/>
      <c r="L69" s="61" t="s">
        <v>413</v>
      </c>
      <c r="M69" s="62"/>
      <c r="N69" s="64"/>
      <c r="O69" s="61" t="s">
        <v>413</v>
      </c>
      <c r="P69" s="62"/>
      <c r="Q69" s="64"/>
      <c r="R69" s="61" t="s">
        <v>413</v>
      </c>
      <c r="S69" s="62"/>
      <c r="T69" s="64"/>
    </row>
    <row r="70" spans="1:20" x14ac:dyDescent="0.15">
      <c r="A70" s="58" t="s">
        <v>475</v>
      </c>
      <c r="B70" s="59"/>
      <c r="C70" s="60"/>
      <c r="D70" s="61"/>
      <c r="E70" s="60"/>
      <c r="F70" s="61"/>
      <c r="G70" s="62">
        <v>103</v>
      </c>
      <c r="H70" s="63" t="s">
        <v>37</v>
      </c>
      <c r="I70" s="61"/>
      <c r="J70" s="62"/>
      <c r="K70" s="64"/>
      <c r="L70" s="61"/>
      <c r="M70" s="62"/>
      <c r="N70" s="64"/>
      <c r="O70" s="61"/>
      <c r="P70" s="62"/>
      <c r="Q70" s="64"/>
      <c r="R70" s="61"/>
      <c r="S70" s="62"/>
      <c r="T70" s="64"/>
    </row>
    <row r="71" spans="1:20" x14ac:dyDescent="0.15">
      <c r="A71" s="58" t="s">
        <v>476</v>
      </c>
      <c r="B71" s="59"/>
      <c r="C71" s="60"/>
      <c r="D71" s="61"/>
      <c r="E71" s="60"/>
      <c r="F71" s="61"/>
      <c r="G71" s="62">
        <v>50458</v>
      </c>
      <c r="H71" s="64">
        <v>7</v>
      </c>
      <c r="I71" s="61"/>
      <c r="J71" s="62"/>
      <c r="K71" s="64"/>
      <c r="L71" s="61"/>
      <c r="M71" s="62"/>
      <c r="N71" s="64"/>
      <c r="O71" s="61"/>
      <c r="P71" s="62"/>
      <c r="Q71" s="64"/>
      <c r="R71" s="61"/>
      <c r="S71" s="62"/>
      <c r="T71" s="64"/>
    </row>
    <row r="72" spans="1:20" x14ac:dyDescent="0.15">
      <c r="A72" s="58" t="s">
        <v>477</v>
      </c>
      <c r="B72" s="59"/>
      <c r="C72" s="60"/>
      <c r="D72" s="61"/>
      <c r="E72" s="60"/>
      <c r="F72" s="61"/>
      <c r="G72" s="62">
        <v>65</v>
      </c>
      <c r="H72" s="64">
        <v>6</v>
      </c>
      <c r="I72" s="61" t="s">
        <v>413</v>
      </c>
      <c r="J72" s="62"/>
      <c r="K72" s="64"/>
      <c r="L72" s="61" t="s">
        <v>413</v>
      </c>
      <c r="M72" s="62"/>
      <c r="N72" s="64"/>
      <c r="O72" s="61" t="s">
        <v>413</v>
      </c>
      <c r="P72" s="62"/>
      <c r="Q72" s="64"/>
      <c r="R72" s="61" t="s">
        <v>413</v>
      </c>
      <c r="S72" s="62"/>
      <c r="T72" s="64"/>
    </row>
    <row r="73" spans="1:20" x14ac:dyDescent="0.15">
      <c r="A73" s="58" t="s">
        <v>478</v>
      </c>
      <c r="B73" s="59"/>
      <c r="C73" s="60"/>
      <c r="D73" s="61"/>
      <c r="E73" s="60"/>
      <c r="F73" s="61"/>
      <c r="G73" s="62">
        <v>2671</v>
      </c>
      <c r="H73" s="63" t="s">
        <v>439</v>
      </c>
      <c r="I73" s="61"/>
      <c r="J73" s="62">
        <v>2837</v>
      </c>
      <c r="K73" s="63" t="s">
        <v>332</v>
      </c>
      <c r="L73" s="61"/>
      <c r="M73" s="62">
        <v>6697</v>
      </c>
      <c r="N73" s="63" t="s">
        <v>284</v>
      </c>
      <c r="O73" s="61"/>
      <c r="P73" s="62">
        <v>8023</v>
      </c>
      <c r="Q73" s="64" t="s">
        <v>456</v>
      </c>
      <c r="R73" s="61"/>
      <c r="S73" s="62">
        <v>12319</v>
      </c>
      <c r="T73" s="63" t="s">
        <v>81</v>
      </c>
    </row>
    <row r="74" spans="1:20" x14ac:dyDescent="0.15">
      <c r="A74" s="58" t="s">
        <v>479</v>
      </c>
      <c r="B74" s="59"/>
      <c r="C74" s="60"/>
      <c r="D74" s="61"/>
      <c r="E74" s="60"/>
      <c r="F74" s="61"/>
      <c r="G74" s="62">
        <v>2768</v>
      </c>
      <c r="H74" s="63" t="s">
        <v>47</v>
      </c>
      <c r="I74" s="61"/>
      <c r="J74" s="62">
        <v>27837</v>
      </c>
      <c r="K74" s="64">
        <v>5</v>
      </c>
      <c r="L74" s="61"/>
      <c r="M74" s="62">
        <v>22988</v>
      </c>
      <c r="N74" s="63" t="s">
        <v>47</v>
      </c>
      <c r="O74" s="61"/>
      <c r="P74" s="62">
        <v>24787</v>
      </c>
      <c r="Q74" s="64">
        <v>1</v>
      </c>
      <c r="R74" s="61" t="s">
        <v>410</v>
      </c>
      <c r="S74" s="62"/>
      <c r="T74" s="64"/>
    </row>
    <row r="75" spans="1:20" x14ac:dyDescent="0.15">
      <c r="A75" s="58" t="s">
        <v>480</v>
      </c>
      <c r="B75" s="59"/>
      <c r="C75" s="60"/>
      <c r="D75" s="61"/>
      <c r="E75" s="60"/>
      <c r="F75" s="61"/>
      <c r="G75" s="62">
        <v>23568</v>
      </c>
      <c r="H75" s="64">
        <v>2</v>
      </c>
      <c r="I75" s="61"/>
      <c r="J75" s="62"/>
      <c r="K75" s="64"/>
      <c r="L75" s="61"/>
      <c r="M75" s="62"/>
      <c r="N75" s="64"/>
      <c r="O75" s="61"/>
      <c r="P75" s="62"/>
      <c r="Q75" s="64"/>
      <c r="R75" s="61"/>
      <c r="S75" s="62"/>
      <c r="T75" s="64"/>
    </row>
    <row r="76" spans="1:20" x14ac:dyDescent="0.15">
      <c r="A76" s="58" t="s">
        <v>481</v>
      </c>
      <c r="B76" s="59"/>
      <c r="C76" s="60"/>
      <c r="D76" s="61"/>
      <c r="E76" s="60"/>
      <c r="F76" s="61"/>
      <c r="G76" s="62">
        <v>1187</v>
      </c>
      <c r="H76" s="64">
        <v>3</v>
      </c>
      <c r="I76" s="61"/>
      <c r="J76" s="62">
        <v>5578</v>
      </c>
      <c r="K76" s="63" t="s">
        <v>334</v>
      </c>
      <c r="L76" s="61"/>
      <c r="M76" s="62">
        <v>4894</v>
      </c>
      <c r="N76" s="64"/>
      <c r="O76" s="61"/>
      <c r="P76" s="62">
        <v>5847</v>
      </c>
      <c r="Q76" s="64">
        <v>7</v>
      </c>
      <c r="R76" s="61"/>
      <c r="S76" s="62">
        <v>8328</v>
      </c>
      <c r="T76" s="63" t="s">
        <v>222</v>
      </c>
    </row>
    <row r="77" spans="1:20" x14ac:dyDescent="0.15">
      <c r="A77" s="58" t="s">
        <v>353</v>
      </c>
      <c r="B77" s="59"/>
      <c r="C77" s="60"/>
      <c r="D77" s="61"/>
      <c r="E77" s="60"/>
      <c r="F77" s="61"/>
      <c r="G77" s="62">
        <v>1332</v>
      </c>
      <c r="H77" s="63" t="s">
        <v>47</v>
      </c>
      <c r="I77" s="61"/>
      <c r="J77" s="62">
        <v>2883</v>
      </c>
      <c r="K77" s="63" t="s">
        <v>30</v>
      </c>
      <c r="L77" s="61"/>
      <c r="M77" s="62">
        <v>4125</v>
      </c>
      <c r="N77" s="63" t="s">
        <v>419</v>
      </c>
      <c r="O77" s="61"/>
      <c r="P77" s="62">
        <v>6705</v>
      </c>
      <c r="Q77" s="63" t="s">
        <v>439</v>
      </c>
      <c r="R77" s="61"/>
      <c r="S77" s="62">
        <v>1636</v>
      </c>
      <c r="T77" s="64">
        <v>3</v>
      </c>
    </row>
    <row r="78" spans="1:20" x14ac:dyDescent="0.15">
      <c r="A78" s="58" t="s">
        <v>482</v>
      </c>
      <c r="B78" s="59"/>
      <c r="C78" s="60"/>
      <c r="D78" s="61"/>
      <c r="E78" s="60"/>
      <c r="F78" s="61"/>
      <c r="G78" s="62">
        <v>3449</v>
      </c>
      <c r="H78" s="63" t="s">
        <v>21</v>
      </c>
      <c r="I78" s="61" t="s">
        <v>410</v>
      </c>
      <c r="J78" s="62"/>
      <c r="K78" s="64"/>
      <c r="L78" s="61" t="s">
        <v>410</v>
      </c>
      <c r="M78" s="62"/>
      <c r="N78" s="64"/>
      <c r="O78" s="61" t="s">
        <v>410</v>
      </c>
      <c r="P78" s="62"/>
      <c r="Q78" s="64"/>
      <c r="R78" s="61" t="s">
        <v>410</v>
      </c>
      <c r="S78" s="62"/>
      <c r="T78" s="64"/>
    </row>
    <row r="79" spans="1:20" x14ac:dyDescent="0.15">
      <c r="A79" s="58" t="s">
        <v>483</v>
      </c>
      <c r="B79" s="59"/>
      <c r="C79" s="60"/>
      <c r="D79" s="61"/>
      <c r="E79" s="60"/>
      <c r="F79" s="61"/>
      <c r="G79" s="62">
        <v>1906</v>
      </c>
      <c r="H79" s="64">
        <v>7</v>
      </c>
      <c r="I79" s="61"/>
      <c r="J79" s="62"/>
      <c r="K79" s="64"/>
      <c r="L79" s="61"/>
      <c r="M79" s="62"/>
      <c r="N79" s="64"/>
      <c r="O79" s="61"/>
      <c r="P79" s="62"/>
      <c r="Q79" s="64"/>
      <c r="R79" s="61"/>
      <c r="S79" s="62"/>
      <c r="T79" s="64"/>
    </row>
    <row r="80" spans="1:20" x14ac:dyDescent="0.15">
      <c r="A80" s="58" t="s">
        <v>200</v>
      </c>
      <c r="B80" s="59"/>
      <c r="C80" s="60"/>
      <c r="D80" s="61"/>
      <c r="E80" s="60"/>
      <c r="F80" s="61"/>
      <c r="G80" s="62">
        <v>132</v>
      </c>
      <c r="H80" s="64">
        <v>2</v>
      </c>
      <c r="I80" s="61" t="s">
        <v>413</v>
      </c>
      <c r="J80" s="62"/>
      <c r="K80" s="64"/>
      <c r="L80" s="61" t="s">
        <v>413</v>
      </c>
      <c r="M80" s="62"/>
      <c r="N80" s="64"/>
      <c r="O80" s="61" t="s">
        <v>413</v>
      </c>
      <c r="P80" s="62"/>
      <c r="Q80" s="64"/>
      <c r="R80" s="61" t="s">
        <v>413</v>
      </c>
      <c r="S80" s="62"/>
      <c r="T80" s="64"/>
    </row>
    <row r="81" spans="1:20" x14ac:dyDescent="0.15">
      <c r="A81" s="58" t="s">
        <v>484</v>
      </c>
      <c r="B81" s="59"/>
      <c r="C81" s="60"/>
      <c r="D81" s="61"/>
      <c r="E81" s="60"/>
      <c r="F81" s="61"/>
      <c r="G81" s="62">
        <v>470</v>
      </c>
      <c r="H81" s="64"/>
      <c r="I81" s="61"/>
      <c r="J81" s="62"/>
      <c r="K81" s="64"/>
      <c r="L81" s="61"/>
      <c r="M81" s="62"/>
      <c r="N81" s="64"/>
      <c r="O81" s="61"/>
      <c r="P81" s="62"/>
      <c r="Q81" s="64"/>
      <c r="R81" s="61"/>
      <c r="S81" s="62"/>
      <c r="T81" s="64"/>
    </row>
    <row r="82" spans="1:20" x14ac:dyDescent="0.15">
      <c r="A82" s="58" t="s">
        <v>485</v>
      </c>
      <c r="B82" s="59"/>
      <c r="C82" s="60"/>
      <c r="D82" s="61"/>
      <c r="E82" s="60"/>
      <c r="F82" s="61"/>
      <c r="G82" s="62"/>
      <c r="H82" s="64"/>
      <c r="I82" s="61"/>
      <c r="J82" s="62">
        <v>108</v>
      </c>
      <c r="K82" s="63" t="s">
        <v>426</v>
      </c>
      <c r="L82" s="61"/>
      <c r="M82" s="62">
        <v>89</v>
      </c>
      <c r="N82" s="63" t="s">
        <v>439</v>
      </c>
      <c r="O82" s="61"/>
      <c r="P82" s="62">
        <v>24</v>
      </c>
      <c r="Q82" s="63" t="s">
        <v>112</v>
      </c>
      <c r="R82" s="61"/>
      <c r="S82" s="62">
        <v>4</v>
      </c>
      <c r="T82" s="63" t="s">
        <v>459</v>
      </c>
    </row>
    <row r="83" spans="1:20" x14ac:dyDescent="0.15">
      <c r="A83" s="58" t="s">
        <v>486</v>
      </c>
      <c r="B83" s="59"/>
      <c r="C83" s="60"/>
      <c r="D83" s="61"/>
      <c r="E83" s="60"/>
      <c r="F83" s="61"/>
      <c r="G83" s="62"/>
      <c r="H83" s="64"/>
      <c r="I83" s="61"/>
      <c r="J83" s="62">
        <v>3646</v>
      </c>
      <c r="K83" s="64" t="s">
        <v>456</v>
      </c>
      <c r="L83" s="61"/>
      <c r="M83" s="62">
        <v>2431</v>
      </c>
      <c r="N83" s="64">
        <v>5</v>
      </c>
      <c r="O83" s="61" t="s">
        <v>410</v>
      </c>
      <c r="P83" s="62"/>
      <c r="Q83" s="64"/>
      <c r="R83" s="61" t="s">
        <v>410</v>
      </c>
      <c r="S83" s="62"/>
      <c r="T83" s="64"/>
    </row>
    <row r="84" spans="1:20" x14ac:dyDescent="0.15">
      <c r="A84" s="58" t="s">
        <v>487</v>
      </c>
      <c r="B84" s="59"/>
      <c r="C84" s="60"/>
      <c r="D84" s="61"/>
      <c r="E84" s="60"/>
      <c r="F84" s="61"/>
      <c r="G84" s="62"/>
      <c r="H84" s="64"/>
      <c r="I84" s="61"/>
      <c r="J84" s="62">
        <v>2682</v>
      </c>
      <c r="K84" s="63" t="s">
        <v>37</v>
      </c>
      <c r="L84" s="61"/>
      <c r="M84" s="62">
        <v>1369</v>
      </c>
      <c r="N84" s="63" t="s">
        <v>222</v>
      </c>
      <c r="O84" s="61"/>
      <c r="P84" s="62">
        <v>1889</v>
      </c>
      <c r="Q84" s="63" t="s">
        <v>84</v>
      </c>
      <c r="R84" s="61" t="s">
        <v>488</v>
      </c>
      <c r="S84" s="62">
        <v>2238</v>
      </c>
      <c r="T84" s="64">
        <v>2</v>
      </c>
    </row>
    <row r="85" spans="1:20" x14ac:dyDescent="0.15">
      <c r="A85" s="58" t="s">
        <v>489</v>
      </c>
      <c r="B85" s="59"/>
      <c r="C85" s="60"/>
      <c r="D85" s="61"/>
      <c r="E85" s="60"/>
      <c r="F85" s="61"/>
      <c r="G85" s="62"/>
      <c r="H85" s="64"/>
      <c r="I85" s="61"/>
      <c r="J85" s="62">
        <v>1982</v>
      </c>
      <c r="K85" s="64"/>
      <c r="L85" s="61"/>
      <c r="M85" s="62">
        <v>2258</v>
      </c>
      <c r="N85" s="63" t="s">
        <v>459</v>
      </c>
      <c r="O85" s="61"/>
      <c r="P85" s="62">
        <v>1580</v>
      </c>
      <c r="Q85" s="64"/>
      <c r="R85" s="61"/>
      <c r="S85" s="62">
        <v>2226</v>
      </c>
      <c r="T85" s="64"/>
    </row>
    <row r="86" spans="1:20" x14ac:dyDescent="0.15">
      <c r="A86" s="58" t="s">
        <v>490</v>
      </c>
      <c r="B86" s="59"/>
      <c r="C86" s="60"/>
      <c r="D86" s="61"/>
      <c r="E86" s="60"/>
      <c r="F86" s="61"/>
      <c r="G86" s="62"/>
      <c r="H86" s="64"/>
      <c r="I86" s="61"/>
      <c r="J86" s="62">
        <v>20958</v>
      </c>
      <c r="K86" s="64" t="s">
        <v>422</v>
      </c>
      <c r="L86" s="61"/>
      <c r="M86" s="62">
        <v>7615</v>
      </c>
      <c r="N86" s="64">
        <v>6</v>
      </c>
      <c r="O86" s="61"/>
      <c r="P86" s="62">
        <v>4765</v>
      </c>
      <c r="Q86" s="63" t="s">
        <v>439</v>
      </c>
      <c r="R86" s="61"/>
      <c r="S86" s="62">
        <v>5665</v>
      </c>
      <c r="T86" s="64">
        <v>4</v>
      </c>
    </row>
    <row r="87" spans="1:20" x14ac:dyDescent="0.15">
      <c r="A87" s="58" t="s">
        <v>491</v>
      </c>
      <c r="B87" s="59"/>
      <c r="C87" s="60"/>
      <c r="D87" s="61"/>
      <c r="E87" s="60"/>
      <c r="F87" s="61"/>
      <c r="G87" s="62"/>
      <c r="H87" s="64"/>
      <c r="I87" s="61"/>
      <c r="J87" s="62">
        <v>75260</v>
      </c>
      <c r="K87" s="63" t="s">
        <v>469</v>
      </c>
      <c r="L87" s="61"/>
      <c r="M87" s="62">
        <v>74567</v>
      </c>
      <c r="N87" s="63" t="s">
        <v>220</v>
      </c>
      <c r="O87" s="61"/>
      <c r="P87" s="62">
        <v>77252</v>
      </c>
      <c r="Q87" s="63" t="s">
        <v>439</v>
      </c>
      <c r="R87" s="61"/>
      <c r="S87" s="62">
        <v>57054</v>
      </c>
      <c r="T87" s="63" t="s">
        <v>332</v>
      </c>
    </row>
    <row r="88" spans="1:20" x14ac:dyDescent="0.15">
      <c r="A88" s="58" t="s">
        <v>59</v>
      </c>
      <c r="B88" s="59"/>
      <c r="C88" s="60"/>
      <c r="D88" s="61"/>
      <c r="E88" s="60"/>
      <c r="F88" s="61"/>
      <c r="G88" s="62"/>
      <c r="H88" s="64"/>
      <c r="I88" s="61"/>
      <c r="J88" s="62">
        <v>1130</v>
      </c>
      <c r="K88" s="63" t="s">
        <v>439</v>
      </c>
      <c r="L88" s="61"/>
      <c r="M88" s="62">
        <v>324</v>
      </c>
      <c r="N88" s="63" t="s">
        <v>284</v>
      </c>
      <c r="O88" s="61"/>
      <c r="P88" s="62"/>
      <c r="Q88" s="64"/>
      <c r="R88" s="61"/>
      <c r="S88" s="62"/>
      <c r="T88" s="64"/>
    </row>
    <row r="89" spans="1:20" x14ac:dyDescent="0.15">
      <c r="A89" s="58" t="s">
        <v>492</v>
      </c>
      <c r="B89" s="59"/>
      <c r="C89" s="60"/>
      <c r="D89" s="61"/>
      <c r="E89" s="60"/>
      <c r="F89" s="61"/>
      <c r="G89" s="62"/>
      <c r="H89" s="64"/>
      <c r="I89" s="61"/>
      <c r="J89" s="62"/>
      <c r="K89" s="64"/>
      <c r="L89" s="61"/>
      <c r="M89" s="62"/>
      <c r="N89" s="64"/>
      <c r="O89" s="61"/>
      <c r="P89" s="62">
        <v>2014</v>
      </c>
      <c r="Q89" s="63" t="s">
        <v>220</v>
      </c>
      <c r="R89" s="61"/>
      <c r="S89" s="62">
        <v>17792</v>
      </c>
      <c r="T89" s="64">
        <v>3</v>
      </c>
    </row>
    <row r="90" spans="1:20" x14ac:dyDescent="0.15">
      <c r="A90" s="58" t="s">
        <v>493</v>
      </c>
      <c r="B90" s="59"/>
      <c r="C90" s="60"/>
      <c r="D90" s="61"/>
      <c r="E90" s="60"/>
      <c r="F90" s="61"/>
      <c r="G90" s="62"/>
      <c r="H90" s="64"/>
      <c r="I90" s="61"/>
      <c r="J90" s="62"/>
      <c r="K90" s="64"/>
      <c r="L90" s="61"/>
      <c r="M90" s="62"/>
      <c r="N90" s="64"/>
      <c r="O90" s="61"/>
      <c r="P90" s="62">
        <v>632</v>
      </c>
      <c r="Q90" s="64"/>
      <c r="R90" s="61"/>
      <c r="S90" s="62">
        <v>4761</v>
      </c>
      <c r="T90" s="63" t="s">
        <v>343</v>
      </c>
    </row>
    <row r="91" spans="1:20" x14ac:dyDescent="0.15">
      <c r="A91" s="58" t="s">
        <v>494</v>
      </c>
      <c r="B91" s="59"/>
      <c r="C91" s="60"/>
      <c r="D91" s="61"/>
      <c r="E91" s="60"/>
      <c r="F91" s="61"/>
      <c r="G91" s="62"/>
      <c r="H91" s="64"/>
      <c r="I91" s="61"/>
      <c r="J91" s="62"/>
      <c r="K91" s="64"/>
      <c r="L91" s="61"/>
      <c r="M91" s="62"/>
      <c r="N91" s="64"/>
      <c r="O91" s="61"/>
      <c r="P91" s="62"/>
      <c r="Q91" s="64"/>
      <c r="R91" s="61"/>
      <c r="S91" s="62">
        <v>10086</v>
      </c>
      <c r="T91" s="64">
        <v>2</v>
      </c>
    </row>
    <row r="92" spans="1:20" x14ac:dyDescent="0.15">
      <c r="A92" s="58"/>
      <c r="B92" s="59"/>
      <c r="C92" s="60"/>
      <c r="D92" s="61"/>
      <c r="E92" s="60"/>
      <c r="F92" s="61"/>
      <c r="G92" s="62"/>
      <c r="H92" s="64"/>
      <c r="I92" s="61"/>
      <c r="J92" s="62"/>
      <c r="K92" s="64"/>
      <c r="L92" s="61"/>
      <c r="M92" s="62"/>
      <c r="N92" s="64"/>
      <c r="O92" s="61"/>
      <c r="P92" s="62"/>
      <c r="Q92" s="64"/>
      <c r="R92" s="61"/>
      <c r="S92" s="62"/>
      <c r="T92" s="64"/>
    </row>
    <row r="93" spans="1:20" x14ac:dyDescent="0.15">
      <c r="A93" s="58" t="s">
        <v>495</v>
      </c>
      <c r="B93" s="59"/>
      <c r="C93" s="60">
        <v>1355624</v>
      </c>
      <c r="D93" s="61"/>
      <c r="E93" s="60">
        <v>2453096</v>
      </c>
      <c r="F93" s="61"/>
      <c r="G93" s="62">
        <v>22327310</v>
      </c>
      <c r="H93" s="64">
        <v>6</v>
      </c>
      <c r="I93" s="61"/>
      <c r="J93" s="62">
        <v>2485015</v>
      </c>
      <c r="K93" s="63" t="s">
        <v>469</v>
      </c>
      <c r="L93" s="61"/>
      <c r="M93" s="62">
        <v>2321204</v>
      </c>
      <c r="N93" s="63" t="s">
        <v>47</v>
      </c>
      <c r="O93" s="61"/>
      <c r="P93" s="62">
        <v>2337171</v>
      </c>
      <c r="Q93" s="63" t="s">
        <v>50</v>
      </c>
      <c r="R93" s="61"/>
      <c r="S93" s="62">
        <v>2517044</v>
      </c>
      <c r="T93" s="63" t="s">
        <v>84</v>
      </c>
    </row>
    <row r="94" spans="1:20" s="27" customFormat="1" ht="14" thickBot="1" x14ac:dyDescent="0.2">
      <c r="A94" s="65"/>
      <c r="B94" s="66"/>
      <c r="C94" s="67">
        <f>SUM(C16:C91)</f>
        <v>1328624</v>
      </c>
      <c r="D94" s="68"/>
      <c r="E94" s="67">
        <f>SUM(E16:E91)</f>
        <v>2453096</v>
      </c>
      <c r="F94" s="68"/>
      <c r="G94" s="69">
        <f>SUM(G16:G91)</f>
        <v>2326396</v>
      </c>
      <c r="H94" s="70">
        <f>(116+H95)/8</f>
        <v>15.5</v>
      </c>
      <c r="I94" s="68"/>
      <c r="J94" s="69">
        <f>SUM(J16:J91)</f>
        <v>2485005</v>
      </c>
      <c r="K94" s="70">
        <f>(88+K95)/8</f>
        <v>12.1875</v>
      </c>
      <c r="L94" s="68"/>
      <c r="M94" s="69">
        <f>SUM(M16:M91)</f>
        <v>2221192</v>
      </c>
      <c r="N94" s="70">
        <f>(74+N95)/8</f>
        <v>10.1875</v>
      </c>
      <c r="O94" s="68"/>
      <c r="P94" s="69">
        <f>SUM(P16:P91)</f>
        <v>2337161</v>
      </c>
      <c r="Q94" s="70">
        <f>(75+Q95)/8</f>
        <v>10.5625</v>
      </c>
      <c r="R94" s="68"/>
      <c r="S94" s="69">
        <f>SUM(S16:S91)</f>
        <v>2516635</v>
      </c>
      <c r="T94" s="70">
        <f>(97+T95)/8</f>
        <v>13.0625</v>
      </c>
    </row>
    <row r="95" spans="1:20" s="27" customFormat="1" x14ac:dyDescent="0.15">
      <c r="A95" s="12"/>
      <c r="B95" s="12"/>
      <c r="G95" s="27">
        <f>G94+H94</f>
        <v>2326411.5</v>
      </c>
      <c r="H95" s="27">
        <v>8</v>
      </c>
      <c r="J95" s="27">
        <f>J94+K94</f>
        <v>2485017.1875</v>
      </c>
      <c r="K95" s="15">
        <v>9.5</v>
      </c>
      <c r="M95" s="27">
        <f>M94+N94</f>
        <v>2221202.1875</v>
      </c>
      <c r="N95" s="15">
        <v>7.5</v>
      </c>
      <c r="P95" s="27">
        <f>P94+Q94</f>
        <v>2337171.5625</v>
      </c>
      <c r="Q95" s="15">
        <v>9.5</v>
      </c>
      <c r="S95" s="27">
        <f>S94+T94</f>
        <v>2516648.0625</v>
      </c>
      <c r="T95" s="27">
        <v>7.5</v>
      </c>
    </row>
    <row r="96" spans="1:20" x14ac:dyDescent="0.15">
      <c r="A96" t="s">
        <v>496</v>
      </c>
    </row>
    <row r="97" spans="1:12" x14ac:dyDescent="0.15">
      <c r="A97" t="s">
        <v>497</v>
      </c>
    </row>
    <row r="98" spans="1:12" x14ac:dyDescent="0.15">
      <c r="A98" t="s">
        <v>498</v>
      </c>
    </row>
    <row r="99" spans="1:12" x14ac:dyDescent="0.15">
      <c r="A99" t="s">
        <v>499</v>
      </c>
    </row>
    <row r="101" spans="1:12" x14ac:dyDescent="0.15">
      <c r="A101" t="s">
        <v>500</v>
      </c>
    </row>
    <row r="102" spans="1:12" x14ac:dyDescent="0.15">
      <c r="A102" t="s">
        <v>501</v>
      </c>
    </row>
    <row r="104" spans="1:12" x14ac:dyDescent="0.15">
      <c r="A104" t="s">
        <v>502</v>
      </c>
    </row>
    <row r="105" spans="1:12" x14ac:dyDescent="0.15">
      <c r="A105" t="s">
        <v>503</v>
      </c>
    </row>
    <row r="107" spans="1:12" x14ac:dyDescent="0.15">
      <c r="C107" s="71">
        <v>1832</v>
      </c>
      <c r="D107" s="71"/>
      <c r="E107" s="71">
        <v>1833</v>
      </c>
      <c r="F107" s="71"/>
      <c r="G107" s="71">
        <v>1834</v>
      </c>
      <c r="H107" s="71"/>
      <c r="I107" s="71">
        <v>1835</v>
      </c>
      <c r="J107" s="71"/>
      <c r="K107" s="71">
        <v>1836</v>
      </c>
      <c r="L107" s="71"/>
    </row>
    <row r="108" spans="1:12" x14ac:dyDescent="0.15">
      <c r="C108" s="72" t="s">
        <v>381</v>
      </c>
      <c r="D108" s="72" t="s">
        <v>330</v>
      </c>
      <c r="E108" s="72" t="s">
        <v>381</v>
      </c>
      <c r="F108" s="72" t="s">
        <v>330</v>
      </c>
      <c r="G108" s="72" t="s">
        <v>381</v>
      </c>
      <c r="H108" s="72" t="s">
        <v>330</v>
      </c>
      <c r="I108" s="72" t="s">
        <v>381</v>
      </c>
      <c r="J108" s="72" t="s">
        <v>330</v>
      </c>
      <c r="K108" s="72" t="s">
        <v>381</v>
      </c>
      <c r="L108" s="72" t="s">
        <v>330</v>
      </c>
    </row>
    <row r="109" spans="1:12" x14ac:dyDescent="0.15">
      <c r="A109" t="s">
        <v>504</v>
      </c>
      <c r="C109" s="7">
        <v>2327310</v>
      </c>
      <c r="D109" s="7">
        <v>6</v>
      </c>
      <c r="E109" s="7">
        <v>2485015</v>
      </c>
      <c r="F109" s="10" t="s">
        <v>317</v>
      </c>
      <c r="G109" s="7">
        <v>2321204</v>
      </c>
      <c r="H109" s="10" t="s">
        <v>505</v>
      </c>
      <c r="I109" s="7">
        <v>2337171</v>
      </c>
      <c r="J109" s="10" t="s">
        <v>506</v>
      </c>
      <c r="K109" s="7">
        <v>2517044</v>
      </c>
      <c r="L109" s="10" t="s">
        <v>84</v>
      </c>
    </row>
    <row r="110" spans="1:12" x14ac:dyDescent="0.15">
      <c r="A110" t="s">
        <v>507</v>
      </c>
    </row>
    <row r="111" spans="1:12" x14ac:dyDescent="0.15">
      <c r="A111" t="s">
        <v>508</v>
      </c>
      <c r="C111" s="7">
        <v>2272971</v>
      </c>
      <c r="E111" s="7">
        <v>2272971</v>
      </c>
      <c r="G111" s="7">
        <v>2272971</v>
      </c>
      <c r="I111" s="7">
        <v>2272971</v>
      </c>
      <c r="K111" s="7">
        <v>2088491</v>
      </c>
    </row>
    <row r="113" spans="1:12" x14ac:dyDescent="0.15">
      <c r="A113" t="s">
        <v>509</v>
      </c>
      <c r="C113" s="7">
        <v>54339</v>
      </c>
      <c r="D113" s="7">
        <v>6</v>
      </c>
      <c r="E113" s="7">
        <v>212044</v>
      </c>
      <c r="F113" s="10" t="s">
        <v>317</v>
      </c>
      <c r="G113" s="7">
        <v>48333</v>
      </c>
      <c r="H113" s="10" t="s">
        <v>505</v>
      </c>
      <c r="I113" s="7">
        <v>64200</v>
      </c>
      <c r="J113" s="10" t="s">
        <v>506</v>
      </c>
      <c r="K113" s="7">
        <v>428553</v>
      </c>
      <c r="L113" s="10" t="s">
        <v>84</v>
      </c>
    </row>
    <row r="115" spans="1:12" x14ac:dyDescent="0.15">
      <c r="A115" t="s">
        <v>510</v>
      </c>
    </row>
    <row r="116" spans="1:12" x14ac:dyDescent="0.15">
      <c r="A116" s="7" t="s">
        <v>511</v>
      </c>
    </row>
  </sheetData>
  <mergeCells count="28">
    <mergeCell ref="D11:E11"/>
    <mergeCell ref="L11:N11"/>
    <mergeCell ref="L12:N12"/>
    <mergeCell ref="L13:N13"/>
    <mergeCell ref="L14:N14"/>
    <mergeCell ref="C107:D107"/>
    <mergeCell ref="E107:F107"/>
    <mergeCell ref="G107:H107"/>
    <mergeCell ref="I107:J107"/>
    <mergeCell ref="K107:L107"/>
    <mergeCell ref="B10:C10"/>
    <mergeCell ref="D10:E10"/>
    <mergeCell ref="I10:K10"/>
    <mergeCell ref="L10:N10"/>
    <mergeCell ref="O10:Q10"/>
    <mergeCell ref="R10:T10"/>
    <mergeCell ref="D9:E9"/>
    <mergeCell ref="F9:H9"/>
    <mergeCell ref="I9:K9"/>
    <mergeCell ref="L9:N9"/>
    <mergeCell ref="O9:Q9"/>
    <mergeCell ref="R9:T9"/>
    <mergeCell ref="D8:E8"/>
    <mergeCell ref="F8:H8"/>
    <mergeCell ref="I8:K8"/>
    <mergeCell ref="L8:N8"/>
    <mergeCell ref="O8:Q8"/>
    <mergeCell ref="R8:T8"/>
  </mergeCells>
  <pageMargins left="0.75" right="0.75" top="1" bottom="1" header="0.5" footer="0.5"/>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8"/>
  <sheetViews>
    <sheetView workbookViewId="0">
      <selection activeCell="B1" sqref="B1"/>
    </sheetView>
  </sheetViews>
  <sheetFormatPr baseColWidth="10" defaultRowHeight="13" x14ac:dyDescent="0.15"/>
  <cols>
    <col min="1" max="1" width="67.5" bestFit="1" customWidth="1"/>
    <col min="2" max="2" width="10.83203125" style="7" hidden="1" customWidth="1"/>
    <col min="3" max="3" width="10.83203125" style="19" hidden="1" customWidth="1"/>
    <col min="4" max="4" width="10.83203125" style="7"/>
    <col min="5" max="7" width="10.83203125" style="19"/>
    <col min="8" max="16384" width="10.83203125" style="7"/>
  </cols>
  <sheetData>
    <row r="1" spans="1:10" customFormat="1" x14ac:dyDescent="0.15">
      <c r="A1" s="6" t="s">
        <v>512</v>
      </c>
    </row>
    <row r="2" spans="1:10" x14ac:dyDescent="0.15">
      <c r="B2" s="26" t="s">
        <v>381</v>
      </c>
      <c r="C2" s="26" t="s">
        <v>330</v>
      </c>
      <c r="D2" s="26" t="s">
        <v>381</v>
      </c>
      <c r="E2" s="26" t="s">
        <v>330</v>
      </c>
      <c r="F2" s="26" t="s">
        <v>381</v>
      </c>
      <c r="G2" s="26" t="s">
        <v>330</v>
      </c>
      <c r="H2" s="26"/>
    </row>
    <row r="3" spans="1:10" x14ac:dyDescent="0.15">
      <c r="A3" s="6" t="s">
        <v>513</v>
      </c>
      <c r="C3" s="7"/>
      <c r="E3" s="7"/>
      <c r="F3" s="7"/>
      <c r="G3" s="7"/>
    </row>
    <row r="4" spans="1:10" x14ac:dyDescent="0.15">
      <c r="A4" t="s">
        <v>514</v>
      </c>
      <c r="C4" s="7"/>
      <c r="E4" s="7"/>
      <c r="F4" s="7">
        <v>374561</v>
      </c>
      <c r="G4" s="7">
        <v>4</v>
      </c>
    </row>
    <row r="5" spans="1:10" x14ac:dyDescent="0.15">
      <c r="A5" t="s">
        <v>515</v>
      </c>
      <c r="C5" s="7"/>
      <c r="E5" s="7"/>
      <c r="F5" s="7">
        <v>274224</v>
      </c>
      <c r="G5" s="10" t="s">
        <v>516</v>
      </c>
      <c r="H5" s="10"/>
    </row>
    <row r="6" spans="1:10" x14ac:dyDescent="0.15">
      <c r="A6" t="s">
        <v>517</v>
      </c>
      <c r="C6" s="7"/>
      <c r="F6" s="7">
        <v>31101</v>
      </c>
      <c r="G6" s="19">
        <v>5</v>
      </c>
      <c r="H6" s="19"/>
    </row>
    <row r="7" spans="1:10" x14ac:dyDescent="0.15">
      <c r="A7" t="s">
        <v>518</v>
      </c>
      <c r="C7" s="7"/>
      <c r="F7" s="7">
        <v>2802</v>
      </c>
      <c r="G7" s="10" t="s">
        <v>519</v>
      </c>
      <c r="H7" s="10"/>
    </row>
    <row r="8" spans="1:10" x14ac:dyDescent="0.15">
      <c r="A8" t="s">
        <v>520</v>
      </c>
      <c r="C8" s="7"/>
      <c r="F8" s="7">
        <v>334969</v>
      </c>
      <c r="G8" s="19">
        <v>4</v>
      </c>
      <c r="H8" s="19"/>
    </row>
    <row r="9" spans="1:10" x14ac:dyDescent="0.15">
      <c r="A9" t="s">
        <v>521</v>
      </c>
      <c r="C9" s="7"/>
      <c r="F9" s="7">
        <v>24526</v>
      </c>
      <c r="H9" s="19"/>
    </row>
    <row r="10" spans="1:10" x14ac:dyDescent="0.15">
      <c r="C10" s="7"/>
      <c r="F10" s="7">
        <v>1042185</v>
      </c>
      <c r="G10" s="10" t="s">
        <v>519</v>
      </c>
      <c r="H10" s="10"/>
      <c r="I10" s="27">
        <f>SUM(F4:F9)</f>
        <v>1042183</v>
      </c>
      <c r="J10" s="27">
        <f>(17+J11)/8</f>
        <v>2.3125</v>
      </c>
    </row>
    <row r="11" spans="1:10" x14ac:dyDescent="0.15">
      <c r="C11" s="7"/>
      <c r="F11" s="7"/>
      <c r="G11" s="10"/>
      <c r="H11" s="10"/>
      <c r="I11" s="27">
        <f>+I10+J10</f>
        <v>1042185.3125</v>
      </c>
      <c r="J11" s="27">
        <v>1.5</v>
      </c>
    </row>
    <row r="12" spans="1:10" x14ac:dyDescent="0.15">
      <c r="A12" s="6" t="s">
        <v>522</v>
      </c>
      <c r="C12" s="7"/>
      <c r="F12" s="7"/>
      <c r="H12" s="19"/>
    </row>
    <row r="13" spans="1:10" x14ac:dyDescent="0.15">
      <c r="A13" t="s">
        <v>523</v>
      </c>
      <c r="C13" s="7"/>
      <c r="E13" s="10"/>
      <c r="F13" s="7">
        <v>1006291</v>
      </c>
      <c r="G13" s="19" t="s">
        <v>524</v>
      </c>
      <c r="H13" s="19"/>
    </row>
    <row r="14" spans="1:10" x14ac:dyDescent="0.15">
      <c r="A14" t="s">
        <v>525</v>
      </c>
      <c r="C14" s="7"/>
      <c r="D14" s="7">
        <v>11438</v>
      </c>
      <c r="E14" s="10" t="s">
        <v>315</v>
      </c>
      <c r="F14" s="7"/>
      <c r="H14" s="19"/>
    </row>
    <row r="15" spans="1:10" x14ac:dyDescent="0.15">
      <c r="A15" t="s">
        <v>526</v>
      </c>
      <c r="C15" s="7"/>
      <c r="D15" s="7">
        <v>15986</v>
      </c>
      <c r="E15" s="10" t="s">
        <v>280</v>
      </c>
      <c r="F15" s="7"/>
      <c r="H15" s="19"/>
    </row>
    <row r="16" spans="1:10" x14ac:dyDescent="0.15">
      <c r="A16" t="s">
        <v>527</v>
      </c>
      <c r="C16" s="7"/>
      <c r="D16" s="7">
        <v>73</v>
      </c>
      <c r="E16" s="10" t="s">
        <v>320</v>
      </c>
      <c r="F16" s="7"/>
      <c r="H16" s="19"/>
    </row>
    <row r="17" spans="1:10" x14ac:dyDescent="0.15">
      <c r="A17" t="s">
        <v>528</v>
      </c>
      <c r="C17" s="7"/>
      <c r="F17" s="7"/>
      <c r="H17" s="19"/>
    </row>
    <row r="18" spans="1:10" x14ac:dyDescent="0.15">
      <c r="A18" t="s">
        <v>529</v>
      </c>
      <c r="C18" s="7"/>
      <c r="D18" s="7">
        <v>305325</v>
      </c>
      <c r="E18" s="10" t="s">
        <v>457</v>
      </c>
      <c r="F18" s="7">
        <v>332823</v>
      </c>
      <c r="G18" s="10" t="s">
        <v>530</v>
      </c>
      <c r="H18" s="10"/>
      <c r="I18" s="27">
        <f>SUM(D14:D18)</f>
        <v>332822</v>
      </c>
      <c r="J18" s="73" t="s">
        <v>531</v>
      </c>
    </row>
    <row r="19" spans="1:10" x14ac:dyDescent="0.15">
      <c r="C19" s="7"/>
      <c r="F19" s="7"/>
      <c r="H19" s="19"/>
      <c r="I19" s="27">
        <f>I18+J19</f>
        <v>332823.625</v>
      </c>
      <c r="J19" s="27">
        <f>13/8</f>
        <v>1.625</v>
      </c>
    </row>
    <row r="20" spans="1:10" x14ac:dyDescent="0.15">
      <c r="A20" t="s">
        <v>532</v>
      </c>
      <c r="C20" s="7"/>
      <c r="F20" s="7">
        <v>673467</v>
      </c>
      <c r="G20" s="10" t="s">
        <v>533</v>
      </c>
      <c r="H20" s="10"/>
      <c r="I20" s="27">
        <f>F13-F18</f>
        <v>673468</v>
      </c>
    </row>
    <row r="21" spans="1:10" x14ac:dyDescent="0.15">
      <c r="C21" s="7"/>
      <c r="F21" s="7"/>
      <c r="H21" s="19"/>
    </row>
    <row r="22" spans="1:10" x14ac:dyDescent="0.15">
      <c r="A22" t="s">
        <v>465</v>
      </c>
      <c r="C22" s="7"/>
      <c r="F22" s="7">
        <v>79956</v>
      </c>
      <c r="G22" s="19">
        <v>3</v>
      </c>
      <c r="H22" s="19"/>
    </row>
    <row r="23" spans="1:10" x14ac:dyDescent="0.15">
      <c r="A23" t="s">
        <v>534</v>
      </c>
      <c r="C23" s="7"/>
      <c r="F23" s="7">
        <v>657939</v>
      </c>
      <c r="G23" s="10" t="s">
        <v>315</v>
      </c>
      <c r="H23" s="10"/>
    </row>
    <row r="24" spans="1:10" x14ac:dyDescent="0.15">
      <c r="A24" t="s">
        <v>458</v>
      </c>
      <c r="C24" s="7"/>
      <c r="F24" s="7">
        <v>114762</v>
      </c>
      <c r="G24" s="19">
        <v>6</v>
      </c>
      <c r="H24" s="19"/>
    </row>
    <row r="25" spans="1:10" x14ac:dyDescent="0.15">
      <c r="A25" t="s">
        <v>445</v>
      </c>
      <c r="C25" s="7"/>
      <c r="F25" s="7">
        <v>666446</v>
      </c>
      <c r="G25" s="10" t="s">
        <v>535</v>
      </c>
      <c r="H25" s="10"/>
    </row>
    <row r="26" spans="1:10" x14ac:dyDescent="0.15">
      <c r="A26" t="s">
        <v>536</v>
      </c>
      <c r="C26" s="7"/>
      <c r="F26" s="7">
        <v>2192572</v>
      </c>
      <c r="G26" s="19">
        <v>5</v>
      </c>
      <c r="H26" s="19"/>
      <c r="I26" s="27">
        <f>SUM(F22:F25)+F20</f>
        <v>2192570</v>
      </c>
      <c r="J26" s="27">
        <f>(5+3+6+6+5)</f>
        <v>25</v>
      </c>
    </row>
    <row r="27" spans="1:10" x14ac:dyDescent="0.15">
      <c r="C27" s="7"/>
      <c r="F27" s="7"/>
      <c r="H27" s="19"/>
      <c r="I27" s="27">
        <f>I26+J27</f>
        <v>2192573.125</v>
      </c>
      <c r="J27" s="27">
        <f>J26/8</f>
        <v>3.125</v>
      </c>
    </row>
    <row r="28" spans="1:10" x14ac:dyDescent="0.15">
      <c r="A28" t="s">
        <v>537</v>
      </c>
      <c r="C28" s="7"/>
      <c r="F28" s="7"/>
      <c r="H28" s="19"/>
    </row>
    <row r="29" spans="1:10" x14ac:dyDescent="0.15">
      <c r="A29" t="s">
        <v>538</v>
      </c>
      <c r="C29" s="7"/>
      <c r="D29" s="7">
        <v>1810339</v>
      </c>
      <c r="E29" s="10" t="s">
        <v>539</v>
      </c>
      <c r="F29" s="7"/>
      <c r="H29" s="19"/>
    </row>
    <row r="30" spans="1:10" x14ac:dyDescent="0.15">
      <c r="A30" t="s">
        <v>540</v>
      </c>
      <c r="C30" s="7"/>
      <c r="D30" s="7">
        <v>43722</v>
      </c>
      <c r="E30" s="10" t="s">
        <v>541</v>
      </c>
      <c r="F30" s="7"/>
      <c r="H30" s="19"/>
    </row>
    <row r="31" spans="1:10" x14ac:dyDescent="0.15">
      <c r="A31" t="s">
        <v>542</v>
      </c>
      <c r="C31" s="7"/>
      <c r="D31" s="7">
        <v>444224</v>
      </c>
      <c r="E31" s="10" t="s">
        <v>543</v>
      </c>
      <c r="F31" s="7">
        <v>2298346</v>
      </c>
      <c r="G31" s="19">
        <v>3</v>
      </c>
      <c r="H31" s="19"/>
      <c r="I31" s="27">
        <f>SUM(D29:D31)</f>
        <v>2298285</v>
      </c>
      <c r="J31" s="27">
        <v>10.5</v>
      </c>
    </row>
    <row r="32" spans="1:10" x14ac:dyDescent="0.15">
      <c r="A32" t="s">
        <v>544</v>
      </c>
      <c r="C32" s="7"/>
      <c r="F32" s="7">
        <v>105773</v>
      </c>
      <c r="G32" s="19">
        <v>6</v>
      </c>
      <c r="H32" s="19"/>
      <c r="I32" s="27">
        <f>I31+J32</f>
        <v>2298286.3125</v>
      </c>
      <c r="J32" s="27">
        <f>J31/8</f>
        <v>1.3125</v>
      </c>
    </row>
    <row r="33" spans="1:10" x14ac:dyDescent="0.15">
      <c r="A33" t="s">
        <v>545</v>
      </c>
      <c r="C33" s="7"/>
      <c r="F33" s="7">
        <v>936411</v>
      </c>
      <c r="G33" s="10" t="s">
        <v>546</v>
      </c>
      <c r="H33" s="10"/>
      <c r="I33" s="27">
        <f>F26-F31</f>
        <v>-105774</v>
      </c>
      <c r="J33" s="27">
        <f>G26-G32</f>
        <v>-1</v>
      </c>
    </row>
    <row r="34" spans="1:10" x14ac:dyDescent="0.15">
      <c r="A34" t="s">
        <v>547</v>
      </c>
      <c r="C34" s="7"/>
      <c r="D34" s="7">
        <v>363727</v>
      </c>
      <c r="E34" s="10" t="s">
        <v>255</v>
      </c>
      <c r="F34" s="7"/>
      <c r="H34" s="19"/>
      <c r="I34" s="27">
        <f>I33-J34</f>
        <v>-105773.875</v>
      </c>
      <c r="J34" s="27">
        <f>J33/8</f>
        <v>-0.125</v>
      </c>
    </row>
    <row r="35" spans="1:10" x14ac:dyDescent="0.15">
      <c r="A35" t="s">
        <v>548</v>
      </c>
      <c r="C35" s="7"/>
      <c r="D35" s="7">
        <v>30520</v>
      </c>
      <c r="F35" s="7"/>
      <c r="H35" s="19"/>
      <c r="I35" s="15">
        <f>F10-F32</f>
        <v>936412</v>
      </c>
      <c r="J35" s="7">
        <f>2-G32</f>
        <v>-4</v>
      </c>
    </row>
    <row r="36" spans="1:10" x14ac:dyDescent="0.15">
      <c r="A36" t="s">
        <v>549</v>
      </c>
      <c r="C36" s="7"/>
      <c r="D36" s="7">
        <v>259384</v>
      </c>
      <c r="E36" s="10" t="s">
        <v>516</v>
      </c>
      <c r="F36" s="7"/>
      <c r="H36" s="19"/>
      <c r="I36" s="15">
        <f>+I35+J36</f>
        <v>936411.5</v>
      </c>
      <c r="J36" s="7">
        <f>J35/8</f>
        <v>-0.5</v>
      </c>
    </row>
    <row r="37" spans="1:10" x14ac:dyDescent="0.15">
      <c r="A37" t="s">
        <v>550</v>
      </c>
      <c r="C37" s="7"/>
      <c r="D37" s="7">
        <v>3017</v>
      </c>
      <c r="E37" s="10" t="s">
        <v>541</v>
      </c>
      <c r="F37" s="7"/>
      <c r="H37" s="19"/>
    </row>
    <row r="38" spans="1:10" x14ac:dyDescent="0.15">
      <c r="A38" t="s">
        <v>551</v>
      </c>
      <c r="C38" s="7"/>
      <c r="D38" s="7">
        <v>4105</v>
      </c>
      <c r="E38" s="10" t="s">
        <v>459</v>
      </c>
      <c r="F38" s="7"/>
      <c r="H38" s="19"/>
    </row>
    <row r="39" spans="1:10" x14ac:dyDescent="0.15">
      <c r="A39" t="s">
        <v>552</v>
      </c>
      <c r="C39" s="7"/>
      <c r="D39" s="7">
        <v>7602</v>
      </c>
      <c r="E39" s="10" t="s">
        <v>553</v>
      </c>
      <c r="F39" s="7"/>
      <c r="H39" s="19"/>
    </row>
    <row r="40" spans="1:10" x14ac:dyDescent="0.15">
      <c r="A40" t="s">
        <v>554</v>
      </c>
      <c r="C40" s="7"/>
      <c r="D40" s="19">
        <v>668358</v>
      </c>
      <c r="E40" s="10" t="s">
        <v>555</v>
      </c>
      <c r="F40" s="7"/>
      <c r="H40" s="19"/>
      <c r="I40" s="27">
        <f>SUM(D34:D39)</f>
        <v>668355</v>
      </c>
      <c r="J40" s="27">
        <f>3.5+21</f>
        <v>24.5</v>
      </c>
    </row>
    <row r="41" spans="1:10" x14ac:dyDescent="0.15">
      <c r="C41" s="7"/>
      <c r="F41" s="7"/>
      <c r="H41" s="19"/>
      <c r="I41" s="27">
        <f>I40+J41</f>
        <v>668358.0625</v>
      </c>
      <c r="J41" s="27">
        <f>J40/8</f>
        <v>3.0625</v>
      </c>
    </row>
    <row r="42" spans="1:10" x14ac:dyDescent="0.15">
      <c r="A42" t="s">
        <v>556</v>
      </c>
      <c r="C42" s="7"/>
      <c r="D42" s="7">
        <v>134952</v>
      </c>
      <c r="E42" s="10" t="s">
        <v>557</v>
      </c>
      <c r="F42" s="7"/>
      <c r="H42" s="19"/>
    </row>
    <row r="43" spans="1:10" x14ac:dyDescent="0.15">
      <c r="A43" t="s">
        <v>558</v>
      </c>
      <c r="C43" s="7"/>
      <c r="D43" s="7">
        <v>57773</v>
      </c>
      <c r="E43" s="19">
        <v>2</v>
      </c>
      <c r="F43" s="7"/>
      <c r="H43" s="19"/>
    </row>
    <row r="44" spans="1:10" x14ac:dyDescent="0.15">
      <c r="A44" t="s">
        <v>559</v>
      </c>
      <c r="C44" s="7"/>
      <c r="D44" s="7">
        <v>52391</v>
      </c>
      <c r="E44" s="10" t="s">
        <v>229</v>
      </c>
      <c r="F44" s="7"/>
      <c r="H44" s="19"/>
    </row>
    <row r="45" spans="1:10" x14ac:dyDescent="0.15">
      <c r="A45" t="s">
        <v>560</v>
      </c>
      <c r="C45" s="7"/>
      <c r="D45" s="7">
        <v>245308</v>
      </c>
      <c r="F45" s="7"/>
      <c r="H45" s="19"/>
    </row>
    <row r="46" spans="1:10" x14ac:dyDescent="0.15">
      <c r="A46" t="s">
        <v>561</v>
      </c>
      <c r="C46" s="7"/>
      <c r="D46" s="7">
        <v>48065</v>
      </c>
      <c r="E46" s="10" t="s">
        <v>112</v>
      </c>
      <c r="F46" s="7"/>
      <c r="H46" s="19"/>
    </row>
    <row r="47" spans="1:10" x14ac:dyDescent="0.15">
      <c r="A47" t="s">
        <v>562</v>
      </c>
      <c r="C47" s="7"/>
      <c r="D47" s="7">
        <v>3238</v>
      </c>
      <c r="E47" s="10" t="s">
        <v>557</v>
      </c>
      <c r="F47" s="7"/>
      <c r="H47" s="19"/>
    </row>
    <row r="48" spans="1:10" x14ac:dyDescent="0.15">
      <c r="A48" t="s">
        <v>563</v>
      </c>
      <c r="C48" s="7"/>
      <c r="D48" s="7">
        <v>3417</v>
      </c>
      <c r="E48" s="10" t="s">
        <v>284</v>
      </c>
      <c r="F48" s="7"/>
      <c r="H48" s="19"/>
    </row>
    <row r="49" spans="1:10" x14ac:dyDescent="0.15">
      <c r="A49" t="s">
        <v>564</v>
      </c>
      <c r="C49" s="7"/>
      <c r="D49" s="19">
        <v>545147</v>
      </c>
      <c r="E49" s="7">
        <v>2</v>
      </c>
      <c r="F49" s="7"/>
      <c r="H49" s="19"/>
      <c r="I49" s="27">
        <f>SUM(D42:D48)</f>
        <v>545144</v>
      </c>
      <c r="J49" s="27">
        <f>2.5+24</f>
        <v>26.5</v>
      </c>
    </row>
    <row r="50" spans="1:10" x14ac:dyDescent="0.15">
      <c r="C50" s="7"/>
      <c r="F50" s="7"/>
      <c r="H50" s="19"/>
      <c r="I50" s="27">
        <f>I49+J50</f>
        <v>545147.3125</v>
      </c>
      <c r="J50" s="27">
        <f>J49/8</f>
        <v>3.3125</v>
      </c>
    </row>
    <row r="51" spans="1:10" x14ac:dyDescent="0.15">
      <c r="A51" t="s">
        <v>565</v>
      </c>
      <c r="B51" s="7">
        <v>18430</v>
      </c>
      <c r="C51" s="10" t="s">
        <v>543</v>
      </c>
      <c r="G51" s="7"/>
      <c r="H51" s="19"/>
    </row>
    <row r="52" spans="1:10" x14ac:dyDescent="0.15">
      <c r="A52" t="s">
        <v>566</v>
      </c>
      <c r="B52" s="7">
        <v>223663</v>
      </c>
      <c r="C52" s="19" t="s">
        <v>567</v>
      </c>
      <c r="D52" s="7">
        <v>277093</v>
      </c>
      <c r="E52" s="19" t="s">
        <v>568</v>
      </c>
      <c r="F52" s="19">
        <v>269053</v>
      </c>
      <c r="G52" s="19" t="s">
        <v>569</v>
      </c>
      <c r="H52" s="19"/>
    </row>
    <row r="53" spans="1:10" x14ac:dyDescent="0.15">
      <c r="A53" t="s">
        <v>570</v>
      </c>
      <c r="F53" s="19">
        <v>936411</v>
      </c>
      <c r="G53" s="10" t="s">
        <v>284</v>
      </c>
    </row>
    <row r="54" spans="1:10" x14ac:dyDescent="0.15">
      <c r="G54" s="7"/>
    </row>
    <row r="55" spans="1:10" x14ac:dyDescent="0.15">
      <c r="A55" t="s">
        <v>571</v>
      </c>
      <c r="F55" s="19">
        <v>2517044</v>
      </c>
      <c r="G55" s="10" t="s">
        <v>284</v>
      </c>
    </row>
    <row r="56" spans="1:10" x14ac:dyDescent="0.15">
      <c r="A56" t="s">
        <v>572</v>
      </c>
      <c r="F56" s="19">
        <v>2192572</v>
      </c>
      <c r="G56" s="7">
        <v>5</v>
      </c>
    </row>
    <row r="57" spans="1:10" x14ac:dyDescent="0.15">
      <c r="A57" t="s">
        <v>573</v>
      </c>
      <c r="F57" s="19">
        <v>324471</v>
      </c>
      <c r="G57" s="10" t="s">
        <v>557</v>
      </c>
    </row>
    <row r="58" spans="1:10" customFormat="1" x14ac:dyDescent="0.15">
      <c r="C58" s="74"/>
      <c r="E58" s="74"/>
      <c r="F58" s="74"/>
    </row>
    <row r="59" spans="1:10" customFormat="1" x14ac:dyDescent="0.15">
      <c r="A59" t="s">
        <v>574</v>
      </c>
      <c r="C59" s="74"/>
      <c r="E59" s="74"/>
      <c r="F59" s="74"/>
    </row>
    <row r="60" spans="1:10" customFormat="1" x14ac:dyDescent="0.15">
      <c r="B60" s="26" t="s">
        <v>381</v>
      </c>
      <c r="C60" s="26" t="s">
        <v>330</v>
      </c>
      <c r="E60" s="74"/>
      <c r="F60" s="74"/>
    </row>
    <row r="61" spans="1:10" x14ac:dyDescent="0.15">
      <c r="A61" t="s">
        <v>575</v>
      </c>
      <c r="B61" s="7">
        <v>2192572</v>
      </c>
      <c r="C61" s="7">
        <v>2</v>
      </c>
      <c r="G61" s="7"/>
    </row>
    <row r="62" spans="1:10" x14ac:dyDescent="0.15">
      <c r="A62" t="s">
        <v>383</v>
      </c>
      <c r="B62" s="7">
        <v>2298346</v>
      </c>
      <c r="C62" s="7">
        <v>3</v>
      </c>
      <c r="G62" s="7"/>
    </row>
    <row r="63" spans="1:10" x14ac:dyDescent="0.15">
      <c r="A63" t="s">
        <v>576</v>
      </c>
      <c r="B63" s="7">
        <v>105773</v>
      </c>
      <c r="C63" s="7">
        <v>6</v>
      </c>
      <c r="G63" s="7"/>
    </row>
    <row r="64" spans="1:10" x14ac:dyDescent="0.15">
      <c r="C64" s="7"/>
      <c r="G64" s="7"/>
    </row>
    <row r="65" spans="1:7" x14ac:dyDescent="0.15">
      <c r="C65" s="7"/>
      <c r="G65" s="7"/>
    </row>
    <row r="66" spans="1:7" x14ac:dyDescent="0.15">
      <c r="C66" s="7"/>
      <c r="G66" s="7"/>
    </row>
    <row r="67" spans="1:7" x14ac:dyDescent="0.15">
      <c r="A67" s="6" t="s">
        <v>577</v>
      </c>
      <c r="C67" s="7"/>
      <c r="G67" s="7"/>
    </row>
    <row r="68" spans="1:7" x14ac:dyDescent="0.15">
      <c r="A68" s="6" t="s">
        <v>578</v>
      </c>
      <c r="C68" s="7"/>
      <c r="G68" s="7"/>
    </row>
    <row r="69" spans="1:7" x14ac:dyDescent="0.15">
      <c r="C69" s="7"/>
      <c r="G69" s="7"/>
    </row>
    <row r="70" spans="1:7" x14ac:dyDescent="0.15">
      <c r="C70" s="7"/>
      <c r="G70" s="7"/>
    </row>
    <row r="71" spans="1:7" x14ac:dyDescent="0.15">
      <c r="B71" s="26" t="s">
        <v>381</v>
      </c>
      <c r="C71" s="26" t="s">
        <v>330</v>
      </c>
      <c r="D71" s="26" t="s">
        <v>381</v>
      </c>
      <c r="E71" s="26" t="s">
        <v>330</v>
      </c>
      <c r="F71" s="26" t="s">
        <v>381</v>
      </c>
      <c r="G71" s="26" t="s">
        <v>330</v>
      </c>
    </row>
    <row r="72" spans="1:7" x14ac:dyDescent="0.15">
      <c r="A72" s="6" t="s">
        <v>513</v>
      </c>
      <c r="C72" s="7"/>
      <c r="E72" s="7"/>
      <c r="F72" s="7"/>
      <c r="G72" s="7"/>
    </row>
    <row r="73" spans="1:7" x14ac:dyDescent="0.15">
      <c r="A73" t="s">
        <v>514</v>
      </c>
      <c r="C73" s="7"/>
      <c r="E73" s="7"/>
      <c r="F73" s="7">
        <v>374561</v>
      </c>
      <c r="G73" s="7">
        <v>4</v>
      </c>
    </row>
    <row r="74" spans="1:7" x14ac:dyDescent="0.15">
      <c r="A74" t="s">
        <v>515</v>
      </c>
      <c r="C74" s="7"/>
      <c r="E74" s="7"/>
      <c r="F74" s="7">
        <v>274224</v>
      </c>
      <c r="G74" s="10" t="s">
        <v>516</v>
      </c>
    </row>
    <row r="75" spans="1:7" x14ac:dyDescent="0.15">
      <c r="A75" t="s">
        <v>579</v>
      </c>
      <c r="C75" s="7"/>
      <c r="F75" s="7">
        <v>31101</v>
      </c>
      <c r="G75" s="19">
        <v>5</v>
      </c>
    </row>
    <row r="76" spans="1:7" x14ac:dyDescent="0.15">
      <c r="A76" t="s">
        <v>518</v>
      </c>
      <c r="C76" s="7"/>
      <c r="F76" s="7">
        <v>2802</v>
      </c>
      <c r="G76" s="10" t="s">
        <v>519</v>
      </c>
    </row>
    <row r="77" spans="1:7" x14ac:dyDescent="0.15">
      <c r="A77" t="s">
        <v>520</v>
      </c>
      <c r="C77" s="7"/>
      <c r="F77" s="7">
        <v>334969</v>
      </c>
    </row>
    <row r="78" spans="1:7" x14ac:dyDescent="0.15">
      <c r="A78" t="s">
        <v>521</v>
      </c>
      <c r="C78" s="7"/>
      <c r="F78" s="7">
        <v>24526</v>
      </c>
    </row>
    <row r="79" spans="1:7" x14ac:dyDescent="0.15">
      <c r="C79" s="7"/>
      <c r="F79" s="7">
        <v>1042185</v>
      </c>
      <c r="G79" s="10" t="s">
        <v>19</v>
      </c>
    </row>
    <row r="80" spans="1:7" x14ac:dyDescent="0.15">
      <c r="C80" s="7"/>
      <c r="G80" s="7"/>
    </row>
    <row r="81" spans="1:9" x14ac:dyDescent="0.15">
      <c r="A81" s="6" t="s">
        <v>580</v>
      </c>
      <c r="C81" s="7"/>
      <c r="G81" s="7"/>
    </row>
    <row r="82" spans="1:9" x14ac:dyDescent="0.15">
      <c r="C82" s="7"/>
      <c r="G82" s="7"/>
    </row>
    <row r="83" spans="1:9" x14ac:dyDescent="0.15">
      <c r="A83" t="s">
        <v>581</v>
      </c>
      <c r="C83" s="7"/>
      <c r="G83" s="7"/>
    </row>
    <row r="84" spans="1:9" x14ac:dyDescent="0.15">
      <c r="A84" t="s">
        <v>582</v>
      </c>
      <c r="D84" s="7">
        <v>66658</v>
      </c>
      <c r="E84" s="19" t="s">
        <v>583</v>
      </c>
      <c r="G84" s="7"/>
    </row>
    <row r="85" spans="1:9" x14ac:dyDescent="0.15">
      <c r="A85" t="s">
        <v>584</v>
      </c>
      <c r="D85" s="7">
        <v>66658</v>
      </c>
      <c r="E85" s="19" t="s">
        <v>583</v>
      </c>
      <c r="G85" s="7"/>
    </row>
    <row r="86" spans="1:9" x14ac:dyDescent="0.15">
      <c r="A86" t="s">
        <v>585</v>
      </c>
      <c r="D86" s="7">
        <v>568104</v>
      </c>
      <c r="E86" s="19" t="s">
        <v>586</v>
      </c>
      <c r="G86" s="7"/>
    </row>
    <row r="87" spans="1:9" x14ac:dyDescent="0.15">
      <c r="A87" t="s">
        <v>587</v>
      </c>
      <c r="D87" s="7">
        <v>291939</v>
      </c>
      <c r="E87" s="10" t="s">
        <v>588</v>
      </c>
      <c r="G87" s="7"/>
    </row>
    <row r="88" spans="1:9" x14ac:dyDescent="0.15">
      <c r="A88" t="s">
        <v>589</v>
      </c>
      <c r="D88" s="7">
        <v>8365</v>
      </c>
      <c r="E88" s="10" t="s">
        <v>368</v>
      </c>
      <c r="G88" s="7"/>
    </row>
    <row r="89" spans="1:9" x14ac:dyDescent="0.15">
      <c r="A89" t="s">
        <v>590</v>
      </c>
      <c r="D89" s="7">
        <v>512</v>
      </c>
      <c r="E89" s="10" t="s">
        <v>84</v>
      </c>
      <c r="G89" s="7"/>
    </row>
    <row r="90" spans="1:9" x14ac:dyDescent="0.15">
      <c r="A90" t="s">
        <v>591</v>
      </c>
      <c r="D90" s="7">
        <v>1089</v>
      </c>
      <c r="E90" s="10" t="s">
        <v>368</v>
      </c>
      <c r="G90" s="7"/>
    </row>
    <row r="91" spans="1:9" x14ac:dyDescent="0.15">
      <c r="A91" t="s">
        <v>592</v>
      </c>
      <c r="D91" s="7">
        <v>704</v>
      </c>
      <c r="G91" s="7"/>
    </row>
    <row r="92" spans="1:9" x14ac:dyDescent="0.15">
      <c r="A92" t="s">
        <v>593</v>
      </c>
      <c r="D92" s="7">
        <v>87</v>
      </c>
      <c r="G92" s="7"/>
    </row>
    <row r="93" spans="1:9" x14ac:dyDescent="0.15">
      <c r="A93" t="s">
        <v>594</v>
      </c>
      <c r="D93" s="7">
        <v>1094</v>
      </c>
      <c r="G93" s="7"/>
    </row>
    <row r="94" spans="1:9" x14ac:dyDescent="0.15">
      <c r="A94" t="s">
        <v>40</v>
      </c>
      <c r="D94" s="7">
        <v>1077</v>
      </c>
      <c r="E94" s="10" t="s">
        <v>47</v>
      </c>
      <c r="G94" s="7"/>
    </row>
    <row r="95" spans="1:9" x14ac:dyDescent="0.15">
      <c r="D95" s="19">
        <v>1006291</v>
      </c>
      <c r="E95" s="19">
        <v>3</v>
      </c>
      <c r="G95" s="7"/>
      <c r="I95" s="27">
        <f>SUM(D84:D94)+31/8</f>
        <v>1006290.875</v>
      </c>
    </row>
    <row r="96" spans="1:9" x14ac:dyDescent="0.15">
      <c r="G96" s="7"/>
    </row>
    <row r="97" spans="1:9" x14ac:dyDescent="0.15">
      <c r="G97" s="7"/>
    </row>
    <row r="98" spans="1:9" x14ac:dyDescent="0.15">
      <c r="A98" t="s">
        <v>595</v>
      </c>
      <c r="G98" s="7"/>
    </row>
    <row r="99" spans="1:9" x14ac:dyDescent="0.15">
      <c r="A99" t="s">
        <v>596</v>
      </c>
      <c r="B99" s="7">
        <v>11438</v>
      </c>
      <c r="C99" s="19" t="s">
        <v>597</v>
      </c>
      <c r="G99" s="7"/>
    </row>
    <row r="100" spans="1:9" x14ac:dyDescent="0.15">
      <c r="A100" t="s">
        <v>598</v>
      </c>
      <c r="B100" s="7">
        <v>15986</v>
      </c>
      <c r="C100" s="19" t="s">
        <v>599</v>
      </c>
      <c r="G100" s="7"/>
    </row>
    <row r="101" spans="1:9" x14ac:dyDescent="0.15">
      <c r="A101" t="s">
        <v>600</v>
      </c>
      <c r="B101" s="7">
        <v>73</v>
      </c>
      <c r="C101" s="10" t="s">
        <v>84</v>
      </c>
      <c r="G101" s="7"/>
    </row>
    <row r="102" spans="1:9" x14ac:dyDescent="0.15">
      <c r="A102" t="s">
        <v>601</v>
      </c>
      <c r="B102" s="7">
        <v>305325</v>
      </c>
      <c r="C102" s="10" t="s">
        <v>457</v>
      </c>
      <c r="D102" s="7">
        <v>332823</v>
      </c>
      <c r="E102" s="10" t="s">
        <v>343</v>
      </c>
      <c r="F102" s="19">
        <v>673467</v>
      </c>
      <c r="G102" s="10" t="s">
        <v>602</v>
      </c>
    </row>
    <row r="105" spans="1:9" x14ac:dyDescent="0.15">
      <c r="A105" t="s">
        <v>148</v>
      </c>
    </row>
    <row r="106" spans="1:9" x14ac:dyDescent="0.15">
      <c r="A106" t="s">
        <v>603</v>
      </c>
      <c r="D106" s="7">
        <v>36105</v>
      </c>
      <c r="E106" s="10" t="s">
        <v>604</v>
      </c>
    </row>
    <row r="107" spans="1:9" x14ac:dyDescent="0.15">
      <c r="A107" t="s">
        <v>605</v>
      </c>
      <c r="D107" s="7">
        <v>29839</v>
      </c>
      <c r="E107" s="10" t="s">
        <v>81</v>
      </c>
    </row>
    <row r="108" spans="1:9" x14ac:dyDescent="0.15">
      <c r="A108" t="s">
        <v>606</v>
      </c>
      <c r="D108" s="7">
        <v>10094</v>
      </c>
      <c r="E108" s="10" t="s">
        <v>607</v>
      </c>
    </row>
    <row r="109" spans="1:9" x14ac:dyDescent="0.15">
      <c r="D109" s="7">
        <v>82038</v>
      </c>
      <c r="E109" s="10" t="s">
        <v>30</v>
      </c>
    </row>
    <row r="110" spans="1:9" x14ac:dyDescent="0.15">
      <c r="I110" s="27">
        <f>SUM(D106:D108)</f>
        <v>76038</v>
      </c>
    </row>
    <row r="112" spans="1:9" x14ac:dyDescent="0.15">
      <c r="A112" t="s">
        <v>608</v>
      </c>
    </row>
    <row r="113" spans="1:7" x14ac:dyDescent="0.15">
      <c r="A113" t="s">
        <v>609</v>
      </c>
      <c r="D113" s="7">
        <v>2082</v>
      </c>
      <c r="E113" s="10" t="s">
        <v>47</v>
      </c>
      <c r="F113" s="19">
        <v>79956</v>
      </c>
      <c r="G113" s="19" t="s">
        <v>610</v>
      </c>
    </row>
    <row r="116" spans="1:7" x14ac:dyDescent="0.15">
      <c r="A116" t="s">
        <v>611</v>
      </c>
    </row>
    <row r="118" spans="1:7" x14ac:dyDescent="0.15">
      <c r="A118" t="s">
        <v>612</v>
      </c>
      <c r="D118" s="7">
        <v>1780</v>
      </c>
      <c r="E118" s="10" t="s">
        <v>368</v>
      </c>
    </row>
    <row r="119" spans="1:7" x14ac:dyDescent="0.15">
      <c r="A119" t="s">
        <v>613</v>
      </c>
      <c r="D119" s="7">
        <v>10753</v>
      </c>
      <c r="E119" s="10" t="s">
        <v>614</v>
      </c>
    </row>
    <row r="120" spans="1:7" x14ac:dyDescent="0.15">
      <c r="A120" t="s">
        <v>615</v>
      </c>
      <c r="D120" s="7">
        <v>50072</v>
      </c>
      <c r="E120" s="10" t="s">
        <v>368</v>
      </c>
    </row>
    <row r="121" spans="1:7" x14ac:dyDescent="0.15">
      <c r="A121" t="s">
        <v>616</v>
      </c>
      <c r="D121" s="7">
        <v>203</v>
      </c>
      <c r="E121" s="19">
        <v>5</v>
      </c>
    </row>
    <row r="122" spans="1:7" x14ac:dyDescent="0.15">
      <c r="A122" t="s">
        <v>617</v>
      </c>
      <c r="D122" s="7">
        <v>244036</v>
      </c>
      <c r="E122" s="10" t="s">
        <v>618</v>
      </c>
    </row>
    <row r="123" spans="1:7" x14ac:dyDescent="0.15">
      <c r="A123" t="s">
        <v>31</v>
      </c>
      <c r="D123" s="7">
        <v>45874</v>
      </c>
      <c r="E123" s="19">
        <v>4</v>
      </c>
    </row>
    <row r="124" spans="1:7" x14ac:dyDescent="0.15">
      <c r="A124" t="s">
        <v>619</v>
      </c>
      <c r="D124" s="7">
        <v>10982</v>
      </c>
      <c r="E124" s="10" t="s">
        <v>222</v>
      </c>
    </row>
    <row r="125" spans="1:7" x14ac:dyDescent="0.15">
      <c r="A125" t="s">
        <v>34</v>
      </c>
      <c r="D125" s="7">
        <v>97362</v>
      </c>
      <c r="E125" s="10" t="s">
        <v>368</v>
      </c>
    </row>
    <row r="126" spans="1:7" x14ac:dyDescent="0.15">
      <c r="A126" t="s">
        <v>620</v>
      </c>
      <c r="D126" s="7">
        <v>1992</v>
      </c>
    </row>
    <row r="127" spans="1:7" x14ac:dyDescent="0.15">
      <c r="A127" t="s">
        <v>160</v>
      </c>
      <c r="D127" s="7">
        <v>6241</v>
      </c>
      <c r="E127" s="10" t="s">
        <v>47</v>
      </c>
    </row>
    <row r="128" spans="1:7" x14ac:dyDescent="0.15">
      <c r="A128" t="s">
        <v>621</v>
      </c>
      <c r="D128" s="7">
        <v>4932</v>
      </c>
      <c r="E128" s="10" t="s">
        <v>622</v>
      </c>
    </row>
    <row r="129" spans="1:10" x14ac:dyDescent="0.15">
      <c r="A129" t="s">
        <v>491</v>
      </c>
      <c r="D129" s="7">
        <v>22607</v>
      </c>
      <c r="E129" s="10" t="s">
        <v>614</v>
      </c>
    </row>
    <row r="130" spans="1:10" x14ac:dyDescent="0.15">
      <c r="A130" t="s">
        <v>60</v>
      </c>
      <c r="D130" s="7">
        <v>4646</v>
      </c>
      <c r="E130" s="10" t="s">
        <v>112</v>
      </c>
    </row>
    <row r="131" spans="1:10" x14ac:dyDescent="0.15">
      <c r="A131" t="s">
        <v>468</v>
      </c>
      <c r="D131" s="7">
        <v>268</v>
      </c>
      <c r="E131" s="19" t="s">
        <v>623</v>
      </c>
    </row>
    <row r="132" spans="1:10" x14ac:dyDescent="0.15">
      <c r="A132" t="s">
        <v>624</v>
      </c>
      <c r="D132" s="7">
        <v>16040</v>
      </c>
      <c r="E132" s="10" t="s">
        <v>232</v>
      </c>
    </row>
    <row r="133" spans="1:10" x14ac:dyDescent="0.15">
      <c r="A133" t="s">
        <v>625</v>
      </c>
      <c r="D133" s="7">
        <v>5013</v>
      </c>
      <c r="E133" s="19" t="s">
        <v>568</v>
      </c>
    </row>
    <row r="134" spans="1:10" x14ac:dyDescent="0.15">
      <c r="A134" t="s">
        <v>351</v>
      </c>
      <c r="D134" s="7">
        <v>5853</v>
      </c>
      <c r="E134" s="10" t="s">
        <v>622</v>
      </c>
    </row>
    <row r="135" spans="1:10" x14ac:dyDescent="0.15">
      <c r="A135" t="s">
        <v>626</v>
      </c>
      <c r="D135" s="7">
        <v>13006</v>
      </c>
      <c r="E135" s="19">
        <v>4</v>
      </c>
    </row>
    <row r="136" spans="1:10" x14ac:dyDescent="0.15">
      <c r="A136" t="s">
        <v>627</v>
      </c>
      <c r="D136" s="7">
        <v>398</v>
      </c>
    </row>
    <row r="137" spans="1:10" x14ac:dyDescent="0.15">
      <c r="A137" t="s">
        <v>628</v>
      </c>
      <c r="D137" s="7">
        <v>6622</v>
      </c>
      <c r="E137" s="19">
        <v>1</v>
      </c>
    </row>
    <row r="138" spans="1:10" x14ac:dyDescent="0.15">
      <c r="A138" t="s">
        <v>629</v>
      </c>
      <c r="D138" s="7">
        <v>81978</v>
      </c>
      <c r="E138" s="19">
        <v>4</v>
      </c>
    </row>
    <row r="139" spans="1:10" x14ac:dyDescent="0.15">
      <c r="A139" t="s">
        <v>630</v>
      </c>
      <c r="D139" s="7">
        <v>27272</v>
      </c>
      <c r="E139" s="10" t="s">
        <v>631</v>
      </c>
      <c r="F139" s="19">
        <v>657939</v>
      </c>
      <c r="G139" s="19" t="s">
        <v>597</v>
      </c>
      <c r="I139" s="27">
        <f>SUM(D118:D139)</f>
        <v>657930</v>
      </c>
      <c r="J139" s="27">
        <f>73/8</f>
        <v>9.125</v>
      </c>
    </row>
    <row r="140" spans="1:10" x14ac:dyDescent="0.15">
      <c r="I140" s="27">
        <f>I139+J139</f>
        <v>657939.125</v>
      </c>
    </row>
    <row r="142" spans="1:10" x14ac:dyDescent="0.15">
      <c r="A142" t="s">
        <v>271</v>
      </c>
    </row>
    <row r="143" spans="1:10" x14ac:dyDescent="0.15">
      <c r="A143" t="s">
        <v>632</v>
      </c>
      <c r="D143" s="7">
        <v>90262</v>
      </c>
      <c r="E143" s="19" t="s">
        <v>568</v>
      </c>
    </row>
    <row r="144" spans="1:10" x14ac:dyDescent="0.15">
      <c r="A144" t="s">
        <v>633</v>
      </c>
      <c r="D144" s="7">
        <v>24500</v>
      </c>
      <c r="E144" s="19" t="s">
        <v>634</v>
      </c>
      <c r="F144" s="19">
        <v>114762</v>
      </c>
      <c r="G144" s="19" t="s">
        <v>597</v>
      </c>
      <c r="I144" s="27">
        <f>SUM(D143:D144)</f>
        <v>114762</v>
      </c>
    </row>
    <row r="147" spans="1:10" x14ac:dyDescent="0.15">
      <c r="A147" t="s">
        <v>145</v>
      </c>
    </row>
    <row r="149" spans="1:10" x14ac:dyDescent="0.15">
      <c r="A149" t="s">
        <v>635</v>
      </c>
      <c r="D149" s="7">
        <v>661385</v>
      </c>
      <c r="E149" s="10" t="s">
        <v>604</v>
      </c>
    </row>
    <row r="150" spans="1:10" x14ac:dyDescent="0.15">
      <c r="A150" t="s">
        <v>636</v>
      </c>
      <c r="D150" s="7">
        <v>28897</v>
      </c>
      <c r="E150" s="19" t="s">
        <v>597</v>
      </c>
    </row>
    <row r="151" spans="1:10" x14ac:dyDescent="0.15">
      <c r="A151" t="s">
        <v>637</v>
      </c>
      <c r="D151" s="7">
        <v>2526</v>
      </c>
      <c r="E151" s="10" t="s">
        <v>84</v>
      </c>
    </row>
    <row r="152" spans="1:10" x14ac:dyDescent="0.15">
      <c r="A152" t="s">
        <v>638</v>
      </c>
      <c r="D152" s="7">
        <v>368</v>
      </c>
      <c r="E152" s="10" t="s">
        <v>368</v>
      </c>
    </row>
    <row r="153" spans="1:10" x14ac:dyDescent="0.15">
      <c r="A153" t="s">
        <v>639</v>
      </c>
      <c r="D153" s="7">
        <v>8629</v>
      </c>
      <c r="E153" s="19" t="s">
        <v>623</v>
      </c>
    </row>
    <row r="154" spans="1:10" x14ac:dyDescent="0.15">
      <c r="D154" s="7">
        <v>701806</v>
      </c>
      <c r="E154" s="10" t="s">
        <v>47</v>
      </c>
      <c r="I154" s="75">
        <f>SUM(D149:D153)</f>
        <v>701805</v>
      </c>
      <c r="J154" s="27">
        <f>12/8</f>
        <v>1.5</v>
      </c>
    </row>
    <row r="155" spans="1:10" x14ac:dyDescent="0.15">
      <c r="I155" s="15">
        <f>I154+J154</f>
        <v>701806.5</v>
      </c>
    </row>
    <row r="157" spans="1:10" x14ac:dyDescent="0.15">
      <c r="A157" t="s">
        <v>640</v>
      </c>
    </row>
    <row r="158" spans="1:10" x14ac:dyDescent="0.15">
      <c r="A158" t="s">
        <v>641</v>
      </c>
      <c r="B158" s="7">
        <v>24526</v>
      </c>
    </row>
    <row r="159" spans="1:10" x14ac:dyDescent="0.15">
      <c r="A159" t="s">
        <v>642</v>
      </c>
    </row>
    <row r="160" spans="1:10" x14ac:dyDescent="0.15">
      <c r="A160" t="s">
        <v>643</v>
      </c>
      <c r="B160" s="7">
        <v>10833</v>
      </c>
      <c r="C160" s="10" t="s">
        <v>644</v>
      </c>
      <c r="D160" s="7">
        <v>35359</v>
      </c>
      <c r="E160" s="10" t="s">
        <v>644</v>
      </c>
      <c r="F160" s="19">
        <v>666446</v>
      </c>
      <c r="G160" s="10" t="s">
        <v>222</v>
      </c>
    </row>
    <row r="162" spans="1:9" x14ac:dyDescent="0.15">
      <c r="A162" t="s">
        <v>645</v>
      </c>
      <c r="F162" s="19">
        <v>2192572</v>
      </c>
      <c r="G162" s="19" t="s">
        <v>646</v>
      </c>
      <c r="I162" s="27">
        <f>I155+I144+I140+I110+I95</f>
        <v>2556836.5</v>
      </c>
    </row>
    <row r="163" spans="1:9" x14ac:dyDescent="0.15">
      <c r="F163" s="76">
        <f>F162+F160+F113+D102</f>
        <v>3271797</v>
      </c>
    </row>
    <row r="165" spans="1:9" x14ac:dyDescent="0.15">
      <c r="A165" t="s">
        <v>647</v>
      </c>
    </row>
    <row r="167" spans="1:9" x14ac:dyDescent="0.15">
      <c r="A167" t="s">
        <v>648</v>
      </c>
      <c r="F167" s="19">
        <v>1042185</v>
      </c>
      <c r="G167" s="10" t="s">
        <v>614</v>
      </c>
    </row>
    <row r="168" spans="1:9" x14ac:dyDescent="0.15">
      <c r="A168" t="s">
        <v>649</v>
      </c>
      <c r="F168" s="19">
        <v>2192572</v>
      </c>
      <c r="G168" s="10" t="s">
        <v>588</v>
      </c>
    </row>
    <row r="171" spans="1:9" x14ac:dyDescent="0.15">
      <c r="A171" t="s">
        <v>650</v>
      </c>
      <c r="F171" s="19">
        <v>3234757</v>
      </c>
      <c r="G171" s="10" t="s">
        <v>651</v>
      </c>
    </row>
    <row r="173" spans="1:9" x14ac:dyDescent="0.15">
      <c r="A173" t="s">
        <v>652</v>
      </c>
    </row>
    <row r="175" spans="1:9" x14ac:dyDescent="0.15">
      <c r="A175" t="s">
        <v>653</v>
      </c>
    </row>
    <row r="179" spans="1:6" x14ac:dyDescent="0.15">
      <c r="A179" s="6" t="s">
        <v>654</v>
      </c>
    </row>
    <row r="181" spans="1:6" x14ac:dyDescent="0.15">
      <c r="A181" t="s">
        <v>655</v>
      </c>
      <c r="D181" s="7" t="s">
        <v>656</v>
      </c>
    </row>
    <row r="182" spans="1:6" x14ac:dyDescent="0.15">
      <c r="B182" s="26" t="s">
        <v>381</v>
      </c>
      <c r="C182" s="26" t="s">
        <v>330</v>
      </c>
      <c r="E182" s="26" t="s">
        <v>381</v>
      </c>
      <c r="F182" s="26" t="s">
        <v>330</v>
      </c>
    </row>
    <row r="183" spans="1:6" x14ac:dyDescent="0.15">
      <c r="A183" t="s">
        <v>657</v>
      </c>
      <c r="B183" s="7">
        <v>24343</v>
      </c>
      <c r="C183" s="10" t="s">
        <v>84</v>
      </c>
      <c r="D183" t="s">
        <v>657</v>
      </c>
      <c r="E183" s="19">
        <v>20337</v>
      </c>
      <c r="F183" s="10" t="s">
        <v>658</v>
      </c>
    </row>
    <row r="184" spans="1:6" x14ac:dyDescent="0.15">
      <c r="A184" t="s">
        <v>659</v>
      </c>
      <c r="B184" s="7">
        <v>60664</v>
      </c>
      <c r="C184" s="10" t="s">
        <v>660</v>
      </c>
      <c r="D184" t="s">
        <v>659</v>
      </c>
      <c r="E184" s="19">
        <v>6737</v>
      </c>
      <c r="F184" s="10" t="s">
        <v>604</v>
      </c>
    </row>
    <row r="185" spans="1:6" x14ac:dyDescent="0.15">
      <c r="A185" t="s">
        <v>661</v>
      </c>
      <c r="B185" s="7">
        <v>9469</v>
      </c>
      <c r="C185" s="10" t="s">
        <v>662</v>
      </c>
      <c r="D185" t="s">
        <v>661</v>
      </c>
      <c r="E185" s="19">
        <v>9710</v>
      </c>
      <c r="F185" s="10" t="s">
        <v>618</v>
      </c>
    </row>
    <row r="186" spans="1:6" x14ac:dyDescent="0.15">
      <c r="A186" t="s">
        <v>663</v>
      </c>
      <c r="B186" s="7">
        <v>7704</v>
      </c>
      <c r="C186" s="10" t="s">
        <v>664</v>
      </c>
      <c r="D186" t="s">
        <v>665</v>
      </c>
      <c r="E186" s="19">
        <v>20137</v>
      </c>
      <c r="F186" s="10" t="s">
        <v>614</v>
      </c>
    </row>
    <row r="187" spans="1:6" x14ac:dyDescent="0.15">
      <c r="A187" t="s">
        <v>666</v>
      </c>
      <c r="B187" s="7">
        <v>3170</v>
      </c>
      <c r="C187" s="10" t="s">
        <v>667</v>
      </c>
      <c r="D187"/>
    </row>
    <row r="188" spans="1:6" x14ac:dyDescent="0.15">
      <c r="B188" s="7">
        <v>105352</v>
      </c>
      <c r="C188" s="10" t="s">
        <v>602</v>
      </c>
      <c r="E188" s="19">
        <v>56921</v>
      </c>
      <c r="F188" s="10" t="s">
        <v>35</v>
      </c>
    </row>
    <row r="190" spans="1:6" x14ac:dyDescent="0.15">
      <c r="A190" t="s">
        <v>668</v>
      </c>
    </row>
    <row r="192" spans="1:6" x14ac:dyDescent="0.15">
      <c r="A192" t="s">
        <v>669</v>
      </c>
      <c r="E192" s="7">
        <v>105352</v>
      </c>
      <c r="F192" s="10" t="s">
        <v>602</v>
      </c>
    </row>
    <row r="193" spans="1:6" x14ac:dyDescent="0.15">
      <c r="A193" t="s">
        <v>670</v>
      </c>
      <c r="E193" s="19">
        <v>56921</v>
      </c>
      <c r="F193" s="10" t="s">
        <v>35</v>
      </c>
    </row>
    <row r="194" spans="1:6" x14ac:dyDescent="0.15">
      <c r="A194" t="s">
        <v>671</v>
      </c>
      <c r="E194" s="19">
        <v>48430</v>
      </c>
      <c r="F194" s="10" t="s">
        <v>343</v>
      </c>
    </row>
    <row r="196" spans="1:6" x14ac:dyDescent="0.15">
      <c r="A196" t="s">
        <v>652</v>
      </c>
    </row>
    <row r="198" spans="1:6" x14ac:dyDescent="0.15">
      <c r="A198" t="s">
        <v>653</v>
      </c>
    </row>
  </sheetData>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election activeCell="B1" sqref="B1"/>
    </sheetView>
  </sheetViews>
  <sheetFormatPr baseColWidth="10" defaultRowHeight="13" x14ac:dyDescent="0.15"/>
  <cols>
    <col min="1" max="1" width="54.6640625" bestFit="1" customWidth="1"/>
    <col min="2" max="16384" width="10.83203125" style="7"/>
  </cols>
  <sheetData>
    <row r="1" spans="1:3" customFormat="1" x14ac:dyDescent="0.15">
      <c r="A1" s="6" t="s">
        <v>672</v>
      </c>
    </row>
    <row r="2" spans="1:3" customFormat="1" x14ac:dyDescent="0.15">
      <c r="B2" s="26" t="s">
        <v>381</v>
      </c>
      <c r="C2" s="26" t="s">
        <v>673</v>
      </c>
    </row>
    <row r="3" spans="1:3" x14ac:dyDescent="0.15">
      <c r="A3" t="s">
        <v>674</v>
      </c>
      <c r="B3" s="7">
        <v>12960</v>
      </c>
    </row>
    <row r="4" spans="1:3" x14ac:dyDescent="0.15">
      <c r="A4" t="s">
        <v>675</v>
      </c>
      <c r="B4" s="7">
        <v>1720</v>
      </c>
    </row>
    <row r="5" spans="1:3" x14ac:dyDescent="0.15">
      <c r="A5" t="s">
        <v>676</v>
      </c>
      <c r="B5" s="7">
        <v>2042</v>
      </c>
      <c r="C5" s="7">
        <v>6</v>
      </c>
    </row>
    <row r="6" spans="1:3" x14ac:dyDescent="0.15">
      <c r="A6" t="s">
        <v>677</v>
      </c>
      <c r="B6" s="7">
        <v>21656</v>
      </c>
      <c r="C6" s="7">
        <v>6</v>
      </c>
    </row>
    <row r="7" spans="1:3" x14ac:dyDescent="0.15">
      <c r="A7" t="s">
        <v>678</v>
      </c>
      <c r="B7" s="7">
        <v>138993</v>
      </c>
      <c r="C7" s="7">
        <v>5</v>
      </c>
    </row>
    <row r="8" spans="1:3" x14ac:dyDescent="0.15">
      <c r="A8" t="s">
        <v>679</v>
      </c>
      <c r="B8" s="7">
        <v>107923</v>
      </c>
      <c r="C8" s="9" t="s">
        <v>680</v>
      </c>
    </row>
    <row r="9" spans="1:3" x14ac:dyDescent="0.15">
      <c r="A9" t="s">
        <v>681</v>
      </c>
      <c r="B9" s="7">
        <v>500632</v>
      </c>
      <c r="C9" s="9" t="s">
        <v>232</v>
      </c>
    </row>
    <row r="10" spans="1:3" x14ac:dyDescent="0.15">
      <c r="A10" t="s">
        <v>682</v>
      </c>
      <c r="B10" s="7">
        <v>72213</v>
      </c>
      <c r="C10" s="7">
        <v>7</v>
      </c>
    </row>
    <row r="11" spans="1:3" x14ac:dyDescent="0.15">
      <c r="A11" t="s">
        <v>683</v>
      </c>
      <c r="B11" s="7">
        <v>858142</v>
      </c>
      <c r="C11" s="9" t="s">
        <v>35</v>
      </c>
    </row>
    <row r="12" spans="1:3" x14ac:dyDescent="0.15">
      <c r="A12" t="s">
        <v>684</v>
      </c>
    </row>
    <row r="13" spans="1:3" x14ac:dyDescent="0.15">
      <c r="A13" t="s">
        <v>685</v>
      </c>
    </row>
  </sheetData>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8"/>
  <sheetViews>
    <sheetView topLeftCell="A2" workbookViewId="0">
      <selection activeCell="B1" sqref="B1"/>
    </sheetView>
  </sheetViews>
  <sheetFormatPr baseColWidth="10" defaultRowHeight="13" x14ac:dyDescent="0.15"/>
  <cols>
    <col min="1" max="1" width="55.1640625" bestFit="1" customWidth="1"/>
    <col min="2" max="16384" width="10.83203125" style="7"/>
  </cols>
  <sheetData>
    <row r="1" spans="1:7" customFormat="1" x14ac:dyDescent="0.15">
      <c r="A1" s="6" t="s">
        <v>686</v>
      </c>
      <c r="G1" s="7"/>
    </row>
    <row r="2" spans="1:7" customFormat="1" x14ac:dyDescent="0.15">
      <c r="B2" s="26" t="s">
        <v>381</v>
      </c>
      <c r="C2" s="26" t="s">
        <v>330</v>
      </c>
      <c r="D2" s="26" t="s">
        <v>687</v>
      </c>
      <c r="G2" s="7"/>
    </row>
    <row r="3" spans="1:7" customFormat="1" x14ac:dyDescent="0.15">
      <c r="A3" s="26" t="s">
        <v>688</v>
      </c>
      <c r="B3" s="26"/>
      <c r="C3" s="26"/>
      <c r="D3" s="26"/>
      <c r="G3" s="7"/>
    </row>
    <row r="4" spans="1:7" x14ac:dyDescent="0.15">
      <c r="A4" t="s">
        <v>689</v>
      </c>
      <c r="B4" s="7">
        <v>14180</v>
      </c>
      <c r="C4" s="7">
        <v>0</v>
      </c>
    </row>
    <row r="5" spans="1:7" x14ac:dyDescent="0.15">
      <c r="A5" t="s">
        <v>690</v>
      </c>
      <c r="B5" s="7">
        <v>17066</v>
      </c>
      <c r="C5" s="9" t="s">
        <v>602</v>
      </c>
    </row>
    <row r="6" spans="1:7" x14ac:dyDescent="0.15">
      <c r="A6" t="s">
        <v>691</v>
      </c>
      <c r="B6" s="7">
        <v>14133</v>
      </c>
      <c r="C6" s="9" t="s">
        <v>47</v>
      </c>
    </row>
    <row r="7" spans="1:7" x14ac:dyDescent="0.15">
      <c r="A7" t="s">
        <v>692</v>
      </c>
      <c r="B7" s="7">
        <v>11583</v>
      </c>
      <c r="C7" s="9" t="s">
        <v>47</v>
      </c>
    </row>
    <row r="8" spans="1:7" x14ac:dyDescent="0.15">
      <c r="A8" t="s">
        <v>693</v>
      </c>
      <c r="B8" s="7">
        <v>12633</v>
      </c>
      <c r="C8" s="9" t="s">
        <v>47</v>
      </c>
    </row>
    <row r="9" spans="1:7" x14ac:dyDescent="0.15">
      <c r="A9" t="s">
        <v>694</v>
      </c>
      <c r="B9" s="7">
        <v>5833</v>
      </c>
      <c r="C9" s="9" t="s">
        <v>47</v>
      </c>
    </row>
    <row r="10" spans="1:7" x14ac:dyDescent="0.15">
      <c r="A10" t="s">
        <v>695</v>
      </c>
      <c r="B10" s="7">
        <v>5833</v>
      </c>
      <c r="C10" s="9" t="s">
        <v>47</v>
      </c>
    </row>
    <row r="11" spans="1:7" x14ac:dyDescent="0.15">
      <c r="A11" t="s">
        <v>696</v>
      </c>
      <c r="B11" s="7">
        <v>20000</v>
      </c>
      <c r="C11" s="7">
        <v>0</v>
      </c>
    </row>
    <row r="12" spans="1:7" x14ac:dyDescent="0.15">
      <c r="A12" t="s">
        <v>697</v>
      </c>
      <c r="B12" s="7">
        <v>18666</v>
      </c>
      <c r="C12" s="9" t="s">
        <v>602</v>
      </c>
    </row>
    <row r="13" spans="1:7" x14ac:dyDescent="0.15">
      <c r="A13" t="s">
        <v>698</v>
      </c>
      <c r="B13" s="7">
        <v>30733</v>
      </c>
      <c r="C13" s="9" t="s">
        <v>19</v>
      </c>
    </row>
    <row r="14" spans="1:7" x14ac:dyDescent="0.15">
      <c r="A14" t="s">
        <v>699</v>
      </c>
      <c r="B14" s="7">
        <v>17733</v>
      </c>
      <c r="C14" s="9" t="s">
        <v>19</v>
      </c>
    </row>
    <row r="15" spans="1:7" x14ac:dyDescent="0.15">
      <c r="A15" t="s">
        <v>700</v>
      </c>
      <c r="B15" s="7">
        <v>13166</v>
      </c>
      <c r="C15" s="9" t="s">
        <v>602</v>
      </c>
    </row>
    <row r="16" spans="1:7" x14ac:dyDescent="0.15">
      <c r="A16" t="s">
        <v>701</v>
      </c>
      <c r="B16" s="7">
        <v>21433</v>
      </c>
      <c r="C16" s="9" t="s">
        <v>19</v>
      </c>
    </row>
    <row r="17" spans="1:5" x14ac:dyDescent="0.15">
      <c r="A17" t="s">
        <v>702</v>
      </c>
      <c r="B17" s="7">
        <v>18633</v>
      </c>
      <c r="C17" s="9" t="s">
        <v>19</v>
      </c>
    </row>
    <row r="18" spans="1:5" x14ac:dyDescent="0.15">
      <c r="A18" t="s">
        <v>703</v>
      </c>
      <c r="B18" s="7">
        <v>24133</v>
      </c>
      <c r="C18" s="9" t="s">
        <v>19</v>
      </c>
    </row>
    <row r="19" spans="1:5" x14ac:dyDescent="0.15">
      <c r="A19" t="s">
        <v>704</v>
      </c>
      <c r="B19" s="7">
        <v>50000</v>
      </c>
      <c r="C19" s="7">
        <v>0</v>
      </c>
      <c r="E19" s="77">
        <f>B23/B20</f>
        <v>1.3524387852394832E-5</v>
      </c>
    </row>
    <row r="20" spans="1:5" x14ac:dyDescent="0.15">
      <c r="A20" t="s">
        <v>705</v>
      </c>
      <c r="B20" s="7">
        <v>295762</v>
      </c>
      <c r="C20" s="9" t="s">
        <v>45</v>
      </c>
      <c r="E20" s="77">
        <f>B23/B22</f>
        <v>1.352457076393538E-5</v>
      </c>
    </row>
    <row r="22" spans="1:5" x14ac:dyDescent="0.15">
      <c r="B22" s="7">
        <f>SUM(B4:B19)</f>
        <v>295758</v>
      </c>
    </row>
    <row r="23" spans="1:5" x14ac:dyDescent="0.15">
      <c r="B23" s="7">
        <f>B20-B22</f>
        <v>4</v>
      </c>
    </row>
    <row r="24" spans="1:5" x14ac:dyDescent="0.15">
      <c r="A24" t="s">
        <v>119</v>
      </c>
    </row>
    <row r="25" spans="1:5" x14ac:dyDescent="0.15">
      <c r="A25" t="s">
        <v>120</v>
      </c>
    </row>
    <row r="27" spans="1:5" x14ac:dyDescent="0.15">
      <c r="A27" s="26" t="s">
        <v>706</v>
      </c>
    </row>
    <row r="29" spans="1:5" x14ac:dyDescent="0.15">
      <c r="A29" t="s">
        <v>707</v>
      </c>
      <c r="B29" s="7">
        <f>SUM(B30:B58)</f>
        <v>79302</v>
      </c>
    </row>
    <row r="30" spans="1:5" x14ac:dyDescent="0.15">
      <c r="A30" t="s">
        <v>708</v>
      </c>
      <c r="B30" s="7">
        <v>630</v>
      </c>
    </row>
    <row r="31" spans="1:5" x14ac:dyDescent="0.15">
      <c r="A31" t="s">
        <v>709</v>
      </c>
      <c r="B31" s="7">
        <v>1200</v>
      </c>
    </row>
    <row r="32" spans="1:5" x14ac:dyDescent="0.15">
      <c r="A32" t="s">
        <v>710</v>
      </c>
      <c r="B32" s="7">
        <v>1200</v>
      </c>
    </row>
    <row r="33" spans="1:2" x14ac:dyDescent="0.15">
      <c r="A33" t="s">
        <v>711</v>
      </c>
      <c r="B33" s="7">
        <v>240</v>
      </c>
    </row>
    <row r="34" spans="1:2" x14ac:dyDescent="0.15">
      <c r="A34" t="s">
        <v>712</v>
      </c>
      <c r="B34" s="7">
        <v>1320</v>
      </c>
    </row>
    <row r="35" spans="1:2" x14ac:dyDescent="0.15">
      <c r="A35" t="s">
        <v>713</v>
      </c>
      <c r="B35" s="7">
        <v>820</v>
      </c>
    </row>
    <row r="36" spans="1:2" x14ac:dyDescent="0.15">
      <c r="A36" t="s">
        <v>714</v>
      </c>
      <c r="B36" s="7">
        <v>1680</v>
      </c>
    </row>
    <row r="37" spans="1:2" x14ac:dyDescent="0.15">
      <c r="A37" t="s">
        <v>715</v>
      </c>
      <c r="B37" s="7">
        <v>1060</v>
      </c>
    </row>
    <row r="38" spans="1:2" x14ac:dyDescent="0.15">
      <c r="A38" t="s">
        <v>716</v>
      </c>
      <c r="B38" s="7">
        <v>2460</v>
      </c>
    </row>
    <row r="39" spans="1:2" x14ac:dyDescent="0.15">
      <c r="A39" t="s">
        <v>717</v>
      </c>
      <c r="B39" s="7">
        <v>15600</v>
      </c>
    </row>
    <row r="40" spans="1:2" x14ac:dyDescent="0.15">
      <c r="A40" t="s">
        <v>718</v>
      </c>
      <c r="B40" s="7">
        <v>3240</v>
      </c>
    </row>
    <row r="41" spans="1:2" x14ac:dyDescent="0.15">
      <c r="A41" t="s">
        <v>719</v>
      </c>
      <c r="B41" s="7">
        <v>3400</v>
      </c>
    </row>
    <row r="42" spans="1:2" x14ac:dyDescent="0.15">
      <c r="A42" t="s">
        <v>720</v>
      </c>
      <c r="B42" s="7">
        <v>1756</v>
      </c>
    </row>
    <row r="43" spans="1:2" x14ac:dyDescent="0.15">
      <c r="A43" t="s">
        <v>721</v>
      </c>
      <c r="B43" s="7">
        <v>3360</v>
      </c>
    </row>
    <row r="44" spans="1:2" x14ac:dyDescent="0.15">
      <c r="A44" t="s">
        <v>722</v>
      </c>
      <c r="B44" s="7">
        <v>132</v>
      </c>
    </row>
    <row r="45" spans="1:2" x14ac:dyDescent="0.15">
      <c r="A45" t="s">
        <v>723</v>
      </c>
      <c r="B45" s="7">
        <v>720</v>
      </c>
    </row>
    <row r="46" spans="1:2" x14ac:dyDescent="0.15">
      <c r="A46" t="s">
        <v>724</v>
      </c>
      <c r="B46" s="7">
        <v>5280</v>
      </c>
    </row>
    <row r="47" spans="1:2" x14ac:dyDescent="0.15">
      <c r="A47" t="s">
        <v>725</v>
      </c>
      <c r="B47" s="7">
        <v>1920</v>
      </c>
    </row>
    <row r="48" spans="1:2" x14ac:dyDescent="0.15">
      <c r="A48" t="s">
        <v>726</v>
      </c>
      <c r="B48" s="7">
        <v>1080</v>
      </c>
    </row>
    <row r="49" spans="1:2" x14ac:dyDescent="0.15">
      <c r="A49" t="s">
        <v>727</v>
      </c>
      <c r="B49" s="7">
        <v>2400</v>
      </c>
    </row>
    <row r="50" spans="1:2" x14ac:dyDescent="0.15">
      <c r="A50" t="s">
        <v>728</v>
      </c>
      <c r="B50" s="7">
        <v>1360</v>
      </c>
    </row>
    <row r="51" spans="1:2" x14ac:dyDescent="0.15">
      <c r="A51" t="s">
        <v>729</v>
      </c>
      <c r="B51" s="7">
        <v>520</v>
      </c>
    </row>
    <row r="52" spans="1:2" x14ac:dyDescent="0.15">
      <c r="A52" t="s">
        <v>730</v>
      </c>
      <c r="B52" s="7">
        <v>2144</v>
      </c>
    </row>
    <row r="53" spans="1:2" x14ac:dyDescent="0.15">
      <c r="A53" t="s">
        <v>731</v>
      </c>
      <c r="B53" s="7">
        <v>560</v>
      </c>
    </row>
    <row r="54" spans="1:2" x14ac:dyDescent="0.15">
      <c r="A54" t="s">
        <v>732</v>
      </c>
      <c r="B54" s="7">
        <v>1488</v>
      </c>
    </row>
    <row r="55" spans="1:2" x14ac:dyDescent="0.15">
      <c r="A55" t="s">
        <v>733</v>
      </c>
      <c r="B55" s="7">
        <v>13440</v>
      </c>
    </row>
    <row r="56" spans="1:2" x14ac:dyDescent="0.15">
      <c r="A56" t="s">
        <v>734</v>
      </c>
      <c r="B56" s="7">
        <v>4320</v>
      </c>
    </row>
    <row r="57" spans="1:2" x14ac:dyDescent="0.15">
      <c r="A57" t="s">
        <v>735</v>
      </c>
      <c r="B57" s="7">
        <v>1592</v>
      </c>
    </row>
    <row r="58" spans="1:2" x14ac:dyDescent="0.15">
      <c r="A58" t="s">
        <v>736</v>
      </c>
      <c r="B58" s="7">
        <v>4380</v>
      </c>
    </row>
    <row r="59" spans="1:2" x14ac:dyDescent="0.15">
      <c r="A59" t="s">
        <v>737</v>
      </c>
      <c r="B59" s="7">
        <v>51840</v>
      </c>
    </row>
    <row r="60" spans="1:2" x14ac:dyDescent="0.15">
      <c r="A60" t="s">
        <v>738</v>
      </c>
      <c r="B60" s="7">
        <v>3250</v>
      </c>
    </row>
    <row r="61" spans="1:2" x14ac:dyDescent="0.15">
      <c r="A61" t="s">
        <v>739</v>
      </c>
      <c r="B61" s="7">
        <v>25429</v>
      </c>
    </row>
    <row r="62" spans="1:2" x14ac:dyDescent="0.15">
      <c r="A62" t="s">
        <v>740</v>
      </c>
      <c r="B62" s="7">
        <v>48000</v>
      </c>
    </row>
    <row r="63" spans="1:2" x14ac:dyDescent="0.15">
      <c r="A63" t="s">
        <v>741</v>
      </c>
      <c r="B63" s="7">
        <v>16060</v>
      </c>
    </row>
    <row r="64" spans="1:2" x14ac:dyDescent="0.15">
      <c r="A64" t="s">
        <v>742</v>
      </c>
      <c r="B64" s="7">
        <v>24200</v>
      </c>
    </row>
    <row r="65" spans="1:4" x14ac:dyDescent="0.15">
      <c r="A65" t="s">
        <v>743</v>
      </c>
      <c r="B65" s="7">
        <v>12400</v>
      </c>
    </row>
    <row r="66" spans="1:4" x14ac:dyDescent="0.15">
      <c r="A66" t="s">
        <v>744</v>
      </c>
      <c r="B66" s="7">
        <v>15600</v>
      </c>
    </row>
    <row r="67" spans="1:4" x14ac:dyDescent="0.15">
      <c r="A67" t="s">
        <v>745</v>
      </c>
      <c r="B67" s="7">
        <v>15600</v>
      </c>
    </row>
    <row r="68" spans="1:4" x14ac:dyDescent="0.15">
      <c r="A68" t="s">
        <v>746</v>
      </c>
      <c r="B68" s="7">
        <v>15600</v>
      </c>
    </row>
    <row r="69" spans="1:4" x14ac:dyDescent="0.15">
      <c r="A69" t="s">
        <v>747</v>
      </c>
      <c r="B69" s="7">
        <v>17800</v>
      </c>
    </row>
    <row r="70" spans="1:4" x14ac:dyDescent="0.15">
      <c r="A70" t="s">
        <v>748</v>
      </c>
      <c r="B70" s="7">
        <v>15600</v>
      </c>
    </row>
    <row r="71" spans="1:4" x14ac:dyDescent="0.15">
      <c r="A71" t="s">
        <v>749</v>
      </c>
      <c r="B71" s="7">
        <v>15600</v>
      </c>
    </row>
    <row r="72" spans="1:4" x14ac:dyDescent="0.15">
      <c r="A72" t="s">
        <v>750</v>
      </c>
      <c r="B72" s="7">
        <v>12400</v>
      </c>
    </row>
    <row r="73" spans="1:4" x14ac:dyDescent="0.15">
      <c r="A73" t="s">
        <v>751</v>
      </c>
      <c r="B73" s="7">
        <v>17800</v>
      </c>
    </row>
    <row r="74" spans="1:4" x14ac:dyDescent="0.15">
      <c r="A74" s="13" t="s">
        <v>752</v>
      </c>
    </row>
    <row r="75" spans="1:4" x14ac:dyDescent="0.15">
      <c r="A75" t="s">
        <v>753</v>
      </c>
      <c r="B75" s="7">
        <v>7316</v>
      </c>
      <c r="C75" s="7">
        <v>5</v>
      </c>
      <c r="D75" s="7">
        <v>10</v>
      </c>
    </row>
    <row r="76" spans="1:4" x14ac:dyDescent="0.15">
      <c r="A76" t="s">
        <v>754</v>
      </c>
      <c r="B76" s="7">
        <v>8416</v>
      </c>
      <c r="C76" s="7">
        <v>5</v>
      </c>
      <c r="D76" s="7">
        <v>10</v>
      </c>
    </row>
    <row r="77" spans="1:4" x14ac:dyDescent="0.15">
      <c r="A77" t="s">
        <v>755</v>
      </c>
      <c r="B77" s="7">
        <v>6616</v>
      </c>
      <c r="C77" s="7">
        <v>5</v>
      </c>
      <c r="D77" s="7">
        <v>10</v>
      </c>
    </row>
    <row r="78" spans="1:4" x14ac:dyDescent="0.15">
      <c r="A78" t="s">
        <v>756</v>
      </c>
      <c r="B78" s="7">
        <v>7416</v>
      </c>
      <c r="C78" s="7">
        <v>5</v>
      </c>
      <c r="D78" s="7">
        <v>10</v>
      </c>
    </row>
    <row r="79" spans="1:4" x14ac:dyDescent="0.15">
      <c r="A79" t="s">
        <v>757</v>
      </c>
      <c r="B79" s="7">
        <v>6416</v>
      </c>
      <c r="C79" s="7">
        <v>5</v>
      </c>
      <c r="D79" s="7">
        <v>10</v>
      </c>
    </row>
    <row r="80" spans="1:4" x14ac:dyDescent="0.15">
      <c r="A80" t="s">
        <v>758</v>
      </c>
      <c r="B80" s="7">
        <v>6416</v>
      </c>
      <c r="C80" s="7">
        <v>5</v>
      </c>
      <c r="D80" s="7">
        <v>10</v>
      </c>
    </row>
    <row r="81" spans="1:4" x14ac:dyDescent="0.15">
      <c r="A81" t="s">
        <v>759</v>
      </c>
      <c r="B81" s="7">
        <v>8316</v>
      </c>
      <c r="C81" s="7">
        <v>5</v>
      </c>
      <c r="D81" s="7">
        <v>10</v>
      </c>
    </row>
    <row r="82" spans="1:4" x14ac:dyDescent="0.15">
      <c r="A82" t="s">
        <v>760</v>
      </c>
      <c r="B82" s="7">
        <v>8516</v>
      </c>
      <c r="C82" s="7">
        <v>5</v>
      </c>
      <c r="D82" s="7">
        <v>10</v>
      </c>
    </row>
    <row r="83" spans="1:4" x14ac:dyDescent="0.15">
      <c r="A83" t="s">
        <v>761</v>
      </c>
      <c r="B83" s="7">
        <v>6616</v>
      </c>
      <c r="C83" s="7">
        <v>5</v>
      </c>
      <c r="D83" s="7">
        <v>10</v>
      </c>
    </row>
    <row r="84" spans="1:4" x14ac:dyDescent="0.15">
      <c r="A84" t="s">
        <v>762</v>
      </c>
      <c r="B84" s="7">
        <v>6816</v>
      </c>
      <c r="C84" s="7">
        <v>5</v>
      </c>
      <c r="D84" s="7">
        <v>10</v>
      </c>
    </row>
    <row r="85" spans="1:4" x14ac:dyDescent="0.15">
      <c r="A85" t="s">
        <v>763</v>
      </c>
      <c r="B85" s="7">
        <v>6716</v>
      </c>
      <c r="C85" s="7">
        <v>5</v>
      </c>
      <c r="D85" s="7">
        <v>10</v>
      </c>
    </row>
    <row r="86" spans="1:4" x14ac:dyDescent="0.15">
      <c r="A86" t="s">
        <v>764</v>
      </c>
      <c r="B86" s="7">
        <v>7716</v>
      </c>
      <c r="C86" s="7">
        <v>5</v>
      </c>
      <c r="D86" s="7">
        <v>10</v>
      </c>
    </row>
    <row r="87" spans="1:4" x14ac:dyDescent="0.15">
      <c r="A87" s="13" t="s">
        <v>765</v>
      </c>
    </row>
    <row r="88" spans="1:4" x14ac:dyDescent="0.15">
      <c r="A88" t="s">
        <v>766</v>
      </c>
      <c r="B88" s="7">
        <v>3345</v>
      </c>
    </row>
    <row r="89" spans="1:4" x14ac:dyDescent="0.15">
      <c r="A89" t="s">
        <v>721</v>
      </c>
      <c r="B89" s="7">
        <v>4580</v>
      </c>
      <c r="C89" s="26"/>
      <c r="D89" s="26"/>
    </row>
    <row r="90" spans="1:4" x14ac:dyDescent="0.15">
      <c r="A90" t="s">
        <v>718</v>
      </c>
      <c r="B90" s="7">
        <v>3345</v>
      </c>
    </row>
    <row r="91" spans="1:4" x14ac:dyDescent="0.15">
      <c r="A91" t="s">
        <v>767</v>
      </c>
      <c r="B91" s="7">
        <v>4345</v>
      </c>
    </row>
    <row r="92" spans="1:4" x14ac:dyDescent="0.15">
      <c r="A92" t="s">
        <v>768</v>
      </c>
      <c r="B92" s="7">
        <v>4280</v>
      </c>
    </row>
    <row r="93" spans="1:4" x14ac:dyDescent="0.15">
      <c r="A93" t="s">
        <v>769</v>
      </c>
      <c r="B93" s="7">
        <v>4245</v>
      </c>
    </row>
    <row r="94" spans="1:4" x14ac:dyDescent="0.15">
      <c r="A94" t="s">
        <v>713</v>
      </c>
      <c r="B94" s="7">
        <v>3515</v>
      </c>
    </row>
    <row r="95" spans="1:4" x14ac:dyDescent="0.15">
      <c r="A95" t="s">
        <v>712</v>
      </c>
      <c r="B95" s="7">
        <v>3315</v>
      </c>
    </row>
    <row r="96" spans="1:4" x14ac:dyDescent="0.15">
      <c r="A96" t="s">
        <v>770</v>
      </c>
      <c r="B96" s="7">
        <v>3615</v>
      </c>
    </row>
    <row r="97" spans="1:2" x14ac:dyDescent="0.15">
      <c r="A97" t="s">
        <v>771</v>
      </c>
      <c r="B97" s="7">
        <v>4580</v>
      </c>
    </row>
    <row r="98" spans="1:2" x14ac:dyDescent="0.15">
      <c r="A98" t="s">
        <v>711</v>
      </c>
      <c r="B98" s="7">
        <v>3645</v>
      </c>
    </row>
    <row r="99" spans="1:2" x14ac:dyDescent="0.15">
      <c r="A99" t="s">
        <v>722</v>
      </c>
      <c r="B99" s="7">
        <v>3315</v>
      </c>
    </row>
    <row r="100" spans="1:2" x14ac:dyDescent="0.15">
      <c r="A100" t="s">
        <v>772</v>
      </c>
      <c r="B100" s="7">
        <v>4480</v>
      </c>
    </row>
    <row r="101" spans="1:2" x14ac:dyDescent="0.15">
      <c r="A101" t="s">
        <v>773</v>
      </c>
      <c r="B101" s="7">
        <v>4680</v>
      </c>
    </row>
    <row r="102" spans="1:2" x14ac:dyDescent="0.15">
      <c r="A102" t="s">
        <v>726</v>
      </c>
      <c r="B102" s="7">
        <v>3545</v>
      </c>
    </row>
    <row r="103" spans="1:2" x14ac:dyDescent="0.15">
      <c r="A103" t="s">
        <v>729</v>
      </c>
      <c r="B103" s="7">
        <v>3215</v>
      </c>
    </row>
    <row r="104" spans="1:2" x14ac:dyDescent="0.15">
      <c r="A104" t="s">
        <v>774</v>
      </c>
      <c r="B104" s="7">
        <v>4645</v>
      </c>
    </row>
    <row r="105" spans="1:2" x14ac:dyDescent="0.15">
      <c r="A105" t="s">
        <v>732</v>
      </c>
      <c r="B105" s="7">
        <v>3015</v>
      </c>
    </row>
    <row r="106" spans="1:2" x14ac:dyDescent="0.15">
      <c r="A106" t="s">
        <v>775</v>
      </c>
      <c r="B106" s="7">
        <v>4745</v>
      </c>
    </row>
    <row r="107" spans="1:2" x14ac:dyDescent="0.15">
      <c r="A107" t="s">
        <v>776</v>
      </c>
      <c r="B107" s="7">
        <v>3745</v>
      </c>
    </row>
    <row r="108" spans="1:2" x14ac:dyDescent="0.15">
      <c r="A108" t="s">
        <v>777</v>
      </c>
      <c r="B108" s="7">
        <v>3880</v>
      </c>
    </row>
    <row r="109" spans="1:2" x14ac:dyDescent="0.15">
      <c r="A109" t="s">
        <v>778</v>
      </c>
      <c r="B109" s="7">
        <v>3880</v>
      </c>
    </row>
    <row r="110" spans="1:2" x14ac:dyDescent="0.15">
      <c r="A110" t="s">
        <v>735</v>
      </c>
      <c r="B110" s="7">
        <f>1600+1000+480+365+200+300</f>
        <v>3945</v>
      </c>
    </row>
    <row r="111" spans="1:2" x14ac:dyDescent="0.15">
      <c r="A111" t="s">
        <v>779</v>
      </c>
      <c r="B111" s="7">
        <v>3845</v>
      </c>
    </row>
    <row r="112" spans="1:2" x14ac:dyDescent="0.15">
      <c r="A112" t="s">
        <v>780</v>
      </c>
      <c r="B112" s="7">
        <v>3595</v>
      </c>
    </row>
    <row r="113" spans="1:3" x14ac:dyDescent="0.15">
      <c r="A113" s="13" t="s">
        <v>781</v>
      </c>
    </row>
    <row r="114" spans="1:3" x14ac:dyDescent="0.15">
      <c r="A114" t="s">
        <v>782</v>
      </c>
      <c r="B114" s="7">
        <f>SUM(B115:B120)</f>
        <v>1607</v>
      </c>
    </row>
    <row r="115" spans="1:3" x14ac:dyDescent="0.15">
      <c r="A115" t="s">
        <v>783</v>
      </c>
      <c r="B115" s="7">
        <v>200</v>
      </c>
    </row>
    <row r="116" spans="1:3" x14ac:dyDescent="0.15">
      <c r="A116" t="s">
        <v>784</v>
      </c>
      <c r="B116" s="7">
        <v>200</v>
      </c>
    </row>
    <row r="117" spans="1:3" x14ac:dyDescent="0.15">
      <c r="A117" t="s">
        <v>785</v>
      </c>
      <c r="B117" s="7">
        <v>250</v>
      </c>
    </row>
    <row r="118" spans="1:3" x14ac:dyDescent="0.15">
      <c r="A118" t="s">
        <v>786</v>
      </c>
      <c r="B118" s="7">
        <v>200</v>
      </c>
    </row>
    <row r="119" spans="1:3" x14ac:dyDescent="0.15">
      <c r="A119" t="s">
        <v>787</v>
      </c>
      <c r="B119" s="7">
        <v>169</v>
      </c>
      <c r="C119" s="9" t="s">
        <v>58</v>
      </c>
    </row>
    <row r="120" spans="1:3" x14ac:dyDescent="0.15">
      <c r="A120" t="s">
        <v>788</v>
      </c>
      <c r="B120" s="7">
        <v>588</v>
      </c>
    </row>
    <row r="121" spans="1:3" x14ac:dyDescent="0.15">
      <c r="A121" t="s">
        <v>789</v>
      </c>
      <c r="B121" s="7">
        <v>2940</v>
      </c>
    </row>
    <row r="122" spans="1:3" x14ac:dyDescent="0.15">
      <c r="A122" t="s">
        <v>790</v>
      </c>
      <c r="B122" s="7">
        <v>1440</v>
      </c>
    </row>
    <row r="123" spans="1:3" x14ac:dyDescent="0.15">
      <c r="A123" t="s">
        <v>791</v>
      </c>
      <c r="B123" s="7">
        <v>400</v>
      </c>
    </row>
    <row r="124" spans="1:3" x14ac:dyDescent="0.15">
      <c r="A124" t="s">
        <v>792</v>
      </c>
      <c r="B124" s="7">
        <v>150</v>
      </c>
    </row>
    <row r="125" spans="1:3" x14ac:dyDescent="0.15">
      <c r="A125" t="s">
        <v>793</v>
      </c>
      <c r="B125" s="7">
        <v>7347</v>
      </c>
      <c r="C125" s="9" t="s">
        <v>58</v>
      </c>
    </row>
    <row r="126" spans="1:3" x14ac:dyDescent="0.15">
      <c r="B126" s="7">
        <f>B114+SUM(B121:B124)</f>
        <v>6537</v>
      </c>
    </row>
    <row r="128" spans="1:3" x14ac:dyDescent="0.15">
      <c r="A128" t="s">
        <v>794</v>
      </c>
      <c r="B128" s="7">
        <v>6600</v>
      </c>
    </row>
    <row r="130" spans="1:4" x14ac:dyDescent="0.15">
      <c r="A130" s="6" t="s">
        <v>795</v>
      </c>
      <c r="B130" s="18">
        <v>721431</v>
      </c>
      <c r="C130" s="18">
        <v>1</v>
      </c>
      <c r="D130" s="18">
        <v>1</v>
      </c>
    </row>
    <row r="132" spans="1:4" x14ac:dyDescent="0.15">
      <c r="A132" s="26" t="s">
        <v>796</v>
      </c>
    </row>
    <row r="133" spans="1:4" x14ac:dyDescent="0.15">
      <c r="A133" t="s">
        <v>797</v>
      </c>
      <c r="B133" s="7">
        <f>13380+313560+71244</f>
        <v>398184</v>
      </c>
    </row>
    <row r="134" spans="1:4" x14ac:dyDescent="0.15">
      <c r="A134" t="s">
        <v>798</v>
      </c>
      <c r="B134" s="7">
        <f>273024+73728+2171880+782784+386232+68256</f>
        <v>3755904</v>
      </c>
    </row>
    <row r="135" spans="1:4" x14ac:dyDescent="0.15">
      <c r="A135" t="s">
        <v>799</v>
      </c>
      <c r="B135" s="7">
        <f>4320+18720</f>
        <v>23040</v>
      </c>
    </row>
    <row r="136" spans="1:4" x14ac:dyDescent="0.15">
      <c r="A136" t="s">
        <v>800</v>
      </c>
      <c r="B136" s="7">
        <f>23136+9672+2850+9480</f>
        <v>45138</v>
      </c>
    </row>
    <row r="137" spans="1:4" x14ac:dyDescent="0.15">
      <c r="A137" t="s">
        <v>801</v>
      </c>
      <c r="B137" s="7">
        <f>99679+61503</f>
        <v>161182</v>
      </c>
    </row>
    <row r="138" spans="1:4" x14ac:dyDescent="0.15">
      <c r="A138" t="s">
        <v>802</v>
      </c>
      <c r="B138" s="7">
        <f>49824+139588</f>
        <v>189412</v>
      </c>
    </row>
    <row r="139" spans="1:4" x14ac:dyDescent="0.15">
      <c r="A139" t="s">
        <v>803</v>
      </c>
      <c r="B139" s="7">
        <f>17024+300000</f>
        <v>317024</v>
      </c>
    </row>
    <row r="140" spans="1:4" x14ac:dyDescent="0.15">
      <c r="A140" t="s">
        <v>804</v>
      </c>
      <c r="B140" s="7">
        <f>182975+114323</f>
        <v>297298</v>
      </c>
      <c r="C140" s="7">
        <v>6</v>
      </c>
    </row>
    <row r="141" spans="1:4" x14ac:dyDescent="0.15">
      <c r="A141" t="s">
        <v>805</v>
      </c>
      <c r="B141" s="7">
        <v>391051</v>
      </c>
      <c r="C141" s="7">
        <v>7</v>
      </c>
    </row>
    <row r="142" spans="1:4" x14ac:dyDescent="0.15">
      <c r="A142" t="s">
        <v>806</v>
      </c>
      <c r="B142" s="7">
        <v>25061</v>
      </c>
      <c r="C142" s="7">
        <v>4</v>
      </c>
    </row>
    <row r="143" spans="1:4" x14ac:dyDescent="0.15">
      <c r="A143" t="s">
        <v>807</v>
      </c>
      <c r="B143" s="7">
        <v>150000</v>
      </c>
    </row>
    <row r="144" spans="1:4" x14ac:dyDescent="0.15">
      <c r="A144" t="s">
        <v>808</v>
      </c>
      <c r="B144" s="7">
        <v>50000</v>
      </c>
    </row>
    <row r="145" spans="1:3" x14ac:dyDescent="0.15">
      <c r="A145" t="s">
        <v>809</v>
      </c>
      <c r="B145" s="7">
        <v>1000000</v>
      </c>
    </row>
    <row r="146" spans="1:3" x14ac:dyDescent="0.15">
      <c r="A146" t="s">
        <v>810</v>
      </c>
      <c r="B146" s="7">
        <v>6803296</v>
      </c>
    </row>
    <row r="147" spans="1:3" x14ac:dyDescent="0.15">
      <c r="A147" s="26" t="s">
        <v>811</v>
      </c>
    </row>
    <row r="148" spans="1:3" x14ac:dyDescent="0.15">
      <c r="A148" t="s">
        <v>812</v>
      </c>
      <c r="B148" s="7">
        <v>11260</v>
      </c>
    </row>
    <row r="149" spans="1:3" x14ac:dyDescent="0.15">
      <c r="A149" t="s">
        <v>813</v>
      </c>
      <c r="B149" s="7">
        <v>58288</v>
      </c>
    </row>
    <row r="150" spans="1:3" x14ac:dyDescent="0.15">
      <c r="A150" t="s">
        <v>814</v>
      </c>
      <c r="B150" s="7">
        <v>240211</v>
      </c>
      <c r="C150" s="7">
        <v>6</v>
      </c>
    </row>
    <row r="151" spans="1:3" x14ac:dyDescent="0.15">
      <c r="A151" t="s">
        <v>815</v>
      </c>
      <c r="B151" s="7">
        <v>495368</v>
      </c>
    </row>
    <row r="152" spans="1:3" x14ac:dyDescent="0.15">
      <c r="A152" t="s">
        <v>816</v>
      </c>
      <c r="B152" s="7">
        <v>588324</v>
      </c>
      <c r="C152" s="7">
        <v>3</v>
      </c>
    </row>
    <row r="153" spans="1:3" x14ac:dyDescent="0.15">
      <c r="A153" t="s">
        <v>817</v>
      </c>
      <c r="B153" s="7">
        <v>558608</v>
      </c>
      <c r="C153" s="7">
        <v>6</v>
      </c>
    </row>
    <row r="154" spans="1:3" x14ac:dyDescent="0.15">
      <c r="A154" t="s">
        <v>818</v>
      </c>
      <c r="B154" s="7">
        <v>512155</v>
      </c>
      <c r="C154" s="7">
        <v>1</v>
      </c>
    </row>
    <row r="155" spans="1:3" x14ac:dyDescent="0.15">
      <c r="A155" t="s">
        <v>819</v>
      </c>
      <c r="B155" s="7">
        <v>177840</v>
      </c>
    </row>
    <row r="156" spans="1:3" x14ac:dyDescent="0.15">
      <c r="A156" t="s">
        <v>820</v>
      </c>
      <c r="B156" s="7">
        <v>472099</v>
      </c>
      <c r="C156" s="7">
        <v>4</v>
      </c>
    </row>
    <row r="157" spans="1:3" x14ac:dyDescent="0.15">
      <c r="A157" t="s">
        <v>821</v>
      </c>
      <c r="B157" s="7">
        <v>867432</v>
      </c>
    </row>
    <row r="158" spans="1:3" x14ac:dyDescent="0.15">
      <c r="A158" t="s">
        <v>822</v>
      </c>
      <c r="B158" s="7">
        <v>752740</v>
      </c>
    </row>
    <row r="159" spans="1:3" x14ac:dyDescent="0.15">
      <c r="A159" t="s">
        <v>823</v>
      </c>
      <c r="B159" s="7">
        <v>33968</v>
      </c>
    </row>
    <row r="160" spans="1:3" x14ac:dyDescent="0.15">
      <c r="A160" t="s">
        <v>824</v>
      </c>
      <c r="B160" s="7">
        <v>40872</v>
      </c>
    </row>
    <row r="161" spans="1:3" x14ac:dyDescent="0.15">
      <c r="A161" t="s">
        <v>825</v>
      </c>
      <c r="B161" s="7">
        <v>4809077</v>
      </c>
      <c r="C161" s="9" t="s">
        <v>826</v>
      </c>
    </row>
    <row r="162" spans="1:3" x14ac:dyDescent="0.15">
      <c r="A162" s="26" t="s">
        <v>827</v>
      </c>
    </row>
    <row r="164" spans="1:3" x14ac:dyDescent="0.15">
      <c r="A164" t="s">
        <v>828</v>
      </c>
    </row>
    <row r="166" spans="1:3" x14ac:dyDescent="0.15">
      <c r="A166" t="s">
        <v>685</v>
      </c>
    </row>
    <row r="170" spans="1:3" x14ac:dyDescent="0.15">
      <c r="A170" s="6" t="s">
        <v>829</v>
      </c>
    </row>
    <row r="171" spans="1:3" x14ac:dyDescent="0.15">
      <c r="B171" s="26" t="s">
        <v>381</v>
      </c>
      <c r="C171" s="26" t="s">
        <v>330</v>
      </c>
    </row>
    <row r="172" spans="1:3" x14ac:dyDescent="0.15">
      <c r="A172" t="s">
        <v>830</v>
      </c>
      <c r="B172" s="7">
        <v>295762</v>
      </c>
      <c r="C172" s="10" t="s">
        <v>831</v>
      </c>
    </row>
    <row r="173" spans="1:3" x14ac:dyDescent="0.15">
      <c r="A173" t="s">
        <v>832</v>
      </c>
      <c r="B173" s="7">
        <v>621431</v>
      </c>
      <c r="C173" s="7">
        <v>1</v>
      </c>
    </row>
    <row r="174" spans="1:3" x14ac:dyDescent="0.15">
      <c r="A174" t="s">
        <v>833</v>
      </c>
      <c r="B174" s="7">
        <v>6803296</v>
      </c>
      <c r="C174" s="7">
        <v>1</v>
      </c>
    </row>
    <row r="175" spans="1:3" x14ac:dyDescent="0.15">
      <c r="A175" t="s">
        <v>834</v>
      </c>
      <c r="B175" s="7">
        <v>4809077</v>
      </c>
      <c r="C175" s="10" t="s">
        <v>835</v>
      </c>
    </row>
    <row r="176" spans="1:3" x14ac:dyDescent="0.15">
      <c r="A176" t="s">
        <v>836</v>
      </c>
      <c r="B176" s="7">
        <v>2958142</v>
      </c>
      <c r="C176" s="10" t="s">
        <v>831</v>
      </c>
    </row>
    <row r="177" spans="1:3" x14ac:dyDescent="0.15">
      <c r="A177" t="s">
        <v>837</v>
      </c>
      <c r="B177" s="7">
        <v>358142</v>
      </c>
      <c r="C177" s="10" t="s">
        <v>35</v>
      </c>
    </row>
    <row r="178" spans="1:3" x14ac:dyDescent="0.15">
      <c r="A178" t="s">
        <v>838</v>
      </c>
      <c r="B178" s="7">
        <v>1800000</v>
      </c>
    </row>
    <row r="179" spans="1:3" x14ac:dyDescent="0.15">
      <c r="A179" t="s">
        <v>839</v>
      </c>
      <c r="B179" s="7">
        <v>300000</v>
      </c>
    </row>
    <row r="181" spans="1:3" x14ac:dyDescent="0.15">
      <c r="A181" t="s">
        <v>840</v>
      </c>
      <c r="B181" s="7">
        <v>15487710</v>
      </c>
      <c r="C181" s="10" t="s">
        <v>841</v>
      </c>
    </row>
    <row r="183" spans="1:3" x14ac:dyDescent="0.15">
      <c r="A183" t="s">
        <v>842</v>
      </c>
    </row>
    <row r="281" spans="1:1" x14ac:dyDescent="0.15">
      <c r="A281" s="7"/>
    </row>
    <row r="282" spans="1:1" x14ac:dyDescent="0.15">
      <c r="A282" s="7"/>
    </row>
    <row r="283" spans="1:1" x14ac:dyDescent="0.15">
      <c r="A283" s="7"/>
    </row>
    <row r="284" spans="1:1" x14ac:dyDescent="0.15">
      <c r="A284" s="7"/>
    </row>
    <row r="285" spans="1:1" x14ac:dyDescent="0.15">
      <c r="A285" s="7"/>
    </row>
    <row r="286" spans="1:1" x14ac:dyDescent="0.15">
      <c r="A286" s="26" t="s">
        <v>843</v>
      </c>
    </row>
    <row r="288" spans="1:1" x14ac:dyDescent="0.15">
      <c r="A288" s="6" t="s">
        <v>844</v>
      </c>
    </row>
    <row r="289" spans="1:4" x14ac:dyDescent="0.15">
      <c r="A289" s="6" t="s">
        <v>845</v>
      </c>
    </row>
    <row r="291" spans="1:4" x14ac:dyDescent="0.15">
      <c r="B291" s="26" t="s">
        <v>381</v>
      </c>
      <c r="C291" s="26" t="s">
        <v>330</v>
      </c>
      <c r="D291" s="26" t="s">
        <v>687</v>
      </c>
    </row>
    <row r="292" spans="1:4" x14ac:dyDescent="0.15">
      <c r="A292" t="s">
        <v>707</v>
      </c>
      <c r="B292" s="7">
        <v>69301</v>
      </c>
    </row>
    <row r="293" spans="1:4" x14ac:dyDescent="0.15">
      <c r="A293" t="s">
        <v>846</v>
      </c>
      <c r="B293" s="7">
        <v>36264</v>
      </c>
      <c r="C293" s="7">
        <v>0</v>
      </c>
    </row>
    <row r="294" spans="1:4" x14ac:dyDescent="0.15">
      <c r="A294" t="s">
        <v>737</v>
      </c>
      <c r="B294" s="7">
        <v>51840</v>
      </c>
    </row>
    <row r="295" spans="1:4" x14ac:dyDescent="0.15">
      <c r="A295" t="s">
        <v>738</v>
      </c>
      <c r="B295" s="7">
        <v>3250</v>
      </c>
    </row>
    <row r="296" spans="1:4" x14ac:dyDescent="0.15">
      <c r="A296" t="s">
        <v>739</v>
      </c>
      <c r="B296" s="7">
        <v>25429</v>
      </c>
    </row>
    <row r="297" spans="1:4" x14ac:dyDescent="0.15">
      <c r="A297" t="s">
        <v>740</v>
      </c>
      <c r="B297" s="7">
        <v>48000</v>
      </c>
    </row>
    <row r="298" spans="1:4" x14ac:dyDescent="0.15">
      <c r="A298" t="s">
        <v>741</v>
      </c>
      <c r="B298" s="7">
        <v>16060</v>
      </c>
    </row>
    <row r="299" spans="1:4" x14ac:dyDescent="0.15">
      <c r="A299" t="s">
        <v>742</v>
      </c>
      <c r="B299" s="7">
        <v>24200</v>
      </c>
    </row>
    <row r="300" spans="1:4" x14ac:dyDescent="0.15">
      <c r="A300" t="s">
        <v>743</v>
      </c>
      <c r="B300" s="7">
        <v>12400</v>
      </c>
    </row>
    <row r="301" spans="1:4" x14ac:dyDescent="0.15">
      <c r="A301" t="s">
        <v>744</v>
      </c>
      <c r="B301" s="7">
        <v>15600</v>
      </c>
    </row>
    <row r="302" spans="1:4" x14ac:dyDescent="0.15">
      <c r="A302" t="s">
        <v>745</v>
      </c>
      <c r="B302" s="7">
        <v>15600</v>
      </c>
    </row>
    <row r="303" spans="1:4" x14ac:dyDescent="0.15">
      <c r="A303" t="s">
        <v>746</v>
      </c>
      <c r="B303" s="7">
        <v>15600</v>
      </c>
    </row>
    <row r="304" spans="1:4" x14ac:dyDescent="0.15">
      <c r="A304" t="s">
        <v>747</v>
      </c>
      <c r="B304" s="7">
        <v>17800</v>
      </c>
    </row>
    <row r="305" spans="1:4" x14ac:dyDescent="0.15">
      <c r="A305" t="s">
        <v>748</v>
      </c>
      <c r="B305" s="7">
        <v>15600</v>
      </c>
    </row>
    <row r="306" spans="1:4" x14ac:dyDescent="0.15">
      <c r="A306" t="s">
        <v>749</v>
      </c>
      <c r="B306" s="7">
        <v>15600</v>
      </c>
    </row>
    <row r="307" spans="1:4" x14ac:dyDescent="0.15">
      <c r="A307" t="s">
        <v>750</v>
      </c>
      <c r="B307" s="7">
        <v>12400</v>
      </c>
    </row>
    <row r="308" spans="1:4" x14ac:dyDescent="0.15">
      <c r="A308" t="s">
        <v>751</v>
      </c>
      <c r="B308" s="7">
        <v>17800</v>
      </c>
    </row>
    <row r="310" spans="1:4" x14ac:dyDescent="0.15">
      <c r="A310" s="7"/>
    </row>
    <row r="312" spans="1:4" x14ac:dyDescent="0.15">
      <c r="A312" s="6" t="s">
        <v>847</v>
      </c>
    </row>
    <row r="313" spans="1:4" x14ac:dyDescent="0.15">
      <c r="B313" s="26" t="s">
        <v>381</v>
      </c>
      <c r="C313" s="26" t="s">
        <v>330</v>
      </c>
      <c r="D313" s="26" t="s">
        <v>687</v>
      </c>
    </row>
    <row r="314" spans="1:4" x14ac:dyDescent="0.15">
      <c r="A314" t="s">
        <v>753</v>
      </c>
      <c r="B314" s="7">
        <v>7316</v>
      </c>
      <c r="C314" s="7">
        <v>5</v>
      </c>
      <c r="D314" s="7">
        <v>10</v>
      </c>
    </row>
    <row r="315" spans="1:4" x14ac:dyDescent="0.15">
      <c r="A315" t="s">
        <v>754</v>
      </c>
      <c r="B315" s="7">
        <v>8416</v>
      </c>
      <c r="C315" s="7">
        <v>5</v>
      </c>
      <c r="D315" s="7">
        <v>10</v>
      </c>
    </row>
    <row r="316" spans="1:4" x14ac:dyDescent="0.15">
      <c r="A316" t="s">
        <v>755</v>
      </c>
      <c r="B316" s="7">
        <v>6616</v>
      </c>
      <c r="C316" s="7">
        <v>5</v>
      </c>
      <c r="D316" s="7">
        <v>10</v>
      </c>
    </row>
    <row r="317" spans="1:4" x14ac:dyDescent="0.15">
      <c r="A317" t="s">
        <v>756</v>
      </c>
      <c r="B317" s="7">
        <v>7416</v>
      </c>
      <c r="C317" s="7">
        <v>5</v>
      </c>
      <c r="D317" s="7">
        <v>10</v>
      </c>
    </row>
    <row r="318" spans="1:4" x14ac:dyDescent="0.15">
      <c r="A318" t="s">
        <v>757</v>
      </c>
      <c r="B318" s="7">
        <v>6416</v>
      </c>
      <c r="C318" s="7">
        <v>5</v>
      </c>
      <c r="D318" s="7">
        <v>10</v>
      </c>
    </row>
    <row r="319" spans="1:4" x14ac:dyDescent="0.15">
      <c r="A319" t="s">
        <v>758</v>
      </c>
      <c r="B319" s="7">
        <v>6416</v>
      </c>
      <c r="C319" s="7">
        <v>5</v>
      </c>
      <c r="D319" s="7">
        <v>10</v>
      </c>
    </row>
    <row r="320" spans="1:4" x14ac:dyDescent="0.15">
      <c r="A320" t="s">
        <v>759</v>
      </c>
      <c r="B320" s="7">
        <v>8316</v>
      </c>
      <c r="C320" s="7">
        <v>5</v>
      </c>
      <c r="D320" s="7">
        <v>10</v>
      </c>
    </row>
    <row r="321" spans="1:4" x14ac:dyDescent="0.15">
      <c r="A321" t="s">
        <v>760</v>
      </c>
      <c r="B321" s="7">
        <v>8516</v>
      </c>
      <c r="C321" s="7">
        <v>5</v>
      </c>
      <c r="D321" s="7">
        <v>10</v>
      </c>
    </row>
    <row r="322" spans="1:4" x14ac:dyDescent="0.15">
      <c r="A322" t="s">
        <v>761</v>
      </c>
      <c r="B322" s="7">
        <v>6616</v>
      </c>
      <c r="C322" s="7">
        <v>5</v>
      </c>
      <c r="D322" s="7">
        <v>10</v>
      </c>
    </row>
    <row r="323" spans="1:4" x14ac:dyDescent="0.15">
      <c r="A323" t="s">
        <v>762</v>
      </c>
      <c r="B323" s="7">
        <v>6816</v>
      </c>
      <c r="C323" s="7">
        <v>5</v>
      </c>
      <c r="D323" s="7">
        <v>10</v>
      </c>
    </row>
    <row r="324" spans="1:4" x14ac:dyDescent="0.15">
      <c r="A324" t="s">
        <v>763</v>
      </c>
      <c r="B324" s="7">
        <v>6716</v>
      </c>
      <c r="C324" s="7">
        <v>5</v>
      </c>
      <c r="D324" s="7">
        <v>10</v>
      </c>
    </row>
    <row r="325" spans="1:4" x14ac:dyDescent="0.15">
      <c r="A325" t="s">
        <v>764</v>
      </c>
      <c r="B325" s="7">
        <v>7716</v>
      </c>
      <c r="C325" s="7">
        <v>5</v>
      </c>
      <c r="D325" s="7">
        <v>10</v>
      </c>
    </row>
    <row r="327" spans="1:4" x14ac:dyDescent="0.15">
      <c r="A327" s="6" t="s">
        <v>848</v>
      </c>
    </row>
    <row r="328" spans="1:4" x14ac:dyDescent="0.15">
      <c r="B328" s="26" t="s">
        <v>381</v>
      </c>
      <c r="C328" s="26" t="s">
        <v>330</v>
      </c>
      <c r="D328" s="26" t="s">
        <v>687</v>
      </c>
    </row>
    <row r="329" spans="1:4" x14ac:dyDescent="0.15">
      <c r="A329" t="s">
        <v>766</v>
      </c>
      <c r="B329" s="7">
        <v>3345</v>
      </c>
    </row>
    <row r="330" spans="1:4" x14ac:dyDescent="0.15">
      <c r="A330" t="s">
        <v>721</v>
      </c>
      <c r="B330" s="7">
        <v>4580</v>
      </c>
    </row>
    <row r="331" spans="1:4" x14ac:dyDescent="0.15">
      <c r="A331" t="s">
        <v>718</v>
      </c>
      <c r="B331" s="7">
        <v>3345</v>
      </c>
    </row>
    <row r="332" spans="1:4" x14ac:dyDescent="0.15">
      <c r="A332" t="s">
        <v>767</v>
      </c>
      <c r="B332" s="7">
        <v>4345</v>
      </c>
    </row>
    <row r="333" spans="1:4" x14ac:dyDescent="0.15">
      <c r="A333" t="s">
        <v>768</v>
      </c>
      <c r="B333" s="7">
        <v>4280</v>
      </c>
    </row>
    <row r="334" spans="1:4" x14ac:dyDescent="0.15">
      <c r="A334" t="s">
        <v>769</v>
      </c>
      <c r="B334" s="7">
        <v>4245</v>
      </c>
    </row>
    <row r="335" spans="1:4" x14ac:dyDescent="0.15">
      <c r="A335" t="s">
        <v>713</v>
      </c>
      <c r="B335" s="7">
        <v>3515</v>
      </c>
    </row>
    <row r="336" spans="1:4" x14ac:dyDescent="0.15">
      <c r="A336" t="s">
        <v>712</v>
      </c>
      <c r="B336" s="7">
        <v>3315</v>
      </c>
    </row>
    <row r="337" spans="1:2" x14ac:dyDescent="0.15">
      <c r="A337" t="s">
        <v>770</v>
      </c>
      <c r="B337" s="7">
        <v>3615</v>
      </c>
    </row>
    <row r="338" spans="1:2" x14ac:dyDescent="0.15">
      <c r="A338" t="s">
        <v>771</v>
      </c>
      <c r="B338" s="7">
        <v>4580</v>
      </c>
    </row>
    <row r="339" spans="1:2" x14ac:dyDescent="0.15">
      <c r="A339" t="s">
        <v>711</v>
      </c>
      <c r="B339" s="7">
        <v>3645</v>
      </c>
    </row>
    <row r="340" spans="1:2" x14ac:dyDescent="0.15">
      <c r="A340" t="s">
        <v>722</v>
      </c>
      <c r="B340" s="7">
        <v>3315</v>
      </c>
    </row>
    <row r="341" spans="1:2" x14ac:dyDescent="0.15">
      <c r="A341" t="s">
        <v>772</v>
      </c>
      <c r="B341" s="7">
        <v>4480</v>
      </c>
    </row>
    <row r="342" spans="1:2" x14ac:dyDescent="0.15">
      <c r="A342" t="s">
        <v>773</v>
      </c>
      <c r="B342" s="7">
        <v>4680</v>
      </c>
    </row>
    <row r="343" spans="1:2" x14ac:dyDescent="0.15">
      <c r="A343" t="s">
        <v>726</v>
      </c>
      <c r="B343" s="7">
        <v>3545</v>
      </c>
    </row>
    <row r="344" spans="1:2" x14ac:dyDescent="0.15">
      <c r="A344" t="s">
        <v>729</v>
      </c>
      <c r="B344" s="7">
        <v>3215</v>
      </c>
    </row>
    <row r="345" spans="1:2" x14ac:dyDescent="0.15">
      <c r="A345" t="s">
        <v>774</v>
      </c>
      <c r="B345" s="7">
        <v>4645</v>
      </c>
    </row>
    <row r="346" spans="1:2" x14ac:dyDescent="0.15">
      <c r="A346" t="s">
        <v>732</v>
      </c>
      <c r="B346" s="7">
        <v>3015</v>
      </c>
    </row>
    <row r="347" spans="1:2" x14ac:dyDescent="0.15">
      <c r="A347" t="s">
        <v>775</v>
      </c>
      <c r="B347" s="7">
        <v>4745</v>
      </c>
    </row>
    <row r="348" spans="1:2" x14ac:dyDescent="0.15">
      <c r="A348" t="s">
        <v>776</v>
      </c>
      <c r="B348" s="7">
        <v>3745</v>
      </c>
    </row>
    <row r="349" spans="1:2" x14ac:dyDescent="0.15">
      <c r="A349" t="s">
        <v>777</v>
      </c>
      <c r="B349" s="7">
        <v>3880</v>
      </c>
    </row>
    <row r="350" spans="1:2" x14ac:dyDescent="0.15">
      <c r="A350" t="s">
        <v>778</v>
      </c>
      <c r="B350" s="7">
        <v>3880</v>
      </c>
    </row>
    <row r="351" spans="1:2" x14ac:dyDescent="0.15">
      <c r="A351" t="s">
        <v>735</v>
      </c>
      <c r="B351" s="7">
        <f>1600+1000+480+365+200+300</f>
        <v>3945</v>
      </c>
    </row>
    <row r="352" spans="1:2" x14ac:dyDescent="0.15">
      <c r="A352" t="s">
        <v>779</v>
      </c>
      <c r="B352" s="7">
        <v>3845</v>
      </c>
    </row>
    <row r="353" spans="1:3" x14ac:dyDescent="0.15">
      <c r="A353" t="s">
        <v>780</v>
      </c>
      <c r="B353" s="7">
        <v>3595</v>
      </c>
    </row>
    <row r="355" spans="1:3" x14ac:dyDescent="0.15">
      <c r="A355" s="6" t="s">
        <v>849</v>
      </c>
    </row>
    <row r="356" spans="1:3" x14ac:dyDescent="0.15">
      <c r="A356" t="s">
        <v>782</v>
      </c>
      <c r="B356" s="7">
        <f>SUM(B357:B362)</f>
        <v>1617</v>
      </c>
    </row>
    <row r="357" spans="1:3" x14ac:dyDescent="0.15">
      <c r="A357" t="s">
        <v>783</v>
      </c>
      <c r="B357" s="7">
        <v>200</v>
      </c>
    </row>
    <row r="358" spans="1:3" x14ac:dyDescent="0.15">
      <c r="A358" t="s">
        <v>784</v>
      </c>
      <c r="B358" s="7">
        <v>200</v>
      </c>
    </row>
    <row r="359" spans="1:3" x14ac:dyDescent="0.15">
      <c r="A359" t="s">
        <v>785</v>
      </c>
      <c r="B359" s="7">
        <v>250</v>
      </c>
    </row>
    <row r="360" spans="1:3" x14ac:dyDescent="0.15">
      <c r="A360" t="s">
        <v>786</v>
      </c>
      <c r="B360" s="7">
        <v>200</v>
      </c>
    </row>
    <row r="361" spans="1:3" x14ac:dyDescent="0.15">
      <c r="A361" t="s">
        <v>787</v>
      </c>
      <c r="B361" s="7">
        <v>179</v>
      </c>
      <c r="C361" s="9" t="s">
        <v>58</v>
      </c>
    </row>
    <row r="362" spans="1:3" x14ac:dyDescent="0.15">
      <c r="A362" t="s">
        <v>788</v>
      </c>
      <c r="B362" s="7">
        <v>588</v>
      </c>
    </row>
    <row r="363" spans="1:3" x14ac:dyDescent="0.15">
      <c r="A363" t="s">
        <v>789</v>
      </c>
      <c r="B363" s="7">
        <v>2940</v>
      </c>
    </row>
    <row r="364" spans="1:3" x14ac:dyDescent="0.15">
      <c r="A364" t="s">
        <v>790</v>
      </c>
      <c r="B364" s="7">
        <v>1440</v>
      </c>
    </row>
    <row r="365" spans="1:3" x14ac:dyDescent="0.15">
      <c r="A365" t="s">
        <v>791</v>
      </c>
      <c r="B365" s="7">
        <v>400</v>
      </c>
    </row>
    <row r="366" spans="1:3" x14ac:dyDescent="0.15">
      <c r="A366" t="s">
        <v>792</v>
      </c>
      <c r="B366" s="7">
        <v>150</v>
      </c>
    </row>
    <row r="367" spans="1:3" x14ac:dyDescent="0.15">
      <c r="A367" t="s">
        <v>793</v>
      </c>
      <c r="B367" s="7">
        <v>7347</v>
      </c>
      <c r="C367" s="9" t="s">
        <v>58</v>
      </c>
    </row>
    <row r="368" spans="1:3" x14ac:dyDescent="0.15">
      <c r="B368" s="7">
        <f>B356+SUM(B363:B366)</f>
        <v>6547</v>
      </c>
    </row>
    <row r="370" spans="1:4" x14ac:dyDescent="0.15">
      <c r="A370" t="s">
        <v>794</v>
      </c>
      <c r="B370" s="7">
        <v>6600</v>
      </c>
    </row>
    <row r="372" spans="1:4" x14ac:dyDescent="0.15">
      <c r="A372" s="6" t="s">
        <v>850</v>
      </c>
      <c r="B372" s="18">
        <v>621431</v>
      </c>
      <c r="C372" s="18">
        <v>1</v>
      </c>
      <c r="D372" s="18">
        <v>1</v>
      </c>
    </row>
    <row r="374" spans="1:4" x14ac:dyDescent="0.15">
      <c r="A374" t="s">
        <v>851</v>
      </c>
    </row>
    <row r="377" spans="1:4" x14ac:dyDescent="0.15">
      <c r="A377" s="6" t="s">
        <v>852</v>
      </c>
    </row>
    <row r="378" spans="1:4" x14ac:dyDescent="0.15">
      <c r="B378" s="26" t="s">
        <v>381</v>
      </c>
      <c r="C378" s="26" t="s">
        <v>330</v>
      </c>
      <c r="D378" s="26" t="s">
        <v>687</v>
      </c>
    </row>
    <row r="379" spans="1:4" x14ac:dyDescent="0.15">
      <c r="A379" s="78">
        <v>1822</v>
      </c>
    </row>
    <row r="380" spans="1:4" x14ac:dyDescent="0.15">
      <c r="A380" t="s">
        <v>853</v>
      </c>
      <c r="B380" s="7">
        <v>428</v>
      </c>
    </row>
    <row r="381" spans="1:4" x14ac:dyDescent="0.15">
      <c r="A381" t="s">
        <v>854</v>
      </c>
      <c r="B381" s="7">
        <v>421</v>
      </c>
      <c r="C381" s="7">
        <v>7</v>
      </c>
      <c r="D381" s="7">
        <v>17</v>
      </c>
    </row>
    <row r="382" spans="1:4" x14ac:dyDescent="0.15">
      <c r="A382" t="s">
        <v>855</v>
      </c>
      <c r="B382" s="7">
        <v>849</v>
      </c>
      <c r="C382" s="7">
        <v>7</v>
      </c>
      <c r="D382" s="7">
        <v>17</v>
      </c>
    </row>
    <row r="384" spans="1:4" x14ac:dyDescent="0.15">
      <c r="A384" t="s">
        <v>856</v>
      </c>
      <c r="B384" s="7">
        <v>849</v>
      </c>
      <c r="C384" s="7">
        <v>7</v>
      </c>
      <c r="D384" s="7">
        <v>17</v>
      </c>
    </row>
    <row r="386" spans="1:4" x14ac:dyDescent="0.15">
      <c r="A386" s="78">
        <v>1823</v>
      </c>
    </row>
    <row r="387" spans="1:4" x14ac:dyDescent="0.15">
      <c r="A387" t="s">
        <v>857</v>
      </c>
      <c r="B387" s="7">
        <v>704</v>
      </c>
    </row>
    <row r="388" spans="1:4" x14ac:dyDescent="0.15">
      <c r="A388" t="s">
        <v>854</v>
      </c>
      <c r="B388" s="7">
        <v>726</v>
      </c>
      <c r="C388" s="7">
        <v>7</v>
      </c>
      <c r="D388" s="7">
        <v>17</v>
      </c>
    </row>
    <row r="389" spans="1:4" x14ac:dyDescent="0.15">
      <c r="A389" t="s">
        <v>855</v>
      </c>
      <c r="B389" s="7">
        <v>1430</v>
      </c>
      <c r="C389" s="7">
        <v>7</v>
      </c>
      <c r="D389" s="7">
        <v>17</v>
      </c>
    </row>
    <row r="391" spans="1:4" x14ac:dyDescent="0.15">
      <c r="A391" t="s">
        <v>856</v>
      </c>
      <c r="B391" s="7">
        <v>860</v>
      </c>
      <c r="C391" s="7">
        <v>7</v>
      </c>
      <c r="D391" s="7">
        <v>17</v>
      </c>
    </row>
    <row r="392" spans="1:4" x14ac:dyDescent="0.15">
      <c r="A392" t="s">
        <v>858</v>
      </c>
      <c r="B392" s="7">
        <v>550</v>
      </c>
    </row>
    <row r="393" spans="1:4" x14ac:dyDescent="0.15">
      <c r="A393" t="s">
        <v>859</v>
      </c>
      <c r="B393" s="7">
        <v>1430</v>
      </c>
      <c r="C393" s="7">
        <v>7</v>
      </c>
      <c r="D393" s="7">
        <v>17</v>
      </c>
    </row>
    <row r="395" spans="1:4" x14ac:dyDescent="0.15">
      <c r="A395" s="78">
        <v>1824</v>
      </c>
    </row>
    <row r="396" spans="1:4" x14ac:dyDescent="0.15">
      <c r="A396" t="s">
        <v>860</v>
      </c>
      <c r="B396" s="7">
        <v>552</v>
      </c>
    </row>
    <row r="397" spans="1:4" x14ac:dyDescent="0.15">
      <c r="A397" t="s">
        <v>854</v>
      </c>
      <c r="B397" s="7">
        <v>902</v>
      </c>
      <c r="C397" s="7">
        <v>7</v>
      </c>
      <c r="D397" s="7">
        <v>17</v>
      </c>
    </row>
    <row r="398" spans="1:4" x14ac:dyDescent="0.15">
      <c r="A398" t="s">
        <v>861</v>
      </c>
      <c r="B398" s="7">
        <v>1454</v>
      </c>
      <c r="C398" s="7">
        <v>7</v>
      </c>
      <c r="D398" s="7">
        <v>17</v>
      </c>
    </row>
    <row r="400" spans="1:4" x14ac:dyDescent="0.15">
      <c r="A400" t="s">
        <v>856</v>
      </c>
      <c r="B400" s="7">
        <v>595</v>
      </c>
      <c r="C400" s="7">
        <v>7</v>
      </c>
      <c r="D400" s="7">
        <v>17</v>
      </c>
    </row>
    <row r="401" spans="1:4" x14ac:dyDescent="0.15">
      <c r="A401" t="s">
        <v>858</v>
      </c>
      <c r="B401" s="7">
        <v>859</v>
      </c>
    </row>
    <row r="402" spans="1:4" x14ac:dyDescent="0.15">
      <c r="A402" t="s">
        <v>859</v>
      </c>
      <c r="B402" s="7">
        <v>1454</v>
      </c>
      <c r="C402" s="7">
        <v>7</v>
      </c>
      <c r="D402" s="7">
        <v>17</v>
      </c>
    </row>
    <row r="404" spans="1:4" x14ac:dyDescent="0.15">
      <c r="A404" s="78">
        <v>1825</v>
      </c>
    </row>
    <row r="405" spans="1:4" x14ac:dyDescent="0.15">
      <c r="A405" t="s">
        <v>857</v>
      </c>
      <c r="B405" s="7">
        <v>352</v>
      </c>
    </row>
    <row r="406" spans="1:4" x14ac:dyDescent="0.15">
      <c r="A406" t="s">
        <v>854</v>
      </c>
      <c r="B406" s="7">
        <v>3238</v>
      </c>
    </row>
    <row r="407" spans="1:4" x14ac:dyDescent="0.15">
      <c r="A407" t="s">
        <v>683</v>
      </c>
      <c r="B407" s="7">
        <v>3590</v>
      </c>
    </row>
    <row r="409" spans="1:4" x14ac:dyDescent="0.15">
      <c r="A409" t="s">
        <v>856</v>
      </c>
      <c r="B409" s="7">
        <v>850</v>
      </c>
    </row>
    <row r="410" spans="1:4" x14ac:dyDescent="0.15">
      <c r="A410" t="s">
        <v>862</v>
      </c>
      <c r="B410" s="7">
        <v>204</v>
      </c>
    </row>
    <row r="411" spans="1:4" x14ac:dyDescent="0.15">
      <c r="A411" t="s">
        <v>863</v>
      </c>
      <c r="B411" s="7">
        <v>2536</v>
      </c>
    </row>
    <row r="412" spans="1:4" x14ac:dyDescent="0.15">
      <c r="A412" t="s">
        <v>859</v>
      </c>
      <c r="B412" s="7">
        <v>3590</v>
      </c>
    </row>
    <row r="414" spans="1:4" x14ac:dyDescent="0.15">
      <c r="A414" t="s">
        <v>864</v>
      </c>
    </row>
    <row r="415" spans="1:4" x14ac:dyDescent="0.15">
      <c r="A415" t="s">
        <v>865</v>
      </c>
    </row>
    <row r="416" spans="1:4" x14ac:dyDescent="0.15">
      <c r="A416" t="s">
        <v>866</v>
      </c>
    </row>
    <row r="418" spans="1:1" x14ac:dyDescent="0.15">
      <c r="A418" t="s">
        <v>867</v>
      </c>
    </row>
  </sheetData>
  <pageMargins left="0.75" right="0.75" top="1" bottom="1" header="0.5" footer="0.5"/>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35"/>
  <sheetViews>
    <sheetView workbookViewId="0">
      <selection activeCell="B1" sqref="B1"/>
    </sheetView>
  </sheetViews>
  <sheetFormatPr baseColWidth="10" defaultRowHeight="13" x14ac:dyDescent="0.15"/>
  <cols>
    <col min="1" max="1" width="52" bestFit="1" customWidth="1"/>
    <col min="2" max="16384" width="10.83203125" style="7"/>
  </cols>
  <sheetData>
    <row r="1" spans="1:2" x14ac:dyDescent="0.15">
      <c r="A1" s="6" t="s">
        <v>868</v>
      </c>
    </row>
    <row r="3" spans="1:2" x14ac:dyDescent="0.15">
      <c r="A3" t="s">
        <v>737</v>
      </c>
      <c r="B3" s="7">
        <v>123746</v>
      </c>
    </row>
    <row r="4" spans="1:2" x14ac:dyDescent="0.15">
      <c r="A4" t="s">
        <v>869</v>
      </c>
      <c r="B4" s="7">
        <v>75144</v>
      </c>
    </row>
    <row r="5" spans="1:2" x14ac:dyDescent="0.15">
      <c r="A5" t="s">
        <v>870</v>
      </c>
      <c r="B5" s="7">
        <v>48000</v>
      </c>
    </row>
    <row r="6" spans="1:2" x14ac:dyDescent="0.15">
      <c r="A6" t="s">
        <v>871</v>
      </c>
      <c r="B6" s="7">
        <v>10660</v>
      </c>
    </row>
    <row r="7" spans="1:2" x14ac:dyDescent="0.15">
      <c r="A7" t="s">
        <v>872</v>
      </c>
      <c r="B7" s="7">
        <v>2000</v>
      </c>
    </row>
    <row r="8" spans="1:2" x14ac:dyDescent="0.15">
      <c r="A8" t="s">
        <v>873</v>
      </c>
      <c r="B8" s="7">
        <v>4000</v>
      </c>
    </row>
    <row r="9" spans="1:2" x14ac:dyDescent="0.15">
      <c r="A9" t="s">
        <v>874</v>
      </c>
      <c r="B9" s="7">
        <v>24000</v>
      </c>
    </row>
    <row r="10" spans="1:2" x14ac:dyDescent="0.15">
      <c r="A10" t="s">
        <v>875</v>
      </c>
      <c r="B10" s="7">
        <v>71600</v>
      </c>
    </row>
    <row r="11" spans="1:2" x14ac:dyDescent="0.15">
      <c r="A11" t="s">
        <v>876</v>
      </c>
      <c r="B11" s="7">
        <v>87100</v>
      </c>
    </row>
    <row r="12" spans="1:2" x14ac:dyDescent="0.15">
      <c r="A12" t="s">
        <v>877</v>
      </c>
    </row>
    <row r="13" spans="1:2" x14ac:dyDescent="0.15">
      <c r="A13" t="s">
        <v>878</v>
      </c>
      <c r="B13" s="7">
        <v>70300</v>
      </c>
    </row>
    <row r="14" spans="1:2" x14ac:dyDescent="0.15">
      <c r="A14" t="s">
        <v>879</v>
      </c>
      <c r="B14" s="7">
        <v>6067</v>
      </c>
    </row>
    <row r="15" spans="1:2" x14ac:dyDescent="0.15">
      <c r="A15" t="s">
        <v>880</v>
      </c>
      <c r="B15" s="7">
        <v>4900</v>
      </c>
    </row>
    <row r="17" spans="1:7" x14ac:dyDescent="0.15">
      <c r="A17" t="s">
        <v>881</v>
      </c>
      <c r="B17" s="7">
        <v>527686</v>
      </c>
      <c r="C17" s="27">
        <f>SUM(B3:B15)</f>
        <v>527517</v>
      </c>
    </row>
    <row r="18" spans="1:7" x14ac:dyDescent="0.15">
      <c r="A18" t="s">
        <v>882</v>
      </c>
    </row>
    <row r="20" spans="1:7" x14ac:dyDescent="0.15">
      <c r="A20" s="12" t="s">
        <v>883</v>
      </c>
    </row>
    <row r="21" spans="1:7" x14ac:dyDescent="0.15">
      <c r="A21" s="6" t="s">
        <v>884</v>
      </c>
    </row>
    <row r="22" spans="1:7" x14ac:dyDescent="0.15">
      <c r="A22" s="6"/>
    </row>
    <row r="23" spans="1:7" x14ac:dyDescent="0.15">
      <c r="B23" s="26" t="s">
        <v>381</v>
      </c>
      <c r="C23" s="26" t="s">
        <v>330</v>
      </c>
      <c r="D23" s="26" t="s">
        <v>381</v>
      </c>
      <c r="E23" s="26" t="s">
        <v>330</v>
      </c>
    </row>
    <row r="24" spans="1:7" x14ac:dyDescent="0.15">
      <c r="A24" t="s">
        <v>885</v>
      </c>
      <c r="D24" s="7">
        <v>69369</v>
      </c>
      <c r="E24" s="7">
        <v>7</v>
      </c>
    </row>
    <row r="25" spans="1:7" x14ac:dyDescent="0.15">
      <c r="A25" t="s">
        <v>886</v>
      </c>
      <c r="D25" s="7">
        <v>526886</v>
      </c>
      <c r="E25" s="7">
        <v>4</v>
      </c>
    </row>
    <row r="26" spans="1:7" x14ac:dyDescent="0.15">
      <c r="A26" t="s">
        <v>887</v>
      </c>
      <c r="D26" s="7">
        <v>4307797</v>
      </c>
      <c r="E26" s="7">
        <v>4</v>
      </c>
    </row>
    <row r="27" spans="1:7" x14ac:dyDescent="0.15">
      <c r="A27" t="s">
        <v>888</v>
      </c>
      <c r="D27" s="7">
        <v>912721</v>
      </c>
      <c r="G27" s="7">
        <f>4300+44880+123006+151956+46830+75573+57784+6226+5566+26937+10626+4600+7440+34917+8550+113420+178889+11220</f>
        <v>912720</v>
      </c>
    </row>
    <row r="28" spans="1:7" x14ac:dyDescent="0.15">
      <c r="A28" t="s">
        <v>889</v>
      </c>
      <c r="B28" s="7">
        <v>579047</v>
      </c>
      <c r="D28" s="7">
        <v>2679047</v>
      </c>
    </row>
    <row r="29" spans="1:7" x14ac:dyDescent="0.15">
      <c r="A29" t="s">
        <v>890</v>
      </c>
      <c r="B29" s="7">
        <v>1800000</v>
      </c>
    </row>
    <row r="30" spans="1:7" x14ac:dyDescent="0.15">
      <c r="A30" t="s">
        <v>891</v>
      </c>
      <c r="B30" s="7">
        <v>300000</v>
      </c>
    </row>
    <row r="32" spans="1:7" x14ac:dyDescent="0.15">
      <c r="A32" t="s">
        <v>881</v>
      </c>
      <c r="D32" s="7">
        <v>8495822</v>
      </c>
    </row>
    <row r="33" spans="1:5" x14ac:dyDescent="0.15">
      <c r="B33" s="27">
        <f>SUM(B28:B30)</f>
        <v>2679047</v>
      </c>
      <c r="D33" s="27">
        <f>SUM(D24:D30)</f>
        <v>8495820</v>
      </c>
      <c r="E33" s="27">
        <f>SUM(E24:E30)</f>
        <v>15</v>
      </c>
    </row>
    <row r="34" spans="1:5" x14ac:dyDescent="0.15">
      <c r="A34" t="s">
        <v>892</v>
      </c>
    </row>
    <row r="35" spans="1:5" x14ac:dyDescent="0.15">
      <c r="A35" t="s">
        <v>893</v>
      </c>
    </row>
  </sheetData>
  <pageMargins left="0.75" right="0.75" top="1" bottom="1" header="0.5" footer="0.5"/>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election activeCell="B1" sqref="B1"/>
    </sheetView>
  </sheetViews>
  <sheetFormatPr baseColWidth="10" defaultRowHeight="13" x14ac:dyDescent="0.15"/>
  <cols>
    <col min="1" max="1" width="21.33203125" bestFit="1" customWidth="1"/>
    <col min="2" max="2" width="10.83203125" style="7"/>
  </cols>
  <sheetData>
    <row r="1" spans="1:3" x14ac:dyDescent="0.15">
      <c r="B1" t="s">
        <v>894</v>
      </c>
      <c r="C1" t="s">
        <v>895</v>
      </c>
    </row>
    <row r="2" spans="1:3" x14ac:dyDescent="0.15">
      <c r="A2" t="s">
        <v>896</v>
      </c>
      <c r="B2" s="7">
        <v>2282386</v>
      </c>
      <c r="C2">
        <v>5</v>
      </c>
    </row>
    <row r="3" spans="1:3" x14ac:dyDescent="0.15">
      <c r="A3" t="s">
        <v>897</v>
      </c>
      <c r="B3" s="7">
        <v>2485015</v>
      </c>
      <c r="C3" s="8" t="s">
        <v>19</v>
      </c>
    </row>
    <row r="4" spans="1:3" x14ac:dyDescent="0.15">
      <c r="A4" t="s">
        <v>898</v>
      </c>
      <c r="B4" s="7">
        <v>2240308</v>
      </c>
      <c r="C4" s="8" t="s">
        <v>14</v>
      </c>
    </row>
    <row r="5" spans="1:3" x14ac:dyDescent="0.15">
      <c r="A5" t="s">
        <v>899</v>
      </c>
      <c r="B5" s="7">
        <v>244707</v>
      </c>
      <c r="C5">
        <v>2</v>
      </c>
    </row>
    <row r="7" spans="1:3" x14ac:dyDescent="0.15">
      <c r="A7" t="s">
        <v>900</v>
      </c>
    </row>
    <row r="10" spans="1:3" x14ac:dyDescent="0.15">
      <c r="A10" t="s">
        <v>901</v>
      </c>
    </row>
    <row r="11" spans="1:3" x14ac:dyDescent="0.15">
      <c r="A11" t="s">
        <v>902</v>
      </c>
    </row>
    <row r="13" spans="1:3" x14ac:dyDescent="0.15">
      <c r="A13" t="s">
        <v>903</v>
      </c>
    </row>
    <row r="14" spans="1:3" x14ac:dyDescent="0.15">
      <c r="A14" t="s">
        <v>333</v>
      </c>
    </row>
    <row r="15" spans="1:3" x14ac:dyDescent="0.15">
      <c r="A15" t="s">
        <v>904</v>
      </c>
    </row>
  </sheetData>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election activeCell="B1" sqref="B1"/>
    </sheetView>
  </sheetViews>
  <sheetFormatPr baseColWidth="10" defaultRowHeight="13" x14ac:dyDescent="0.15"/>
  <cols>
    <col min="1" max="1" width="36.6640625" bestFit="1" customWidth="1"/>
    <col min="2" max="2" width="10.83203125" style="7"/>
    <col min="3" max="3" width="10.83203125" style="19"/>
    <col min="4" max="16384" width="10.83203125" style="7"/>
  </cols>
  <sheetData>
    <row r="1" spans="1:3" customFormat="1" x14ac:dyDescent="0.15">
      <c r="A1" t="s">
        <v>905</v>
      </c>
    </row>
    <row r="2" spans="1:3" customFormat="1" x14ac:dyDescent="0.15">
      <c r="A2">
        <v>1833</v>
      </c>
    </row>
    <row r="3" spans="1:3" customFormat="1" x14ac:dyDescent="0.15">
      <c r="B3" t="s">
        <v>894</v>
      </c>
      <c r="C3" t="s">
        <v>906</v>
      </c>
    </row>
    <row r="4" spans="1:3" x14ac:dyDescent="0.15">
      <c r="A4" t="s">
        <v>907</v>
      </c>
      <c r="B4" s="7">
        <v>354441</v>
      </c>
      <c r="C4" s="10" t="s">
        <v>553</v>
      </c>
    </row>
    <row r="5" spans="1:3" x14ac:dyDescent="0.15">
      <c r="A5" t="s">
        <v>908</v>
      </c>
      <c r="B5" s="7">
        <v>1255288</v>
      </c>
      <c r="C5" s="19">
        <v>3</v>
      </c>
    </row>
    <row r="6" spans="1:3" x14ac:dyDescent="0.15">
      <c r="A6" t="s">
        <v>909</v>
      </c>
      <c r="B6" s="7">
        <v>907971</v>
      </c>
      <c r="C6" s="19">
        <v>2</v>
      </c>
    </row>
    <row r="8" spans="1:3" x14ac:dyDescent="0.15">
      <c r="A8" t="s">
        <v>910</v>
      </c>
      <c r="B8" s="7">
        <v>2517701</v>
      </c>
      <c r="C8" s="10" t="s">
        <v>911</v>
      </c>
    </row>
    <row r="10" spans="1:3" x14ac:dyDescent="0.15">
      <c r="A10" t="s">
        <v>323</v>
      </c>
    </row>
    <row r="12" spans="1:3" x14ac:dyDescent="0.15">
      <c r="A12" t="s">
        <v>912</v>
      </c>
    </row>
  </sheetData>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workbookViewId="0">
      <selection activeCell="B1" sqref="B1"/>
    </sheetView>
  </sheetViews>
  <sheetFormatPr baseColWidth="10" defaultRowHeight="13" x14ac:dyDescent="0.15"/>
  <cols>
    <col min="1" max="1" width="34.33203125" bestFit="1" customWidth="1"/>
    <col min="2" max="16384" width="10.83203125" style="7"/>
  </cols>
  <sheetData>
    <row r="1" spans="1:6" customFormat="1" x14ac:dyDescent="0.15">
      <c r="A1" t="s">
        <v>913</v>
      </c>
    </row>
    <row r="2" spans="1:6" customFormat="1" x14ac:dyDescent="0.15">
      <c r="D2" s="25" t="s">
        <v>914</v>
      </c>
      <c r="E2" s="25"/>
    </row>
    <row r="3" spans="1:6" customFormat="1" x14ac:dyDescent="0.15">
      <c r="B3" s="26" t="s">
        <v>381</v>
      </c>
      <c r="C3" s="26" t="s">
        <v>330</v>
      </c>
      <c r="D3" s="26" t="s">
        <v>381</v>
      </c>
      <c r="E3" s="26" t="s">
        <v>330</v>
      </c>
    </row>
    <row r="4" spans="1:6" x14ac:dyDescent="0.15">
      <c r="A4" t="s">
        <v>915</v>
      </c>
      <c r="B4" s="7">
        <v>406799</v>
      </c>
      <c r="C4" s="7">
        <v>4</v>
      </c>
    </row>
    <row r="5" spans="1:6" x14ac:dyDescent="0.15">
      <c r="A5" t="s">
        <v>916</v>
      </c>
      <c r="B5" s="7">
        <f>1025876+217177</f>
        <v>1243053</v>
      </c>
      <c r="C5" s="7">
        <v>8</v>
      </c>
    </row>
    <row r="6" spans="1:6" x14ac:dyDescent="0.15">
      <c r="A6" t="s">
        <v>917</v>
      </c>
      <c r="B6" s="7">
        <v>879357</v>
      </c>
      <c r="C6" s="10" t="s">
        <v>457</v>
      </c>
      <c r="D6" s="7">
        <v>2529211</v>
      </c>
      <c r="E6" s="10" t="s">
        <v>112</v>
      </c>
      <c r="F6" s="27">
        <v>2529211</v>
      </c>
    </row>
    <row r="8" spans="1:6" x14ac:dyDescent="0.15">
      <c r="B8" s="7">
        <f>SUM(B4:B6)</f>
        <v>2529209</v>
      </c>
    </row>
    <row r="10" spans="1:6" x14ac:dyDescent="0.15">
      <c r="A10" t="s">
        <v>375</v>
      </c>
    </row>
  </sheetData>
  <mergeCells count="1">
    <mergeCell ref="D2:E2"/>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election activeCell="B1" sqref="B1"/>
    </sheetView>
  </sheetViews>
  <sheetFormatPr baseColWidth="10" defaultRowHeight="13" x14ac:dyDescent="0.15"/>
  <cols>
    <col min="1" max="1" width="22.83203125" bestFit="1" customWidth="1"/>
    <col min="2" max="16384" width="10.83203125" style="7"/>
  </cols>
  <sheetData>
    <row r="1" spans="1:3" customFormat="1" x14ac:dyDescent="0.15">
      <c r="A1" s="6" t="s">
        <v>918</v>
      </c>
    </row>
    <row r="2" spans="1:3" customFormat="1" x14ac:dyDescent="0.15"/>
    <row r="3" spans="1:3" customFormat="1" x14ac:dyDescent="0.15"/>
    <row r="4" spans="1:3" customFormat="1" x14ac:dyDescent="0.15">
      <c r="B4" s="26" t="s">
        <v>381</v>
      </c>
      <c r="C4" s="26" t="s">
        <v>330</v>
      </c>
    </row>
    <row r="5" spans="1:3" x14ac:dyDescent="0.15">
      <c r="A5" t="s">
        <v>919</v>
      </c>
      <c r="B5" s="7">
        <v>418287</v>
      </c>
      <c r="C5" s="19">
        <v>4</v>
      </c>
    </row>
    <row r="6" spans="1:3" x14ac:dyDescent="0.15">
      <c r="A6" t="s">
        <v>920</v>
      </c>
      <c r="B6" s="7">
        <v>1315325</v>
      </c>
      <c r="C6" s="10" t="s">
        <v>921</v>
      </c>
    </row>
    <row r="7" spans="1:3" x14ac:dyDescent="0.15">
      <c r="A7" t="s">
        <v>922</v>
      </c>
      <c r="B7" s="7">
        <v>980543</v>
      </c>
      <c r="C7" s="10" t="s">
        <v>58</v>
      </c>
    </row>
    <row r="8" spans="1:3" x14ac:dyDescent="0.15">
      <c r="C8" s="19"/>
    </row>
    <row r="9" spans="1:3" x14ac:dyDescent="0.15">
      <c r="A9" t="s">
        <v>683</v>
      </c>
      <c r="B9" s="7">
        <v>2714156</v>
      </c>
      <c r="C9" s="19">
        <v>1</v>
      </c>
    </row>
    <row r="10" spans="1:3" x14ac:dyDescent="0.15">
      <c r="B10" s="27">
        <f>B5+B6+B7</f>
        <v>2714155</v>
      </c>
      <c r="C10" s="75">
        <f>9/8</f>
        <v>1.125</v>
      </c>
    </row>
    <row r="11" spans="1:3" x14ac:dyDescent="0.15">
      <c r="B11" s="27">
        <f>B10+C10</f>
        <v>2714156.125</v>
      </c>
      <c r="C11" s="27"/>
    </row>
    <row r="12" spans="1:3" x14ac:dyDescent="0.15">
      <c r="A12" t="s">
        <v>923</v>
      </c>
    </row>
  </sheetData>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topLeftCell="A2" workbookViewId="0">
      <selection activeCell="B1" sqref="B1"/>
    </sheetView>
  </sheetViews>
  <sheetFormatPr baseColWidth="10" defaultRowHeight="13" x14ac:dyDescent="0.15"/>
  <cols>
    <col min="1" max="1" width="37.5" bestFit="1" customWidth="1"/>
    <col min="2" max="16384" width="10.83203125" style="7"/>
  </cols>
  <sheetData>
    <row r="1" spans="1:3" customFormat="1" x14ac:dyDescent="0.15">
      <c r="A1" s="6" t="s">
        <v>924</v>
      </c>
    </row>
    <row r="2" spans="1:3" customFormat="1" x14ac:dyDescent="0.15">
      <c r="A2" s="6" t="s">
        <v>925</v>
      </c>
    </row>
    <row r="3" spans="1:3" customFormat="1" x14ac:dyDescent="0.15">
      <c r="A3" s="6" t="s">
        <v>926</v>
      </c>
    </row>
    <row r="4" spans="1:3" customFormat="1" x14ac:dyDescent="0.15">
      <c r="B4" s="26" t="s">
        <v>381</v>
      </c>
      <c r="C4" s="26" t="s">
        <v>330</v>
      </c>
    </row>
    <row r="5" spans="1:3" x14ac:dyDescent="0.15">
      <c r="A5" t="s">
        <v>927</v>
      </c>
      <c r="B5" s="7">
        <v>96014</v>
      </c>
    </row>
    <row r="6" spans="1:3" x14ac:dyDescent="0.15">
      <c r="A6" t="s">
        <v>928</v>
      </c>
      <c r="B6" s="7">
        <v>54432</v>
      </c>
    </row>
    <row r="7" spans="1:3" x14ac:dyDescent="0.15">
      <c r="A7" t="s">
        <v>929</v>
      </c>
      <c r="B7" s="7">
        <v>19032</v>
      </c>
      <c r="C7" s="10" t="s">
        <v>84</v>
      </c>
    </row>
    <row r="8" spans="1:3" x14ac:dyDescent="0.15">
      <c r="A8" t="s">
        <v>930</v>
      </c>
      <c r="B8" s="7">
        <v>97480</v>
      </c>
    </row>
    <row r="9" spans="1:3" x14ac:dyDescent="0.15">
      <c r="A9" t="s">
        <v>931</v>
      </c>
      <c r="B9" s="7">
        <v>16798</v>
      </c>
      <c r="C9" s="7">
        <v>6</v>
      </c>
    </row>
    <row r="10" spans="1:3" x14ac:dyDescent="0.15">
      <c r="A10" t="s">
        <v>932</v>
      </c>
      <c r="B10" s="7">
        <v>8258</v>
      </c>
    </row>
    <row r="11" spans="1:3" x14ac:dyDescent="0.15">
      <c r="A11" t="s">
        <v>933</v>
      </c>
      <c r="B11" s="7">
        <v>79370</v>
      </c>
    </row>
    <row r="12" spans="1:3" x14ac:dyDescent="0.15">
      <c r="A12" t="s">
        <v>934</v>
      </c>
      <c r="B12" s="7">
        <v>11551</v>
      </c>
    </row>
    <row r="13" spans="1:3" x14ac:dyDescent="0.15">
      <c r="A13" t="s">
        <v>935</v>
      </c>
      <c r="B13" s="7">
        <v>3400</v>
      </c>
    </row>
    <row r="14" spans="1:3" x14ac:dyDescent="0.15">
      <c r="A14" t="s">
        <v>936</v>
      </c>
      <c r="B14" s="7">
        <v>3000</v>
      </c>
    </row>
    <row r="15" spans="1:3" x14ac:dyDescent="0.15">
      <c r="A15" t="s">
        <v>937</v>
      </c>
      <c r="B15" s="7">
        <v>57590</v>
      </c>
    </row>
    <row r="17" spans="1:3" x14ac:dyDescent="0.15">
      <c r="A17" t="s">
        <v>938</v>
      </c>
      <c r="B17" s="7">
        <v>446926</v>
      </c>
      <c r="C17" s="10" t="s">
        <v>317</v>
      </c>
    </row>
    <row r="18" spans="1:3" x14ac:dyDescent="0.15">
      <c r="B18" s="27">
        <f>SUM(B5:B15)</f>
        <v>446925</v>
      </c>
      <c r="C18" s="27">
        <f>10/8</f>
        <v>1.25</v>
      </c>
    </row>
    <row r="19" spans="1:3" x14ac:dyDescent="0.15">
      <c r="B19" s="27">
        <f>B18+C18</f>
        <v>446926.25</v>
      </c>
      <c r="C19" s="27"/>
    </row>
    <row r="20" spans="1:3" x14ac:dyDescent="0.15">
      <c r="A20" t="s">
        <v>939</v>
      </c>
    </row>
    <row r="27" spans="1:3" x14ac:dyDescent="0.15">
      <c r="A27" s="6" t="s">
        <v>940</v>
      </c>
    </row>
    <row r="29" spans="1:3" x14ac:dyDescent="0.15">
      <c r="B29" s="26" t="s">
        <v>381</v>
      </c>
      <c r="C29" s="26" t="s">
        <v>330</v>
      </c>
    </row>
    <row r="30" spans="1:3" x14ac:dyDescent="0.15">
      <c r="A30" t="s">
        <v>941</v>
      </c>
      <c r="B30" s="7">
        <v>446926</v>
      </c>
      <c r="C30" s="10" t="s">
        <v>317</v>
      </c>
    </row>
    <row r="31" spans="1:3" x14ac:dyDescent="0.15">
      <c r="A31" t="s">
        <v>942</v>
      </c>
      <c r="B31" s="7">
        <v>1052677</v>
      </c>
      <c r="C31" s="7">
        <v>2</v>
      </c>
    </row>
    <row r="32" spans="1:3" x14ac:dyDescent="0.15">
      <c r="A32" t="s">
        <v>943</v>
      </c>
      <c r="B32" s="7">
        <v>346926</v>
      </c>
    </row>
    <row r="33" spans="1:3" x14ac:dyDescent="0.15">
      <c r="A33" t="s">
        <v>944</v>
      </c>
      <c r="B33" s="7">
        <v>1057563</v>
      </c>
      <c r="C33" s="7">
        <v>3</v>
      </c>
    </row>
    <row r="35" spans="1:3" x14ac:dyDescent="0.15">
      <c r="A35" t="s">
        <v>938</v>
      </c>
      <c r="B35" s="7">
        <v>2904092</v>
      </c>
      <c r="C35" s="10" t="s">
        <v>255</v>
      </c>
    </row>
    <row r="36" spans="1:3" x14ac:dyDescent="0.15">
      <c r="B36" s="27">
        <f>SUM(B30:B33)</f>
        <v>2904092</v>
      </c>
      <c r="C36" s="27"/>
    </row>
    <row r="37" spans="1:3" x14ac:dyDescent="0.15">
      <c r="B37" s="27"/>
      <c r="C37" s="27"/>
    </row>
    <row r="38" spans="1:3" x14ac:dyDescent="0.15">
      <c r="A38" t="s">
        <v>945</v>
      </c>
    </row>
  </sheetData>
  <pageMargins left="0.75" right="0.75" top="1" bottom="1" header="0.5" footer="0.5"/>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82"/>
  <sheetViews>
    <sheetView topLeftCell="A35" workbookViewId="0">
      <selection activeCell="B1" sqref="B1"/>
    </sheetView>
  </sheetViews>
  <sheetFormatPr baseColWidth="10" defaultRowHeight="13" x14ac:dyDescent="0.15"/>
  <cols>
    <col min="1" max="1" width="11.1640625" bestFit="1" customWidth="1"/>
    <col min="2" max="16384" width="10.83203125" style="7"/>
  </cols>
  <sheetData>
    <row r="1" spans="1:19" customFormat="1" x14ac:dyDescent="0.15">
      <c r="A1" s="6" t="s">
        <v>946</v>
      </c>
    </row>
    <row r="2" spans="1:19" customFormat="1" x14ac:dyDescent="0.15">
      <c r="A2" s="6" t="s">
        <v>947</v>
      </c>
    </row>
    <row r="3" spans="1:19" customFormat="1" x14ac:dyDescent="0.15"/>
    <row r="4" spans="1:19" customFormat="1" x14ac:dyDescent="0.15">
      <c r="B4" t="s">
        <v>948</v>
      </c>
      <c r="G4" t="s">
        <v>949</v>
      </c>
    </row>
    <row r="5" spans="1:19" customFormat="1" x14ac:dyDescent="0.15">
      <c r="A5" t="s">
        <v>950</v>
      </c>
      <c r="H5" t="s">
        <v>951</v>
      </c>
      <c r="N5" t="s">
        <v>952</v>
      </c>
    </row>
    <row r="6" spans="1:19" customFormat="1" x14ac:dyDescent="0.15">
      <c r="B6" t="s">
        <v>953</v>
      </c>
      <c r="D6" t="s">
        <v>954</v>
      </c>
      <c r="F6" t="s">
        <v>955</v>
      </c>
      <c r="H6" t="s">
        <v>953</v>
      </c>
      <c r="J6" t="s">
        <v>954</v>
      </c>
      <c r="L6" t="s">
        <v>955</v>
      </c>
      <c r="N6" t="s">
        <v>953</v>
      </c>
      <c r="P6" t="s">
        <v>954</v>
      </c>
      <c r="R6" t="s">
        <v>955</v>
      </c>
    </row>
    <row r="7" spans="1:19" customFormat="1" x14ac:dyDescent="0.15">
      <c r="B7" t="s">
        <v>218</v>
      </c>
      <c r="C7" t="s">
        <v>956</v>
      </c>
      <c r="D7" t="s">
        <v>218</v>
      </c>
      <c r="E7" t="s">
        <v>956</v>
      </c>
      <c r="F7" t="s">
        <v>218</v>
      </c>
      <c r="G7" t="s">
        <v>956</v>
      </c>
      <c r="H7" t="s">
        <v>218</v>
      </c>
      <c r="I7" t="s">
        <v>956</v>
      </c>
      <c r="J7" t="s">
        <v>218</v>
      </c>
      <c r="K7" t="s">
        <v>956</v>
      </c>
      <c r="L7" t="s">
        <v>218</v>
      </c>
      <c r="M7" t="s">
        <v>956</v>
      </c>
      <c r="N7" t="s">
        <v>218</v>
      </c>
      <c r="O7" t="s">
        <v>956</v>
      </c>
      <c r="P7" t="s">
        <v>218</v>
      </c>
      <c r="Q7" t="s">
        <v>956</v>
      </c>
      <c r="R7" t="s">
        <v>218</v>
      </c>
      <c r="S7" t="s">
        <v>956</v>
      </c>
    </row>
    <row r="8" spans="1:19" customFormat="1" x14ac:dyDescent="0.15"/>
    <row r="9" spans="1:19" x14ac:dyDescent="0.15">
      <c r="A9" t="s">
        <v>723</v>
      </c>
      <c r="B9" s="7">
        <v>9055</v>
      </c>
      <c r="C9" s="7">
        <v>3</v>
      </c>
      <c r="H9" s="7">
        <v>2088</v>
      </c>
      <c r="I9" s="7">
        <v>3</v>
      </c>
      <c r="N9" s="7">
        <v>4138</v>
      </c>
      <c r="O9" s="7">
        <v>1</v>
      </c>
      <c r="P9" s="7">
        <v>21600</v>
      </c>
    </row>
    <row r="10" spans="1:19" x14ac:dyDescent="0.15">
      <c r="A10" t="s">
        <v>957</v>
      </c>
      <c r="B10" s="7">
        <v>27658</v>
      </c>
      <c r="D10" s="7">
        <v>58297</v>
      </c>
      <c r="E10" s="7">
        <v>1</v>
      </c>
      <c r="F10" s="7">
        <v>10151</v>
      </c>
      <c r="G10" s="7">
        <v>3</v>
      </c>
      <c r="H10" s="7">
        <v>378</v>
      </c>
      <c r="N10" s="7">
        <v>57154</v>
      </c>
      <c r="P10" s="7">
        <v>34934</v>
      </c>
      <c r="Q10" s="7">
        <v>2</v>
      </c>
      <c r="R10" s="7">
        <v>1000</v>
      </c>
      <c r="S10" s="7">
        <v>2</v>
      </c>
    </row>
    <row r="11" spans="1:19" x14ac:dyDescent="0.15">
      <c r="A11" t="s">
        <v>958</v>
      </c>
      <c r="B11" s="7">
        <v>5745</v>
      </c>
      <c r="D11" s="7">
        <v>1563</v>
      </c>
      <c r="E11" s="7">
        <v>3</v>
      </c>
      <c r="F11" s="7">
        <v>2320</v>
      </c>
      <c r="H11" s="7">
        <v>17675</v>
      </c>
      <c r="I11" s="7">
        <v>1</v>
      </c>
      <c r="N11" s="7">
        <v>32582</v>
      </c>
      <c r="O11" s="7">
        <v>1</v>
      </c>
      <c r="P11" s="7">
        <v>4363</v>
      </c>
      <c r="Q11" s="7">
        <v>1</v>
      </c>
    </row>
    <row r="12" spans="1:19" x14ac:dyDescent="0.15">
      <c r="A12" t="s">
        <v>959</v>
      </c>
      <c r="B12" s="7">
        <v>10946</v>
      </c>
      <c r="C12" s="7">
        <v>2</v>
      </c>
      <c r="D12" s="7">
        <v>56227</v>
      </c>
      <c r="E12" s="7">
        <v>2</v>
      </c>
      <c r="F12" s="7">
        <v>17822</v>
      </c>
      <c r="G12" s="7">
        <v>1</v>
      </c>
      <c r="H12" s="7">
        <v>831</v>
      </c>
      <c r="N12" s="7">
        <v>89884</v>
      </c>
      <c r="P12" s="7">
        <v>25814</v>
      </c>
      <c r="Q12" s="7">
        <v>2</v>
      </c>
      <c r="R12" s="7">
        <v>16654</v>
      </c>
      <c r="S12" s="7">
        <v>6</v>
      </c>
    </row>
    <row r="13" spans="1:19" x14ac:dyDescent="0.15">
      <c r="A13" t="s">
        <v>711</v>
      </c>
      <c r="P13" s="7">
        <v>2180</v>
      </c>
    </row>
    <row r="14" spans="1:19" x14ac:dyDescent="0.15">
      <c r="A14" t="s">
        <v>960</v>
      </c>
      <c r="B14" s="7">
        <v>2990</v>
      </c>
      <c r="C14" s="7">
        <v>3</v>
      </c>
      <c r="D14" s="7">
        <v>1600</v>
      </c>
      <c r="H14" s="7">
        <v>719</v>
      </c>
      <c r="P14" s="7">
        <v>6892</v>
      </c>
    </row>
    <row r="15" spans="1:19" x14ac:dyDescent="0.15">
      <c r="A15" t="s">
        <v>961</v>
      </c>
      <c r="B15" s="7">
        <v>4284</v>
      </c>
      <c r="C15" s="7">
        <v>2</v>
      </c>
      <c r="D15" s="7">
        <v>6068</v>
      </c>
      <c r="E15" s="7">
        <v>2</v>
      </c>
      <c r="N15" s="7">
        <v>25448</v>
      </c>
      <c r="P15" s="7">
        <v>2807</v>
      </c>
    </row>
    <row r="16" spans="1:19" x14ac:dyDescent="0.15">
      <c r="A16" t="s">
        <v>962</v>
      </c>
      <c r="B16" s="7">
        <v>1463</v>
      </c>
      <c r="C16" s="7">
        <v>1</v>
      </c>
      <c r="D16" s="7">
        <v>2135</v>
      </c>
      <c r="E16" s="7">
        <v>2</v>
      </c>
      <c r="F16" s="7">
        <v>1559</v>
      </c>
      <c r="H16" s="7">
        <v>152</v>
      </c>
      <c r="I16" s="7">
        <v>3</v>
      </c>
      <c r="J16" s="7">
        <v>200</v>
      </c>
      <c r="N16" s="7">
        <v>146</v>
      </c>
      <c r="O16" s="7">
        <v>2</v>
      </c>
      <c r="P16" s="7">
        <v>10807</v>
      </c>
      <c r="Q16" s="7">
        <v>2</v>
      </c>
      <c r="R16" s="7">
        <v>148</v>
      </c>
    </row>
    <row r="17" spans="1:19" x14ac:dyDescent="0.15">
      <c r="A17" t="s">
        <v>963</v>
      </c>
      <c r="B17" s="7">
        <v>6692</v>
      </c>
      <c r="D17" s="7">
        <v>1937</v>
      </c>
      <c r="N17" s="7">
        <v>6188</v>
      </c>
      <c r="O17" s="7">
        <v>3</v>
      </c>
      <c r="P17" s="7">
        <v>6500</v>
      </c>
    </row>
    <row r="18" spans="1:19" x14ac:dyDescent="0.15">
      <c r="A18" t="s">
        <v>729</v>
      </c>
      <c r="B18" s="7">
        <v>457</v>
      </c>
      <c r="D18" s="7">
        <v>13187</v>
      </c>
      <c r="E18" s="7">
        <v>2</v>
      </c>
      <c r="F18" s="7">
        <v>436</v>
      </c>
      <c r="H18" s="7">
        <v>489</v>
      </c>
      <c r="I18" s="7">
        <v>2</v>
      </c>
      <c r="P18" s="7">
        <v>10582</v>
      </c>
    </row>
    <row r="19" spans="1:19" x14ac:dyDescent="0.15">
      <c r="A19" t="s">
        <v>770</v>
      </c>
      <c r="B19" s="7">
        <v>7720</v>
      </c>
      <c r="C19" s="7">
        <v>3</v>
      </c>
      <c r="D19" s="7">
        <v>5043</v>
      </c>
      <c r="E19" s="7">
        <v>2</v>
      </c>
      <c r="F19" s="7">
        <v>1382</v>
      </c>
      <c r="P19" s="7">
        <v>18610</v>
      </c>
    </row>
    <row r="20" spans="1:19" x14ac:dyDescent="0.15">
      <c r="A20" t="s">
        <v>964</v>
      </c>
      <c r="P20" s="7">
        <v>9932</v>
      </c>
      <c r="Q20" s="7">
        <v>3</v>
      </c>
    </row>
    <row r="21" spans="1:19" x14ac:dyDescent="0.15">
      <c r="A21" t="s">
        <v>732</v>
      </c>
      <c r="B21" s="7">
        <v>6953</v>
      </c>
      <c r="C21" s="7">
        <v>1</v>
      </c>
      <c r="D21" s="7">
        <v>8707</v>
      </c>
      <c r="E21" s="7">
        <v>2</v>
      </c>
      <c r="H21" s="7">
        <v>400</v>
      </c>
      <c r="P21" s="7">
        <v>8008</v>
      </c>
      <c r="Q21" s="7">
        <v>3</v>
      </c>
    </row>
    <row r="22" spans="1:19" x14ac:dyDescent="0.15">
      <c r="A22" t="s">
        <v>965</v>
      </c>
      <c r="B22" s="7">
        <v>554</v>
      </c>
      <c r="C22" s="7">
        <v>2</v>
      </c>
      <c r="D22" s="7">
        <v>144</v>
      </c>
      <c r="H22" s="7">
        <v>240</v>
      </c>
      <c r="P22" s="7">
        <v>6593</v>
      </c>
      <c r="Q22" s="7">
        <v>3</v>
      </c>
    </row>
    <row r="23" spans="1:19" x14ac:dyDescent="0.15">
      <c r="A23" t="s">
        <v>726</v>
      </c>
      <c r="B23" s="7">
        <v>22254</v>
      </c>
      <c r="C23" s="7">
        <v>1</v>
      </c>
      <c r="H23" s="7">
        <v>1600</v>
      </c>
      <c r="P23" s="7">
        <v>2023</v>
      </c>
      <c r="Q23" s="7">
        <v>1</v>
      </c>
    </row>
    <row r="24" spans="1:19" x14ac:dyDescent="0.15">
      <c r="A24" t="s">
        <v>725</v>
      </c>
      <c r="B24" s="7">
        <v>8928</v>
      </c>
      <c r="D24" s="7">
        <v>52444</v>
      </c>
      <c r="E24" s="7">
        <v>2</v>
      </c>
      <c r="F24" s="7">
        <v>10315</v>
      </c>
      <c r="G24" s="7">
        <v>2</v>
      </c>
      <c r="H24" s="7">
        <v>557</v>
      </c>
      <c r="N24" s="7">
        <v>93708</v>
      </c>
      <c r="O24" s="7">
        <v>3</v>
      </c>
      <c r="P24" s="7">
        <v>16963</v>
      </c>
      <c r="Q24" s="7">
        <v>3</v>
      </c>
    </row>
    <row r="25" spans="1:19" x14ac:dyDescent="0.15">
      <c r="A25" t="s">
        <v>771</v>
      </c>
      <c r="B25" s="7">
        <v>7912</v>
      </c>
      <c r="C25" s="7">
        <v>1</v>
      </c>
      <c r="H25" s="7">
        <v>3472</v>
      </c>
      <c r="P25" s="7">
        <v>13653</v>
      </c>
      <c r="Q25" s="7">
        <v>1</v>
      </c>
    </row>
    <row r="26" spans="1:19" x14ac:dyDescent="0.15">
      <c r="A26" t="s">
        <v>708</v>
      </c>
      <c r="B26" s="7">
        <v>8607</v>
      </c>
      <c r="D26" s="7">
        <v>848</v>
      </c>
      <c r="P26" s="7">
        <v>32393</v>
      </c>
      <c r="Q26" s="7">
        <v>3</v>
      </c>
    </row>
    <row r="27" spans="1:19" x14ac:dyDescent="0.15">
      <c r="A27" t="s">
        <v>966</v>
      </c>
      <c r="B27" s="7">
        <v>6161</v>
      </c>
      <c r="C27" s="7">
        <v>1</v>
      </c>
      <c r="D27" s="7">
        <v>1035</v>
      </c>
      <c r="H27" s="7">
        <v>1725</v>
      </c>
      <c r="P27" s="7">
        <v>11402</v>
      </c>
      <c r="Q27" s="7">
        <v>2</v>
      </c>
    </row>
    <row r="28" spans="1:19" x14ac:dyDescent="0.15">
      <c r="A28" t="s">
        <v>776</v>
      </c>
      <c r="B28" s="7">
        <v>1559</v>
      </c>
      <c r="C28" s="7">
        <v>1</v>
      </c>
      <c r="D28" s="7">
        <v>6878</v>
      </c>
      <c r="F28" s="7">
        <v>1800</v>
      </c>
      <c r="H28" s="7">
        <v>108</v>
      </c>
      <c r="P28" s="7">
        <v>5811</v>
      </c>
      <c r="Q28" s="7">
        <v>2</v>
      </c>
    </row>
    <row r="29" spans="1:19" x14ac:dyDescent="0.15">
      <c r="A29" t="s">
        <v>967</v>
      </c>
      <c r="B29" s="7">
        <v>139943</v>
      </c>
      <c r="C29" s="7">
        <v>1</v>
      </c>
      <c r="D29" s="7">
        <v>216117</v>
      </c>
      <c r="E29" s="7">
        <v>2</v>
      </c>
      <c r="F29" s="7">
        <v>45786</v>
      </c>
      <c r="G29" s="7">
        <v>2</v>
      </c>
      <c r="H29" s="7">
        <v>30937</v>
      </c>
      <c r="J29" s="7">
        <v>200</v>
      </c>
      <c r="N29" s="7">
        <v>308641</v>
      </c>
      <c r="O29" s="7">
        <v>2</v>
      </c>
      <c r="P29" s="7">
        <v>249065</v>
      </c>
      <c r="R29" s="7">
        <v>17861</v>
      </c>
      <c r="S29" s="7">
        <v>8</v>
      </c>
    </row>
    <row r="30" spans="1:19" x14ac:dyDescent="0.15">
      <c r="B30" s="27">
        <f>SUM(B9:B28)</f>
        <v>139938</v>
      </c>
      <c r="C30" s="27">
        <f t="shared" ref="C30:S30" si="0">SUM(C9:C28)</f>
        <v>21</v>
      </c>
      <c r="D30" s="27">
        <f t="shared" si="0"/>
        <v>216113</v>
      </c>
      <c r="E30" s="27">
        <f t="shared" si="0"/>
        <v>18</v>
      </c>
      <c r="F30" s="27">
        <f t="shared" si="0"/>
        <v>45785</v>
      </c>
      <c r="G30" s="27">
        <f t="shared" si="0"/>
        <v>6</v>
      </c>
      <c r="H30" s="27">
        <f t="shared" si="0"/>
        <v>30434</v>
      </c>
      <c r="I30" s="27">
        <f t="shared" si="0"/>
        <v>9</v>
      </c>
      <c r="J30" s="27">
        <f t="shared" si="0"/>
        <v>200</v>
      </c>
      <c r="K30" s="27">
        <f t="shared" si="0"/>
        <v>0</v>
      </c>
      <c r="L30" s="27">
        <f t="shared" si="0"/>
        <v>0</v>
      </c>
      <c r="M30" s="27">
        <f t="shared" si="0"/>
        <v>0</v>
      </c>
      <c r="N30" s="27">
        <f t="shared" si="0"/>
        <v>309248</v>
      </c>
      <c r="O30" s="27">
        <f t="shared" si="0"/>
        <v>10</v>
      </c>
      <c r="P30" s="27">
        <f t="shared" si="0"/>
        <v>251867</v>
      </c>
      <c r="Q30" s="27">
        <f t="shared" si="0"/>
        <v>28</v>
      </c>
      <c r="R30" s="27">
        <f t="shared" si="0"/>
        <v>17802</v>
      </c>
      <c r="S30" s="27">
        <f t="shared" si="0"/>
        <v>8</v>
      </c>
    </row>
    <row r="31" spans="1:19" x14ac:dyDescent="0.15">
      <c r="B31" s="27">
        <f>B30+C31</f>
        <v>139943.25</v>
      </c>
      <c r="C31" s="27">
        <f>C30/4</f>
        <v>5.25</v>
      </c>
      <c r="D31" s="27">
        <f>D30+E31</f>
        <v>216117.5</v>
      </c>
      <c r="E31" s="27">
        <f>E30/4</f>
        <v>4.5</v>
      </c>
      <c r="F31" s="27">
        <f>F30+G31</f>
        <v>45786.5</v>
      </c>
      <c r="G31" s="27">
        <f>G30/4</f>
        <v>1.5</v>
      </c>
      <c r="H31" s="27">
        <f>H30+I31</f>
        <v>30436.25</v>
      </c>
      <c r="I31" s="27">
        <f>I30/4</f>
        <v>2.25</v>
      </c>
      <c r="J31" s="27">
        <f>J30+K31</f>
        <v>200</v>
      </c>
      <c r="K31" s="27">
        <f>K30/4</f>
        <v>0</v>
      </c>
      <c r="L31" s="27"/>
      <c r="M31" s="27"/>
      <c r="N31" s="27">
        <f>N30+O31</f>
        <v>309250.5</v>
      </c>
      <c r="O31" s="27">
        <f>O30/4</f>
        <v>2.5</v>
      </c>
      <c r="P31" s="27">
        <f>P30+Q31</f>
        <v>251874</v>
      </c>
      <c r="Q31" s="27">
        <f>Q30/4</f>
        <v>7</v>
      </c>
      <c r="R31" s="27">
        <f>R30+S31</f>
        <v>17804</v>
      </c>
      <c r="S31" s="27">
        <f>S30/4</f>
        <v>2</v>
      </c>
    </row>
    <row r="33" spans="1:9" x14ac:dyDescent="0.15">
      <c r="A33" t="s">
        <v>968</v>
      </c>
    </row>
    <row r="34" spans="1:9" x14ac:dyDescent="0.15">
      <c r="A34" t="s">
        <v>969</v>
      </c>
    </row>
    <row r="35" spans="1:9" x14ac:dyDescent="0.15">
      <c r="A35" t="s">
        <v>970</v>
      </c>
    </row>
    <row r="36" spans="1:9" x14ac:dyDescent="0.15">
      <c r="A36" t="s">
        <v>971</v>
      </c>
    </row>
    <row r="38" spans="1:9" x14ac:dyDescent="0.15">
      <c r="A38" t="s">
        <v>972</v>
      </c>
    </row>
    <row r="40" spans="1:9" x14ac:dyDescent="0.15">
      <c r="A40" t="s">
        <v>973</v>
      </c>
    </row>
    <row r="45" spans="1:9" x14ac:dyDescent="0.15">
      <c r="A45" s="6" t="s">
        <v>974</v>
      </c>
    </row>
    <row r="46" spans="1:9" x14ac:dyDescent="0.15">
      <c r="A46" s="6" t="s">
        <v>975</v>
      </c>
    </row>
    <row r="47" spans="1:9" ht="14" thickBot="1" x14ac:dyDescent="0.2"/>
    <row r="48" spans="1:9" x14ac:dyDescent="0.15">
      <c r="A48" s="79"/>
      <c r="B48" s="80" t="s">
        <v>976</v>
      </c>
      <c r="C48" s="81"/>
      <c r="D48" s="80" t="s">
        <v>977</v>
      </c>
      <c r="E48" s="82"/>
      <c r="F48" s="82"/>
      <c r="G48" s="82"/>
      <c r="H48" s="82"/>
      <c r="I48" s="81"/>
    </row>
    <row r="49" spans="1:9" x14ac:dyDescent="0.15">
      <c r="A49" s="58"/>
      <c r="B49" s="83"/>
      <c r="C49" s="84"/>
      <c r="D49" s="83" t="s">
        <v>978</v>
      </c>
      <c r="E49" s="84"/>
      <c r="F49" s="85" t="s">
        <v>979</v>
      </c>
      <c r="G49" s="85"/>
      <c r="H49" s="86" t="s">
        <v>980</v>
      </c>
      <c r="I49" s="87"/>
    </row>
    <row r="50" spans="1:9" x14ac:dyDescent="0.15">
      <c r="A50" s="58"/>
      <c r="B50" s="88" t="s">
        <v>981</v>
      </c>
      <c r="C50" s="89"/>
      <c r="D50" s="88" t="s">
        <v>981</v>
      </c>
      <c r="E50" s="89"/>
      <c r="F50" s="88" t="s">
        <v>981</v>
      </c>
      <c r="G50" s="89"/>
      <c r="H50" s="88" t="s">
        <v>981</v>
      </c>
      <c r="I50" s="89"/>
    </row>
    <row r="51" spans="1:9" ht="14" thickBot="1" x14ac:dyDescent="0.2">
      <c r="A51" s="90"/>
      <c r="B51" s="91" t="s">
        <v>330</v>
      </c>
      <c r="C51" s="92" t="s">
        <v>982</v>
      </c>
      <c r="D51" s="91" t="s">
        <v>330</v>
      </c>
      <c r="E51" s="92" t="s">
        <v>982</v>
      </c>
      <c r="F51" s="91" t="s">
        <v>330</v>
      </c>
      <c r="G51" s="92" t="s">
        <v>982</v>
      </c>
      <c r="H51" s="93" t="s">
        <v>330</v>
      </c>
      <c r="I51" s="92" t="s">
        <v>982</v>
      </c>
    </row>
    <row r="52" spans="1:9" x14ac:dyDescent="0.15">
      <c r="A52" s="94" t="s">
        <v>772</v>
      </c>
      <c r="B52" s="95">
        <v>8428</v>
      </c>
      <c r="C52" s="96">
        <v>2</v>
      </c>
      <c r="D52" s="95"/>
      <c r="E52" s="96"/>
      <c r="F52" s="95">
        <v>2361</v>
      </c>
      <c r="G52" s="96"/>
      <c r="H52" s="97">
        <v>882</v>
      </c>
      <c r="I52" s="96"/>
    </row>
    <row r="53" spans="1:9" x14ac:dyDescent="0.15">
      <c r="A53" s="98" t="s">
        <v>957</v>
      </c>
      <c r="B53" s="99">
        <v>16602</v>
      </c>
      <c r="C53" s="100"/>
      <c r="D53" s="99"/>
      <c r="E53" s="100"/>
      <c r="F53" s="99">
        <v>56416</v>
      </c>
      <c r="G53" s="100">
        <v>2</v>
      </c>
      <c r="H53" s="101">
        <v>2842</v>
      </c>
      <c r="I53" s="100">
        <v>2</v>
      </c>
    </row>
    <row r="54" spans="1:9" x14ac:dyDescent="0.15">
      <c r="A54" s="98" t="s">
        <v>958</v>
      </c>
      <c r="B54" s="99">
        <v>1983</v>
      </c>
      <c r="C54" s="100">
        <v>1</v>
      </c>
      <c r="D54" s="99">
        <v>8762</v>
      </c>
      <c r="E54" s="100"/>
      <c r="F54" s="99">
        <v>6424</v>
      </c>
      <c r="G54" s="100"/>
      <c r="H54" s="101">
        <v>2864</v>
      </c>
      <c r="I54" s="100">
        <v>2</v>
      </c>
    </row>
    <row r="55" spans="1:9" x14ac:dyDescent="0.15">
      <c r="A55" s="98" t="s">
        <v>959</v>
      </c>
      <c r="B55" s="99">
        <v>31824</v>
      </c>
      <c r="C55" s="100"/>
      <c r="D55" s="99">
        <v>800</v>
      </c>
      <c r="E55" s="100"/>
      <c r="F55" s="99">
        <v>32522</v>
      </c>
      <c r="G55" s="100"/>
      <c r="H55" s="100">
        <v>5106</v>
      </c>
      <c r="I55" s="100">
        <v>1</v>
      </c>
    </row>
    <row r="56" spans="1:9" x14ac:dyDescent="0.15">
      <c r="A56" s="98" t="s">
        <v>711</v>
      </c>
      <c r="B56" s="99"/>
      <c r="C56" s="100"/>
      <c r="D56" s="99"/>
      <c r="E56" s="100"/>
      <c r="F56" s="99"/>
      <c r="G56" s="100"/>
      <c r="H56" s="101"/>
      <c r="I56" s="100"/>
    </row>
    <row r="57" spans="1:9" x14ac:dyDescent="0.15">
      <c r="A57" s="98" t="s">
        <v>960</v>
      </c>
      <c r="B57" s="99">
        <v>4977</v>
      </c>
      <c r="C57" s="100"/>
      <c r="D57" s="99">
        <v>328</v>
      </c>
      <c r="E57" s="100"/>
      <c r="F57" s="99"/>
      <c r="G57" s="100"/>
      <c r="H57" s="101">
        <v>976</v>
      </c>
      <c r="I57" s="100"/>
    </row>
    <row r="58" spans="1:9" x14ac:dyDescent="0.15">
      <c r="A58" s="98" t="s">
        <v>961</v>
      </c>
      <c r="B58" s="99">
        <v>3078</v>
      </c>
      <c r="C58" s="100">
        <v>3</v>
      </c>
      <c r="D58" s="99"/>
      <c r="E58" s="100"/>
      <c r="F58" s="99"/>
      <c r="G58" s="100"/>
      <c r="H58" s="101">
        <v>173</v>
      </c>
      <c r="I58" s="100">
        <v>2</v>
      </c>
    </row>
    <row r="59" spans="1:9" x14ac:dyDescent="0.15">
      <c r="A59" s="98" t="s">
        <v>962</v>
      </c>
      <c r="B59" s="99">
        <v>2402</v>
      </c>
      <c r="C59" s="100">
        <v>2</v>
      </c>
      <c r="D59" s="99"/>
      <c r="E59" s="100"/>
      <c r="F59" s="99"/>
      <c r="G59" s="100"/>
      <c r="H59" s="101">
        <v>86</v>
      </c>
      <c r="I59" s="100">
        <v>2</v>
      </c>
    </row>
    <row r="60" spans="1:9" x14ac:dyDescent="0.15">
      <c r="A60" s="98" t="s">
        <v>963</v>
      </c>
      <c r="B60" s="99">
        <v>11882</v>
      </c>
      <c r="C60" s="100"/>
      <c r="D60" s="99"/>
      <c r="E60" s="100"/>
      <c r="F60" s="99"/>
      <c r="G60" s="100"/>
      <c r="H60" s="99">
        <v>534</v>
      </c>
      <c r="I60" s="100"/>
    </row>
    <row r="61" spans="1:9" x14ac:dyDescent="0.15">
      <c r="A61" s="98" t="s">
        <v>729</v>
      </c>
      <c r="B61" s="99">
        <v>728</v>
      </c>
      <c r="C61" s="100"/>
      <c r="D61" s="99"/>
      <c r="E61" s="100"/>
      <c r="F61" s="99"/>
      <c r="G61" s="100"/>
      <c r="H61" s="101"/>
      <c r="I61" s="100"/>
    </row>
    <row r="62" spans="1:9" x14ac:dyDescent="0.15">
      <c r="A62" s="98" t="s">
        <v>770</v>
      </c>
      <c r="B62" s="99">
        <v>8900</v>
      </c>
      <c r="C62" s="100"/>
      <c r="D62" s="99"/>
      <c r="E62" s="100"/>
      <c r="F62" s="99"/>
      <c r="G62" s="100"/>
      <c r="H62" s="101">
        <v>911</v>
      </c>
      <c r="I62" s="100">
        <v>3</v>
      </c>
    </row>
    <row r="63" spans="1:9" x14ac:dyDescent="0.15">
      <c r="A63" s="98" t="s">
        <v>964</v>
      </c>
      <c r="B63" s="99"/>
      <c r="C63" s="100"/>
      <c r="D63" s="99"/>
      <c r="E63" s="100"/>
      <c r="F63" s="99"/>
      <c r="G63" s="100"/>
      <c r="H63" s="101"/>
      <c r="I63" s="100"/>
    </row>
    <row r="64" spans="1:9" x14ac:dyDescent="0.15">
      <c r="A64" s="98" t="s">
        <v>732</v>
      </c>
      <c r="B64" s="99">
        <v>6005</v>
      </c>
      <c r="C64" s="100">
        <v>2</v>
      </c>
      <c r="D64" s="99"/>
      <c r="E64" s="100"/>
      <c r="F64" s="99"/>
      <c r="G64" s="100"/>
      <c r="H64" s="101">
        <v>441</v>
      </c>
      <c r="I64" s="100"/>
    </row>
    <row r="65" spans="1:9" x14ac:dyDescent="0.15">
      <c r="A65" s="98" t="s">
        <v>965</v>
      </c>
      <c r="B65" s="99">
        <v>1786</v>
      </c>
      <c r="C65" s="100"/>
      <c r="D65" s="99"/>
      <c r="E65" s="100"/>
      <c r="F65" s="99"/>
      <c r="G65" s="100"/>
      <c r="H65" s="101">
        <v>135</v>
      </c>
      <c r="I65" s="100"/>
    </row>
    <row r="66" spans="1:9" x14ac:dyDescent="0.15">
      <c r="A66" s="98" t="s">
        <v>726</v>
      </c>
      <c r="B66" s="99">
        <v>12286</v>
      </c>
      <c r="C66" s="100"/>
      <c r="D66" s="99"/>
      <c r="E66" s="100"/>
      <c r="F66" s="99"/>
      <c r="G66" s="100"/>
      <c r="H66" s="101">
        <v>2400</v>
      </c>
      <c r="I66" s="100"/>
    </row>
    <row r="67" spans="1:9" x14ac:dyDescent="0.15">
      <c r="A67" s="98" t="s">
        <v>725</v>
      </c>
      <c r="B67" s="99">
        <v>6296</v>
      </c>
      <c r="C67" s="100">
        <v>2</v>
      </c>
      <c r="D67" s="99">
        <v>2361</v>
      </c>
      <c r="E67" s="100">
        <v>3</v>
      </c>
      <c r="F67" s="99">
        <v>6409</v>
      </c>
      <c r="G67" s="100">
        <v>2</v>
      </c>
      <c r="H67" s="101">
        <v>3117</v>
      </c>
      <c r="I67" s="100"/>
    </row>
    <row r="68" spans="1:9" x14ac:dyDescent="0.15">
      <c r="A68" s="98" t="s">
        <v>771</v>
      </c>
      <c r="B68" s="99">
        <v>4554</v>
      </c>
      <c r="C68" s="100">
        <v>3</v>
      </c>
      <c r="D68" s="99"/>
      <c r="E68" s="100"/>
      <c r="F68" s="99"/>
      <c r="G68" s="100"/>
      <c r="H68" s="101">
        <v>422</v>
      </c>
      <c r="I68" s="100"/>
    </row>
    <row r="69" spans="1:9" x14ac:dyDescent="0.15">
      <c r="A69" s="98" t="s">
        <v>708</v>
      </c>
      <c r="B69" s="99">
        <v>8746</v>
      </c>
      <c r="C69" s="100"/>
      <c r="D69" s="99"/>
      <c r="E69" s="100"/>
      <c r="F69" s="99"/>
      <c r="G69" s="100"/>
      <c r="H69" s="101">
        <v>1184</v>
      </c>
      <c r="I69" s="100"/>
    </row>
    <row r="70" spans="1:9" x14ac:dyDescent="0.15">
      <c r="A70" s="98" t="s">
        <v>966</v>
      </c>
      <c r="B70" s="99">
        <v>5304</v>
      </c>
      <c r="C70" s="100"/>
      <c r="D70" s="99">
        <v>591</v>
      </c>
      <c r="E70" s="100"/>
      <c r="F70" s="99"/>
      <c r="G70" s="100"/>
      <c r="H70" s="101">
        <v>1000</v>
      </c>
      <c r="I70" s="100"/>
    </row>
    <row r="71" spans="1:9" x14ac:dyDescent="0.15">
      <c r="A71" s="98" t="s">
        <v>776</v>
      </c>
      <c r="B71" s="99">
        <v>7688</v>
      </c>
      <c r="C71" s="100"/>
      <c r="D71" s="99"/>
      <c r="E71" s="100"/>
      <c r="F71" s="99"/>
      <c r="G71" s="100"/>
      <c r="H71" s="101">
        <v>100</v>
      </c>
      <c r="I71" s="100"/>
    </row>
    <row r="72" spans="1:9" ht="14" thickBot="1" x14ac:dyDescent="0.2">
      <c r="A72" s="102" t="s">
        <v>967</v>
      </c>
      <c r="B72" s="103">
        <v>144472</v>
      </c>
      <c r="C72" s="104">
        <v>3</v>
      </c>
      <c r="D72" s="103">
        <v>12842</v>
      </c>
      <c r="E72" s="104"/>
      <c r="F72" s="103">
        <v>104133</v>
      </c>
      <c r="G72" s="104">
        <v>2</v>
      </c>
      <c r="H72" s="105">
        <v>23676</v>
      </c>
      <c r="I72" s="104"/>
    </row>
    <row r="73" spans="1:9" x14ac:dyDescent="0.15">
      <c r="B73" s="27">
        <f>SUM(B52:B71)</f>
        <v>143469</v>
      </c>
      <c r="C73" s="27">
        <f t="shared" ref="C73:I73" si="1">SUM(C52:C71)</f>
        <v>15</v>
      </c>
      <c r="D73" s="27">
        <f t="shared" si="1"/>
        <v>12842</v>
      </c>
      <c r="E73" s="27">
        <f t="shared" si="1"/>
        <v>3</v>
      </c>
      <c r="F73" s="27">
        <f t="shared" si="1"/>
        <v>104132</v>
      </c>
      <c r="G73" s="27">
        <f t="shared" si="1"/>
        <v>4</v>
      </c>
      <c r="H73" s="27">
        <f t="shared" si="1"/>
        <v>23173</v>
      </c>
      <c r="I73" s="27">
        <f t="shared" si="1"/>
        <v>12</v>
      </c>
    </row>
    <row r="74" spans="1:9" x14ac:dyDescent="0.15">
      <c r="B74" s="27">
        <f>B73+C74</f>
        <v>143472.75</v>
      </c>
      <c r="C74" s="27">
        <f>C73/4</f>
        <v>3.75</v>
      </c>
      <c r="D74" s="27">
        <f>D73+E74</f>
        <v>12842.75</v>
      </c>
      <c r="E74" s="27">
        <f>E73/4</f>
        <v>0.75</v>
      </c>
      <c r="F74" s="27">
        <f>F73+G74</f>
        <v>104133</v>
      </c>
      <c r="G74" s="27">
        <f>G73/4</f>
        <v>1</v>
      </c>
      <c r="H74" s="27">
        <f>H73+I74</f>
        <v>23176</v>
      </c>
      <c r="I74" s="27">
        <f>I73/4</f>
        <v>3</v>
      </c>
    </row>
    <row r="76" spans="1:9" x14ac:dyDescent="0.15">
      <c r="A76" t="s">
        <v>983</v>
      </c>
    </row>
    <row r="77" spans="1:9" x14ac:dyDescent="0.15">
      <c r="A77" t="s">
        <v>984</v>
      </c>
    </row>
    <row r="78" spans="1:9" x14ac:dyDescent="0.15">
      <c r="A78" t="s">
        <v>985</v>
      </c>
    </row>
    <row r="80" spans="1:9" x14ac:dyDescent="0.15">
      <c r="A80" t="s">
        <v>986</v>
      </c>
    </row>
    <row r="82" spans="1:1" x14ac:dyDescent="0.15">
      <c r="A82" t="s">
        <v>973</v>
      </c>
    </row>
  </sheetData>
  <mergeCells count="6">
    <mergeCell ref="B48:C48"/>
    <mergeCell ref="D48:I48"/>
    <mergeCell ref="B50:C50"/>
    <mergeCell ref="D50:E50"/>
    <mergeCell ref="F50:G50"/>
    <mergeCell ref="H50:I50"/>
  </mergeCells>
  <pageMargins left="0.75" right="0.75" top="1" bottom="1" header="0.5" footer="0.5"/>
  <legacy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8"/>
  <sheetViews>
    <sheetView topLeftCell="A43" workbookViewId="0">
      <selection activeCell="B1" sqref="B1"/>
    </sheetView>
  </sheetViews>
  <sheetFormatPr baseColWidth="10" defaultRowHeight="13" x14ac:dyDescent="0.15"/>
  <cols>
    <col min="1" max="1" width="41.5" bestFit="1" customWidth="1"/>
    <col min="2" max="2" width="10.83203125" style="7"/>
    <col min="3" max="3" width="10.83203125" style="19"/>
    <col min="4" max="4" width="10.83203125" style="7"/>
    <col min="5" max="5" width="10.83203125" style="19"/>
    <col min="6" max="16384" width="10.83203125" style="7"/>
  </cols>
  <sheetData>
    <row r="1" spans="1:3" customFormat="1" x14ac:dyDescent="0.15">
      <c r="A1" t="s">
        <v>987</v>
      </c>
      <c r="C1" s="74"/>
    </row>
    <row r="2" spans="1:3" customFormat="1" x14ac:dyDescent="0.15">
      <c r="A2" t="s">
        <v>988</v>
      </c>
      <c r="C2" s="74"/>
    </row>
    <row r="3" spans="1:3" customFormat="1" x14ac:dyDescent="0.15">
      <c r="C3" s="74"/>
    </row>
    <row r="4" spans="1:3" customFormat="1" x14ac:dyDescent="0.15">
      <c r="A4" t="s">
        <v>989</v>
      </c>
      <c r="C4" s="74"/>
    </row>
    <row r="5" spans="1:3" s="7" customFormat="1" x14ac:dyDescent="0.15">
      <c r="A5" t="s">
        <v>990</v>
      </c>
      <c r="B5" s="7">
        <v>105932</v>
      </c>
      <c r="C5" s="19"/>
    </row>
    <row r="6" spans="1:3" s="7" customFormat="1" x14ac:dyDescent="0.15">
      <c r="A6" t="s">
        <v>991</v>
      </c>
      <c r="B6" s="7">
        <v>51338</v>
      </c>
      <c r="C6" s="10" t="s">
        <v>602</v>
      </c>
    </row>
    <row r="7" spans="1:3" s="7" customFormat="1" x14ac:dyDescent="0.15">
      <c r="A7" t="s">
        <v>992</v>
      </c>
      <c r="B7" s="7">
        <v>23787</v>
      </c>
      <c r="C7" s="19">
        <v>5</v>
      </c>
    </row>
    <row r="8" spans="1:3" s="7" customFormat="1" x14ac:dyDescent="0.15">
      <c r="A8" t="s">
        <v>993</v>
      </c>
      <c r="B8" s="7">
        <v>95860</v>
      </c>
      <c r="C8" s="19"/>
    </row>
    <row r="9" spans="1:3" s="7" customFormat="1" x14ac:dyDescent="0.15">
      <c r="A9" t="s">
        <v>994</v>
      </c>
      <c r="B9" s="7">
        <v>79938</v>
      </c>
      <c r="C9" s="19"/>
    </row>
    <row r="10" spans="1:3" s="7" customFormat="1" x14ac:dyDescent="0.15">
      <c r="A10" t="s">
        <v>995</v>
      </c>
      <c r="B10" s="7">
        <v>16374</v>
      </c>
      <c r="C10" s="19">
        <v>7</v>
      </c>
    </row>
    <row r="11" spans="1:3" s="7" customFormat="1" x14ac:dyDescent="0.15">
      <c r="A11" t="s">
        <v>996</v>
      </c>
      <c r="B11" s="7">
        <v>5772</v>
      </c>
      <c r="C11" s="19"/>
    </row>
    <row r="12" spans="1:3" s="7" customFormat="1" x14ac:dyDescent="0.15">
      <c r="A12" t="s">
        <v>997</v>
      </c>
      <c r="B12" s="7">
        <v>16712</v>
      </c>
      <c r="C12" s="19">
        <v>6</v>
      </c>
    </row>
    <row r="13" spans="1:3" s="7" customFormat="1" x14ac:dyDescent="0.15">
      <c r="A13" t="s">
        <v>998</v>
      </c>
      <c r="B13" s="7">
        <v>10099</v>
      </c>
      <c r="C13" s="19"/>
    </row>
    <row r="14" spans="1:3" s="7" customFormat="1" x14ac:dyDescent="0.15">
      <c r="A14" t="s">
        <v>999</v>
      </c>
      <c r="B14" s="7">
        <v>81790</v>
      </c>
      <c r="C14" s="19"/>
    </row>
    <row r="15" spans="1:3" s="7" customFormat="1" x14ac:dyDescent="0.15">
      <c r="A15"/>
      <c r="C15" s="19"/>
    </row>
    <row r="16" spans="1:3" s="7" customFormat="1" x14ac:dyDescent="0.15">
      <c r="A16" t="s">
        <v>1000</v>
      </c>
      <c r="B16" s="7">
        <v>487604</v>
      </c>
      <c r="C16" s="10" t="s">
        <v>1001</v>
      </c>
    </row>
    <row r="17" spans="1:3" s="7" customFormat="1" x14ac:dyDescent="0.15">
      <c r="A17"/>
      <c r="C17" s="19"/>
    </row>
    <row r="18" spans="1:3" s="7" customFormat="1" x14ac:dyDescent="0.15">
      <c r="A18" t="s">
        <v>920</v>
      </c>
      <c r="C18" s="19"/>
    </row>
    <row r="19" spans="1:3" s="7" customFormat="1" x14ac:dyDescent="0.15">
      <c r="A19" t="s">
        <v>1002</v>
      </c>
      <c r="C19" s="19"/>
    </row>
    <row r="20" spans="1:3" s="7" customFormat="1" x14ac:dyDescent="0.15">
      <c r="A20" t="s">
        <v>1003</v>
      </c>
      <c r="B20" s="7">
        <v>14392</v>
      </c>
      <c r="C20" s="19"/>
    </row>
    <row r="21" spans="1:3" s="7" customFormat="1" x14ac:dyDescent="0.15">
      <c r="A21" t="s">
        <v>1004</v>
      </c>
      <c r="B21" s="7">
        <v>14568</v>
      </c>
      <c r="C21" s="19"/>
    </row>
    <row r="22" spans="1:3" s="7" customFormat="1" x14ac:dyDescent="0.15">
      <c r="A22" t="s">
        <v>1005</v>
      </c>
      <c r="B22" s="7">
        <v>31536</v>
      </c>
      <c r="C22" s="19"/>
    </row>
    <row r="23" spans="1:3" s="7" customFormat="1" x14ac:dyDescent="0.15">
      <c r="A23" t="s">
        <v>1006</v>
      </c>
      <c r="B23" s="7">
        <v>23734</v>
      </c>
      <c r="C23" s="19"/>
    </row>
    <row r="24" spans="1:3" s="7" customFormat="1" x14ac:dyDescent="0.15">
      <c r="A24" t="s">
        <v>1007</v>
      </c>
      <c r="B24" s="7">
        <v>6016</v>
      </c>
      <c r="C24" s="19"/>
    </row>
    <row r="25" spans="1:3" s="7" customFormat="1" x14ac:dyDescent="0.15">
      <c r="A25" t="s">
        <v>1008</v>
      </c>
      <c r="B25" s="7">
        <v>4094</v>
      </c>
      <c r="C25" s="19">
        <v>4</v>
      </c>
    </row>
    <row r="26" spans="1:3" s="7" customFormat="1" x14ac:dyDescent="0.15">
      <c r="A26" t="s">
        <v>1009</v>
      </c>
      <c r="B26" s="7">
        <v>6723</v>
      </c>
      <c r="C26" s="19"/>
    </row>
    <row r="27" spans="1:3" s="7" customFormat="1" x14ac:dyDescent="0.15">
      <c r="A27" t="s">
        <v>1010</v>
      </c>
      <c r="B27" s="7">
        <v>583879</v>
      </c>
      <c r="C27" s="19">
        <v>6</v>
      </c>
    </row>
    <row r="28" spans="1:3" s="7" customFormat="1" x14ac:dyDescent="0.15">
      <c r="A28" t="s">
        <v>1011</v>
      </c>
      <c r="B28" s="19">
        <v>82524</v>
      </c>
      <c r="C28" s="19"/>
    </row>
    <row r="29" spans="1:3" s="7" customFormat="1" x14ac:dyDescent="0.15">
      <c r="A29" t="s">
        <v>1012</v>
      </c>
      <c r="B29" s="19">
        <v>164292</v>
      </c>
      <c r="C29" s="19"/>
    </row>
    <row r="30" spans="1:3" s="7" customFormat="1" x14ac:dyDescent="0.15">
      <c r="A30" t="s">
        <v>1013</v>
      </c>
      <c r="B30" s="19">
        <v>25394</v>
      </c>
      <c r="C30" s="19"/>
    </row>
    <row r="31" spans="1:3" s="7" customFormat="1" x14ac:dyDescent="0.15">
      <c r="A31" t="s">
        <v>1014</v>
      </c>
      <c r="B31" s="19">
        <v>4624</v>
      </c>
      <c r="C31" s="19"/>
    </row>
    <row r="32" spans="1:3" s="7" customFormat="1" x14ac:dyDescent="0.15">
      <c r="A32" t="s">
        <v>1015</v>
      </c>
      <c r="B32" s="19">
        <v>60215</v>
      </c>
      <c r="C32" s="19"/>
    </row>
    <row r="33" spans="1:5" x14ac:dyDescent="0.15">
      <c r="A33" t="s">
        <v>1016</v>
      </c>
      <c r="B33" s="19">
        <v>5020</v>
      </c>
      <c r="E33" s="7"/>
    </row>
    <row r="34" spans="1:5" x14ac:dyDescent="0.15">
      <c r="A34" t="s">
        <v>1017</v>
      </c>
      <c r="B34" s="19">
        <v>3985</v>
      </c>
      <c r="C34" s="10" t="s">
        <v>50</v>
      </c>
      <c r="E34" s="7"/>
    </row>
    <row r="35" spans="1:5" x14ac:dyDescent="0.15">
      <c r="A35" t="s">
        <v>1018</v>
      </c>
      <c r="B35" s="7">
        <v>81200</v>
      </c>
      <c r="E35" s="7"/>
    </row>
    <row r="36" spans="1:5" x14ac:dyDescent="0.15">
      <c r="D36" s="27">
        <f>SUM(B20:B35)</f>
        <v>1112196</v>
      </c>
      <c r="E36" s="27"/>
    </row>
    <row r="37" spans="1:5" x14ac:dyDescent="0.15">
      <c r="A37" t="s">
        <v>1019</v>
      </c>
      <c r="B37" s="7">
        <v>1064197</v>
      </c>
      <c r="C37" s="10" t="s">
        <v>602</v>
      </c>
      <c r="D37" s="27">
        <f>D36+E37</f>
        <v>1112196</v>
      </c>
      <c r="E37" s="27">
        <f>E36/8</f>
        <v>0</v>
      </c>
    </row>
    <row r="38" spans="1:5" x14ac:dyDescent="0.15">
      <c r="E38" s="7"/>
    </row>
    <row r="39" spans="1:5" x14ac:dyDescent="0.15">
      <c r="A39" t="s">
        <v>1020</v>
      </c>
      <c r="E39" s="7"/>
    </row>
    <row r="40" spans="1:5" x14ac:dyDescent="0.15">
      <c r="A40" t="s">
        <v>1021</v>
      </c>
      <c r="B40" s="7">
        <v>4000</v>
      </c>
      <c r="E40" s="7"/>
    </row>
    <row r="41" spans="1:5" x14ac:dyDescent="0.15">
      <c r="A41" t="s">
        <v>1022</v>
      </c>
      <c r="B41" s="7">
        <v>19882</v>
      </c>
      <c r="C41" s="19">
        <v>4</v>
      </c>
      <c r="E41" s="7"/>
    </row>
    <row r="42" spans="1:5" x14ac:dyDescent="0.15">
      <c r="A42" t="s">
        <v>1023</v>
      </c>
      <c r="B42" s="7">
        <v>2350</v>
      </c>
      <c r="E42" s="7"/>
    </row>
    <row r="43" spans="1:5" x14ac:dyDescent="0.15">
      <c r="A43" t="s">
        <v>1024</v>
      </c>
      <c r="B43" s="7">
        <v>32895</v>
      </c>
      <c r="C43" s="10" t="s">
        <v>1025</v>
      </c>
      <c r="E43" s="7"/>
    </row>
    <row r="44" spans="1:5" x14ac:dyDescent="0.15">
      <c r="A44" t="s">
        <v>1026</v>
      </c>
      <c r="B44" s="7">
        <v>20898</v>
      </c>
      <c r="E44" s="7"/>
    </row>
    <row r="45" spans="1:5" x14ac:dyDescent="0.15">
      <c r="A45" t="s">
        <v>1027</v>
      </c>
      <c r="E45" s="7"/>
    </row>
    <row r="46" spans="1:5" x14ac:dyDescent="0.15">
      <c r="A46" t="s">
        <v>1028</v>
      </c>
      <c r="B46" s="7">
        <v>105926</v>
      </c>
      <c r="C46" s="10" t="s">
        <v>1029</v>
      </c>
      <c r="E46" s="7"/>
    </row>
    <row r="47" spans="1:5" x14ac:dyDescent="0.15">
      <c r="A47" t="s">
        <v>1030</v>
      </c>
      <c r="B47" s="7">
        <v>50429</v>
      </c>
      <c r="C47" s="10" t="s">
        <v>1031</v>
      </c>
      <c r="E47" s="7"/>
    </row>
    <row r="48" spans="1:5" x14ac:dyDescent="0.15">
      <c r="A48" t="s">
        <v>1032</v>
      </c>
      <c r="B48" s="7">
        <v>36890</v>
      </c>
      <c r="C48" s="10" t="s">
        <v>1033</v>
      </c>
      <c r="E48" s="7"/>
    </row>
    <row r="49" spans="1:5" x14ac:dyDescent="0.15">
      <c r="A49" t="s">
        <v>1034</v>
      </c>
      <c r="B49" s="7">
        <v>1212</v>
      </c>
      <c r="E49" s="7"/>
    </row>
    <row r="50" spans="1:5" x14ac:dyDescent="0.15">
      <c r="A50" t="s">
        <v>1035</v>
      </c>
      <c r="B50" s="7">
        <v>3300</v>
      </c>
      <c r="E50" s="7"/>
    </row>
    <row r="51" spans="1:5" x14ac:dyDescent="0.15">
      <c r="A51" t="s">
        <v>1036</v>
      </c>
      <c r="B51" s="7">
        <v>6344</v>
      </c>
      <c r="E51" s="7"/>
    </row>
    <row r="52" spans="1:5" x14ac:dyDescent="0.15">
      <c r="A52" t="s">
        <v>1037</v>
      </c>
      <c r="B52" s="7">
        <v>120000</v>
      </c>
      <c r="E52" s="7"/>
    </row>
    <row r="53" spans="1:5" x14ac:dyDescent="0.15">
      <c r="A53" t="s">
        <v>1038</v>
      </c>
      <c r="E53" s="7"/>
    </row>
    <row r="54" spans="1:5" x14ac:dyDescent="0.15">
      <c r="A54" t="s">
        <v>1039</v>
      </c>
      <c r="E54" s="7"/>
    </row>
    <row r="55" spans="1:5" x14ac:dyDescent="0.15">
      <c r="A55" t="s">
        <v>1040</v>
      </c>
      <c r="B55" s="7">
        <v>1500</v>
      </c>
      <c r="E55" s="7"/>
    </row>
    <row r="56" spans="1:5" x14ac:dyDescent="0.15">
      <c r="E56" s="7"/>
    </row>
    <row r="57" spans="1:5" x14ac:dyDescent="0.15">
      <c r="A57" t="s">
        <v>1041</v>
      </c>
      <c r="B57" s="7">
        <v>405628</v>
      </c>
      <c r="C57" s="19">
        <v>3</v>
      </c>
      <c r="D57" s="27">
        <f>SUM(B40:B55)</f>
        <v>405626</v>
      </c>
      <c r="E57" s="27"/>
    </row>
    <row r="58" spans="1:5" x14ac:dyDescent="0.15">
      <c r="D58" s="27">
        <f>D57+E58</f>
        <v>405626</v>
      </c>
      <c r="E58" s="27">
        <f>E57/8</f>
        <v>0</v>
      </c>
    </row>
    <row r="59" spans="1:5" x14ac:dyDescent="0.15">
      <c r="A59" t="s">
        <v>1042</v>
      </c>
      <c r="E59" s="7"/>
    </row>
    <row r="60" spans="1:5" x14ac:dyDescent="0.15">
      <c r="E60" s="7"/>
    </row>
    <row r="61" spans="1:5" x14ac:dyDescent="0.15">
      <c r="A61" t="s">
        <v>1043</v>
      </c>
      <c r="D61" s="7">
        <v>12172</v>
      </c>
      <c r="E61" s="7"/>
    </row>
    <row r="62" spans="1:5" x14ac:dyDescent="0.15">
      <c r="A62" t="s">
        <v>1044</v>
      </c>
      <c r="D62" s="7">
        <v>105563</v>
      </c>
      <c r="E62" s="7"/>
    </row>
    <row r="63" spans="1:5" x14ac:dyDescent="0.15">
      <c r="A63" t="s">
        <v>1045</v>
      </c>
      <c r="D63" s="7">
        <v>65655</v>
      </c>
      <c r="E63" s="7">
        <v>5</v>
      </c>
    </row>
    <row r="64" spans="1:5" x14ac:dyDescent="0.15">
      <c r="A64" t="s">
        <v>1046</v>
      </c>
      <c r="D64" s="7">
        <v>78789</v>
      </c>
      <c r="E64" s="7"/>
    </row>
    <row r="65" spans="1:7" x14ac:dyDescent="0.15">
      <c r="A65" t="s">
        <v>1047</v>
      </c>
      <c r="D65" s="7">
        <v>47980</v>
      </c>
      <c r="E65" s="7"/>
    </row>
    <row r="66" spans="1:7" x14ac:dyDescent="0.15">
      <c r="A66" t="s">
        <v>1048</v>
      </c>
      <c r="D66" s="7">
        <v>67788</v>
      </c>
      <c r="E66" s="7"/>
    </row>
    <row r="67" spans="1:7" x14ac:dyDescent="0.15">
      <c r="A67" t="s">
        <v>1049</v>
      </c>
      <c r="D67" s="7">
        <v>7362</v>
      </c>
      <c r="E67" s="7">
        <v>4</v>
      </c>
    </row>
    <row r="68" spans="1:7" x14ac:dyDescent="0.15">
      <c r="A68" t="s">
        <v>1050</v>
      </c>
      <c r="D68" s="7">
        <v>79641</v>
      </c>
      <c r="E68" s="10" t="s">
        <v>1051</v>
      </c>
    </row>
    <row r="69" spans="1:7" x14ac:dyDescent="0.15">
      <c r="A69" t="s">
        <v>1052</v>
      </c>
      <c r="B69" s="7">
        <v>59627</v>
      </c>
      <c r="C69" s="19" t="s">
        <v>1053</v>
      </c>
      <c r="E69" s="7"/>
    </row>
    <row r="70" spans="1:7" x14ac:dyDescent="0.15">
      <c r="A70" t="s">
        <v>1054</v>
      </c>
      <c r="B70" s="7">
        <v>16000</v>
      </c>
      <c r="E70" s="7"/>
    </row>
    <row r="71" spans="1:7" x14ac:dyDescent="0.15">
      <c r="A71" t="s">
        <v>1055</v>
      </c>
      <c r="B71" s="7">
        <v>4014</v>
      </c>
      <c r="C71" s="19" t="s">
        <v>1056</v>
      </c>
      <c r="E71" s="7"/>
    </row>
    <row r="72" spans="1:7" x14ac:dyDescent="0.15">
      <c r="A72" t="s">
        <v>1057</v>
      </c>
      <c r="D72" s="7">
        <v>3656</v>
      </c>
      <c r="E72" s="10" t="s">
        <v>1001</v>
      </c>
    </row>
    <row r="73" spans="1:7" x14ac:dyDescent="0.15">
      <c r="A73" t="s">
        <v>1058</v>
      </c>
      <c r="D73" s="7">
        <v>467350</v>
      </c>
    </row>
    <row r="75" spans="1:7" x14ac:dyDescent="0.15">
      <c r="A75" t="s">
        <v>1059</v>
      </c>
      <c r="D75" s="7">
        <v>935958</v>
      </c>
      <c r="E75" s="10" t="s">
        <v>1060</v>
      </c>
      <c r="F75" s="27">
        <f>SUM(D61:D73)</f>
        <v>935956</v>
      </c>
      <c r="G75" s="27"/>
    </row>
    <row r="76" spans="1:7" x14ac:dyDescent="0.15">
      <c r="F76" s="27">
        <f>F75+G76</f>
        <v>935956</v>
      </c>
      <c r="G76" s="27">
        <f>G75/8</f>
        <v>0</v>
      </c>
    </row>
    <row r="77" spans="1:7" x14ac:dyDescent="0.15">
      <c r="A77" t="s">
        <v>652</v>
      </c>
    </row>
    <row r="78" spans="1:7" x14ac:dyDescent="0.15">
      <c r="A78" t="s">
        <v>1061</v>
      </c>
    </row>
  </sheetData>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
  <sheetViews>
    <sheetView topLeftCell="A37" workbookViewId="0">
      <selection activeCell="B1" sqref="B1"/>
    </sheetView>
  </sheetViews>
  <sheetFormatPr baseColWidth="10" defaultRowHeight="15" x14ac:dyDescent="0.2"/>
  <cols>
    <col min="1" max="1" width="57.33203125" style="106" bestFit="1" customWidth="1"/>
    <col min="2" max="3" width="10.83203125" style="107"/>
    <col min="4" max="4" width="10.83203125" style="106"/>
    <col min="5" max="5" width="26.83203125" style="107" bestFit="1" customWidth="1"/>
    <col min="6" max="16384" width="10.83203125" style="107"/>
  </cols>
  <sheetData>
    <row r="1" spans="1:10" s="106" customFormat="1" x14ac:dyDescent="0.2">
      <c r="A1" s="106" t="s">
        <v>1062</v>
      </c>
    </row>
    <row r="2" spans="1:10" s="106" customFormat="1" x14ac:dyDescent="0.2"/>
    <row r="3" spans="1:10" s="106" customFormat="1" x14ac:dyDescent="0.2">
      <c r="B3" s="106" t="s">
        <v>1063</v>
      </c>
      <c r="C3" s="106" t="s">
        <v>1064</v>
      </c>
      <c r="E3" s="106" t="s">
        <v>1063</v>
      </c>
      <c r="F3" s="106" t="s">
        <v>1064</v>
      </c>
    </row>
    <row r="4" spans="1:10" s="106" customFormat="1" x14ac:dyDescent="0.2">
      <c r="A4" s="106" t="s">
        <v>1065</v>
      </c>
      <c r="B4" s="107"/>
      <c r="C4" s="107"/>
    </row>
    <row r="5" spans="1:10" s="106" customFormat="1" x14ac:dyDescent="0.2">
      <c r="A5" s="106" t="s">
        <v>1066</v>
      </c>
      <c r="B5" s="107"/>
      <c r="C5" s="107"/>
    </row>
    <row r="6" spans="1:10" s="106" customFormat="1" x14ac:dyDescent="0.2">
      <c r="A6" s="106" t="s">
        <v>1067</v>
      </c>
      <c r="B6" s="107">
        <v>313567</v>
      </c>
      <c r="C6" s="107">
        <v>6</v>
      </c>
      <c r="D6" s="108" t="s">
        <v>1068</v>
      </c>
    </row>
    <row r="7" spans="1:10" s="106" customFormat="1" x14ac:dyDescent="0.2">
      <c r="A7" s="106" t="s">
        <v>1069</v>
      </c>
      <c r="B7" s="107">
        <v>266465</v>
      </c>
      <c r="C7" s="107">
        <v>4</v>
      </c>
      <c r="D7" s="108" t="s">
        <v>1070</v>
      </c>
      <c r="E7" s="107"/>
      <c r="F7" s="107"/>
    </row>
    <row r="8" spans="1:10" s="106" customFormat="1" x14ac:dyDescent="0.2">
      <c r="A8" s="106" t="s">
        <v>1071</v>
      </c>
      <c r="B8" s="107">
        <v>378068</v>
      </c>
      <c r="C8" s="107">
        <v>4</v>
      </c>
      <c r="D8" s="108" t="s">
        <v>1070</v>
      </c>
      <c r="E8" s="107"/>
      <c r="F8" s="107"/>
    </row>
    <row r="9" spans="1:10" s="106" customFormat="1" x14ac:dyDescent="0.2">
      <c r="B9" s="107"/>
      <c r="C9" s="107"/>
      <c r="E9" s="107">
        <v>958102</v>
      </c>
      <c r="F9" s="107">
        <v>7</v>
      </c>
      <c r="G9" s="108" t="s">
        <v>1070</v>
      </c>
      <c r="H9" s="109">
        <f>SUM(B6:B8)</f>
        <v>958100</v>
      </c>
      <c r="I9" s="109">
        <f t="shared" ref="I9" si="0">SUM(C6:C8)</f>
        <v>14</v>
      </c>
      <c r="J9" s="109">
        <v>1</v>
      </c>
    </row>
    <row r="10" spans="1:10" s="106" customFormat="1" x14ac:dyDescent="0.2">
      <c r="B10" s="107"/>
      <c r="C10" s="107"/>
      <c r="E10" s="107"/>
      <c r="F10" s="107"/>
      <c r="H10" s="109">
        <f>H9+(I9+J9)/8</f>
        <v>958101.875</v>
      </c>
    </row>
    <row r="11" spans="1:10" s="106" customFormat="1" x14ac:dyDescent="0.2">
      <c r="A11" s="106" t="s">
        <v>1072</v>
      </c>
      <c r="B11" s="107"/>
      <c r="C11" s="107"/>
      <c r="E11" s="107">
        <v>2201243</v>
      </c>
      <c r="F11" s="107">
        <v>5</v>
      </c>
      <c r="G11" s="108" t="s">
        <v>1068</v>
      </c>
    </row>
    <row r="12" spans="1:10" s="106" customFormat="1" x14ac:dyDescent="0.2">
      <c r="B12" s="107"/>
      <c r="C12" s="107"/>
      <c r="E12" s="107"/>
      <c r="F12" s="107"/>
    </row>
    <row r="13" spans="1:10" s="106" customFormat="1" x14ac:dyDescent="0.2">
      <c r="A13" s="106" t="s">
        <v>1073</v>
      </c>
      <c r="B13" s="107"/>
      <c r="C13" s="107"/>
      <c r="E13" s="107">
        <v>410298</v>
      </c>
      <c r="F13" s="107">
        <v>7</v>
      </c>
      <c r="G13" s="108" t="s">
        <v>1070</v>
      </c>
    </row>
    <row r="14" spans="1:10" s="106" customFormat="1" x14ac:dyDescent="0.2">
      <c r="B14" s="107"/>
      <c r="C14" s="107"/>
      <c r="E14" s="107"/>
      <c r="F14" s="107"/>
    </row>
    <row r="15" spans="1:10" s="106" customFormat="1" x14ac:dyDescent="0.2">
      <c r="A15" s="106" t="s">
        <v>1074</v>
      </c>
      <c r="B15" s="107"/>
      <c r="C15" s="107"/>
      <c r="E15" s="107">
        <v>3569645</v>
      </c>
      <c r="F15" s="107"/>
    </row>
    <row r="16" spans="1:10" x14ac:dyDescent="0.2">
      <c r="E16" s="109">
        <f>E9+E11+E13</f>
        <v>3569643</v>
      </c>
    </row>
    <row r="19" spans="1:7" x14ac:dyDescent="0.2">
      <c r="A19" s="106" t="s">
        <v>1075</v>
      </c>
    </row>
    <row r="21" spans="1:7" x14ac:dyDescent="0.2">
      <c r="A21" s="106" t="s">
        <v>1076</v>
      </c>
      <c r="B21" s="107">
        <v>2327041</v>
      </c>
      <c r="C21" s="107">
        <v>5</v>
      </c>
      <c r="D21" s="110" t="s">
        <v>1077</v>
      </c>
    </row>
    <row r="23" spans="1:7" x14ac:dyDescent="0.2">
      <c r="A23" s="106" t="s">
        <v>1078</v>
      </c>
    </row>
    <row r="24" spans="1:7" x14ac:dyDescent="0.2">
      <c r="A24" s="106" t="s">
        <v>1079</v>
      </c>
      <c r="B24" s="107">
        <v>18306</v>
      </c>
      <c r="C24" s="107">
        <v>6</v>
      </c>
      <c r="D24" s="110" t="s">
        <v>1077</v>
      </c>
    </row>
    <row r="26" spans="1:7" x14ac:dyDescent="0.2">
      <c r="A26" s="106" t="s">
        <v>1080</v>
      </c>
    </row>
    <row r="27" spans="1:7" x14ac:dyDescent="0.2">
      <c r="A27" s="106" t="s">
        <v>1081</v>
      </c>
    </row>
    <row r="28" spans="1:7" x14ac:dyDescent="0.2">
      <c r="A28" s="106" t="s">
        <v>1082</v>
      </c>
      <c r="B28" s="107">
        <v>266465</v>
      </c>
      <c r="C28" s="107">
        <v>4</v>
      </c>
      <c r="D28" s="108" t="s">
        <v>1070</v>
      </c>
    </row>
    <row r="29" spans="1:7" x14ac:dyDescent="0.2">
      <c r="E29" s="107">
        <v>26118143</v>
      </c>
      <c r="F29" s="107">
        <v>7</v>
      </c>
      <c r="G29" s="111" t="s">
        <v>1070</v>
      </c>
    </row>
    <row r="31" spans="1:7" x14ac:dyDescent="0.2">
      <c r="A31" s="106" t="s">
        <v>1083</v>
      </c>
      <c r="E31" s="107">
        <v>957831</v>
      </c>
      <c r="F31" s="107">
        <v>5</v>
      </c>
      <c r="G31" s="111" t="s">
        <v>1070</v>
      </c>
    </row>
    <row r="33" spans="1:7" x14ac:dyDescent="0.2">
      <c r="A33" s="106" t="s">
        <v>1084</v>
      </c>
      <c r="E33" s="107">
        <v>1965710</v>
      </c>
      <c r="F33" s="107">
        <v>7</v>
      </c>
      <c r="G33" s="111" t="s">
        <v>1085</v>
      </c>
    </row>
    <row r="35" spans="1:7" x14ac:dyDescent="0.2">
      <c r="A35" s="106" t="s">
        <v>1086</v>
      </c>
      <c r="E35" s="107">
        <v>235532</v>
      </c>
      <c r="F35" s="107">
        <v>6</v>
      </c>
      <c r="G35" s="111" t="s">
        <v>1085</v>
      </c>
    </row>
    <row r="37" spans="1:7" x14ac:dyDescent="0.2">
      <c r="E37" s="107">
        <v>2201343</v>
      </c>
      <c r="F37" s="107">
        <v>5</v>
      </c>
      <c r="G37" s="111" t="s">
        <v>1068</v>
      </c>
    </row>
    <row r="39" spans="1:7" x14ac:dyDescent="0.2">
      <c r="A39" s="106" t="s">
        <v>1087</v>
      </c>
    </row>
    <row r="43" spans="1:7" x14ac:dyDescent="0.2">
      <c r="A43" s="106" t="s">
        <v>1088</v>
      </c>
    </row>
    <row r="45" spans="1:7" x14ac:dyDescent="0.2">
      <c r="A45" s="106" t="s">
        <v>1089</v>
      </c>
      <c r="B45" s="107">
        <v>575468</v>
      </c>
      <c r="C45" s="107">
        <v>6</v>
      </c>
      <c r="D45" s="111" t="s">
        <v>1068</v>
      </c>
    </row>
    <row r="46" spans="1:7" x14ac:dyDescent="0.2">
      <c r="A46" s="106" t="s">
        <v>1090</v>
      </c>
      <c r="B46" s="107">
        <v>1007059</v>
      </c>
      <c r="C46" s="107">
        <v>7</v>
      </c>
      <c r="D46" s="111" t="s">
        <v>1070</v>
      </c>
    </row>
    <row r="47" spans="1:7" x14ac:dyDescent="0.2">
      <c r="A47" s="106" t="s">
        <v>1091</v>
      </c>
      <c r="B47" s="107">
        <v>178086</v>
      </c>
      <c r="C47" s="107">
        <v>4</v>
      </c>
    </row>
    <row r="48" spans="1:7" x14ac:dyDescent="0.2">
      <c r="A48" s="106" t="s">
        <v>1092</v>
      </c>
      <c r="B48" s="107">
        <v>1107410</v>
      </c>
      <c r="C48" s="107">
        <v>6</v>
      </c>
    </row>
    <row r="50" spans="1:8" x14ac:dyDescent="0.2">
      <c r="A50" s="106" t="s">
        <v>1093</v>
      </c>
      <c r="B50" s="107">
        <v>2868026</v>
      </c>
    </row>
    <row r="53" spans="1:8" x14ac:dyDescent="0.2">
      <c r="A53" s="106" t="s">
        <v>1062</v>
      </c>
    </row>
    <row r="54" spans="1:8" x14ac:dyDescent="0.2">
      <c r="C54" s="107" t="s">
        <v>1094</v>
      </c>
      <c r="G54" s="107" t="s">
        <v>1095</v>
      </c>
    </row>
    <row r="55" spans="1:8" x14ac:dyDescent="0.2">
      <c r="A55" s="106" t="s">
        <v>1096</v>
      </c>
    </row>
    <row r="57" spans="1:8" x14ac:dyDescent="0.2">
      <c r="A57" s="106" t="s">
        <v>1097</v>
      </c>
      <c r="B57" s="107">
        <v>140971</v>
      </c>
      <c r="C57" s="107">
        <v>4</v>
      </c>
      <c r="D57" s="111" t="s">
        <v>1068</v>
      </c>
    </row>
    <row r="58" spans="1:8" x14ac:dyDescent="0.2">
      <c r="A58" s="106" t="s">
        <v>1098</v>
      </c>
      <c r="B58" s="107">
        <v>3746</v>
      </c>
      <c r="C58" s="107">
        <v>4</v>
      </c>
      <c r="D58" s="111" t="s">
        <v>1070</v>
      </c>
      <c r="E58" s="106" t="s">
        <v>1099</v>
      </c>
      <c r="F58" s="107">
        <v>7124</v>
      </c>
      <c r="G58" s="107">
        <v>6</v>
      </c>
      <c r="H58" s="112" t="s">
        <v>1085</v>
      </c>
    </row>
    <row r="59" spans="1:8" x14ac:dyDescent="0.2">
      <c r="A59" s="106" t="s">
        <v>1100</v>
      </c>
      <c r="B59" s="107">
        <v>16861</v>
      </c>
      <c r="C59" s="107">
        <v>4</v>
      </c>
      <c r="D59" s="112" t="s">
        <v>1085</v>
      </c>
      <c r="E59" s="106" t="s">
        <v>1100</v>
      </c>
      <c r="F59" s="107">
        <v>171300</v>
      </c>
      <c r="G59" s="107">
        <v>2</v>
      </c>
      <c r="H59" s="112" t="s">
        <v>1070</v>
      </c>
    </row>
    <row r="60" spans="1:8" x14ac:dyDescent="0.2">
      <c r="A60" s="106" t="s">
        <v>1101</v>
      </c>
      <c r="B60" s="107">
        <v>3496</v>
      </c>
      <c r="C60" s="107">
        <v>4</v>
      </c>
      <c r="D60" s="112" t="s">
        <v>1085</v>
      </c>
      <c r="E60" s="106" t="s">
        <v>1102</v>
      </c>
      <c r="F60" s="107">
        <v>8442</v>
      </c>
      <c r="G60" s="107">
        <v>3</v>
      </c>
      <c r="H60" s="112" t="s">
        <v>1070</v>
      </c>
    </row>
    <row r="61" spans="1:8" x14ac:dyDescent="0.2">
      <c r="A61" s="106" t="s">
        <v>1103</v>
      </c>
      <c r="B61" s="107">
        <v>3444</v>
      </c>
      <c r="C61" s="107">
        <v>4</v>
      </c>
      <c r="D61" s="112" t="s">
        <v>1085</v>
      </c>
      <c r="E61" s="106" t="s">
        <v>1104</v>
      </c>
      <c r="F61" s="107">
        <v>15410</v>
      </c>
      <c r="G61" s="107">
        <v>6</v>
      </c>
      <c r="H61" s="112" t="s">
        <v>1068</v>
      </c>
    </row>
    <row r="62" spans="1:8" x14ac:dyDescent="0.2">
      <c r="A62" s="106" t="s">
        <v>1105</v>
      </c>
      <c r="B62" s="107">
        <v>21130</v>
      </c>
      <c r="C62" s="107">
        <v>2</v>
      </c>
      <c r="D62" s="112" t="s">
        <v>1070</v>
      </c>
      <c r="E62" s="106" t="s">
        <v>1106</v>
      </c>
      <c r="F62" s="107">
        <v>140809</v>
      </c>
      <c r="G62" s="107">
        <v>2</v>
      </c>
      <c r="H62" s="112" t="s">
        <v>1068</v>
      </c>
    </row>
    <row r="63" spans="1:8" x14ac:dyDescent="0.2">
      <c r="A63" s="106" t="s">
        <v>1106</v>
      </c>
      <c r="B63" s="107">
        <v>160591</v>
      </c>
      <c r="C63" s="107">
        <v>2</v>
      </c>
      <c r="D63" s="111" t="s">
        <v>1068</v>
      </c>
      <c r="E63" s="106" t="s">
        <v>1107</v>
      </c>
      <c r="F63" s="107">
        <v>19765</v>
      </c>
      <c r="G63" s="107">
        <v>2</v>
      </c>
      <c r="H63" s="112" t="s">
        <v>1068</v>
      </c>
    </row>
    <row r="64" spans="1:8" x14ac:dyDescent="0.2">
      <c r="A64" s="106" t="s">
        <v>1108</v>
      </c>
      <c r="B64" s="107">
        <v>130371</v>
      </c>
      <c r="C64" s="107">
        <v>4</v>
      </c>
      <c r="D64" s="111" t="s">
        <v>1068</v>
      </c>
      <c r="E64" s="106" t="s">
        <v>1109</v>
      </c>
      <c r="F64" s="107">
        <v>279610</v>
      </c>
      <c r="G64" s="107">
        <v>2</v>
      </c>
      <c r="H64" s="112" t="s">
        <v>1085</v>
      </c>
    </row>
    <row r="65" spans="1:8" x14ac:dyDescent="0.2">
      <c r="A65" s="106" t="s">
        <v>1110</v>
      </c>
      <c r="B65" s="107">
        <v>935</v>
      </c>
      <c r="C65" s="107">
        <v>4</v>
      </c>
      <c r="D65" s="112" t="s">
        <v>1085</v>
      </c>
    </row>
    <row r="66" spans="1:8" x14ac:dyDescent="0.2">
      <c r="F66" s="107">
        <v>488292</v>
      </c>
      <c r="G66" s="107">
        <v>6</v>
      </c>
      <c r="H66" s="112" t="s">
        <v>1085</v>
      </c>
    </row>
    <row r="67" spans="1:8" x14ac:dyDescent="0.2">
      <c r="B67" s="107">
        <v>488292</v>
      </c>
      <c r="C67" s="107">
        <v>6</v>
      </c>
      <c r="D67" s="112" t="s">
        <v>1085</v>
      </c>
    </row>
    <row r="68" spans="1:8" x14ac:dyDescent="0.2">
      <c r="B68" s="109">
        <f>SUM(B57:B65)</f>
        <v>481545</v>
      </c>
      <c r="C68" s="109">
        <f>SUM(C57:C65)</f>
        <v>32</v>
      </c>
      <c r="D68" s="109">
        <v>4</v>
      </c>
    </row>
    <row r="69" spans="1:8" x14ac:dyDescent="0.2">
      <c r="B69" s="109">
        <f>B68+(C68+D68)/8</f>
        <v>481549.5</v>
      </c>
    </row>
  </sheetData>
  <pageMargins left="0.75" right="0.75" top="1" bottom="1" header="0.5" footer="0.5"/>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P268"/>
  <sheetViews>
    <sheetView workbookViewId="0">
      <selection activeCell="B1" sqref="B1"/>
    </sheetView>
  </sheetViews>
  <sheetFormatPr baseColWidth="10" defaultRowHeight="15" x14ac:dyDescent="0.2"/>
  <cols>
    <col min="1" max="1" width="31.83203125" style="106" customWidth="1"/>
    <col min="2" max="2" width="10.83203125" style="106"/>
    <col min="3" max="3" width="4.1640625" style="106" customWidth="1"/>
    <col min="4" max="4" width="5.33203125" style="106" customWidth="1"/>
    <col min="5" max="5" width="10.83203125" style="106"/>
    <col min="6" max="6" width="8.6640625" style="106" customWidth="1"/>
    <col min="7" max="7" width="6.1640625" style="106" customWidth="1"/>
    <col min="8" max="8" width="10.83203125" style="106"/>
    <col min="9" max="10" width="6.1640625" style="106" customWidth="1"/>
    <col min="11" max="11" width="10.83203125" style="106"/>
    <col min="12" max="13" width="6.1640625" style="106" customWidth="1"/>
    <col min="14" max="14" width="10.83203125" style="106"/>
    <col min="15" max="16" width="6.1640625" style="106" customWidth="1"/>
    <col min="17" max="17" width="10.83203125" style="106"/>
    <col min="18" max="19" width="6.1640625" style="106" customWidth="1"/>
    <col min="20" max="20" width="10.83203125" style="106"/>
    <col min="21" max="22" width="6.1640625" style="106" customWidth="1"/>
    <col min="23" max="23" width="10.83203125" style="106"/>
    <col min="24" max="25" width="6.1640625" style="106" customWidth="1"/>
    <col min="26" max="26" width="10.83203125" style="106"/>
    <col min="27" max="28" width="6.1640625" style="106" customWidth="1"/>
    <col min="29" max="29" width="10.83203125" style="106"/>
    <col min="30" max="31" width="6.1640625" style="106" customWidth="1"/>
    <col min="32" max="32" width="10.83203125" style="106"/>
    <col min="33" max="34" width="6.1640625" style="106" customWidth="1"/>
    <col min="35" max="35" width="10.83203125" style="106"/>
    <col min="36" max="37" width="6.1640625" style="106" customWidth="1"/>
    <col min="38" max="38" width="10.83203125" style="106"/>
    <col min="39" max="40" width="6.1640625" style="106" customWidth="1"/>
    <col min="41" max="41" width="10.83203125" style="106"/>
    <col min="42" max="43" width="6.1640625" style="106" customWidth="1"/>
    <col min="44" max="44" width="10.83203125" style="106"/>
    <col min="45" max="46" width="6.1640625" style="106" customWidth="1"/>
    <col min="47" max="47" width="10.83203125" style="106"/>
    <col min="48" max="49" width="6.1640625" style="106" customWidth="1"/>
    <col min="50" max="50" width="10.83203125" style="106"/>
    <col min="51" max="52" width="6.1640625" style="106" customWidth="1"/>
    <col min="53" max="53" width="10.83203125" style="106"/>
    <col min="54" max="55" width="6.1640625" style="106" customWidth="1"/>
    <col min="56" max="56" width="10.83203125" style="106"/>
    <col min="57" max="58" width="6.1640625" style="106" customWidth="1"/>
    <col min="59" max="59" width="10.83203125" style="106"/>
    <col min="60" max="61" width="6.1640625" style="106" customWidth="1"/>
    <col min="62" max="62" width="10.83203125" style="106"/>
    <col min="63" max="64" width="6.1640625" style="106" customWidth="1"/>
    <col min="65" max="65" width="10.83203125" style="106"/>
    <col min="66" max="67" width="6.1640625" style="106" customWidth="1"/>
    <col min="68" max="68" width="10.83203125" style="106"/>
    <col min="69" max="70" width="6.1640625" style="106" customWidth="1"/>
    <col min="71" max="71" width="10.83203125" style="106"/>
    <col min="72" max="73" width="6.1640625" style="106" customWidth="1"/>
    <col min="74" max="74" width="10.83203125" style="106"/>
    <col min="75" max="76" width="6.1640625" style="106" customWidth="1"/>
    <col min="77" max="77" width="10.83203125" style="106"/>
    <col min="78" max="79" width="6.1640625" style="106" customWidth="1"/>
    <col min="80" max="80" width="10.83203125" style="106"/>
    <col min="81" max="82" width="6.1640625" style="106" customWidth="1"/>
    <col min="83" max="83" width="11.83203125" style="106" bestFit="1" customWidth="1"/>
    <col min="84" max="85" width="6.1640625" style="106" customWidth="1"/>
    <col min="86" max="86" width="10.83203125" style="106"/>
    <col min="87" max="88" width="6.1640625" style="106" customWidth="1"/>
    <col min="89" max="89" width="10.83203125" style="106"/>
    <col min="90" max="91" width="6.1640625" style="106" customWidth="1"/>
    <col min="92" max="92" width="10.83203125" style="106"/>
    <col min="93" max="94" width="6.1640625" style="106" customWidth="1"/>
    <col min="95" max="95" width="10.83203125" style="106"/>
    <col min="96" max="97" width="6.1640625" style="106" customWidth="1"/>
    <col min="98" max="98" width="10.83203125" style="106"/>
    <col min="99" max="100" width="6.1640625" style="106" customWidth="1"/>
    <col min="101" max="101" width="10.83203125" style="106"/>
    <col min="102" max="103" width="6.1640625" style="106" customWidth="1"/>
    <col min="104" max="104" width="10.83203125" style="106"/>
    <col min="105" max="106" width="6.1640625" style="106" customWidth="1"/>
    <col min="107" max="107" width="10.83203125" style="106"/>
    <col min="108" max="109" width="6.1640625" style="106" customWidth="1"/>
    <col min="110" max="110" width="10.83203125" style="106"/>
    <col min="111" max="112" width="6.1640625" style="106" customWidth="1"/>
    <col min="113" max="113" width="10.83203125" style="106"/>
    <col min="114" max="115" width="6.1640625" style="106" customWidth="1"/>
    <col min="116" max="116" width="10.83203125" style="106"/>
    <col min="117" max="118" width="6.1640625" style="106" customWidth="1"/>
    <col min="119" max="119" width="10.83203125" style="106"/>
    <col min="120" max="121" width="6.1640625" style="106" customWidth="1"/>
    <col min="122" max="122" width="10.83203125" style="106"/>
    <col min="123" max="124" width="6.1640625" style="106" customWidth="1"/>
    <col min="125" max="125" width="10.83203125" style="106"/>
    <col min="126" max="127" width="6.1640625" style="106" customWidth="1"/>
    <col min="128" max="128" width="10.83203125" style="106"/>
    <col min="129" max="130" width="6.1640625" style="106" customWidth="1"/>
    <col min="131" max="131" width="10.83203125" style="106"/>
    <col min="132" max="133" width="6.1640625" style="106" customWidth="1"/>
    <col min="134" max="134" width="10.83203125" style="106"/>
    <col min="135" max="136" width="6.1640625" style="106" customWidth="1"/>
    <col min="137" max="137" width="10.83203125" style="106"/>
    <col min="138" max="139" width="6.1640625" style="106" customWidth="1"/>
    <col min="140" max="140" width="10.83203125" style="106"/>
    <col min="141" max="142" width="6.1640625" style="106" customWidth="1"/>
    <col min="143" max="143" width="10.83203125" style="106"/>
    <col min="144" max="145" width="6.1640625" style="106" customWidth="1"/>
    <col min="146" max="146" width="10.83203125" style="106"/>
    <col min="147" max="148" width="6.1640625" style="106" customWidth="1"/>
    <col min="149" max="149" width="10.83203125" style="106"/>
    <col min="150" max="151" width="6.1640625" style="106" customWidth="1"/>
    <col min="152" max="152" width="10.83203125" style="106"/>
    <col min="153" max="154" width="6.1640625" style="106" customWidth="1"/>
    <col min="155" max="155" width="10.83203125" style="106"/>
    <col min="156" max="157" width="6.1640625" style="106" customWidth="1"/>
    <col min="158" max="158" width="10.83203125" style="106"/>
    <col min="159" max="160" width="6.1640625" style="106" customWidth="1"/>
    <col min="161" max="161" width="10.83203125" style="106"/>
    <col min="162" max="163" width="6.1640625" style="106" customWidth="1"/>
    <col min="164" max="164" width="10.83203125" style="106"/>
    <col min="165" max="166" width="6.1640625" style="106" customWidth="1"/>
    <col min="167" max="167" width="10.83203125" style="106"/>
    <col min="168" max="169" width="6.1640625" style="106" customWidth="1"/>
    <col min="170" max="170" width="10.83203125" style="106"/>
    <col min="171" max="172" width="6.1640625" style="106" customWidth="1"/>
    <col min="173" max="16384" width="10.83203125" style="106"/>
  </cols>
  <sheetData>
    <row r="1" spans="1:10" x14ac:dyDescent="0.2">
      <c r="A1" s="113" t="s">
        <v>1111</v>
      </c>
    </row>
    <row r="2" spans="1:10" ht="27.5" customHeight="1" x14ac:dyDescent="0.25">
      <c r="A2" s="114" t="s">
        <v>1112</v>
      </c>
      <c r="B2" s="115"/>
      <c r="C2" s="115"/>
      <c r="D2" s="115"/>
      <c r="E2" s="115"/>
      <c r="F2" s="115"/>
      <c r="G2" s="115"/>
      <c r="H2" s="115"/>
      <c r="I2" s="115"/>
      <c r="J2" s="116"/>
    </row>
    <row r="3" spans="1:10" x14ac:dyDescent="0.2">
      <c r="A3" s="117" t="s">
        <v>1113</v>
      </c>
      <c r="B3" s="118"/>
      <c r="C3" s="118"/>
      <c r="D3" s="118"/>
      <c r="E3" s="118"/>
      <c r="F3" s="118"/>
      <c r="G3" s="118"/>
      <c r="H3" s="118"/>
      <c r="I3" s="118"/>
      <c r="J3" s="119"/>
    </row>
    <row r="4" spans="1:10" x14ac:dyDescent="0.2">
      <c r="A4" s="117"/>
      <c r="B4" s="118"/>
      <c r="C4" s="118"/>
      <c r="D4" s="118"/>
      <c r="E4" s="118"/>
      <c r="F4" s="118"/>
      <c r="G4" s="118"/>
      <c r="H4" s="118"/>
      <c r="I4" s="118"/>
      <c r="J4" s="119"/>
    </row>
    <row r="5" spans="1:10" x14ac:dyDescent="0.2">
      <c r="A5" s="117"/>
      <c r="B5" s="118"/>
      <c r="C5" s="118"/>
      <c r="D5" s="118"/>
      <c r="E5" s="118"/>
      <c r="F5" s="118"/>
      <c r="G5" s="118"/>
      <c r="H5" s="118"/>
      <c r="I5" s="118"/>
      <c r="J5" s="119"/>
    </row>
    <row r="6" spans="1:10" ht="41" customHeight="1" x14ac:dyDescent="0.2">
      <c r="A6" s="120" t="s">
        <v>1114</v>
      </c>
      <c r="B6" s="121" t="s">
        <v>1115</v>
      </c>
      <c r="C6" s="122"/>
      <c r="D6" s="123"/>
      <c r="E6" s="124" t="s">
        <v>1116</v>
      </c>
      <c r="F6" s="125"/>
      <c r="G6" s="126"/>
      <c r="H6" s="127" t="s">
        <v>1117</v>
      </c>
      <c r="I6" s="128"/>
      <c r="J6" s="129"/>
    </row>
    <row r="7" spans="1:10" ht="30.5" customHeight="1" x14ac:dyDescent="0.2">
      <c r="A7" s="130" t="s">
        <v>1118</v>
      </c>
      <c r="B7" s="131">
        <v>105632</v>
      </c>
      <c r="C7" s="132"/>
      <c r="D7" s="133"/>
      <c r="E7" s="131">
        <v>35111</v>
      </c>
      <c r="F7" s="134">
        <v>4</v>
      </c>
      <c r="G7" s="133">
        <f>3/4</f>
        <v>0.75</v>
      </c>
      <c r="H7" s="131">
        <v>70520</v>
      </c>
      <c r="I7" s="134">
        <v>3</v>
      </c>
      <c r="J7" s="133">
        <f>1/4</f>
        <v>0.25</v>
      </c>
    </row>
    <row r="8" spans="1:10" x14ac:dyDescent="0.2">
      <c r="A8" s="135" t="s">
        <v>1119</v>
      </c>
      <c r="B8" s="131">
        <v>54452</v>
      </c>
      <c r="C8" s="132"/>
      <c r="D8" s="133"/>
      <c r="E8" s="131">
        <v>32008</v>
      </c>
      <c r="F8" s="134">
        <v>4</v>
      </c>
      <c r="G8" s="133">
        <f>3/4</f>
        <v>0.75</v>
      </c>
      <c r="H8" s="131">
        <v>22443</v>
      </c>
      <c r="I8" s="134">
        <v>3</v>
      </c>
      <c r="J8" s="133">
        <f>1/4</f>
        <v>0.25</v>
      </c>
    </row>
    <row r="9" spans="1:10" x14ac:dyDescent="0.2">
      <c r="A9" s="135" t="s">
        <v>1120</v>
      </c>
      <c r="B9" s="131">
        <v>47760</v>
      </c>
      <c r="C9" s="134">
        <v>6</v>
      </c>
      <c r="D9" s="133">
        <f>1/2</f>
        <v>0.5</v>
      </c>
      <c r="E9" s="131">
        <v>35793</v>
      </c>
      <c r="F9" s="134">
        <v>3</v>
      </c>
      <c r="G9" s="133">
        <f>3/4</f>
        <v>0.75</v>
      </c>
      <c r="H9" s="131">
        <v>11967</v>
      </c>
      <c r="I9" s="134">
        <v>2</v>
      </c>
      <c r="J9" s="133">
        <f>3/4</f>
        <v>0.75</v>
      </c>
    </row>
    <row r="10" spans="1:10" x14ac:dyDescent="0.2">
      <c r="A10" s="135" t="s">
        <v>1121</v>
      </c>
      <c r="B10" s="131">
        <v>120490</v>
      </c>
      <c r="C10" s="134">
        <v>6</v>
      </c>
      <c r="D10" s="133"/>
      <c r="E10" s="131">
        <v>33936</v>
      </c>
      <c r="F10" s="134">
        <v>2</v>
      </c>
      <c r="G10" s="133">
        <f>1/4</f>
        <v>0.25</v>
      </c>
      <c r="H10" s="131">
        <v>86553</v>
      </c>
      <c r="I10" s="134">
        <v>5</v>
      </c>
      <c r="J10" s="133">
        <f>3/4</f>
        <v>0.75</v>
      </c>
    </row>
    <row r="11" spans="1:10" x14ac:dyDescent="0.2">
      <c r="A11" s="135" t="s">
        <v>1122</v>
      </c>
      <c r="B11" s="131">
        <v>80488</v>
      </c>
      <c r="C11" s="134">
        <v>6</v>
      </c>
      <c r="D11" s="133"/>
      <c r="E11" s="131">
        <v>30369</v>
      </c>
      <c r="F11" s="134">
        <v>2</v>
      </c>
      <c r="G11" s="133">
        <f>1/4</f>
        <v>0.25</v>
      </c>
      <c r="H11" s="131">
        <v>50118</v>
      </c>
      <c r="I11" s="134">
        <v>7</v>
      </c>
      <c r="J11" s="133">
        <f>3/4</f>
        <v>0.75</v>
      </c>
    </row>
    <row r="12" spans="1:10" x14ac:dyDescent="0.2">
      <c r="A12" s="135" t="s">
        <v>1123</v>
      </c>
      <c r="B12" s="131">
        <v>19647</v>
      </c>
      <c r="C12" s="134">
        <v>7</v>
      </c>
      <c r="D12" s="133"/>
      <c r="E12" s="131">
        <v>6508</v>
      </c>
      <c r="F12" s="134">
        <v>3</v>
      </c>
      <c r="G12" s="133">
        <f>3/4</f>
        <v>0.75</v>
      </c>
      <c r="H12" s="131">
        <v>13139</v>
      </c>
      <c r="I12" s="134">
        <v>3</v>
      </c>
      <c r="J12" s="133">
        <f>1/4</f>
        <v>0.25</v>
      </c>
    </row>
    <row r="13" spans="1:10" x14ac:dyDescent="0.2">
      <c r="A13" s="135" t="s">
        <v>1124</v>
      </c>
      <c r="B13" s="131">
        <v>5772</v>
      </c>
      <c r="C13" s="134">
        <v>7</v>
      </c>
      <c r="D13" s="133"/>
      <c r="E13" s="131">
        <v>811</v>
      </c>
      <c r="F13" s="134">
        <v>5</v>
      </c>
      <c r="G13" s="133">
        <f>3/4</f>
        <v>0.75</v>
      </c>
      <c r="H13" s="131">
        <v>4960</v>
      </c>
      <c r="I13" s="134">
        <v>2</v>
      </c>
      <c r="J13" s="133">
        <f>1/4</f>
        <v>0.25</v>
      </c>
    </row>
    <row r="14" spans="1:10" x14ac:dyDescent="0.2">
      <c r="A14" s="135" t="s">
        <v>1125</v>
      </c>
      <c r="B14" s="131">
        <v>8100</v>
      </c>
      <c r="C14" s="134">
        <v>7</v>
      </c>
      <c r="D14" s="133"/>
      <c r="E14" s="136">
        <v>811</v>
      </c>
      <c r="F14" s="134">
        <v>5</v>
      </c>
      <c r="G14" s="133"/>
      <c r="H14" s="131">
        <v>8100</v>
      </c>
      <c r="I14" s="134">
        <v>2</v>
      </c>
      <c r="J14" s="133"/>
    </row>
    <row r="15" spans="1:10" x14ac:dyDescent="0.2">
      <c r="A15" s="135" t="s">
        <v>1126</v>
      </c>
      <c r="B15" s="131">
        <v>16169</v>
      </c>
      <c r="C15" s="134">
        <v>1</v>
      </c>
      <c r="D15" s="133">
        <f>1/2</f>
        <v>0.5</v>
      </c>
      <c r="E15" s="131">
        <v>7354</v>
      </c>
      <c r="F15" s="134">
        <v>5</v>
      </c>
      <c r="G15" s="133">
        <f>1/2</f>
        <v>0.5</v>
      </c>
      <c r="H15" s="131">
        <v>8815</v>
      </c>
      <c r="I15" s="134">
        <v>1</v>
      </c>
      <c r="J15" s="133"/>
    </row>
    <row r="16" spans="1:10" x14ac:dyDescent="0.2">
      <c r="A16" s="135" t="s">
        <v>1127</v>
      </c>
      <c r="B16" s="131">
        <v>31080</v>
      </c>
      <c r="C16" s="134">
        <v>1</v>
      </c>
      <c r="D16" s="133"/>
      <c r="E16" s="131">
        <v>16163</v>
      </c>
      <c r="F16" s="134">
        <v>5</v>
      </c>
      <c r="G16" s="133">
        <f>1/2</f>
        <v>0.5</v>
      </c>
      <c r="H16" s="131">
        <v>14916</v>
      </c>
      <c r="I16" s="134">
        <v>2</v>
      </c>
      <c r="J16" s="133">
        <f>1/2</f>
        <v>0.5</v>
      </c>
    </row>
    <row r="17" spans="1:172" x14ac:dyDescent="0.2">
      <c r="A17" s="135" t="s">
        <v>1128</v>
      </c>
      <c r="B17" s="131">
        <v>10134</v>
      </c>
      <c r="C17" s="134">
        <v>1</v>
      </c>
      <c r="D17" s="133"/>
      <c r="E17" s="131">
        <v>1013</v>
      </c>
      <c r="F17" s="134">
        <v>1</v>
      </c>
      <c r="G17" s="133">
        <f>1/4</f>
        <v>0.25</v>
      </c>
      <c r="H17" s="131">
        <v>9120</v>
      </c>
      <c r="I17" s="134">
        <v>6</v>
      </c>
      <c r="J17" s="133">
        <f>3/4</f>
        <v>0.75</v>
      </c>
    </row>
    <row r="18" spans="1:172" x14ac:dyDescent="0.2">
      <c r="A18" s="135" t="s">
        <v>1129</v>
      </c>
      <c r="B18" s="131">
        <v>34000</v>
      </c>
      <c r="C18" s="134">
        <v>1</v>
      </c>
      <c r="D18" s="133"/>
      <c r="E18" s="131">
        <v>6850</v>
      </c>
      <c r="F18" s="134">
        <v>6</v>
      </c>
      <c r="G18" s="133"/>
      <c r="H18" s="131">
        <v>27149</v>
      </c>
      <c r="I18" s="134">
        <v>2</v>
      </c>
      <c r="J18" s="133"/>
    </row>
    <row r="19" spans="1:172" x14ac:dyDescent="0.2">
      <c r="A19" s="135" t="s">
        <v>1130</v>
      </c>
      <c r="B19" s="131">
        <v>50485</v>
      </c>
      <c r="C19" s="134">
        <v>1</v>
      </c>
      <c r="D19" s="133"/>
      <c r="E19" s="131">
        <v>35885</v>
      </c>
      <c r="F19" s="134">
        <v>6</v>
      </c>
      <c r="G19" s="133">
        <f>1/4</f>
        <v>0.25</v>
      </c>
      <c r="H19" s="131">
        <v>14599</v>
      </c>
      <c r="I19" s="134">
        <v>7</v>
      </c>
      <c r="J19" s="133">
        <f>3/4</f>
        <v>0.75</v>
      </c>
    </row>
    <row r="20" spans="1:172" x14ac:dyDescent="0.2">
      <c r="A20" s="135" t="s">
        <v>1131</v>
      </c>
      <c r="B20" s="131">
        <v>584210</v>
      </c>
      <c r="C20" s="134">
        <v>7</v>
      </c>
      <c r="D20" s="133"/>
      <c r="E20" s="131">
        <v>241805</v>
      </c>
      <c r="F20" s="134">
        <v>6</v>
      </c>
      <c r="G20" s="133">
        <f>3/4</f>
        <v>0.75</v>
      </c>
      <c r="H20" s="131">
        <v>342405</v>
      </c>
      <c r="I20" s="134">
        <v>7</v>
      </c>
      <c r="J20" s="133">
        <f>1/4</f>
        <v>0.25</v>
      </c>
    </row>
    <row r="21" spans="1:172" x14ac:dyDescent="0.2">
      <c r="A21" s="135"/>
      <c r="B21" s="137">
        <f>SUM(B7:B19)</f>
        <v>584209</v>
      </c>
      <c r="C21" s="138">
        <f t="shared" ref="C21:J21" si="0">SUM(C7:C19)</f>
        <v>44</v>
      </c>
      <c r="D21" s="139">
        <f t="shared" si="0"/>
        <v>1</v>
      </c>
      <c r="E21" s="137">
        <f t="shared" si="0"/>
        <v>242612</v>
      </c>
      <c r="F21" s="138">
        <f t="shared" si="0"/>
        <v>51</v>
      </c>
      <c r="G21" s="139">
        <f t="shared" si="0"/>
        <v>5.75</v>
      </c>
      <c r="H21" s="137">
        <f t="shared" si="0"/>
        <v>342399</v>
      </c>
      <c r="I21" s="138">
        <f t="shared" si="0"/>
        <v>45</v>
      </c>
      <c r="J21" s="139">
        <f t="shared" si="0"/>
        <v>5.25</v>
      </c>
    </row>
    <row r="22" spans="1:172" s="143" customFormat="1" ht="19.25" customHeight="1" x14ac:dyDescent="0.2">
      <c r="A22" s="120" t="s">
        <v>1132</v>
      </c>
      <c r="B22" s="140"/>
      <c r="C22" s="141"/>
      <c r="D22" s="142"/>
      <c r="E22" s="140"/>
      <c r="F22" s="141"/>
      <c r="G22" s="142"/>
      <c r="H22" s="140"/>
      <c r="I22" s="141"/>
      <c r="J22" s="142"/>
      <c r="K22" s="106"/>
      <c r="L22" s="106"/>
      <c r="M22" s="106"/>
      <c r="N22" s="106"/>
      <c r="O22" s="106"/>
      <c r="P22" s="106"/>
      <c r="Q22" s="106"/>
      <c r="R22" s="106"/>
      <c r="S22" s="106"/>
      <c r="T22" s="106"/>
      <c r="U22" s="106"/>
      <c r="V22" s="106"/>
      <c r="W22" s="106"/>
      <c r="X22" s="106"/>
      <c r="Y22" s="106"/>
      <c r="Z22" s="106"/>
      <c r="AA22" s="106"/>
      <c r="AB22" s="106"/>
      <c r="AC22" s="106"/>
      <c r="AD22" s="106"/>
      <c r="AE22" s="106"/>
      <c r="AF22" s="106"/>
      <c r="AG22" s="106"/>
      <c r="AH22" s="106"/>
      <c r="AI22" s="106"/>
      <c r="AJ22" s="106"/>
      <c r="AK22" s="106"/>
      <c r="AL22" s="106"/>
      <c r="AM22" s="106"/>
      <c r="AN22" s="106"/>
      <c r="AO22" s="106"/>
      <c r="AP22" s="106"/>
      <c r="AQ22" s="106"/>
      <c r="AR22" s="106"/>
      <c r="AS22" s="106"/>
      <c r="AT22" s="106"/>
      <c r="AU22" s="106"/>
      <c r="AV22" s="106"/>
      <c r="AW22" s="106"/>
      <c r="AX22" s="106"/>
      <c r="AY22" s="106"/>
      <c r="AZ22" s="106"/>
      <c r="BA22" s="106"/>
      <c r="BB22" s="106"/>
      <c r="BC22" s="106"/>
      <c r="BD22" s="106"/>
      <c r="BE22" s="106"/>
      <c r="BF22" s="106"/>
      <c r="BG22" s="106"/>
      <c r="BH22" s="106"/>
      <c r="BI22" s="106"/>
      <c r="BJ22" s="106"/>
      <c r="BK22" s="106"/>
      <c r="BL22" s="106"/>
      <c r="BM22" s="106"/>
      <c r="BN22" s="106"/>
      <c r="BO22" s="106"/>
      <c r="BP22" s="106"/>
      <c r="BQ22" s="106"/>
      <c r="BR22" s="106"/>
      <c r="BS22" s="106"/>
      <c r="BT22" s="106"/>
      <c r="BU22" s="106"/>
      <c r="BV22" s="106"/>
      <c r="BW22" s="106"/>
      <c r="BX22" s="106"/>
      <c r="BY22" s="106"/>
      <c r="BZ22" s="106"/>
      <c r="CA22" s="106"/>
      <c r="CB22" s="106"/>
      <c r="CC22" s="106"/>
      <c r="CD22" s="106"/>
      <c r="CE22" s="106"/>
      <c r="CF22" s="106"/>
      <c r="CG22" s="106"/>
      <c r="CH22" s="106"/>
      <c r="CI22" s="106"/>
      <c r="CJ22" s="106"/>
      <c r="CK22" s="106"/>
      <c r="CL22" s="106"/>
      <c r="CM22" s="106"/>
      <c r="CN22" s="106"/>
      <c r="CO22" s="106"/>
      <c r="CP22" s="106"/>
      <c r="CQ22" s="106"/>
      <c r="CR22" s="106"/>
      <c r="CS22" s="106"/>
      <c r="CT22" s="106"/>
      <c r="CU22" s="106"/>
      <c r="CV22" s="106"/>
      <c r="CW22" s="106"/>
      <c r="CX22" s="106"/>
      <c r="CY22" s="106"/>
      <c r="CZ22" s="106"/>
      <c r="DA22" s="106"/>
      <c r="DB22" s="106"/>
      <c r="DC22" s="106"/>
      <c r="DD22" s="106"/>
      <c r="DE22" s="106"/>
      <c r="DF22" s="106"/>
      <c r="DG22" s="106"/>
      <c r="DH22" s="106"/>
      <c r="DI22" s="106"/>
      <c r="DJ22" s="106"/>
      <c r="DK22" s="106"/>
      <c r="DL22" s="106"/>
      <c r="DM22" s="106"/>
      <c r="DN22" s="106"/>
      <c r="DO22" s="106"/>
      <c r="DP22" s="106"/>
      <c r="DQ22" s="106"/>
      <c r="DR22" s="106"/>
      <c r="DS22" s="106"/>
      <c r="DT22" s="106"/>
      <c r="DU22" s="106"/>
      <c r="DV22" s="106"/>
      <c r="DW22" s="106"/>
      <c r="DX22" s="106"/>
      <c r="DY22" s="106"/>
      <c r="DZ22" s="106"/>
      <c r="EA22" s="106"/>
      <c r="EB22" s="106"/>
      <c r="EC22" s="106"/>
      <c r="ED22" s="106"/>
      <c r="EE22" s="106"/>
      <c r="EF22" s="106"/>
      <c r="EG22" s="106"/>
      <c r="EH22" s="106"/>
      <c r="EI22" s="106"/>
      <c r="EJ22" s="106"/>
      <c r="EK22" s="106"/>
      <c r="EL22" s="106"/>
      <c r="EM22" s="106"/>
      <c r="EN22" s="106"/>
      <c r="EO22" s="106"/>
      <c r="EP22" s="106"/>
      <c r="EQ22" s="106"/>
      <c r="ER22" s="106"/>
      <c r="ES22" s="106"/>
      <c r="ET22" s="106"/>
      <c r="EU22" s="106"/>
      <c r="EV22" s="106"/>
      <c r="EW22" s="106"/>
      <c r="EX22" s="106"/>
      <c r="EY22" s="106"/>
      <c r="EZ22" s="106"/>
      <c r="FA22" s="106"/>
      <c r="FB22" s="106"/>
      <c r="FC22" s="106"/>
      <c r="FD22" s="106"/>
      <c r="FE22" s="106"/>
      <c r="FF22" s="106"/>
      <c r="FG22" s="106"/>
      <c r="FH22" s="106"/>
      <c r="FI22" s="106"/>
      <c r="FJ22" s="106"/>
      <c r="FK22" s="106"/>
      <c r="FL22" s="106"/>
      <c r="FM22" s="106"/>
      <c r="FN22" s="106"/>
      <c r="FO22" s="106"/>
      <c r="FP22" s="106"/>
    </row>
    <row r="23" spans="1:172" x14ac:dyDescent="0.2">
      <c r="A23" s="135" t="s">
        <v>1133</v>
      </c>
      <c r="B23" s="131">
        <v>12172</v>
      </c>
      <c r="C23" s="144">
        <v>1</v>
      </c>
      <c r="D23" s="133"/>
      <c r="E23" s="131">
        <v>5336</v>
      </c>
      <c r="F23" s="145">
        <v>5</v>
      </c>
      <c r="G23" s="133">
        <f>1/2</f>
        <v>0.5</v>
      </c>
      <c r="H23" s="131">
        <v>6835</v>
      </c>
      <c r="I23" s="145">
        <v>2</v>
      </c>
      <c r="J23" s="133">
        <f>1/2</f>
        <v>0.5</v>
      </c>
    </row>
    <row r="24" spans="1:172" x14ac:dyDescent="0.2">
      <c r="A24" s="135" t="s">
        <v>1134</v>
      </c>
      <c r="B24" s="131">
        <v>22190</v>
      </c>
      <c r="C24" s="134">
        <v>1</v>
      </c>
      <c r="D24" s="133"/>
      <c r="E24" s="131">
        <v>9046</v>
      </c>
      <c r="F24" s="134">
        <v>5</v>
      </c>
      <c r="G24" s="133"/>
      <c r="H24" s="131">
        <v>13143</v>
      </c>
      <c r="I24" s="134">
        <v>3</v>
      </c>
      <c r="J24" s="133"/>
    </row>
    <row r="25" spans="1:172" x14ac:dyDescent="0.2">
      <c r="A25" s="135" t="s">
        <v>1135</v>
      </c>
      <c r="B25" s="131">
        <v>14850</v>
      </c>
      <c r="C25" s="134">
        <v>1</v>
      </c>
      <c r="D25" s="133"/>
      <c r="E25" s="131">
        <v>4375</v>
      </c>
      <c r="F25" s="134">
        <v>6</v>
      </c>
      <c r="G25" s="133">
        <f>1/2</f>
        <v>0.5</v>
      </c>
      <c r="H25" s="131">
        <v>10474</v>
      </c>
      <c r="I25" s="134">
        <v>1</v>
      </c>
      <c r="J25" s="133">
        <f>1/2</f>
        <v>0.5</v>
      </c>
    </row>
    <row r="26" spans="1:172" x14ac:dyDescent="0.2">
      <c r="A26" s="135" t="s">
        <v>1136</v>
      </c>
      <c r="B26" s="131">
        <v>3852</v>
      </c>
      <c r="C26" s="134">
        <v>1</v>
      </c>
      <c r="D26" s="133"/>
      <c r="E26" s="131">
        <v>1417</v>
      </c>
      <c r="F26" s="134">
        <v>1</v>
      </c>
      <c r="G26" s="133">
        <f>3/4</f>
        <v>0.75</v>
      </c>
      <c r="H26" s="131">
        <v>2434</v>
      </c>
      <c r="I26" s="134">
        <v>6</v>
      </c>
      <c r="J26" s="133">
        <f>1/4</f>
        <v>0.25</v>
      </c>
    </row>
    <row r="27" spans="1:172" x14ac:dyDescent="0.2">
      <c r="A27" s="135" t="s">
        <v>1137</v>
      </c>
      <c r="B27" s="131">
        <v>5803</v>
      </c>
      <c r="C27" s="134">
        <v>1</v>
      </c>
      <c r="D27" s="133"/>
      <c r="E27" s="131">
        <v>3127</v>
      </c>
      <c r="F27" s="134">
        <v>7</v>
      </c>
      <c r="G27" s="133"/>
      <c r="H27" s="131">
        <v>2675</v>
      </c>
      <c r="I27" s="134">
        <v>1</v>
      </c>
      <c r="J27" s="133"/>
    </row>
    <row r="28" spans="1:172" x14ac:dyDescent="0.2">
      <c r="A28" s="135" t="s">
        <v>1138</v>
      </c>
      <c r="B28" s="131">
        <v>5696</v>
      </c>
      <c r="C28" s="134">
        <v>1</v>
      </c>
      <c r="D28" s="133"/>
      <c r="E28" s="131">
        <v>2602</v>
      </c>
      <c r="F28" s="134">
        <v>6</v>
      </c>
      <c r="G28" s="133"/>
      <c r="H28" s="131">
        <v>3093</v>
      </c>
      <c r="I28" s="134">
        <v>2</v>
      </c>
      <c r="J28" s="133"/>
    </row>
    <row r="29" spans="1:172" x14ac:dyDescent="0.2">
      <c r="A29" s="135" t="s">
        <v>1139</v>
      </c>
      <c r="B29" s="131">
        <v>3150</v>
      </c>
      <c r="C29" s="134">
        <v>1</v>
      </c>
      <c r="D29" s="133"/>
      <c r="E29" s="131">
        <v>2602</v>
      </c>
      <c r="F29" s="134">
        <v>6</v>
      </c>
      <c r="G29" s="133"/>
      <c r="H29" s="131">
        <v>3150</v>
      </c>
      <c r="I29" s="134">
        <v>2</v>
      </c>
      <c r="J29" s="133"/>
    </row>
    <row r="30" spans="1:172" x14ac:dyDescent="0.2">
      <c r="A30" s="135" t="s">
        <v>1140</v>
      </c>
      <c r="B30" s="131">
        <v>34646</v>
      </c>
      <c r="C30" s="134">
        <v>6</v>
      </c>
      <c r="D30" s="133"/>
      <c r="E30" s="131">
        <v>19002</v>
      </c>
      <c r="F30" s="134">
        <v>2</v>
      </c>
      <c r="G30" s="133"/>
      <c r="H30" s="131">
        <v>15644</v>
      </c>
      <c r="I30" s="134">
        <v>4</v>
      </c>
      <c r="J30" s="133"/>
    </row>
    <row r="31" spans="1:172" x14ac:dyDescent="0.2">
      <c r="A31" s="135" t="s">
        <v>1141</v>
      </c>
      <c r="B31" s="131">
        <v>34646</v>
      </c>
      <c r="C31" s="134">
        <v>6</v>
      </c>
      <c r="D31" s="133"/>
      <c r="E31" s="131">
        <v>19002</v>
      </c>
      <c r="F31" s="134">
        <v>2</v>
      </c>
      <c r="G31" s="133"/>
      <c r="H31" s="131">
        <v>15644</v>
      </c>
      <c r="I31" s="134">
        <v>4</v>
      </c>
      <c r="J31" s="133"/>
    </row>
    <row r="32" spans="1:172" x14ac:dyDescent="0.2">
      <c r="A32" s="135" t="s">
        <v>1142</v>
      </c>
      <c r="B32" s="131">
        <v>34646</v>
      </c>
      <c r="C32" s="134">
        <v>6</v>
      </c>
      <c r="D32" s="133"/>
      <c r="E32" s="131">
        <v>19002</v>
      </c>
      <c r="F32" s="134">
        <v>2</v>
      </c>
      <c r="G32" s="133"/>
      <c r="H32" s="131">
        <v>15644</v>
      </c>
      <c r="I32" s="134">
        <v>4</v>
      </c>
      <c r="J32" s="133"/>
    </row>
    <row r="33" spans="1:10" x14ac:dyDescent="0.2">
      <c r="A33" s="135" t="s">
        <v>1143</v>
      </c>
      <c r="B33" s="131">
        <v>20542</v>
      </c>
      <c r="C33" s="134">
        <v>6</v>
      </c>
      <c r="D33" s="133"/>
      <c r="E33" s="131">
        <v>6803</v>
      </c>
      <c r="F33" s="134">
        <v>2</v>
      </c>
      <c r="G33" s="133">
        <f>1/4</f>
        <v>0.25</v>
      </c>
      <c r="H33" s="131">
        <v>13738</v>
      </c>
      <c r="I33" s="134">
        <v>5</v>
      </c>
      <c r="J33" s="133">
        <f>3/4</f>
        <v>0.75</v>
      </c>
    </row>
    <row r="34" spans="1:10" x14ac:dyDescent="0.2">
      <c r="A34" s="135" t="s">
        <v>1144</v>
      </c>
      <c r="B34" s="131">
        <v>20542</v>
      </c>
      <c r="C34" s="134">
        <v>6</v>
      </c>
      <c r="D34" s="133"/>
      <c r="E34" s="131">
        <v>6803</v>
      </c>
      <c r="F34" s="134">
        <v>2</v>
      </c>
      <c r="G34" s="133"/>
      <c r="H34" s="131">
        <v>13738</v>
      </c>
      <c r="I34" s="134">
        <v>5</v>
      </c>
      <c r="J34" s="133"/>
    </row>
    <row r="35" spans="1:10" x14ac:dyDescent="0.2">
      <c r="A35" s="135" t="s">
        <v>1145</v>
      </c>
      <c r="B35" s="131">
        <v>20542</v>
      </c>
      <c r="C35" s="134">
        <v>6</v>
      </c>
      <c r="D35" s="133"/>
      <c r="E35" s="131">
        <v>6803</v>
      </c>
      <c r="F35" s="134">
        <v>2</v>
      </c>
      <c r="G35" s="133"/>
      <c r="H35" s="131">
        <v>13738</v>
      </c>
      <c r="I35" s="134">
        <v>5</v>
      </c>
      <c r="J35" s="133"/>
    </row>
    <row r="36" spans="1:10" x14ac:dyDescent="0.2">
      <c r="A36" s="135" t="s">
        <v>1146</v>
      </c>
      <c r="B36" s="131">
        <v>11180</v>
      </c>
      <c r="C36" s="134">
        <v>6</v>
      </c>
      <c r="D36" s="133"/>
      <c r="E36" s="131">
        <v>6495</v>
      </c>
      <c r="F36" s="134">
        <v>2</v>
      </c>
      <c r="G36" s="133"/>
      <c r="H36" s="131">
        <v>4685</v>
      </c>
      <c r="I36" s="134">
        <v>5</v>
      </c>
      <c r="J36" s="133"/>
    </row>
    <row r="37" spans="1:10" x14ac:dyDescent="0.2">
      <c r="A37" s="135" t="s">
        <v>1147</v>
      </c>
      <c r="B37" s="131">
        <v>65954</v>
      </c>
      <c r="C37" s="134">
        <v>5</v>
      </c>
      <c r="D37" s="133"/>
      <c r="E37" s="131">
        <v>25834</v>
      </c>
      <c r="F37" s="134">
        <v>6</v>
      </c>
      <c r="G37" s="133">
        <f>3/4</f>
        <v>0.75</v>
      </c>
      <c r="H37" s="131">
        <v>40119</v>
      </c>
      <c r="I37" s="134">
        <v>6</v>
      </c>
      <c r="J37" s="133">
        <f>1/4</f>
        <v>0.25</v>
      </c>
    </row>
    <row r="38" spans="1:10" x14ac:dyDescent="0.2">
      <c r="A38" s="135" t="s">
        <v>1148</v>
      </c>
      <c r="B38" s="131">
        <v>81251</v>
      </c>
      <c r="C38" s="134">
        <v>5</v>
      </c>
      <c r="D38" s="133"/>
      <c r="E38" s="131">
        <v>23087</v>
      </c>
      <c r="F38" s="134">
        <v>6</v>
      </c>
      <c r="G38" s="133">
        <f>1/2</f>
        <v>0.5</v>
      </c>
      <c r="H38" s="131">
        <v>58163</v>
      </c>
      <c r="I38" s="134">
        <v>7</v>
      </c>
      <c r="J38" s="133">
        <f>1/2</f>
        <v>0.5</v>
      </c>
    </row>
    <row r="39" spans="1:10" x14ac:dyDescent="0.2">
      <c r="A39" s="135" t="s">
        <v>1149</v>
      </c>
      <c r="B39" s="131">
        <v>47980</v>
      </c>
      <c r="C39" s="134">
        <v>5</v>
      </c>
      <c r="D39" s="133"/>
      <c r="E39" s="131">
        <v>21815</v>
      </c>
      <c r="F39" s="134">
        <v>5</v>
      </c>
      <c r="G39" s="133"/>
      <c r="H39" s="131">
        <v>26164</v>
      </c>
      <c r="I39" s="134">
        <v>3</v>
      </c>
      <c r="J39" s="133"/>
    </row>
    <row r="40" spans="1:10" x14ac:dyDescent="0.2">
      <c r="A40" s="135" t="s">
        <v>1150</v>
      </c>
      <c r="B40" s="131">
        <v>70876</v>
      </c>
      <c r="C40" s="134">
        <v>4</v>
      </c>
      <c r="D40" s="133"/>
      <c r="E40" s="131">
        <v>35521</v>
      </c>
      <c r="F40" s="134">
        <v>4</v>
      </c>
      <c r="G40" s="133">
        <f>1/4</f>
        <v>0.25</v>
      </c>
      <c r="H40" s="131">
        <v>35354</v>
      </c>
      <c r="I40" s="134">
        <v>7</v>
      </c>
      <c r="J40" s="133">
        <f>3/4</f>
        <v>0.75</v>
      </c>
    </row>
    <row r="41" spans="1:10" x14ac:dyDescent="0.2">
      <c r="A41" s="135" t="s">
        <v>1151</v>
      </c>
      <c r="B41" s="131">
        <v>5885</v>
      </c>
      <c r="C41" s="134">
        <v>7</v>
      </c>
      <c r="D41" s="133"/>
      <c r="E41" s="131">
        <v>3742</v>
      </c>
      <c r="F41" s="134">
        <v>6</v>
      </c>
      <c r="G41" s="133">
        <f>1/4</f>
        <v>0.25</v>
      </c>
      <c r="H41" s="131">
        <v>2143</v>
      </c>
      <c r="I41" s="134">
        <v>7</v>
      </c>
      <c r="J41" s="133">
        <f>3/4</f>
        <v>0.75</v>
      </c>
    </row>
    <row r="42" spans="1:10" x14ac:dyDescent="0.2">
      <c r="A42" s="135" t="s">
        <v>1152</v>
      </c>
      <c r="B42" s="131">
        <v>1300</v>
      </c>
      <c r="C42" s="134">
        <v>7</v>
      </c>
      <c r="D42" s="133"/>
      <c r="E42" s="131">
        <v>174</v>
      </c>
      <c r="F42" s="134">
        <v>7</v>
      </c>
      <c r="G42" s="133">
        <f>1/4</f>
        <v>0.25</v>
      </c>
      <c r="H42" s="131">
        <v>1125</v>
      </c>
      <c r="I42" s="134">
        <v>7</v>
      </c>
      <c r="J42" s="133">
        <f>3/4</f>
        <v>0.75</v>
      </c>
    </row>
    <row r="43" spans="1:10" x14ac:dyDescent="0.2">
      <c r="A43" s="135" t="s">
        <v>1153</v>
      </c>
      <c r="B43" s="131">
        <v>63982</v>
      </c>
      <c r="C43" s="134">
        <v>7</v>
      </c>
      <c r="D43" s="133">
        <f>3/4</f>
        <v>0.75</v>
      </c>
      <c r="E43" s="131">
        <v>63982</v>
      </c>
      <c r="F43" s="134">
        <v>7</v>
      </c>
      <c r="G43" s="133">
        <f>3/4</f>
        <v>0.75</v>
      </c>
      <c r="H43" s="136">
        <v>1125</v>
      </c>
      <c r="I43" s="134">
        <v>7</v>
      </c>
      <c r="J43" s="133"/>
    </row>
    <row r="44" spans="1:10" x14ac:dyDescent="0.2">
      <c r="A44" s="135" t="s">
        <v>1154</v>
      </c>
      <c r="B44" s="131">
        <v>63982</v>
      </c>
      <c r="C44" s="134">
        <v>7</v>
      </c>
      <c r="D44" s="133"/>
      <c r="E44" s="131">
        <v>63982</v>
      </c>
      <c r="F44" s="134">
        <v>7</v>
      </c>
      <c r="G44" s="133"/>
      <c r="H44" s="136">
        <v>1125</v>
      </c>
      <c r="I44" s="134">
        <v>7</v>
      </c>
      <c r="J44" s="133"/>
    </row>
    <row r="45" spans="1:10" x14ac:dyDescent="0.2">
      <c r="A45" s="135" t="s">
        <v>1155</v>
      </c>
      <c r="B45" s="131">
        <v>15271</v>
      </c>
      <c r="C45" s="134">
        <v>6</v>
      </c>
      <c r="D45" s="133">
        <f>1/2</f>
        <v>0.5</v>
      </c>
      <c r="E45" s="131">
        <v>15271</v>
      </c>
      <c r="F45" s="134">
        <v>6</v>
      </c>
      <c r="G45" s="133">
        <f>1/2</f>
        <v>0.5</v>
      </c>
      <c r="H45" s="136">
        <v>1125</v>
      </c>
      <c r="I45" s="134">
        <v>7</v>
      </c>
      <c r="J45" s="133"/>
    </row>
    <row r="46" spans="1:10" x14ac:dyDescent="0.2">
      <c r="A46" s="135" t="s">
        <v>1156</v>
      </c>
      <c r="B46" s="131">
        <v>15271</v>
      </c>
      <c r="C46" s="134">
        <v>6</v>
      </c>
      <c r="D46" s="133"/>
      <c r="E46" s="131">
        <v>15271</v>
      </c>
      <c r="F46" s="134">
        <v>6</v>
      </c>
      <c r="G46" s="133"/>
      <c r="H46" s="136">
        <v>1125</v>
      </c>
      <c r="I46" s="134">
        <v>7</v>
      </c>
      <c r="J46" s="133"/>
    </row>
    <row r="47" spans="1:10" x14ac:dyDescent="0.2">
      <c r="A47" s="135" t="s">
        <v>1157</v>
      </c>
      <c r="B47" s="131">
        <v>15271</v>
      </c>
      <c r="C47" s="134">
        <v>6</v>
      </c>
      <c r="D47" s="133"/>
      <c r="E47" s="131">
        <v>15271</v>
      </c>
      <c r="F47" s="134">
        <v>6</v>
      </c>
      <c r="G47" s="133"/>
      <c r="H47" s="136">
        <v>1125</v>
      </c>
      <c r="I47" s="134">
        <v>7</v>
      </c>
      <c r="J47" s="133"/>
    </row>
    <row r="48" spans="1:10" x14ac:dyDescent="0.2">
      <c r="A48" s="135" t="s">
        <v>1158</v>
      </c>
      <c r="B48" s="131">
        <v>3920</v>
      </c>
      <c r="C48" s="134">
        <v>6</v>
      </c>
      <c r="D48" s="133">
        <f>1/2</f>
        <v>0.5</v>
      </c>
      <c r="E48" s="131">
        <v>3920</v>
      </c>
      <c r="F48" s="134">
        <v>6</v>
      </c>
      <c r="G48" s="133">
        <f>1/2</f>
        <v>0.5</v>
      </c>
      <c r="H48" s="136">
        <v>1125</v>
      </c>
      <c r="I48" s="134">
        <v>7</v>
      </c>
      <c r="J48" s="133"/>
    </row>
    <row r="49" spans="1:10" x14ac:dyDescent="0.2">
      <c r="A49" s="135" t="s">
        <v>1159</v>
      </c>
      <c r="B49" s="131">
        <v>3920</v>
      </c>
      <c r="C49" s="134">
        <v>6</v>
      </c>
      <c r="D49" s="133"/>
      <c r="E49" s="131">
        <v>3920</v>
      </c>
      <c r="F49" s="134">
        <v>6</v>
      </c>
      <c r="G49" s="133"/>
      <c r="H49" s="136">
        <v>1125</v>
      </c>
      <c r="I49" s="134">
        <v>7</v>
      </c>
      <c r="J49" s="133"/>
    </row>
    <row r="50" spans="1:10" x14ac:dyDescent="0.2">
      <c r="A50" s="135" t="s">
        <v>1160</v>
      </c>
      <c r="B50" s="131">
        <v>27292</v>
      </c>
      <c r="C50" s="134">
        <v>5</v>
      </c>
      <c r="D50" s="133"/>
      <c r="E50" s="131">
        <v>27292</v>
      </c>
      <c r="F50" s="134">
        <v>5</v>
      </c>
      <c r="G50" s="133"/>
      <c r="H50" s="136">
        <v>1125</v>
      </c>
      <c r="I50" s="134">
        <v>7</v>
      </c>
      <c r="J50" s="133"/>
    </row>
    <row r="51" spans="1:10" x14ac:dyDescent="0.2">
      <c r="A51" s="135" t="s">
        <v>1161</v>
      </c>
      <c r="B51" s="131">
        <v>128859</v>
      </c>
      <c r="C51" s="134">
        <v>5</v>
      </c>
      <c r="D51" s="133">
        <f>1/4</f>
        <v>0.25</v>
      </c>
      <c r="E51" s="131">
        <v>128859</v>
      </c>
      <c r="F51" s="134">
        <v>5</v>
      </c>
      <c r="G51" s="133">
        <f>1/4</f>
        <v>0.25</v>
      </c>
      <c r="H51" s="136">
        <v>1125</v>
      </c>
      <c r="I51" s="134">
        <v>7</v>
      </c>
      <c r="J51" s="133"/>
    </row>
    <row r="52" spans="1:10" x14ac:dyDescent="0.2">
      <c r="A52" s="135" t="s">
        <v>1162</v>
      </c>
      <c r="B52" s="131">
        <v>68845</v>
      </c>
      <c r="C52" s="134">
        <v>6</v>
      </c>
      <c r="D52" s="133">
        <f>3/4</f>
        <v>0.75</v>
      </c>
      <c r="E52" s="131">
        <v>68845</v>
      </c>
      <c r="F52" s="134">
        <v>6</v>
      </c>
      <c r="G52" s="133">
        <f>3/4</f>
        <v>0.75</v>
      </c>
      <c r="H52" s="136">
        <v>1125</v>
      </c>
      <c r="I52" s="134">
        <v>7</v>
      </c>
      <c r="J52" s="133"/>
    </row>
    <row r="53" spans="1:10" x14ac:dyDescent="0.2">
      <c r="A53" s="135" t="s">
        <v>1163</v>
      </c>
      <c r="B53" s="131">
        <v>8317</v>
      </c>
      <c r="C53" s="134">
        <v>5</v>
      </c>
      <c r="D53" s="133">
        <f>1/2</f>
        <v>0.5</v>
      </c>
      <c r="E53" s="131">
        <v>68845</v>
      </c>
      <c r="F53" s="134">
        <v>6</v>
      </c>
      <c r="G53" s="133"/>
      <c r="H53" s="131">
        <v>8317</v>
      </c>
      <c r="I53" s="134">
        <v>5</v>
      </c>
      <c r="J53" s="133">
        <f>1/2</f>
        <v>0.5</v>
      </c>
    </row>
    <row r="54" spans="1:10" x14ac:dyDescent="0.2">
      <c r="A54" s="135" t="s">
        <v>1164</v>
      </c>
      <c r="B54" s="136">
        <v>8317</v>
      </c>
      <c r="C54" s="132">
        <v>5</v>
      </c>
      <c r="D54" s="146"/>
      <c r="E54" s="136">
        <v>68845</v>
      </c>
      <c r="F54" s="132">
        <v>6</v>
      </c>
      <c r="G54" s="146"/>
      <c r="H54" s="136">
        <v>8317</v>
      </c>
      <c r="I54" s="132">
        <v>5</v>
      </c>
      <c r="J54" s="146"/>
    </row>
    <row r="55" spans="1:10" x14ac:dyDescent="0.2">
      <c r="A55" s="135" t="s">
        <v>1165</v>
      </c>
      <c r="B55" s="136">
        <v>8317</v>
      </c>
      <c r="C55" s="132">
        <v>5</v>
      </c>
      <c r="D55" s="146"/>
      <c r="E55" s="136">
        <v>68845</v>
      </c>
      <c r="F55" s="132">
        <v>6</v>
      </c>
      <c r="G55" s="146"/>
      <c r="H55" s="136">
        <v>8317</v>
      </c>
      <c r="I55" s="132">
        <v>5</v>
      </c>
      <c r="J55" s="146"/>
    </row>
    <row r="56" spans="1:10" x14ac:dyDescent="0.2">
      <c r="A56" s="135" t="s">
        <v>1166</v>
      </c>
      <c r="B56" s="131">
        <v>5000</v>
      </c>
      <c r="C56" s="134">
        <v>5</v>
      </c>
      <c r="D56" s="133"/>
      <c r="E56" s="131">
        <v>68845</v>
      </c>
      <c r="F56" s="134">
        <v>6</v>
      </c>
      <c r="G56" s="133"/>
      <c r="H56" s="131">
        <v>5000</v>
      </c>
      <c r="I56" s="134">
        <v>5</v>
      </c>
      <c r="J56" s="133"/>
    </row>
    <row r="57" spans="1:10" x14ac:dyDescent="0.2">
      <c r="A57" s="135" t="s">
        <v>1167</v>
      </c>
      <c r="B57" s="131">
        <v>636575</v>
      </c>
      <c r="C57" s="134">
        <v>5</v>
      </c>
      <c r="D57" s="133"/>
      <c r="E57" s="131">
        <v>405904</v>
      </c>
      <c r="F57" s="134">
        <v>7</v>
      </c>
      <c r="G57" s="133">
        <f>1/2</f>
        <v>0.5</v>
      </c>
      <c r="H57" s="131">
        <v>230670</v>
      </c>
      <c r="I57" s="134">
        <v>5</v>
      </c>
      <c r="J57" s="133">
        <f>1/2</f>
        <v>0.5</v>
      </c>
    </row>
    <row r="58" spans="1:10" x14ac:dyDescent="0.2">
      <c r="A58" s="135" t="s">
        <v>1168</v>
      </c>
      <c r="B58" s="131">
        <v>15100</v>
      </c>
      <c r="C58" s="134">
        <v>5</v>
      </c>
      <c r="D58" s="133"/>
      <c r="E58" s="131">
        <v>12090</v>
      </c>
      <c r="F58" s="134">
        <v>6</v>
      </c>
      <c r="G58" s="133">
        <f>1/2</f>
        <v>0.5</v>
      </c>
      <c r="H58" s="131">
        <v>3009</v>
      </c>
      <c r="I58" s="134">
        <v>1</v>
      </c>
      <c r="J58" s="133">
        <f>1/2</f>
        <v>0.5</v>
      </c>
    </row>
    <row r="59" spans="1:10" x14ac:dyDescent="0.2">
      <c r="A59" s="135" t="s">
        <v>1169</v>
      </c>
      <c r="B59" s="131">
        <v>30300</v>
      </c>
      <c r="C59" s="134">
        <v>5</v>
      </c>
      <c r="D59" s="133"/>
      <c r="E59" s="131">
        <v>26592</v>
      </c>
      <c r="F59" s="134">
        <v>4</v>
      </c>
      <c r="G59" s="133">
        <f>1/4</f>
        <v>0.25</v>
      </c>
      <c r="H59" s="131">
        <v>3707</v>
      </c>
      <c r="I59" s="134">
        <v>3</v>
      </c>
      <c r="J59" s="133">
        <f>3/4</f>
        <v>0.75</v>
      </c>
    </row>
    <row r="60" spans="1:10" x14ac:dyDescent="0.2">
      <c r="A60" s="147" t="s">
        <v>1170</v>
      </c>
      <c r="B60" s="148">
        <v>1995007</v>
      </c>
      <c r="C60" s="149">
        <v>5</v>
      </c>
      <c r="D60" s="150">
        <f>1/4</f>
        <v>0.25</v>
      </c>
      <c r="E60" s="148">
        <v>1162952</v>
      </c>
      <c r="F60" s="149">
        <v>4</v>
      </c>
      <c r="G60" s="150">
        <f>1/2</f>
        <v>0.5</v>
      </c>
      <c r="H60" s="148">
        <v>832054</v>
      </c>
      <c r="I60" s="149">
        <v>7</v>
      </c>
      <c r="J60" s="150">
        <f>1/2</f>
        <v>0.5</v>
      </c>
    </row>
    <row r="61" spans="1:10" x14ac:dyDescent="0.2">
      <c r="A61" s="151"/>
      <c r="B61" s="152">
        <f t="shared" ref="B61:J61" si="1">SUM(B23:B59)+B21</f>
        <v>2220451</v>
      </c>
      <c r="C61" s="152">
        <f t="shared" si="1"/>
        <v>221</v>
      </c>
      <c r="D61" s="153">
        <f t="shared" si="1"/>
        <v>4.25</v>
      </c>
      <c r="E61" s="152">
        <f t="shared" si="1"/>
        <v>1591779</v>
      </c>
      <c r="F61" s="152">
        <f t="shared" si="1"/>
        <v>236</v>
      </c>
      <c r="G61" s="153">
        <f t="shared" si="1"/>
        <v>13.75</v>
      </c>
      <c r="H61" s="152">
        <f t="shared" si="1"/>
        <v>918689</v>
      </c>
      <c r="I61" s="152">
        <f t="shared" si="1"/>
        <v>230</v>
      </c>
      <c r="J61" s="154">
        <f t="shared" si="1"/>
        <v>12.5</v>
      </c>
    </row>
    <row r="62" spans="1:10" x14ac:dyDescent="0.2">
      <c r="B62" s="107"/>
    </row>
    <row r="65" spans="1:6" x14ac:dyDescent="0.2">
      <c r="A65" s="113" t="s">
        <v>1171</v>
      </c>
    </row>
    <row r="66" spans="1:6" x14ac:dyDescent="0.2">
      <c r="A66" s="155" t="s">
        <v>1172</v>
      </c>
      <c r="B66" s="156"/>
      <c r="C66" s="156"/>
      <c r="D66" s="157"/>
    </row>
    <row r="67" spans="1:6" x14ac:dyDescent="0.2">
      <c r="A67" s="158"/>
      <c r="B67" s="159"/>
      <c r="C67" s="159"/>
      <c r="D67" s="160"/>
    </row>
    <row r="68" spans="1:6" x14ac:dyDescent="0.2">
      <c r="A68" s="161" t="s">
        <v>1173</v>
      </c>
      <c r="B68" s="162"/>
      <c r="C68" s="162"/>
      <c r="D68" s="163"/>
    </row>
    <row r="69" spans="1:6" x14ac:dyDescent="0.2">
      <c r="A69" s="164" t="s">
        <v>1174</v>
      </c>
      <c r="B69" s="145">
        <v>1134107</v>
      </c>
      <c r="C69" s="134">
        <v>3</v>
      </c>
      <c r="D69" s="133"/>
    </row>
    <row r="70" spans="1:6" x14ac:dyDescent="0.2">
      <c r="A70" s="164" t="s">
        <v>1175</v>
      </c>
      <c r="B70" s="145">
        <v>80681</v>
      </c>
      <c r="C70" s="134">
        <v>1</v>
      </c>
      <c r="D70" s="133"/>
    </row>
    <row r="71" spans="1:6" x14ac:dyDescent="0.2">
      <c r="A71" s="164" t="s">
        <v>1176</v>
      </c>
      <c r="B71" s="145">
        <v>166842</v>
      </c>
      <c r="C71" s="134">
        <v>1</v>
      </c>
      <c r="D71" s="133">
        <f>3/4</f>
        <v>0.75</v>
      </c>
    </row>
    <row r="72" spans="1:6" x14ac:dyDescent="0.2">
      <c r="A72" s="164" t="s">
        <v>1177</v>
      </c>
      <c r="B72" s="145">
        <v>784694</v>
      </c>
      <c r="C72" s="134">
        <v>5</v>
      </c>
      <c r="D72" s="133">
        <f>1/2</f>
        <v>0.5</v>
      </c>
    </row>
    <row r="73" spans="1:6" x14ac:dyDescent="0.2">
      <c r="A73" s="164" t="s">
        <v>1178</v>
      </c>
      <c r="B73" s="145">
        <v>737265</v>
      </c>
      <c r="C73" s="134"/>
      <c r="D73" s="133"/>
    </row>
    <row r="74" spans="1:6" x14ac:dyDescent="0.2">
      <c r="A74" s="164" t="s">
        <v>1179</v>
      </c>
      <c r="B74" s="145">
        <v>68958</v>
      </c>
      <c r="C74" s="134">
        <v>6</v>
      </c>
      <c r="D74" s="133">
        <f>1/2</f>
        <v>0.5</v>
      </c>
    </row>
    <row r="75" spans="1:6" x14ac:dyDescent="0.2">
      <c r="A75" s="165" t="s">
        <v>1170</v>
      </c>
      <c r="B75" s="166">
        <v>2972549</v>
      </c>
      <c r="C75" s="167">
        <v>1</v>
      </c>
      <c r="D75" s="168">
        <f>3/4</f>
        <v>0.75</v>
      </c>
      <c r="E75" s="169" t="s">
        <v>1180</v>
      </c>
      <c r="F75" s="169" t="s">
        <v>1181</v>
      </c>
    </row>
    <row r="76" spans="1:6" x14ac:dyDescent="0.2">
      <c r="A76" s="151"/>
      <c r="B76" s="152">
        <f>SUM(B69:B74)</f>
        <v>2972547</v>
      </c>
      <c r="C76" s="152">
        <f>SUM(C69:C74)</f>
        <v>16</v>
      </c>
      <c r="D76" s="154">
        <f>SUM(D69:D74)</f>
        <v>1.75</v>
      </c>
      <c r="E76" s="170">
        <f>CN161+FH196+H213</f>
        <v>2134244.5</v>
      </c>
      <c r="F76" s="170">
        <f>CE161+EV196+B212</f>
        <v>1256553</v>
      </c>
    </row>
    <row r="80" spans="1:6" x14ac:dyDescent="0.2">
      <c r="A80" s="113" t="s">
        <v>1182</v>
      </c>
    </row>
    <row r="81" spans="1:7" ht="32.5" customHeight="1" x14ac:dyDescent="0.2">
      <c r="A81" s="121" t="s">
        <v>1183</v>
      </c>
      <c r="B81" s="122"/>
      <c r="C81" s="122"/>
      <c r="D81" s="122"/>
      <c r="E81" s="122"/>
      <c r="F81" s="122"/>
      <c r="G81" s="123"/>
    </row>
    <row r="82" spans="1:7" ht="29" customHeight="1" x14ac:dyDescent="0.2">
      <c r="A82" s="158" t="s">
        <v>1184</v>
      </c>
      <c r="B82" s="159"/>
      <c r="C82" s="159"/>
      <c r="D82" s="159"/>
      <c r="E82" s="159"/>
      <c r="F82" s="159"/>
      <c r="G82" s="160"/>
    </row>
    <row r="83" spans="1:7" ht="21.5" customHeight="1" x14ac:dyDescent="0.2">
      <c r="A83" s="171" t="s">
        <v>1185</v>
      </c>
      <c r="B83" s="172"/>
      <c r="C83" s="172"/>
      <c r="D83" s="172"/>
      <c r="E83" s="172"/>
      <c r="F83" s="172"/>
      <c r="G83" s="173"/>
    </row>
    <row r="84" spans="1:7" ht="29" customHeight="1" x14ac:dyDescent="0.2">
      <c r="A84" s="174" t="s">
        <v>1186</v>
      </c>
      <c r="B84" s="175"/>
      <c r="C84" s="175"/>
      <c r="D84" s="175"/>
      <c r="E84" s="176"/>
      <c r="F84" s="176"/>
      <c r="G84" s="177"/>
    </row>
    <row r="85" spans="1:7" x14ac:dyDescent="0.2">
      <c r="A85" s="178" t="s">
        <v>1187</v>
      </c>
      <c r="B85" s="145">
        <v>361100</v>
      </c>
      <c r="C85" s="179">
        <v>7</v>
      </c>
      <c r="D85" s="180">
        <f>1/4</f>
        <v>0.25</v>
      </c>
      <c r="E85" s="176"/>
      <c r="F85" s="176"/>
      <c r="G85" s="177"/>
    </row>
    <row r="86" spans="1:7" ht="57.5" customHeight="1" x14ac:dyDescent="0.2">
      <c r="A86" s="178" t="s">
        <v>1188</v>
      </c>
      <c r="B86" s="145">
        <v>465496</v>
      </c>
      <c r="C86" s="179">
        <v>7</v>
      </c>
      <c r="D86" s="180">
        <f>1/2</f>
        <v>0.5</v>
      </c>
      <c r="E86" s="176"/>
      <c r="F86" s="176"/>
      <c r="G86" s="177"/>
    </row>
    <row r="87" spans="1:7" x14ac:dyDescent="0.2">
      <c r="A87" s="178" t="s">
        <v>1189</v>
      </c>
      <c r="B87" s="145">
        <v>20640</v>
      </c>
      <c r="C87" s="179">
        <v>3</v>
      </c>
      <c r="D87" s="180">
        <f>1/2</f>
        <v>0.5</v>
      </c>
      <c r="E87" s="176"/>
      <c r="F87" s="176"/>
      <c r="G87" s="177"/>
    </row>
    <row r="88" spans="1:7" ht="30" x14ac:dyDescent="0.2">
      <c r="A88" s="178" t="s">
        <v>1190</v>
      </c>
      <c r="B88" s="145">
        <v>377249</v>
      </c>
      <c r="C88" s="179">
        <v>6</v>
      </c>
      <c r="D88" s="180">
        <f>1/2</f>
        <v>0.5</v>
      </c>
      <c r="E88" s="176"/>
      <c r="F88" s="176"/>
      <c r="G88" s="177"/>
    </row>
    <row r="89" spans="1:7" x14ac:dyDescent="0.2">
      <c r="A89" s="178" t="s">
        <v>1191</v>
      </c>
      <c r="B89" s="145">
        <v>201986</v>
      </c>
      <c r="C89" s="179">
        <v>1</v>
      </c>
      <c r="D89" s="180">
        <f>1/4</f>
        <v>0.25</v>
      </c>
      <c r="E89" s="176"/>
      <c r="F89" s="176"/>
      <c r="G89" s="177"/>
    </row>
    <row r="90" spans="1:7" ht="16" thickBot="1" x14ac:dyDescent="0.25">
      <c r="A90" s="178"/>
      <c r="B90" s="181">
        <v>1426474</v>
      </c>
      <c r="C90" s="182">
        <v>2</v>
      </c>
      <c r="D90" s="183"/>
      <c r="E90" s="176"/>
      <c r="F90" s="176"/>
      <c r="G90" s="177"/>
    </row>
    <row r="91" spans="1:7" x14ac:dyDescent="0.2">
      <c r="A91" s="164"/>
      <c r="B91" s="138">
        <f>SUM(B85:B89)</f>
        <v>1426471</v>
      </c>
      <c r="C91" s="138">
        <f>SUM(C85:C89)</f>
        <v>24</v>
      </c>
      <c r="D91" s="138">
        <f>SUM(D85:D89)</f>
        <v>2</v>
      </c>
      <c r="E91" s="176"/>
      <c r="F91" s="176"/>
      <c r="G91" s="177"/>
    </row>
    <row r="92" spans="1:7" ht="30" x14ac:dyDescent="0.2">
      <c r="A92" s="178" t="s">
        <v>1192</v>
      </c>
      <c r="B92" s="141">
        <v>64097</v>
      </c>
      <c r="C92" s="134"/>
      <c r="D92" s="134"/>
      <c r="E92" s="141">
        <v>1490571</v>
      </c>
      <c r="F92" s="184">
        <v>2</v>
      </c>
      <c r="G92" s="185"/>
    </row>
    <row r="93" spans="1:7" x14ac:dyDescent="0.2">
      <c r="A93" s="164"/>
      <c r="B93" s="134"/>
      <c r="C93" s="134"/>
      <c r="D93" s="134"/>
      <c r="E93" s="138">
        <f>SUM(B85:B89)+B92</f>
        <v>1490568</v>
      </c>
      <c r="F93" s="138">
        <f>SUM(C85:C89)+C92</f>
        <v>24</v>
      </c>
      <c r="G93" s="139">
        <f>SUM(D85:D89)+D92</f>
        <v>2</v>
      </c>
    </row>
    <row r="94" spans="1:7" ht="32.5" customHeight="1" x14ac:dyDescent="0.2">
      <c r="A94" s="174" t="s">
        <v>1193</v>
      </c>
      <c r="B94" s="186"/>
      <c r="C94" s="186"/>
      <c r="D94" s="186"/>
      <c r="E94" s="134"/>
      <c r="F94" s="134"/>
      <c r="G94" s="185"/>
    </row>
    <row r="95" spans="1:7" x14ac:dyDescent="0.2">
      <c r="A95" s="164" t="s">
        <v>1194</v>
      </c>
      <c r="B95" s="145">
        <v>1134107</v>
      </c>
      <c r="C95" s="134">
        <v>3</v>
      </c>
      <c r="D95" s="134"/>
      <c r="E95" s="176"/>
      <c r="F95" s="176"/>
      <c r="G95" s="177"/>
    </row>
    <row r="96" spans="1:7" x14ac:dyDescent="0.2">
      <c r="A96" s="164" t="s">
        <v>1195</v>
      </c>
      <c r="B96" s="145">
        <v>80681</v>
      </c>
      <c r="C96" s="134">
        <v>1</v>
      </c>
      <c r="D96" s="134"/>
      <c r="E96" s="176"/>
      <c r="F96" s="176"/>
      <c r="G96" s="177"/>
    </row>
    <row r="97" spans="1:7" x14ac:dyDescent="0.2">
      <c r="A97" s="164" t="s">
        <v>1196</v>
      </c>
      <c r="B97" s="145">
        <v>166842</v>
      </c>
      <c r="C97" s="134">
        <v>1</v>
      </c>
      <c r="D97" s="180">
        <f>3/4</f>
        <v>0.75</v>
      </c>
      <c r="E97" s="176"/>
      <c r="F97" s="176"/>
      <c r="G97" s="177"/>
    </row>
    <row r="98" spans="1:7" x14ac:dyDescent="0.2">
      <c r="A98" s="164" t="s">
        <v>1197</v>
      </c>
      <c r="B98" s="145">
        <v>784694</v>
      </c>
      <c r="C98" s="134">
        <v>1</v>
      </c>
      <c r="D98" s="180">
        <f>1/2</f>
        <v>0.5</v>
      </c>
      <c r="E98" s="176"/>
      <c r="F98" s="176"/>
      <c r="G98" s="177"/>
    </row>
    <row r="99" spans="1:7" ht="30" x14ac:dyDescent="0.2">
      <c r="A99" s="178" t="s">
        <v>1198</v>
      </c>
      <c r="B99" s="145">
        <v>737265</v>
      </c>
      <c r="C99" s="145">
        <v>2</v>
      </c>
      <c r="D99" s="145"/>
      <c r="E99" s="176"/>
      <c r="F99" s="176"/>
      <c r="G99" s="177"/>
    </row>
    <row r="100" spans="1:7" ht="31" thickBot="1" x14ac:dyDescent="0.25">
      <c r="A100" s="178" t="s">
        <v>1199</v>
      </c>
      <c r="B100" s="187">
        <v>262500</v>
      </c>
      <c r="C100" s="183">
        <v>7</v>
      </c>
      <c r="D100" s="183"/>
      <c r="E100" s="145">
        <v>3166091</v>
      </c>
      <c r="F100" s="134"/>
      <c r="G100" s="133">
        <f>1/4</f>
        <v>0.25</v>
      </c>
    </row>
    <row r="101" spans="1:7" x14ac:dyDescent="0.2">
      <c r="A101" s="164"/>
      <c r="B101" s="134"/>
      <c r="C101" s="134"/>
      <c r="D101" s="134"/>
      <c r="E101" s="138">
        <f>SUM(B95:B100)</f>
        <v>3166089</v>
      </c>
      <c r="F101" s="138">
        <f>SUM(C95:C100)</f>
        <v>15</v>
      </c>
      <c r="G101" s="188">
        <f>SUM(D95:D100)</f>
        <v>1.25</v>
      </c>
    </row>
    <row r="102" spans="1:7" ht="30.5" customHeight="1" x14ac:dyDescent="0.2">
      <c r="A102" s="174" t="s">
        <v>1200</v>
      </c>
      <c r="B102" s="186"/>
      <c r="C102" s="186"/>
      <c r="D102" s="186"/>
      <c r="E102" s="134"/>
      <c r="F102" s="134"/>
      <c r="G102" s="185"/>
    </row>
    <row r="103" spans="1:7" ht="45" x14ac:dyDescent="0.2">
      <c r="A103" s="178" t="s">
        <v>1201</v>
      </c>
      <c r="B103" s="134"/>
      <c r="C103" s="134"/>
      <c r="D103" s="134"/>
      <c r="E103" s="145">
        <v>745334</v>
      </c>
      <c r="F103" s="134">
        <v>3</v>
      </c>
      <c r="G103" s="133">
        <f>3/4</f>
        <v>0.75</v>
      </c>
    </row>
    <row r="104" spans="1:7" ht="26.5" customHeight="1" x14ac:dyDescent="0.2">
      <c r="A104" s="174" t="s">
        <v>1202</v>
      </c>
      <c r="B104" s="186"/>
      <c r="C104" s="186"/>
      <c r="D104" s="186"/>
      <c r="E104" s="134"/>
      <c r="F104" s="134"/>
      <c r="G104" s="185"/>
    </row>
    <row r="105" spans="1:7" ht="60" x14ac:dyDescent="0.2">
      <c r="A105" s="178" t="s">
        <v>1203</v>
      </c>
      <c r="B105" s="145">
        <v>230446</v>
      </c>
      <c r="C105" s="132">
        <v>7</v>
      </c>
      <c r="D105" s="180">
        <f>3/4</f>
        <v>0.75</v>
      </c>
      <c r="E105" s="134"/>
      <c r="F105" s="134"/>
      <c r="G105" s="185"/>
    </row>
    <row r="106" spans="1:7" ht="46" thickBot="1" x14ac:dyDescent="0.25">
      <c r="A106" s="178" t="s">
        <v>1204</v>
      </c>
      <c r="B106" s="187">
        <v>89336</v>
      </c>
      <c r="C106" s="183">
        <v>3</v>
      </c>
      <c r="D106" s="183"/>
      <c r="E106" s="187">
        <v>319782</v>
      </c>
      <c r="F106" s="183">
        <v>3</v>
      </c>
      <c r="G106" s="189">
        <f>3/4</f>
        <v>0.75</v>
      </c>
    </row>
    <row r="107" spans="1:7" x14ac:dyDescent="0.2">
      <c r="A107" s="164"/>
      <c r="B107" s="134"/>
      <c r="C107" s="134"/>
      <c r="D107" s="134"/>
      <c r="E107" s="145">
        <v>5721779</v>
      </c>
      <c r="F107" s="134">
        <v>1</v>
      </c>
      <c r="G107" s="133">
        <f>3/4</f>
        <v>0.75</v>
      </c>
    </row>
    <row r="108" spans="1:7" x14ac:dyDescent="0.2">
      <c r="A108" s="164"/>
      <c r="B108" s="134"/>
      <c r="C108" s="134"/>
      <c r="D108" s="134"/>
      <c r="E108" s="138">
        <f>E101+E103+E106+E93</f>
        <v>5721773</v>
      </c>
      <c r="F108" s="138">
        <f>F101+F103+F106+F93</f>
        <v>45</v>
      </c>
      <c r="G108" s="139">
        <f>G101+G103+G106+G93</f>
        <v>4.75</v>
      </c>
    </row>
    <row r="109" spans="1:7" ht="26.5" customHeight="1" x14ac:dyDescent="0.2">
      <c r="A109" s="161" t="s">
        <v>1205</v>
      </c>
      <c r="B109" s="172"/>
      <c r="C109" s="172"/>
      <c r="D109" s="172"/>
      <c r="E109" s="172"/>
      <c r="F109" s="172"/>
      <c r="G109" s="173"/>
    </row>
    <row r="110" spans="1:7" ht="18.5" customHeight="1" x14ac:dyDescent="0.2">
      <c r="A110" s="164" t="s">
        <v>1206</v>
      </c>
      <c r="B110" s="145">
        <v>3131458</v>
      </c>
      <c r="C110" s="132">
        <v>3</v>
      </c>
      <c r="D110" s="180">
        <f>1/2</f>
        <v>0.5</v>
      </c>
      <c r="E110" s="134"/>
      <c r="F110" s="134"/>
      <c r="G110" s="185"/>
    </row>
    <row r="111" spans="1:7" ht="105" x14ac:dyDescent="0.2">
      <c r="A111" s="178" t="s">
        <v>1207</v>
      </c>
      <c r="B111" s="141">
        <v>346568</v>
      </c>
      <c r="C111" s="134">
        <v>1</v>
      </c>
      <c r="D111" s="180">
        <f>3/4</f>
        <v>0.75</v>
      </c>
      <c r="E111" s="134"/>
      <c r="F111" s="134"/>
      <c r="G111" s="185"/>
    </row>
    <row r="112" spans="1:7" ht="90" x14ac:dyDescent="0.2">
      <c r="A112" s="178" t="s">
        <v>1208</v>
      </c>
      <c r="B112" s="141">
        <v>43063</v>
      </c>
      <c r="C112" s="134">
        <v>4</v>
      </c>
      <c r="D112" s="134"/>
      <c r="E112" s="134"/>
      <c r="F112" s="134"/>
      <c r="G112" s="185"/>
    </row>
    <row r="113" spans="1:7" ht="121" thickBot="1" x14ac:dyDescent="0.25">
      <c r="A113" s="178" t="s">
        <v>1209</v>
      </c>
      <c r="B113" s="187">
        <v>377249</v>
      </c>
      <c r="C113" s="183">
        <v>6</v>
      </c>
      <c r="D113" s="190">
        <f>1/2</f>
        <v>0.5</v>
      </c>
      <c r="E113" s="187">
        <v>3898339</v>
      </c>
      <c r="F113" s="183">
        <v>4</v>
      </c>
      <c r="G113" s="189">
        <f>3/4</f>
        <v>0.75</v>
      </c>
    </row>
    <row r="114" spans="1:7" x14ac:dyDescent="0.2">
      <c r="A114" s="164"/>
      <c r="B114" s="134"/>
      <c r="C114" s="134"/>
      <c r="D114" s="134"/>
      <c r="E114" s="138">
        <f>SUM(B113+B112+B111+B110)</f>
        <v>3898338</v>
      </c>
      <c r="F114" s="138">
        <f>SUM(C113+C112+C111+C110)</f>
        <v>14</v>
      </c>
      <c r="G114" s="139">
        <f>SUM(D113+D112+D111+D110)</f>
        <v>1.75</v>
      </c>
    </row>
    <row r="115" spans="1:7" ht="19" x14ac:dyDescent="0.25">
      <c r="A115" s="191" t="s">
        <v>1210</v>
      </c>
      <c r="B115" s="134"/>
      <c r="C115" s="134"/>
      <c r="D115" s="134"/>
      <c r="E115" s="145">
        <v>1823439</v>
      </c>
      <c r="F115" s="134">
        <v>5</v>
      </c>
      <c r="G115" s="185"/>
    </row>
    <row r="116" spans="1:7" x14ac:dyDescent="0.2">
      <c r="A116" s="164"/>
      <c r="B116" s="134"/>
      <c r="C116" s="134"/>
      <c r="D116" s="134"/>
      <c r="E116" s="138">
        <f>E108-E114</f>
        <v>1823435</v>
      </c>
      <c r="F116" s="138">
        <f>F108-F114</f>
        <v>31</v>
      </c>
      <c r="G116" s="188">
        <f>G108-G114</f>
        <v>3</v>
      </c>
    </row>
    <row r="117" spans="1:7" x14ac:dyDescent="0.2">
      <c r="A117" s="174" t="s">
        <v>1211</v>
      </c>
      <c r="B117" s="186"/>
      <c r="C117" s="186"/>
      <c r="D117" s="186"/>
      <c r="E117" s="134"/>
      <c r="F117" s="134"/>
      <c r="G117" s="185"/>
    </row>
    <row r="118" spans="1:7" x14ac:dyDescent="0.2">
      <c r="A118" s="178" t="s">
        <v>1189</v>
      </c>
      <c r="B118" s="145">
        <v>20000</v>
      </c>
      <c r="C118" s="134"/>
      <c r="D118" s="180"/>
      <c r="E118" s="134"/>
      <c r="F118" s="134"/>
      <c r="G118" s="185"/>
    </row>
    <row r="119" spans="1:7" ht="44" customHeight="1" x14ac:dyDescent="0.2">
      <c r="A119" s="178" t="s">
        <v>1212</v>
      </c>
      <c r="B119" s="145">
        <v>2165</v>
      </c>
      <c r="C119" s="134"/>
      <c r="D119" s="180"/>
      <c r="E119" s="134"/>
      <c r="F119" s="134"/>
      <c r="G119" s="185"/>
    </row>
    <row r="120" spans="1:7" ht="60" x14ac:dyDescent="0.2">
      <c r="A120" s="178" t="s">
        <v>1213</v>
      </c>
      <c r="B120" s="145">
        <v>118828</v>
      </c>
      <c r="C120" s="134">
        <v>5</v>
      </c>
      <c r="D120" s="180">
        <f>3/4</f>
        <v>0.75</v>
      </c>
      <c r="E120" s="134"/>
      <c r="F120" s="134"/>
      <c r="G120" s="185"/>
    </row>
    <row r="121" spans="1:7" ht="45" x14ac:dyDescent="0.2">
      <c r="A121" s="178" t="s">
        <v>1214</v>
      </c>
      <c r="B121" s="145">
        <v>872940</v>
      </c>
      <c r="C121" s="132">
        <v>5</v>
      </c>
      <c r="D121" s="180">
        <f>3/4</f>
        <v>0.75</v>
      </c>
      <c r="E121" s="134"/>
      <c r="F121" s="134"/>
      <c r="G121" s="185"/>
    </row>
    <row r="122" spans="1:7" ht="30" x14ac:dyDescent="0.2">
      <c r="A122" s="178" t="s">
        <v>1215</v>
      </c>
      <c r="B122" s="145">
        <v>4756</v>
      </c>
      <c r="C122" s="134">
        <v>3</v>
      </c>
      <c r="D122" s="180"/>
      <c r="E122" s="134"/>
      <c r="F122" s="134"/>
      <c r="G122" s="185"/>
    </row>
    <row r="123" spans="1:7" ht="30" x14ac:dyDescent="0.2">
      <c r="A123" s="178" t="s">
        <v>1216</v>
      </c>
      <c r="B123" s="145">
        <v>2848</v>
      </c>
      <c r="C123" s="134">
        <v>2</v>
      </c>
      <c r="D123" s="180">
        <f>1/4</f>
        <v>0.25</v>
      </c>
      <c r="E123" s="134"/>
      <c r="F123" s="134"/>
      <c r="G123" s="185"/>
    </row>
    <row r="124" spans="1:7" ht="30" x14ac:dyDescent="0.2">
      <c r="A124" s="178" t="s">
        <v>1217</v>
      </c>
      <c r="B124" s="145">
        <v>3375</v>
      </c>
      <c r="C124" s="134">
        <v>7</v>
      </c>
      <c r="D124" s="180">
        <f>3/4</f>
        <v>0.75</v>
      </c>
      <c r="E124" s="134"/>
      <c r="F124" s="134"/>
      <c r="G124" s="185"/>
    </row>
    <row r="125" spans="1:7" ht="30" x14ac:dyDescent="0.2">
      <c r="A125" s="178" t="s">
        <v>1218</v>
      </c>
      <c r="B125" s="145">
        <v>382134</v>
      </c>
      <c r="C125" s="134">
        <v>3</v>
      </c>
      <c r="D125" s="180">
        <f>1/4</f>
        <v>0.25</v>
      </c>
      <c r="E125" s="134"/>
      <c r="F125" s="134"/>
      <c r="G125" s="185"/>
    </row>
    <row r="126" spans="1:7" ht="45" x14ac:dyDescent="0.2">
      <c r="A126" s="178" t="s">
        <v>1219</v>
      </c>
      <c r="B126" s="145">
        <v>2345</v>
      </c>
      <c r="C126" s="134">
        <v>7</v>
      </c>
      <c r="D126" s="180">
        <f>1/4</f>
        <v>0.25</v>
      </c>
      <c r="E126" s="134"/>
      <c r="F126" s="134"/>
      <c r="G126" s="185"/>
    </row>
    <row r="127" spans="1:7" ht="16" thickBot="1" x14ac:dyDescent="0.25">
      <c r="A127" s="164"/>
      <c r="B127" s="181">
        <v>1409494</v>
      </c>
      <c r="C127" s="183">
        <v>6</v>
      </c>
      <c r="D127" s="183"/>
      <c r="E127" s="134"/>
      <c r="F127" s="134"/>
      <c r="G127" s="185"/>
    </row>
    <row r="128" spans="1:7" x14ac:dyDescent="0.2">
      <c r="A128" s="164"/>
      <c r="B128" s="138">
        <f>SUM(B118:B126)</f>
        <v>1409391</v>
      </c>
      <c r="C128" s="138">
        <f>SUM(C118:C126)</f>
        <v>32</v>
      </c>
      <c r="D128" s="192">
        <f>SUM(D118:D126)</f>
        <v>3</v>
      </c>
      <c r="E128" s="134"/>
      <c r="F128" s="134"/>
      <c r="G128" s="185"/>
    </row>
    <row r="129" spans="1:97" x14ac:dyDescent="0.2">
      <c r="A129" s="174" t="s">
        <v>1191</v>
      </c>
      <c r="B129" s="186"/>
      <c r="C129" s="186"/>
      <c r="D129" s="186"/>
      <c r="E129" s="134"/>
      <c r="F129" s="134"/>
      <c r="G129" s="185"/>
    </row>
    <row r="130" spans="1:97" x14ac:dyDescent="0.2">
      <c r="A130" s="178" t="s">
        <v>1220</v>
      </c>
      <c r="B130" s="145">
        <v>197586</v>
      </c>
      <c r="C130" s="134">
        <v>7</v>
      </c>
      <c r="D130" s="180">
        <f>1/2</f>
        <v>0.5</v>
      </c>
      <c r="E130" s="134"/>
      <c r="F130" s="134"/>
      <c r="G130" s="185"/>
    </row>
    <row r="131" spans="1:97" ht="30" x14ac:dyDescent="0.2">
      <c r="A131" s="178" t="s">
        <v>1221</v>
      </c>
      <c r="B131" s="145">
        <v>143623</v>
      </c>
      <c r="C131" s="134">
        <v>2</v>
      </c>
      <c r="D131" s="180">
        <f>3/4</f>
        <v>0.75</v>
      </c>
      <c r="E131" s="134"/>
      <c r="F131" s="134"/>
      <c r="G131" s="185"/>
    </row>
    <row r="132" spans="1:97" ht="30" x14ac:dyDescent="0.2">
      <c r="A132" s="178" t="s">
        <v>1222</v>
      </c>
      <c r="B132" s="145">
        <v>18806</v>
      </c>
      <c r="C132" s="134">
        <v>4</v>
      </c>
      <c r="D132" s="180">
        <f>1/2</f>
        <v>0.5</v>
      </c>
      <c r="E132" s="134"/>
      <c r="F132" s="134"/>
      <c r="G132" s="185"/>
    </row>
    <row r="133" spans="1:97" x14ac:dyDescent="0.2">
      <c r="A133" s="178" t="s">
        <v>1223</v>
      </c>
      <c r="B133" s="145">
        <v>668</v>
      </c>
      <c r="C133" s="134">
        <v>5</v>
      </c>
      <c r="D133" s="180">
        <f>1/4</f>
        <v>0.25</v>
      </c>
      <c r="E133" s="134"/>
      <c r="F133" s="134"/>
      <c r="G133" s="185"/>
    </row>
    <row r="134" spans="1:97" x14ac:dyDescent="0.2">
      <c r="A134" s="178" t="s">
        <v>1224</v>
      </c>
      <c r="B134" s="145">
        <v>2473</v>
      </c>
      <c r="C134" s="134">
        <v>3</v>
      </c>
      <c r="D134" s="180">
        <f>3/4</f>
        <v>0.75</v>
      </c>
      <c r="E134" s="134"/>
      <c r="F134" s="134"/>
      <c r="G134" s="185"/>
    </row>
    <row r="135" spans="1:97" ht="16" thickBot="1" x14ac:dyDescent="0.25">
      <c r="A135" s="178" t="s">
        <v>1225</v>
      </c>
      <c r="B135" s="187">
        <v>50785</v>
      </c>
      <c r="C135" s="183">
        <v>4</v>
      </c>
      <c r="D135" s="190">
        <f>1/4</f>
        <v>0.25</v>
      </c>
      <c r="E135" s="187">
        <v>1823439</v>
      </c>
      <c r="F135" s="183">
        <v>5</v>
      </c>
      <c r="G135" s="193"/>
    </row>
    <row r="136" spans="1:97" x14ac:dyDescent="0.2">
      <c r="A136" s="151"/>
      <c r="B136" s="152">
        <f>SUM(B130:B135)+B128</f>
        <v>1823332</v>
      </c>
      <c r="C136" s="152">
        <f>SUM(C130:C135)/8</f>
        <v>3.125</v>
      </c>
      <c r="D136" s="152">
        <f>SUM(D130:D135)+D128</f>
        <v>6</v>
      </c>
      <c r="E136" s="194"/>
      <c r="F136" s="194"/>
      <c r="G136" s="195"/>
    </row>
    <row r="140" spans="1:97" x14ac:dyDescent="0.2">
      <c r="A140" s="113" t="s">
        <v>1226</v>
      </c>
    </row>
    <row r="141" spans="1:97" ht="32.5" customHeight="1" x14ac:dyDescent="0.25">
      <c r="A141" s="196" t="s">
        <v>1227</v>
      </c>
      <c r="B141" s="197"/>
      <c r="C141" s="197"/>
      <c r="D141" s="197"/>
      <c r="E141" s="197"/>
      <c r="F141" s="197"/>
      <c r="G141" s="197"/>
      <c r="H141" s="197"/>
      <c r="I141" s="197"/>
      <c r="J141" s="197"/>
      <c r="K141" s="197"/>
      <c r="L141" s="197"/>
      <c r="M141" s="197"/>
      <c r="N141" s="197"/>
      <c r="O141" s="197"/>
      <c r="P141" s="197"/>
      <c r="Q141" s="197"/>
      <c r="R141" s="197"/>
      <c r="S141" s="197"/>
      <c r="T141" s="197"/>
      <c r="U141" s="197"/>
      <c r="V141" s="197"/>
      <c r="W141" s="197"/>
      <c r="X141" s="197"/>
      <c r="Y141" s="197"/>
      <c r="Z141" s="197"/>
      <c r="AA141" s="197"/>
      <c r="AB141" s="197"/>
      <c r="AC141" s="197"/>
      <c r="AD141" s="197"/>
      <c r="AE141" s="197"/>
      <c r="AF141" s="197"/>
      <c r="AG141" s="197"/>
      <c r="AH141" s="197"/>
      <c r="AI141" s="197"/>
      <c r="AJ141" s="197"/>
      <c r="AK141" s="197"/>
      <c r="AL141" s="197"/>
      <c r="AM141" s="197"/>
      <c r="AN141" s="197"/>
      <c r="AO141" s="197"/>
      <c r="AP141" s="197"/>
      <c r="AQ141" s="197"/>
      <c r="AR141" s="197"/>
      <c r="AS141" s="197"/>
      <c r="AT141" s="197"/>
      <c r="AU141" s="197"/>
      <c r="AV141" s="197"/>
      <c r="AW141" s="197"/>
      <c r="AX141" s="197"/>
      <c r="AY141" s="197"/>
      <c r="AZ141" s="197"/>
      <c r="BA141" s="197"/>
      <c r="BB141" s="197"/>
      <c r="BC141" s="197"/>
      <c r="BD141" s="197"/>
      <c r="BE141" s="197"/>
      <c r="BF141" s="197"/>
      <c r="BG141" s="197"/>
      <c r="BH141" s="197"/>
      <c r="BI141" s="197"/>
      <c r="BJ141" s="197"/>
      <c r="BK141" s="197"/>
      <c r="BL141" s="197"/>
      <c r="BM141" s="197"/>
      <c r="BN141" s="197"/>
      <c r="BO141" s="197"/>
      <c r="BP141" s="197"/>
      <c r="BQ141" s="197"/>
      <c r="BR141" s="197"/>
      <c r="BS141" s="197"/>
      <c r="BT141" s="197"/>
      <c r="BU141" s="197"/>
      <c r="BV141" s="197"/>
      <c r="BW141" s="197"/>
      <c r="BX141" s="197"/>
      <c r="BY141" s="197"/>
      <c r="BZ141" s="197"/>
      <c r="CA141" s="197"/>
      <c r="CB141" s="197"/>
      <c r="CC141" s="197"/>
      <c r="CD141" s="197"/>
      <c r="CE141" s="197"/>
      <c r="CF141" s="197"/>
      <c r="CG141" s="197"/>
      <c r="CH141" s="197"/>
      <c r="CI141" s="197"/>
      <c r="CJ141" s="197"/>
      <c r="CK141" s="198"/>
      <c r="CL141" s="198"/>
      <c r="CM141" s="198"/>
      <c r="CN141" s="198"/>
      <c r="CO141" s="198"/>
      <c r="CP141" s="198"/>
      <c r="CQ141" s="198"/>
      <c r="CR141" s="198"/>
      <c r="CS141" s="199"/>
    </row>
    <row r="142" spans="1:97" ht="35" customHeight="1" x14ac:dyDescent="0.2">
      <c r="A142" s="200" t="s">
        <v>1228</v>
      </c>
      <c r="B142" s="201"/>
      <c r="C142" s="201"/>
      <c r="D142" s="201"/>
      <c r="E142" s="201"/>
      <c r="F142" s="201"/>
      <c r="G142" s="201"/>
      <c r="H142" s="201"/>
      <c r="I142" s="201"/>
      <c r="J142" s="201"/>
      <c r="K142" s="201"/>
      <c r="L142" s="201"/>
      <c r="M142" s="201"/>
      <c r="N142" s="201"/>
      <c r="O142" s="201"/>
      <c r="P142" s="201"/>
      <c r="Q142" s="201"/>
      <c r="R142" s="201"/>
      <c r="S142" s="201"/>
      <c r="T142" s="201"/>
      <c r="U142" s="201"/>
      <c r="V142" s="201"/>
      <c r="W142" s="201"/>
      <c r="X142" s="201"/>
      <c r="Y142" s="201"/>
      <c r="Z142" s="201"/>
      <c r="AA142" s="201"/>
      <c r="AB142" s="201"/>
      <c r="AC142" s="201"/>
      <c r="AD142" s="201"/>
      <c r="AE142" s="201"/>
      <c r="AF142" s="201"/>
      <c r="AG142" s="201"/>
      <c r="AH142" s="201"/>
      <c r="AI142" s="201"/>
      <c r="AJ142" s="201"/>
      <c r="AK142" s="201"/>
      <c r="AL142" s="201"/>
      <c r="AM142" s="201"/>
      <c r="AN142" s="201"/>
      <c r="AO142" s="201"/>
      <c r="AP142" s="201"/>
      <c r="AQ142" s="201"/>
      <c r="AR142" s="201"/>
      <c r="AS142" s="201"/>
      <c r="AT142" s="201"/>
      <c r="AU142" s="201"/>
      <c r="AV142" s="201"/>
      <c r="AW142" s="201"/>
      <c r="AX142" s="201"/>
      <c r="AY142" s="201"/>
      <c r="AZ142" s="201"/>
      <c r="BA142" s="201"/>
      <c r="BB142" s="201"/>
      <c r="BC142" s="201"/>
      <c r="BD142" s="201"/>
      <c r="BE142" s="201"/>
      <c r="BF142" s="201"/>
      <c r="BG142" s="201"/>
      <c r="BH142" s="201"/>
      <c r="BI142" s="201"/>
      <c r="BJ142" s="201"/>
      <c r="BK142" s="201"/>
      <c r="BL142" s="201"/>
      <c r="BM142" s="201"/>
      <c r="BN142" s="201"/>
      <c r="BO142" s="201"/>
      <c r="BP142" s="201"/>
      <c r="BQ142" s="201"/>
      <c r="BR142" s="201"/>
      <c r="BS142" s="201"/>
      <c r="BT142" s="201"/>
      <c r="BU142" s="201"/>
      <c r="BV142" s="201"/>
      <c r="BW142" s="201"/>
      <c r="BX142" s="201"/>
      <c r="BY142" s="201"/>
      <c r="BZ142" s="201"/>
      <c r="CA142" s="201"/>
      <c r="CB142" s="201"/>
      <c r="CC142" s="201"/>
      <c r="CD142" s="201"/>
      <c r="CE142" s="201"/>
      <c r="CF142" s="201"/>
      <c r="CG142" s="201"/>
      <c r="CH142" s="202"/>
      <c r="CI142" s="202"/>
      <c r="CJ142" s="202"/>
      <c r="CK142" s="134"/>
      <c r="CL142" s="134"/>
      <c r="CM142" s="134"/>
      <c r="CN142" s="134"/>
      <c r="CO142" s="134"/>
      <c r="CP142" s="134"/>
      <c r="CQ142" s="134"/>
      <c r="CR142" s="134"/>
      <c r="CS142" s="185"/>
    </row>
    <row r="143" spans="1:97" ht="57.5" customHeight="1" x14ac:dyDescent="0.2">
      <c r="A143" s="203" t="s">
        <v>1229</v>
      </c>
      <c r="B143" s="204" t="s">
        <v>1230</v>
      </c>
      <c r="C143" s="204"/>
      <c r="D143" s="204"/>
      <c r="E143" s="204"/>
      <c r="F143" s="204"/>
      <c r="G143" s="204"/>
      <c r="H143" s="204" t="s">
        <v>1231</v>
      </c>
      <c r="I143" s="204"/>
      <c r="J143" s="204"/>
      <c r="K143" s="204"/>
      <c r="L143" s="204"/>
      <c r="M143" s="204"/>
      <c r="N143" s="204" t="s">
        <v>1232</v>
      </c>
      <c r="O143" s="204"/>
      <c r="P143" s="204"/>
      <c r="Q143" s="204"/>
      <c r="R143" s="204"/>
      <c r="S143" s="204"/>
      <c r="T143" s="204" t="s">
        <v>1233</v>
      </c>
      <c r="U143" s="204"/>
      <c r="V143" s="204"/>
      <c r="W143" s="204"/>
      <c r="X143" s="204"/>
      <c r="Y143" s="204"/>
      <c r="Z143" s="204" t="s">
        <v>1234</v>
      </c>
      <c r="AA143" s="204"/>
      <c r="AB143" s="204"/>
      <c r="AC143" s="204"/>
      <c r="AD143" s="204"/>
      <c r="AE143" s="204"/>
      <c r="AF143" s="204" t="s">
        <v>1235</v>
      </c>
      <c r="AG143" s="204"/>
      <c r="AH143" s="204"/>
      <c r="AI143" s="204"/>
      <c r="AJ143" s="204"/>
      <c r="AK143" s="204"/>
      <c r="AL143" s="204" t="s">
        <v>1236</v>
      </c>
      <c r="AM143" s="204"/>
      <c r="AN143" s="204"/>
      <c r="AO143" s="204"/>
      <c r="AP143" s="204"/>
      <c r="AQ143" s="204"/>
      <c r="AR143" s="204" t="s">
        <v>1237</v>
      </c>
      <c r="AS143" s="204"/>
      <c r="AT143" s="204"/>
      <c r="AU143" s="204"/>
      <c r="AV143" s="204"/>
      <c r="AW143" s="204"/>
      <c r="AX143" s="205" t="s">
        <v>1238</v>
      </c>
      <c r="AY143" s="205"/>
      <c r="AZ143" s="205"/>
      <c r="BA143" s="205" t="s">
        <v>1239</v>
      </c>
      <c r="BB143" s="205"/>
      <c r="BC143" s="205"/>
      <c r="BD143" s="206" t="s">
        <v>1240</v>
      </c>
      <c r="BE143" s="206"/>
      <c r="BF143" s="206"/>
      <c r="BG143" s="205" t="s">
        <v>1241</v>
      </c>
      <c r="BH143" s="205"/>
      <c r="BI143" s="205"/>
      <c r="BJ143" s="205" t="s">
        <v>1242</v>
      </c>
      <c r="BK143" s="205"/>
      <c r="BL143" s="205"/>
      <c r="BM143" s="206" t="s">
        <v>1243</v>
      </c>
      <c r="BN143" s="206"/>
      <c r="BO143" s="206"/>
      <c r="BP143" s="205" t="s">
        <v>1244</v>
      </c>
      <c r="BQ143" s="205"/>
      <c r="BR143" s="205"/>
      <c r="BS143" s="205" t="s">
        <v>1245</v>
      </c>
      <c r="BT143" s="205"/>
      <c r="BU143" s="205"/>
      <c r="BV143" s="206" t="s">
        <v>1246</v>
      </c>
      <c r="BW143" s="206"/>
      <c r="BX143" s="206"/>
      <c r="BY143" s="206" t="s">
        <v>1247</v>
      </c>
      <c r="BZ143" s="206"/>
      <c r="CA143" s="206"/>
      <c r="CB143" s="205" t="s">
        <v>1248</v>
      </c>
      <c r="CC143" s="205"/>
      <c r="CD143" s="205"/>
      <c r="CE143" s="207"/>
      <c r="CF143" s="208"/>
      <c r="CG143" s="209"/>
      <c r="CH143" s="205" t="s">
        <v>1249</v>
      </c>
      <c r="CI143" s="205"/>
      <c r="CJ143" s="205"/>
      <c r="CK143" s="207"/>
      <c r="CL143" s="208"/>
      <c r="CM143" s="209"/>
      <c r="CN143" s="210" t="s">
        <v>1250</v>
      </c>
      <c r="CO143" s="205"/>
      <c r="CP143" s="205"/>
      <c r="CQ143" s="207"/>
      <c r="CR143" s="208"/>
      <c r="CS143" s="209"/>
    </row>
    <row r="144" spans="1:97" ht="25.25" customHeight="1" x14ac:dyDescent="0.2">
      <c r="A144" s="211"/>
      <c r="B144" s="205" t="s">
        <v>1251</v>
      </c>
      <c r="C144" s="205"/>
      <c r="D144" s="205"/>
      <c r="E144" s="205" t="s">
        <v>1252</v>
      </c>
      <c r="F144" s="205"/>
      <c r="G144" s="205"/>
      <c r="H144" s="205" t="s">
        <v>1251</v>
      </c>
      <c r="I144" s="205"/>
      <c r="J144" s="205"/>
      <c r="K144" s="205" t="s">
        <v>1252</v>
      </c>
      <c r="L144" s="205"/>
      <c r="M144" s="205"/>
      <c r="N144" s="205" t="s">
        <v>1251</v>
      </c>
      <c r="O144" s="205"/>
      <c r="P144" s="205"/>
      <c r="Q144" s="205" t="s">
        <v>1252</v>
      </c>
      <c r="R144" s="205"/>
      <c r="S144" s="212"/>
      <c r="T144" s="205" t="s">
        <v>1251</v>
      </c>
      <c r="U144" s="205"/>
      <c r="V144" s="205"/>
      <c r="W144" s="210" t="s">
        <v>1252</v>
      </c>
      <c r="X144" s="205"/>
      <c r="Y144" s="205"/>
      <c r="Z144" s="210" t="s">
        <v>1251</v>
      </c>
      <c r="AA144" s="205"/>
      <c r="AB144" s="212"/>
      <c r="AC144" s="205" t="s">
        <v>1252</v>
      </c>
      <c r="AD144" s="205"/>
      <c r="AE144" s="212"/>
      <c r="AF144" s="205" t="s">
        <v>1251</v>
      </c>
      <c r="AG144" s="205"/>
      <c r="AH144" s="205"/>
      <c r="AI144" s="210" t="s">
        <v>1252</v>
      </c>
      <c r="AJ144" s="205"/>
      <c r="AK144" s="205"/>
      <c r="AL144" s="210" t="s">
        <v>1251</v>
      </c>
      <c r="AM144" s="205"/>
      <c r="AN144" s="212"/>
      <c r="AO144" s="205" t="s">
        <v>1252</v>
      </c>
      <c r="AP144" s="205"/>
      <c r="AQ144" s="212"/>
      <c r="AR144" s="205" t="s">
        <v>1251</v>
      </c>
      <c r="AS144" s="205"/>
      <c r="AT144" s="205"/>
      <c r="AU144" s="210" t="s">
        <v>1252</v>
      </c>
      <c r="AV144" s="205"/>
      <c r="AW144" s="205"/>
      <c r="AX144" s="210" t="s">
        <v>1251</v>
      </c>
      <c r="AY144" s="205"/>
      <c r="AZ144" s="212"/>
      <c r="BA144" s="205" t="s">
        <v>1251</v>
      </c>
      <c r="BB144" s="205"/>
      <c r="BC144" s="212"/>
      <c r="BD144" s="205" t="s">
        <v>1251</v>
      </c>
      <c r="BE144" s="205"/>
      <c r="BF144" s="205"/>
      <c r="BG144" s="210" t="s">
        <v>1251</v>
      </c>
      <c r="BH144" s="205"/>
      <c r="BI144" s="205"/>
      <c r="BJ144" s="210" t="s">
        <v>1251</v>
      </c>
      <c r="BK144" s="205"/>
      <c r="BL144" s="212"/>
      <c r="BM144" s="205" t="s">
        <v>1251</v>
      </c>
      <c r="BN144" s="205"/>
      <c r="BO144" s="212"/>
      <c r="BP144" s="205" t="s">
        <v>1251</v>
      </c>
      <c r="BQ144" s="205"/>
      <c r="BR144" s="205"/>
      <c r="BS144" s="210" t="s">
        <v>1251</v>
      </c>
      <c r="BT144" s="205"/>
      <c r="BU144" s="205"/>
      <c r="BV144" s="210" t="s">
        <v>1251</v>
      </c>
      <c r="BW144" s="205"/>
      <c r="BX144" s="212"/>
      <c r="BY144" s="205" t="s">
        <v>1251</v>
      </c>
      <c r="BZ144" s="205"/>
      <c r="CA144" s="212"/>
      <c r="CB144" s="205" t="s">
        <v>1253</v>
      </c>
      <c r="CC144" s="205"/>
      <c r="CD144" s="205"/>
      <c r="CE144" s="213"/>
      <c r="CF144" s="214"/>
      <c r="CG144" s="215"/>
      <c r="CH144" s="205" t="s">
        <v>1253</v>
      </c>
      <c r="CI144" s="205"/>
      <c r="CJ144" s="205"/>
      <c r="CK144" s="213"/>
      <c r="CL144" s="214"/>
      <c r="CM144" s="215"/>
      <c r="CN144" s="210" t="s">
        <v>1254</v>
      </c>
      <c r="CO144" s="205"/>
      <c r="CP144" s="205"/>
      <c r="CQ144" s="213"/>
      <c r="CR144" s="214"/>
      <c r="CS144" s="215"/>
    </row>
    <row r="145" spans="1:100" x14ac:dyDescent="0.2">
      <c r="A145" s="164" t="s">
        <v>1255</v>
      </c>
      <c r="B145" s="131">
        <v>2793</v>
      </c>
      <c r="C145" s="134">
        <v>6</v>
      </c>
      <c r="D145" s="133">
        <f>1/4</f>
        <v>0.25</v>
      </c>
      <c r="E145" s="216"/>
      <c r="F145" s="217"/>
      <c r="G145" s="218"/>
      <c r="H145" s="131">
        <v>292</v>
      </c>
      <c r="I145" s="134">
        <v>2</v>
      </c>
      <c r="J145" s="133"/>
      <c r="K145" s="216"/>
      <c r="L145" s="217"/>
      <c r="M145" s="218"/>
      <c r="N145" s="131">
        <v>292</v>
      </c>
      <c r="O145" s="134">
        <v>2</v>
      </c>
      <c r="P145" s="133"/>
      <c r="Q145" s="216"/>
      <c r="R145" s="217"/>
      <c r="S145" s="218"/>
      <c r="T145" s="216"/>
      <c r="U145" s="217"/>
      <c r="V145" s="218"/>
      <c r="W145" s="131">
        <v>969</v>
      </c>
      <c r="X145" s="134">
        <v>3</v>
      </c>
      <c r="Y145" s="133"/>
      <c r="Z145" s="131">
        <v>816</v>
      </c>
      <c r="AA145" s="134">
        <v>5</v>
      </c>
      <c r="AB145" s="133"/>
      <c r="AC145" s="216"/>
      <c r="AD145" s="217"/>
      <c r="AE145" s="218"/>
      <c r="AF145" s="131">
        <v>191</v>
      </c>
      <c r="AG145" s="134">
        <v>3</v>
      </c>
      <c r="AH145" s="133"/>
      <c r="AI145" s="216"/>
      <c r="AJ145" s="217"/>
      <c r="AK145" s="218"/>
      <c r="AL145" s="131">
        <v>144</v>
      </c>
      <c r="AM145" s="132"/>
      <c r="AN145" s="133"/>
      <c r="AO145" s="131">
        <v>1123</v>
      </c>
      <c r="AP145" s="134">
        <v>6</v>
      </c>
      <c r="AQ145" s="133">
        <v>0.75</v>
      </c>
      <c r="AR145" s="131">
        <v>561</v>
      </c>
      <c r="AS145" s="134">
        <v>7</v>
      </c>
      <c r="AT145" s="133">
        <v>0.75</v>
      </c>
      <c r="AU145" s="216"/>
      <c r="AV145" s="217"/>
      <c r="AW145" s="218"/>
      <c r="AX145" s="216"/>
      <c r="AY145" s="217"/>
      <c r="AZ145" s="218"/>
      <c r="BA145" s="216"/>
      <c r="BB145" s="217"/>
      <c r="BC145" s="218"/>
      <c r="BD145" s="216"/>
      <c r="BE145" s="217"/>
      <c r="BF145" s="218"/>
      <c r="BG145" s="216"/>
      <c r="BH145" s="217"/>
      <c r="BI145" s="218"/>
      <c r="BJ145" s="216"/>
      <c r="BK145" s="217"/>
      <c r="BL145" s="218"/>
      <c r="BM145" s="216"/>
      <c r="BN145" s="217"/>
      <c r="BO145" s="218"/>
      <c r="BP145" s="216"/>
      <c r="BQ145" s="217"/>
      <c r="BR145" s="218"/>
      <c r="BS145" s="131">
        <v>124</v>
      </c>
      <c r="BT145" s="134">
        <v>4</v>
      </c>
      <c r="BU145" s="133">
        <v>0.25</v>
      </c>
      <c r="BV145" s="216"/>
      <c r="BW145" s="217"/>
      <c r="BX145" s="218"/>
      <c r="BY145" s="216"/>
      <c r="BZ145" s="217"/>
      <c r="CA145" s="218"/>
      <c r="CB145" s="131">
        <v>5216</v>
      </c>
      <c r="CC145" s="134">
        <v>6</v>
      </c>
      <c r="CD145" s="133">
        <v>0.75</v>
      </c>
      <c r="CE145" s="137">
        <f>B145+H145+N145+Z145+AF145+AL145+AR145+BS145</f>
        <v>5213</v>
      </c>
      <c r="CF145" s="192">
        <f>C145+I145+O145+AA145+AG145+AM145+AS145+BT145</f>
        <v>29</v>
      </c>
      <c r="CG145" s="139">
        <f>D145+J145+P145+AB145+AH145+AN145+AT145+BU145</f>
        <v>1.25</v>
      </c>
      <c r="CH145" s="131">
        <v>2093</v>
      </c>
      <c r="CI145" s="134">
        <v>1</v>
      </c>
      <c r="CJ145" s="133">
        <v>0.75</v>
      </c>
      <c r="CK145" s="137">
        <f>E145+K145+Q145+W145+AC145+AI145+AO145+AU145</f>
        <v>2092</v>
      </c>
      <c r="CL145" s="192">
        <f>F145+L145+R145+X145+AD145+AJ145+AP145+AV145</f>
        <v>9</v>
      </c>
      <c r="CM145" s="139">
        <f>G145+M145+S145+Y145+AE145+AK145+AQ145+AW145</f>
        <v>0.75</v>
      </c>
      <c r="CN145" s="131">
        <v>7130</v>
      </c>
      <c r="CO145" s="132"/>
      <c r="CP145" s="133">
        <v>0.5</v>
      </c>
      <c r="CQ145" s="137">
        <f>CE145+CK145</f>
        <v>7305</v>
      </c>
      <c r="CR145" s="192">
        <f t="shared" ref="CR145:CS158" si="2">CF145+CL145</f>
        <v>38</v>
      </c>
      <c r="CS145" s="139">
        <f t="shared" si="2"/>
        <v>2</v>
      </c>
    </row>
    <row r="146" spans="1:100" x14ac:dyDescent="0.2">
      <c r="A146" s="164" t="s">
        <v>1256</v>
      </c>
      <c r="B146" s="131">
        <v>26433</v>
      </c>
      <c r="C146" s="134">
        <v>2</v>
      </c>
      <c r="D146" s="133"/>
      <c r="E146" s="131">
        <v>59622</v>
      </c>
      <c r="F146" s="134">
        <v>2</v>
      </c>
      <c r="G146" s="133">
        <f>3/4</f>
        <v>0.75</v>
      </c>
      <c r="H146" s="131">
        <v>5285</v>
      </c>
      <c r="I146" s="134">
        <v>2</v>
      </c>
      <c r="J146" s="133">
        <f>1/2</f>
        <v>0.5</v>
      </c>
      <c r="K146" s="131">
        <v>11924</v>
      </c>
      <c r="L146" s="134">
        <v>3</v>
      </c>
      <c r="M146" s="133">
        <v>0.75</v>
      </c>
      <c r="N146" s="131">
        <v>5285</v>
      </c>
      <c r="O146" s="134">
        <v>2</v>
      </c>
      <c r="P146" s="133">
        <v>0.5</v>
      </c>
      <c r="Q146" s="131">
        <v>11924</v>
      </c>
      <c r="R146" s="134">
        <v>3</v>
      </c>
      <c r="S146" s="133">
        <v>0.75</v>
      </c>
      <c r="T146" s="131">
        <v>5285</v>
      </c>
      <c r="U146" s="132"/>
      <c r="V146" s="133">
        <v>0.5</v>
      </c>
      <c r="W146" s="131">
        <v>11924</v>
      </c>
      <c r="X146" s="134">
        <v>3</v>
      </c>
      <c r="Y146" s="133">
        <v>0.75</v>
      </c>
      <c r="Z146" s="131">
        <v>13919</v>
      </c>
      <c r="AA146" s="134">
        <v>5</v>
      </c>
      <c r="AB146" s="133"/>
      <c r="AC146" s="131">
        <v>31891</v>
      </c>
      <c r="AD146" s="134">
        <v>6</v>
      </c>
      <c r="AE146" s="133"/>
      <c r="AF146" s="131">
        <v>3479</v>
      </c>
      <c r="AG146" s="134">
        <v>4</v>
      </c>
      <c r="AH146" s="133">
        <v>0.75</v>
      </c>
      <c r="AI146" s="131">
        <v>7972</v>
      </c>
      <c r="AJ146" s="134">
        <v>7</v>
      </c>
      <c r="AK146" s="133">
        <v>0.25</v>
      </c>
      <c r="AL146" s="131">
        <v>2495</v>
      </c>
      <c r="AM146" s="134">
        <v>5</v>
      </c>
      <c r="AN146" s="133">
        <v>0.5</v>
      </c>
      <c r="AO146" s="131">
        <v>5704</v>
      </c>
      <c r="AP146" s="134">
        <v>2</v>
      </c>
      <c r="AQ146" s="133">
        <v>0.5</v>
      </c>
      <c r="AR146" s="131">
        <v>4927</v>
      </c>
      <c r="AS146" s="134">
        <v>2</v>
      </c>
      <c r="AT146" s="133">
        <v>0.25</v>
      </c>
      <c r="AU146" s="131">
        <v>10451</v>
      </c>
      <c r="AV146" s="134">
        <v>1</v>
      </c>
      <c r="AW146" s="133">
        <v>0.5</v>
      </c>
      <c r="AX146" s="131">
        <v>963</v>
      </c>
      <c r="AY146" s="134">
        <v>3</v>
      </c>
      <c r="AZ146" s="133"/>
      <c r="BA146" s="131">
        <v>298</v>
      </c>
      <c r="BB146" s="132"/>
      <c r="BC146" s="133"/>
      <c r="BD146" s="216"/>
      <c r="BE146" s="217"/>
      <c r="BF146" s="218"/>
      <c r="BG146" s="216"/>
      <c r="BH146" s="217"/>
      <c r="BI146" s="218"/>
      <c r="BJ146" s="131">
        <v>557</v>
      </c>
      <c r="BK146" s="134">
        <v>2</v>
      </c>
      <c r="BL146" s="133"/>
      <c r="BM146" s="131">
        <v>138</v>
      </c>
      <c r="BN146" s="134"/>
      <c r="BO146" s="133"/>
      <c r="BP146" s="131">
        <v>217</v>
      </c>
      <c r="BQ146" s="134">
        <v>3</v>
      </c>
      <c r="BR146" s="133">
        <v>0.25</v>
      </c>
      <c r="BS146" s="216"/>
      <c r="BT146" s="217"/>
      <c r="BU146" s="218"/>
      <c r="BV146" s="216"/>
      <c r="BW146" s="217"/>
      <c r="BX146" s="218"/>
      <c r="BY146" s="216"/>
      <c r="BZ146" s="217"/>
      <c r="CA146" s="218"/>
      <c r="CB146" s="131">
        <v>69284</v>
      </c>
      <c r="CC146" s="134">
        <v>6</v>
      </c>
      <c r="CD146" s="133">
        <v>0.25</v>
      </c>
      <c r="CE146" s="137">
        <f>B146+H146+N146+T146+Z146+AF146+AL146+AR146+AX146+BA146+BJ146+BM146+BP146</f>
        <v>69281</v>
      </c>
      <c r="CF146" s="192">
        <f>C146+I146+O146+U146+AA146+AG146+AM146+AS146+AY146+BB146+BK146+BN146+BQ146</f>
        <v>30</v>
      </c>
      <c r="CG146" s="139">
        <f>D146+J146+P146+V146+AB146+AH146+AN146+AT146+AZ146+BC146+BL146+BO146+BR146</f>
        <v>3.25</v>
      </c>
      <c r="CH146" s="131">
        <v>151415</v>
      </c>
      <c r="CI146" s="134">
        <v>7</v>
      </c>
      <c r="CJ146" s="133">
        <v>0.25</v>
      </c>
      <c r="CK146" s="137">
        <f>E146+K146+Q146+W146+AC146+AI146+AO146+AU146</f>
        <v>151412</v>
      </c>
      <c r="CL146" s="192">
        <f>F146+L146+R146+X146+AD146+AJ146+AP146+AV146</f>
        <v>27</v>
      </c>
      <c r="CM146" s="139">
        <f t="shared" ref="CM146:CM157" si="3">G146+M146+S146+Y146+AE146+AK146+AQ146+AW146</f>
        <v>4.25</v>
      </c>
      <c r="CN146" s="131">
        <v>220699</v>
      </c>
      <c r="CO146" s="134">
        <v>7</v>
      </c>
      <c r="CP146" s="133">
        <v>0.5</v>
      </c>
      <c r="CQ146" s="137">
        <f t="shared" ref="CQ146:CQ158" si="4">CE146+CK146</f>
        <v>220693</v>
      </c>
      <c r="CR146" s="192">
        <f t="shared" si="2"/>
        <v>57</v>
      </c>
      <c r="CS146" s="139">
        <f t="shared" si="2"/>
        <v>7.5</v>
      </c>
    </row>
    <row r="147" spans="1:100" x14ac:dyDescent="0.2">
      <c r="A147" s="164" t="s">
        <v>1257</v>
      </c>
      <c r="B147" s="216"/>
      <c r="C147" s="217"/>
      <c r="D147" s="218"/>
      <c r="E147" s="131">
        <v>604</v>
      </c>
      <c r="F147" s="134">
        <v>1</v>
      </c>
      <c r="G147" s="133"/>
      <c r="H147" s="216"/>
      <c r="I147" s="217"/>
      <c r="J147" s="218"/>
      <c r="K147" s="131">
        <v>120</v>
      </c>
      <c r="L147" s="134">
        <v>6</v>
      </c>
      <c r="M147" s="133">
        <v>0.5</v>
      </c>
      <c r="N147" s="216"/>
      <c r="O147" s="217"/>
      <c r="P147" s="218"/>
      <c r="Q147" s="131">
        <v>120</v>
      </c>
      <c r="R147" s="134">
        <v>6</v>
      </c>
      <c r="S147" s="133">
        <v>0.5</v>
      </c>
      <c r="T147" s="216"/>
      <c r="U147" s="217"/>
      <c r="V147" s="218"/>
      <c r="W147" s="131">
        <v>120</v>
      </c>
      <c r="X147" s="134">
        <v>6</v>
      </c>
      <c r="Y147" s="133">
        <v>0.5</v>
      </c>
      <c r="Z147" s="216"/>
      <c r="AA147" s="217"/>
      <c r="AB147" s="218"/>
      <c r="AC147" s="131">
        <v>331</v>
      </c>
      <c r="AD147" s="134">
        <v>2</v>
      </c>
      <c r="AE147" s="133"/>
      <c r="AF147" s="216"/>
      <c r="AG147" s="217"/>
      <c r="AH147" s="218"/>
      <c r="AI147" s="131">
        <v>82</v>
      </c>
      <c r="AJ147" s="134">
        <v>6</v>
      </c>
      <c r="AK147" s="133">
        <v>0.25</v>
      </c>
      <c r="AL147" s="216"/>
      <c r="AM147" s="217"/>
      <c r="AN147" s="218"/>
      <c r="AO147" s="131">
        <v>56</v>
      </c>
      <c r="AP147" s="134">
        <v>2</v>
      </c>
      <c r="AQ147" s="133"/>
      <c r="AR147" s="216"/>
      <c r="AS147" s="217"/>
      <c r="AT147" s="218"/>
      <c r="AU147" s="216"/>
      <c r="AV147" s="217"/>
      <c r="AW147" s="218"/>
      <c r="AX147" s="131">
        <v>49</v>
      </c>
      <c r="AY147" s="134">
        <v>2</v>
      </c>
      <c r="AZ147" s="133">
        <v>0.5</v>
      </c>
      <c r="BA147" s="131">
        <v>4</v>
      </c>
      <c r="BB147" s="132"/>
      <c r="BC147" s="133"/>
      <c r="BD147" s="216"/>
      <c r="BE147" s="217"/>
      <c r="BF147" s="218"/>
      <c r="BG147" s="216"/>
      <c r="BH147" s="217"/>
      <c r="BI147" s="218"/>
      <c r="BJ147" s="216"/>
      <c r="BK147" s="217"/>
      <c r="BL147" s="218"/>
      <c r="BM147" s="216"/>
      <c r="BN147" s="217"/>
      <c r="BO147" s="218"/>
      <c r="BP147" s="216"/>
      <c r="BQ147" s="217"/>
      <c r="BR147" s="218"/>
      <c r="BS147" s="216"/>
      <c r="BT147" s="217"/>
      <c r="BU147" s="218"/>
      <c r="BV147" s="216"/>
      <c r="BW147" s="217"/>
      <c r="BX147" s="218"/>
      <c r="BY147" s="216"/>
      <c r="BZ147" s="217"/>
      <c r="CA147" s="218"/>
      <c r="CB147" s="131">
        <v>53</v>
      </c>
      <c r="CC147" s="134">
        <v>2</v>
      </c>
      <c r="CD147" s="133">
        <v>0.5</v>
      </c>
      <c r="CE147" s="137">
        <f>AX147+BA147</f>
        <v>53</v>
      </c>
      <c r="CF147" s="192">
        <f>AY147+BB147</f>
        <v>2</v>
      </c>
      <c r="CG147" s="139">
        <f>AZ147+BC147</f>
        <v>0.5</v>
      </c>
      <c r="CH147" s="131">
        <v>1436</v>
      </c>
      <c r="CI147" s="134">
        <v>6</v>
      </c>
      <c r="CJ147" s="133">
        <v>0.75</v>
      </c>
      <c r="CK147" s="137">
        <f>E147+K147+Q147+W147+AC147+AI147+AO147+AU147</f>
        <v>1433</v>
      </c>
      <c r="CL147" s="192">
        <f>F147+L147+R147+X147+AD147+AJ147+AP147+AV147</f>
        <v>29</v>
      </c>
      <c r="CM147" s="139">
        <f t="shared" si="3"/>
        <v>1.75</v>
      </c>
      <c r="CN147" s="131">
        <v>1490</v>
      </c>
      <c r="CO147" s="134">
        <v>1</v>
      </c>
      <c r="CP147" s="133">
        <v>0.25</v>
      </c>
      <c r="CQ147" s="137">
        <f t="shared" si="4"/>
        <v>1486</v>
      </c>
      <c r="CR147" s="192">
        <f t="shared" si="2"/>
        <v>31</v>
      </c>
      <c r="CS147" s="139">
        <f t="shared" si="2"/>
        <v>2.25</v>
      </c>
    </row>
    <row r="148" spans="1:100" s="143" customFormat="1" x14ac:dyDescent="0.2">
      <c r="A148" s="219" t="s">
        <v>1258</v>
      </c>
      <c r="B148" s="140">
        <v>4259</v>
      </c>
      <c r="C148" s="184">
        <v>3</v>
      </c>
      <c r="D148" s="142">
        <f>3/4</f>
        <v>0.75</v>
      </c>
      <c r="E148" s="140">
        <v>16412</v>
      </c>
      <c r="F148" s="184">
        <v>1</v>
      </c>
      <c r="G148" s="142">
        <f>1/2</f>
        <v>0.5</v>
      </c>
      <c r="H148" s="140">
        <v>847</v>
      </c>
      <c r="I148" s="184">
        <v>3</v>
      </c>
      <c r="J148" s="142">
        <v>0.75</v>
      </c>
      <c r="K148" s="140">
        <v>3273</v>
      </c>
      <c r="L148" s="184">
        <v>2</v>
      </c>
      <c r="M148" s="142">
        <v>0.75</v>
      </c>
      <c r="N148" s="140">
        <v>847</v>
      </c>
      <c r="O148" s="184">
        <v>3</v>
      </c>
      <c r="P148" s="142">
        <v>0.75</v>
      </c>
      <c r="Q148" s="140">
        <v>3273</v>
      </c>
      <c r="R148" s="184">
        <v>2</v>
      </c>
      <c r="S148" s="142">
        <v>0.75</v>
      </c>
      <c r="T148" s="140">
        <v>820</v>
      </c>
      <c r="U148" s="184">
        <v>4</v>
      </c>
      <c r="V148" s="142">
        <v>0.25</v>
      </c>
      <c r="W148" s="140">
        <v>3439</v>
      </c>
      <c r="X148" s="184">
        <v>3</v>
      </c>
      <c r="Y148" s="142">
        <v>0.5</v>
      </c>
      <c r="Z148" s="140">
        <v>2153</v>
      </c>
      <c r="AA148" s="184">
        <v>2</v>
      </c>
      <c r="AB148" s="142"/>
      <c r="AC148" s="140">
        <v>7596</v>
      </c>
      <c r="AD148" s="184">
        <v>2</v>
      </c>
      <c r="AE148" s="142"/>
      <c r="AF148" s="140">
        <v>538</v>
      </c>
      <c r="AG148" s="184">
        <v>4</v>
      </c>
      <c r="AH148" s="142">
        <v>0.5</v>
      </c>
      <c r="AI148" s="140">
        <v>1899</v>
      </c>
      <c r="AJ148" s="184">
        <v>6</v>
      </c>
      <c r="AK148" s="142">
        <v>0.25</v>
      </c>
      <c r="AL148" s="140">
        <v>340</v>
      </c>
      <c r="AM148" s="184">
        <v>5</v>
      </c>
      <c r="AN148" s="142">
        <v>0.75</v>
      </c>
      <c r="AO148" s="140">
        <v>1336</v>
      </c>
      <c r="AP148" s="184">
        <v>3</v>
      </c>
      <c r="AQ148" s="142"/>
      <c r="AR148" s="140">
        <v>528</v>
      </c>
      <c r="AS148" s="184">
        <v>2</v>
      </c>
      <c r="AT148" s="142">
        <v>0.25</v>
      </c>
      <c r="AU148" s="140">
        <v>2522</v>
      </c>
      <c r="AV148" s="184">
        <v>7</v>
      </c>
      <c r="AW148" s="142">
        <v>0.5</v>
      </c>
      <c r="AX148" s="140">
        <v>30</v>
      </c>
      <c r="AY148" s="184">
        <v>5</v>
      </c>
      <c r="AZ148" s="142">
        <v>0.75</v>
      </c>
      <c r="BA148" s="140">
        <v>4</v>
      </c>
      <c r="BB148" s="184"/>
      <c r="BC148" s="142"/>
      <c r="BD148" s="140">
        <v>5</v>
      </c>
      <c r="BE148" s="184"/>
      <c r="BF148" s="142"/>
      <c r="BG148" s="220"/>
      <c r="BH148" s="221"/>
      <c r="BI148" s="222"/>
      <c r="BJ148" s="140">
        <v>54</v>
      </c>
      <c r="BK148" s="184">
        <v>7</v>
      </c>
      <c r="BL148" s="142">
        <v>0.5</v>
      </c>
      <c r="BM148" s="220"/>
      <c r="BN148" s="221"/>
      <c r="BO148" s="222"/>
      <c r="BP148" s="140">
        <v>6</v>
      </c>
      <c r="BQ148" s="184">
        <v>5</v>
      </c>
      <c r="BR148" s="142">
        <v>0.25</v>
      </c>
      <c r="BS148" s="140">
        <v>35</v>
      </c>
      <c r="BT148" s="184">
        <v>7</v>
      </c>
      <c r="BU148" s="142"/>
      <c r="BV148" s="140">
        <v>11</v>
      </c>
      <c r="BW148" s="184">
        <v>2</v>
      </c>
      <c r="BX148" s="142">
        <v>0.5</v>
      </c>
      <c r="BY148" s="220"/>
      <c r="BZ148" s="221"/>
      <c r="CA148" s="222"/>
      <c r="CB148" s="140">
        <v>10483</v>
      </c>
      <c r="CC148" s="184">
        <v>1</v>
      </c>
      <c r="CD148" s="142"/>
      <c r="CE148" s="137">
        <f>B148+H148+N148+T148+Z148+AF148+AL148+AR148+AX148+BA148+BD148+BJ148+BP148+BS148+BV148</f>
        <v>10477</v>
      </c>
      <c r="CF148" s="192">
        <f>C148+I148+O148+U148+AA148+AG148+AM148+AS148+AY148+BB148+BE148+BK148+BQ148+BT148+BW148</f>
        <v>52</v>
      </c>
      <c r="CG148" s="139">
        <f>D148+J148+P148+V148+AB148+AH148+AN148+AT148+AZ148+BC148+BF148+BL148+BR148+BU148+BX148</f>
        <v>6</v>
      </c>
      <c r="CH148" s="140">
        <v>39752</v>
      </c>
      <c r="CI148" s="184">
        <v>7</v>
      </c>
      <c r="CJ148" s="142">
        <v>0.25</v>
      </c>
      <c r="CK148" s="137">
        <f t="shared" ref="CK148:CL157" si="5">E148+K148+Q148+W148+AC148+AI148+AO148+AU148</f>
        <v>39750</v>
      </c>
      <c r="CL148" s="192">
        <f t="shared" si="5"/>
        <v>26</v>
      </c>
      <c r="CM148" s="139">
        <f t="shared" si="3"/>
        <v>3.25</v>
      </c>
      <c r="CN148" s="140">
        <v>50236</v>
      </c>
      <c r="CO148" s="184">
        <v>1</v>
      </c>
      <c r="CP148" s="142">
        <v>0.25</v>
      </c>
      <c r="CQ148" s="137">
        <f t="shared" si="4"/>
        <v>50227</v>
      </c>
      <c r="CR148" s="192">
        <f t="shared" si="2"/>
        <v>78</v>
      </c>
      <c r="CS148" s="139">
        <f t="shared" si="2"/>
        <v>9.25</v>
      </c>
    </row>
    <row r="149" spans="1:100" s="143" customFormat="1" x14ac:dyDescent="0.2">
      <c r="A149" s="219" t="s">
        <v>1259</v>
      </c>
      <c r="B149" s="140">
        <v>1602</v>
      </c>
      <c r="C149" s="184">
        <v>7</v>
      </c>
      <c r="D149" s="142"/>
      <c r="E149" s="220"/>
      <c r="F149" s="221"/>
      <c r="G149" s="222"/>
      <c r="H149" s="140">
        <v>319</v>
      </c>
      <c r="I149" s="184">
        <v>5</v>
      </c>
      <c r="J149" s="142">
        <v>0.25</v>
      </c>
      <c r="K149" s="220"/>
      <c r="L149" s="221"/>
      <c r="M149" s="222"/>
      <c r="N149" s="140">
        <v>319</v>
      </c>
      <c r="O149" s="184">
        <v>5</v>
      </c>
      <c r="P149" s="142">
        <v>0.25</v>
      </c>
      <c r="Q149" s="220"/>
      <c r="R149" s="221"/>
      <c r="S149" s="222"/>
      <c r="T149" s="140">
        <v>319</v>
      </c>
      <c r="U149" s="184">
        <v>5</v>
      </c>
      <c r="V149" s="142">
        <v>0.25</v>
      </c>
      <c r="W149" s="220"/>
      <c r="X149" s="221"/>
      <c r="Y149" s="222"/>
      <c r="Z149" s="140">
        <v>745</v>
      </c>
      <c r="AA149" s="184">
        <v>1</v>
      </c>
      <c r="AB149" s="142">
        <v>0.25</v>
      </c>
      <c r="AC149" s="220"/>
      <c r="AD149" s="221"/>
      <c r="AE149" s="222"/>
      <c r="AF149" s="140">
        <v>186</v>
      </c>
      <c r="AG149" s="184">
        <v>4</v>
      </c>
      <c r="AH149" s="142">
        <v>0.25</v>
      </c>
      <c r="AI149" s="220"/>
      <c r="AJ149" s="221"/>
      <c r="AK149" s="222"/>
      <c r="AL149" s="140">
        <v>112</v>
      </c>
      <c r="AM149" s="184">
        <v>5</v>
      </c>
      <c r="AN149" s="142">
        <v>0.25</v>
      </c>
      <c r="AO149" s="220"/>
      <c r="AP149" s="221"/>
      <c r="AQ149" s="222"/>
      <c r="AR149" s="140">
        <v>41</v>
      </c>
      <c r="AS149" s="184">
        <v>1</v>
      </c>
      <c r="AT149" s="142"/>
      <c r="AU149" s="220"/>
      <c r="AV149" s="221"/>
      <c r="AW149" s="222"/>
      <c r="AX149" s="140">
        <v>1261</v>
      </c>
      <c r="AY149" s="184">
        <v>4</v>
      </c>
      <c r="AZ149" s="142">
        <v>0.25</v>
      </c>
      <c r="BA149" s="140">
        <v>120</v>
      </c>
      <c r="BB149" s="184"/>
      <c r="BC149" s="142"/>
      <c r="BD149" s="140">
        <v>2</v>
      </c>
      <c r="BE149" s="184">
        <v>4</v>
      </c>
      <c r="BF149" s="142"/>
      <c r="BG149" s="220"/>
      <c r="BH149" s="221"/>
      <c r="BI149" s="222"/>
      <c r="BJ149" s="220"/>
      <c r="BK149" s="221"/>
      <c r="BL149" s="222"/>
      <c r="BM149" s="220"/>
      <c r="BN149" s="221"/>
      <c r="BO149" s="222"/>
      <c r="BP149" s="220"/>
      <c r="BQ149" s="221"/>
      <c r="BR149" s="222"/>
      <c r="BS149" s="140">
        <v>83</v>
      </c>
      <c r="BT149" s="184">
        <v>7</v>
      </c>
      <c r="BU149" s="142">
        <v>0.25</v>
      </c>
      <c r="BV149" s="140">
        <v>12</v>
      </c>
      <c r="BW149" s="184">
        <v>7</v>
      </c>
      <c r="BX149" s="142"/>
      <c r="BY149" s="220"/>
      <c r="BZ149" s="221"/>
      <c r="CA149" s="222"/>
      <c r="CB149" s="140">
        <v>5126</v>
      </c>
      <c r="CC149" s="184">
        <v>6</v>
      </c>
      <c r="CD149" s="142"/>
      <c r="CE149" s="137">
        <f>B149+H149+N149+T149+Z149+AF149+AL149+AR149+AX149+BA149+BD149+BS149+BV149</f>
        <v>5121</v>
      </c>
      <c r="CF149" s="192">
        <f>C149+I149+O149+U149+AA149+AG149+AM149+AS149+AY149+BB149+BE149+BT149+BW149</f>
        <v>55</v>
      </c>
      <c r="CG149" s="139">
        <f>D149+J149+P149+V149+AB149+AH149+AN149+AT149+AZ149+BC149+BF149+BU149+BX149</f>
        <v>2</v>
      </c>
      <c r="CH149" s="216"/>
      <c r="CI149" s="217"/>
      <c r="CJ149" s="218"/>
      <c r="CK149" s="223"/>
      <c r="CL149" s="224"/>
      <c r="CM149" s="225"/>
      <c r="CN149" s="140">
        <v>5126</v>
      </c>
      <c r="CO149" s="184">
        <v>6</v>
      </c>
      <c r="CP149" s="142"/>
      <c r="CQ149" s="226">
        <f t="shared" si="4"/>
        <v>5121</v>
      </c>
      <c r="CR149" s="227">
        <f t="shared" si="2"/>
        <v>55</v>
      </c>
      <c r="CS149" s="228">
        <f t="shared" si="2"/>
        <v>2</v>
      </c>
    </row>
    <row r="150" spans="1:100" x14ac:dyDescent="0.2">
      <c r="A150" s="164" t="s">
        <v>1260</v>
      </c>
      <c r="B150" s="131">
        <v>21</v>
      </c>
      <c r="C150" s="184">
        <v>5</v>
      </c>
      <c r="D150" s="133">
        <f>3/4</f>
        <v>0.75</v>
      </c>
      <c r="E150" s="131">
        <v>145</v>
      </c>
      <c r="F150" s="134">
        <v>1</v>
      </c>
      <c r="G150" s="133">
        <f>3/4</f>
        <v>0.75</v>
      </c>
      <c r="H150" s="131">
        <v>4</v>
      </c>
      <c r="I150" s="184">
        <v>2</v>
      </c>
      <c r="J150" s="133">
        <v>0.75</v>
      </c>
      <c r="K150" s="131">
        <v>29</v>
      </c>
      <c r="L150" s="184">
        <v>2</v>
      </c>
      <c r="M150" s="133">
        <v>0.75</v>
      </c>
      <c r="N150" s="131">
        <v>4</v>
      </c>
      <c r="O150" s="184">
        <v>2</v>
      </c>
      <c r="P150" s="133">
        <v>0.75</v>
      </c>
      <c r="Q150" s="131">
        <v>29</v>
      </c>
      <c r="R150" s="184">
        <v>2</v>
      </c>
      <c r="S150" s="133">
        <v>0.75</v>
      </c>
      <c r="T150" s="131">
        <v>4</v>
      </c>
      <c r="U150" s="134">
        <v>2</v>
      </c>
      <c r="V150" s="133">
        <v>0.75</v>
      </c>
      <c r="W150" s="131">
        <v>29</v>
      </c>
      <c r="X150" s="184">
        <v>2</v>
      </c>
      <c r="Y150" s="133">
        <v>0.75</v>
      </c>
      <c r="Z150" s="131">
        <v>12</v>
      </c>
      <c r="AA150" s="184">
        <v>6</v>
      </c>
      <c r="AB150" s="133">
        <v>0.5</v>
      </c>
      <c r="AC150" s="131">
        <v>74</v>
      </c>
      <c r="AD150" s="184">
        <v>6</v>
      </c>
      <c r="AE150" s="133">
        <v>0.75</v>
      </c>
      <c r="AF150" s="131">
        <v>3</v>
      </c>
      <c r="AG150" s="184">
        <v>1</v>
      </c>
      <c r="AH150" s="133">
        <v>0.5</v>
      </c>
      <c r="AI150" s="131">
        <v>18</v>
      </c>
      <c r="AJ150" s="184">
        <v>5</v>
      </c>
      <c r="AK150" s="133"/>
      <c r="AL150" s="131">
        <v>2</v>
      </c>
      <c r="AM150" s="184">
        <v>2</v>
      </c>
      <c r="AN150" s="133">
        <v>0.25</v>
      </c>
      <c r="AO150" s="131">
        <v>26</v>
      </c>
      <c r="AP150" s="184">
        <v>2</v>
      </c>
      <c r="AQ150" s="133"/>
      <c r="AR150" s="131">
        <v>4</v>
      </c>
      <c r="AS150" s="184">
        <v>4</v>
      </c>
      <c r="AT150" s="133">
        <v>0.75</v>
      </c>
      <c r="AU150" s="131">
        <v>13</v>
      </c>
      <c r="AV150" s="134">
        <v>1</v>
      </c>
      <c r="AW150" s="133"/>
      <c r="AX150" s="131">
        <v>311</v>
      </c>
      <c r="AY150" s="184">
        <v>6</v>
      </c>
      <c r="AZ150" s="133"/>
      <c r="BA150" s="131">
        <v>74</v>
      </c>
      <c r="BB150" s="132"/>
      <c r="BC150" s="133"/>
      <c r="BD150" s="216"/>
      <c r="BE150" s="217"/>
      <c r="BF150" s="218"/>
      <c r="BG150" s="216"/>
      <c r="BH150" s="217"/>
      <c r="BI150" s="218"/>
      <c r="BJ150" s="216"/>
      <c r="BK150" s="217"/>
      <c r="BL150" s="218"/>
      <c r="BM150" s="216"/>
      <c r="BN150" s="217"/>
      <c r="BO150" s="218"/>
      <c r="BP150" s="216"/>
      <c r="BQ150" s="217"/>
      <c r="BR150" s="218"/>
      <c r="BS150" s="216"/>
      <c r="BT150" s="217"/>
      <c r="BU150" s="218"/>
      <c r="BV150" s="216"/>
      <c r="BW150" s="217"/>
      <c r="BX150" s="218"/>
      <c r="BY150" s="216"/>
      <c r="BZ150" s="217"/>
      <c r="CA150" s="218"/>
      <c r="CB150" s="131">
        <v>443</v>
      </c>
      <c r="CC150" s="184">
        <v>3</v>
      </c>
      <c r="CD150" s="133"/>
      <c r="CE150" s="137">
        <f>B150+H150+N150+T150+Z150+AF150+AL150+AR150+AX150+BA150</f>
        <v>439</v>
      </c>
      <c r="CF150" s="192">
        <f>C150+I150+O150+U150+AA150+AG150+AM150+AS150+AY150+BB150</f>
        <v>30</v>
      </c>
      <c r="CG150" s="139">
        <f>D150+J150+P150+V150+AB150+AH150+AN150+AT150+AZ150+BC150</f>
        <v>5</v>
      </c>
      <c r="CH150" s="131">
        <v>366</v>
      </c>
      <c r="CI150" s="184">
        <v>7</v>
      </c>
      <c r="CJ150" s="133">
        <v>0.75</v>
      </c>
      <c r="CK150" s="137">
        <f t="shared" si="5"/>
        <v>363</v>
      </c>
      <c r="CL150" s="192">
        <f t="shared" si="5"/>
        <v>21</v>
      </c>
      <c r="CM150" s="139">
        <f t="shared" si="3"/>
        <v>3.75</v>
      </c>
      <c r="CN150" s="131">
        <v>809</v>
      </c>
      <c r="CO150" s="184">
        <v>3</v>
      </c>
      <c r="CP150" s="133">
        <v>0.75</v>
      </c>
      <c r="CQ150" s="137">
        <f t="shared" si="4"/>
        <v>802</v>
      </c>
      <c r="CR150" s="192">
        <f t="shared" si="2"/>
        <v>51</v>
      </c>
      <c r="CS150" s="139">
        <f t="shared" si="2"/>
        <v>8.75</v>
      </c>
    </row>
    <row r="151" spans="1:100" s="143" customFormat="1" x14ac:dyDescent="0.2">
      <c r="A151" s="219" t="s">
        <v>1261</v>
      </c>
      <c r="B151" s="140">
        <v>837</v>
      </c>
      <c r="C151" s="184">
        <v>6</v>
      </c>
      <c r="D151" s="142">
        <f>3/4</f>
        <v>0.75</v>
      </c>
      <c r="E151" s="140">
        <v>27102</v>
      </c>
      <c r="F151" s="184">
        <v>3</v>
      </c>
      <c r="G151" s="142">
        <f>1/4</f>
        <v>0.25</v>
      </c>
      <c r="H151" s="140">
        <v>168</v>
      </c>
      <c r="I151" s="184">
        <v>1</v>
      </c>
      <c r="J151" s="142">
        <v>0.5</v>
      </c>
      <c r="K151" s="140">
        <v>5420</v>
      </c>
      <c r="L151" s="184">
        <v>2</v>
      </c>
      <c r="M151" s="142">
        <v>0.75</v>
      </c>
      <c r="N151" s="140">
        <v>168</v>
      </c>
      <c r="O151" s="184">
        <v>1</v>
      </c>
      <c r="P151" s="142">
        <v>0.5</v>
      </c>
      <c r="Q151" s="140">
        <v>5420</v>
      </c>
      <c r="R151" s="184">
        <v>2</v>
      </c>
      <c r="S151" s="142">
        <v>0.75</v>
      </c>
      <c r="T151" s="140">
        <v>168</v>
      </c>
      <c r="U151" s="184">
        <v>1</v>
      </c>
      <c r="V151" s="142">
        <v>0.5</v>
      </c>
      <c r="W151" s="140">
        <v>5420</v>
      </c>
      <c r="X151" s="184">
        <v>2</v>
      </c>
      <c r="Y151" s="142">
        <v>0.75</v>
      </c>
      <c r="Z151" s="140">
        <v>427</v>
      </c>
      <c r="AA151" s="184">
        <v>5</v>
      </c>
      <c r="AB151" s="142">
        <v>0.5</v>
      </c>
      <c r="AC151" s="140">
        <v>15097</v>
      </c>
      <c r="AD151" s="184">
        <v>3</v>
      </c>
      <c r="AE151" s="142"/>
      <c r="AF151" s="140">
        <v>106</v>
      </c>
      <c r="AG151" s="184">
        <v>7</v>
      </c>
      <c r="AH151" s="142">
        <v>0.25</v>
      </c>
      <c r="AI151" s="140">
        <v>3774</v>
      </c>
      <c r="AJ151" s="184">
        <v>2</v>
      </c>
      <c r="AK151" s="142"/>
      <c r="AL151" s="140">
        <v>75</v>
      </c>
      <c r="AM151" s="184">
        <v>6</v>
      </c>
      <c r="AN151" s="142"/>
      <c r="AO151" s="140">
        <v>2684</v>
      </c>
      <c r="AP151" s="184">
        <v>2</v>
      </c>
      <c r="AQ151" s="142">
        <v>0.75</v>
      </c>
      <c r="AR151" s="140">
        <v>107</v>
      </c>
      <c r="AS151" s="184">
        <v>4</v>
      </c>
      <c r="AT151" s="142">
        <v>0.25</v>
      </c>
      <c r="AU151" s="140">
        <v>4910</v>
      </c>
      <c r="AV151" s="184">
        <v>3</v>
      </c>
      <c r="AW151" s="142"/>
      <c r="AX151" s="220"/>
      <c r="AY151" s="221"/>
      <c r="AZ151" s="222"/>
      <c r="BA151" s="220"/>
      <c r="BB151" s="221"/>
      <c r="BC151" s="222"/>
      <c r="BD151" s="220"/>
      <c r="BE151" s="221"/>
      <c r="BF151" s="222"/>
      <c r="BG151" s="220"/>
      <c r="BH151" s="221"/>
      <c r="BI151" s="222"/>
      <c r="BJ151" s="220"/>
      <c r="BK151" s="221"/>
      <c r="BL151" s="222"/>
      <c r="BM151" s="220"/>
      <c r="BN151" s="221"/>
      <c r="BO151" s="222"/>
      <c r="BP151" s="140">
        <v>399</v>
      </c>
      <c r="BQ151" s="184">
        <v>7</v>
      </c>
      <c r="BR151" s="142">
        <v>0.5</v>
      </c>
      <c r="BS151" s="140">
        <v>243</v>
      </c>
      <c r="BT151" s="184">
        <v>4</v>
      </c>
      <c r="BU151" s="142">
        <v>0.5</v>
      </c>
      <c r="BV151" s="220"/>
      <c r="BW151" s="221"/>
      <c r="BX151" s="222"/>
      <c r="BY151" s="220"/>
      <c r="BZ151" s="221"/>
      <c r="CA151" s="222"/>
      <c r="CB151" s="140">
        <v>2703</v>
      </c>
      <c r="CC151" s="184">
        <v>2</v>
      </c>
      <c r="CD151" s="142">
        <v>0.25</v>
      </c>
      <c r="CE151" s="137">
        <f>B151+H151+N151+T151+Z151+AF151+AL151+AR151+BP151+BS151</f>
        <v>2698</v>
      </c>
      <c r="CF151" s="192">
        <f>C151+I151+O151+U151+AA151+AG151+AM151+AS151+BQ151+BT151</f>
        <v>42</v>
      </c>
      <c r="CG151" s="139">
        <f>D151+J151+P151+V151+AB151+AH151+AN151+AT151+BR151+BU151</f>
        <v>4.25</v>
      </c>
      <c r="CH151" s="140">
        <v>69828</v>
      </c>
      <c r="CI151" s="184">
        <v>6</v>
      </c>
      <c r="CJ151" s="142">
        <v>0.25</v>
      </c>
      <c r="CK151" s="137">
        <f t="shared" si="5"/>
        <v>69827</v>
      </c>
      <c r="CL151" s="192">
        <f t="shared" si="5"/>
        <v>19</v>
      </c>
      <c r="CM151" s="139">
        <f t="shared" si="3"/>
        <v>3.25</v>
      </c>
      <c r="CN151" s="140">
        <v>72532</v>
      </c>
      <c r="CO151" s="184">
        <v>3</v>
      </c>
      <c r="CP151" s="142">
        <v>0.5</v>
      </c>
      <c r="CQ151" s="137">
        <f t="shared" si="4"/>
        <v>72525</v>
      </c>
      <c r="CR151" s="192">
        <f t="shared" si="2"/>
        <v>61</v>
      </c>
      <c r="CS151" s="139">
        <f t="shared" si="2"/>
        <v>7.5</v>
      </c>
    </row>
    <row r="152" spans="1:100" x14ac:dyDescent="0.2">
      <c r="A152" s="164" t="s">
        <v>1262</v>
      </c>
      <c r="B152" s="131">
        <v>209</v>
      </c>
      <c r="C152" s="184">
        <v>5</v>
      </c>
      <c r="D152" s="133"/>
      <c r="E152" s="216"/>
      <c r="F152" s="217"/>
      <c r="G152" s="218"/>
      <c r="H152" s="131">
        <v>42</v>
      </c>
      <c r="I152" s="184">
        <v>7</v>
      </c>
      <c r="J152" s="133">
        <v>0.25</v>
      </c>
      <c r="K152" s="216"/>
      <c r="L152" s="217"/>
      <c r="M152" s="218"/>
      <c r="N152" s="131">
        <v>42</v>
      </c>
      <c r="O152" s="184">
        <v>7</v>
      </c>
      <c r="P152" s="133">
        <v>0.25</v>
      </c>
      <c r="Q152" s="216"/>
      <c r="R152" s="217"/>
      <c r="S152" s="218"/>
      <c r="T152" s="131">
        <v>42</v>
      </c>
      <c r="U152" s="184">
        <v>7</v>
      </c>
      <c r="V152" s="133">
        <v>0.25</v>
      </c>
      <c r="W152" s="216"/>
      <c r="X152" s="217"/>
      <c r="Y152" s="218"/>
      <c r="Z152" s="131">
        <v>94</v>
      </c>
      <c r="AA152" s="184">
        <v>1</v>
      </c>
      <c r="AB152" s="133">
        <v>0.25</v>
      </c>
      <c r="AC152" s="216"/>
      <c r="AD152" s="217"/>
      <c r="AE152" s="218"/>
      <c r="AF152" s="131">
        <v>23</v>
      </c>
      <c r="AG152" s="184">
        <v>3</v>
      </c>
      <c r="AH152" s="133"/>
      <c r="AI152" s="216"/>
      <c r="AJ152" s="217"/>
      <c r="AK152" s="218"/>
      <c r="AL152" s="131">
        <v>17</v>
      </c>
      <c r="AM152" s="184">
        <v>7</v>
      </c>
      <c r="AN152" s="133">
        <v>0.75</v>
      </c>
      <c r="AO152" s="216"/>
      <c r="AP152" s="217"/>
      <c r="AQ152" s="218"/>
      <c r="AR152" s="131">
        <v>55</v>
      </c>
      <c r="AS152" s="184">
        <v>6</v>
      </c>
      <c r="AT152" s="133"/>
      <c r="AU152" s="216"/>
      <c r="AV152" s="217"/>
      <c r="AW152" s="218"/>
      <c r="AX152" s="216"/>
      <c r="AY152" s="217"/>
      <c r="AZ152" s="218"/>
      <c r="BA152" s="216"/>
      <c r="BB152" s="217"/>
      <c r="BC152" s="218"/>
      <c r="BD152" s="131">
        <v>5</v>
      </c>
      <c r="BE152" s="134">
        <v>4</v>
      </c>
      <c r="BF152" s="133"/>
      <c r="BG152" s="131">
        <v>27</v>
      </c>
      <c r="BH152" s="134"/>
      <c r="BI152" s="133"/>
      <c r="BJ152" s="216"/>
      <c r="BK152" s="217"/>
      <c r="BL152" s="218"/>
      <c r="BM152" s="216"/>
      <c r="BN152" s="217"/>
      <c r="BO152" s="218"/>
      <c r="BP152" s="216"/>
      <c r="BQ152" s="217"/>
      <c r="BR152" s="218"/>
      <c r="BS152" s="216"/>
      <c r="BT152" s="217"/>
      <c r="BU152" s="218"/>
      <c r="BV152" s="216"/>
      <c r="BW152" s="217"/>
      <c r="BX152" s="218"/>
      <c r="BY152" s="216"/>
      <c r="BZ152" s="217"/>
      <c r="CA152" s="218"/>
      <c r="CB152" s="131">
        <v>561</v>
      </c>
      <c r="CC152" s="184">
        <v>4</v>
      </c>
      <c r="CD152" s="133">
        <v>0.75</v>
      </c>
      <c r="CE152" s="137">
        <f>B152+H152+N152+T152+Z152+AF152+AL152+AR152+BD152+BG152</f>
        <v>556</v>
      </c>
      <c r="CF152" s="192">
        <f>C152+I152+O152+U152+AA152+AG152+AM152+AS152+BE152+BH152</f>
        <v>47</v>
      </c>
      <c r="CG152" s="139">
        <f>D152+J152+P152+V152+AB152+AH152+AN152+AT152+BF152+BI152</f>
        <v>1.75</v>
      </c>
      <c r="CH152" s="216"/>
      <c r="CI152" s="217"/>
      <c r="CJ152" s="218"/>
      <c r="CK152" s="223"/>
      <c r="CL152" s="224"/>
      <c r="CM152" s="225"/>
      <c r="CN152" s="131">
        <v>561</v>
      </c>
      <c r="CO152" s="184">
        <v>4</v>
      </c>
      <c r="CP152" s="133">
        <v>0.75</v>
      </c>
      <c r="CQ152" s="226">
        <f t="shared" si="4"/>
        <v>556</v>
      </c>
      <c r="CR152" s="227">
        <f t="shared" si="2"/>
        <v>47</v>
      </c>
      <c r="CS152" s="228">
        <f t="shared" si="2"/>
        <v>1.75</v>
      </c>
    </row>
    <row r="153" spans="1:100" s="143" customFormat="1" x14ac:dyDescent="0.2">
      <c r="A153" s="219" t="s">
        <v>1263</v>
      </c>
      <c r="B153" s="140">
        <v>364</v>
      </c>
      <c r="C153" s="184">
        <v>2</v>
      </c>
      <c r="D153" s="142">
        <f>1/2</f>
        <v>0.5</v>
      </c>
      <c r="E153" s="220"/>
      <c r="F153" s="221"/>
      <c r="G153" s="222"/>
      <c r="H153" s="140">
        <v>70</v>
      </c>
      <c r="I153" s="184">
        <v>3</v>
      </c>
      <c r="J153" s="142"/>
      <c r="K153" s="220"/>
      <c r="L153" s="221"/>
      <c r="M153" s="222"/>
      <c r="N153" s="140">
        <v>70</v>
      </c>
      <c r="O153" s="184">
        <v>3</v>
      </c>
      <c r="P153" s="142"/>
      <c r="Q153" s="220"/>
      <c r="R153" s="221"/>
      <c r="S153" s="222"/>
      <c r="T153" s="140">
        <v>58</v>
      </c>
      <c r="U153" s="184">
        <v>4</v>
      </c>
      <c r="V153" s="142">
        <v>0.25</v>
      </c>
      <c r="W153" s="220"/>
      <c r="X153" s="221"/>
      <c r="Y153" s="222"/>
      <c r="Z153" s="140">
        <v>198</v>
      </c>
      <c r="AA153" s="184">
        <v>2</v>
      </c>
      <c r="AB153" s="142">
        <v>0.5</v>
      </c>
      <c r="AC153" s="220"/>
      <c r="AD153" s="221"/>
      <c r="AE153" s="222"/>
      <c r="AF153" s="140">
        <v>49</v>
      </c>
      <c r="AG153" s="184">
        <v>2</v>
      </c>
      <c r="AH153" s="142">
        <v>0.5</v>
      </c>
      <c r="AI153" s="220"/>
      <c r="AJ153" s="221"/>
      <c r="AK153" s="222"/>
      <c r="AL153" s="140">
        <v>20</v>
      </c>
      <c r="AM153" s="184">
        <v>3</v>
      </c>
      <c r="AN153" s="142">
        <v>0.75</v>
      </c>
      <c r="AO153" s="220"/>
      <c r="AP153" s="221"/>
      <c r="AQ153" s="222"/>
      <c r="AR153" s="140">
        <v>17</v>
      </c>
      <c r="AS153" s="184">
        <v>5</v>
      </c>
      <c r="AT153" s="142">
        <v>0.25</v>
      </c>
      <c r="AU153" s="220"/>
      <c r="AV153" s="221"/>
      <c r="AW153" s="222"/>
      <c r="AX153" s="220"/>
      <c r="AY153" s="221"/>
      <c r="AZ153" s="222"/>
      <c r="BA153" s="220"/>
      <c r="BB153" s="221"/>
      <c r="BC153" s="222"/>
      <c r="BD153" s="220"/>
      <c r="BE153" s="221"/>
      <c r="BF153" s="222"/>
      <c r="BG153" s="220"/>
      <c r="BH153" s="221"/>
      <c r="BI153" s="222"/>
      <c r="BJ153" s="220"/>
      <c r="BK153" s="221"/>
      <c r="BL153" s="222"/>
      <c r="BM153" s="220"/>
      <c r="BN153" s="221"/>
      <c r="BO153" s="222"/>
      <c r="BP153" s="220"/>
      <c r="BQ153" s="221"/>
      <c r="BR153" s="222"/>
      <c r="BS153" s="220"/>
      <c r="BT153" s="221"/>
      <c r="BU153" s="222"/>
      <c r="BV153" s="220"/>
      <c r="BW153" s="221"/>
      <c r="BX153" s="222"/>
      <c r="BY153" s="220"/>
      <c r="BZ153" s="221"/>
      <c r="CA153" s="222"/>
      <c r="CB153" s="140">
        <v>849</v>
      </c>
      <c r="CC153" s="184">
        <v>2</v>
      </c>
      <c r="CD153" s="142">
        <v>0.75</v>
      </c>
      <c r="CE153" s="137">
        <f>B153+H153+N153+T153+Z153+AF153+AL153+AR153</f>
        <v>846</v>
      </c>
      <c r="CF153" s="192">
        <f>C153+I153+O153+U153+AA153+AG153+AM153+AS153</f>
        <v>24</v>
      </c>
      <c r="CG153" s="139">
        <f>D153+J153+P153+V153+AB153+AH153+AN153+AT153</f>
        <v>2.75</v>
      </c>
      <c r="CH153" s="216"/>
      <c r="CI153" s="217"/>
      <c r="CJ153" s="218"/>
      <c r="CK153" s="223"/>
      <c r="CL153" s="224"/>
      <c r="CM153" s="225"/>
      <c r="CN153" s="140">
        <v>849</v>
      </c>
      <c r="CO153" s="184">
        <v>2</v>
      </c>
      <c r="CP153" s="142">
        <v>0.75</v>
      </c>
      <c r="CQ153" s="226">
        <f t="shared" si="4"/>
        <v>846</v>
      </c>
      <c r="CR153" s="227">
        <f t="shared" si="2"/>
        <v>24</v>
      </c>
      <c r="CS153" s="228">
        <f t="shared" si="2"/>
        <v>2.75</v>
      </c>
    </row>
    <row r="154" spans="1:100" x14ac:dyDescent="0.2">
      <c r="A154" s="164" t="s">
        <v>1264</v>
      </c>
      <c r="B154" s="131">
        <v>4814</v>
      </c>
      <c r="C154" s="184">
        <v>3</v>
      </c>
      <c r="D154" s="133">
        <f>1/4</f>
        <v>0.25</v>
      </c>
      <c r="E154" s="131">
        <v>11096</v>
      </c>
      <c r="F154" s="134">
        <v>6</v>
      </c>
      <c r="G154" s="133">
        <f>1/2</f>
        <v>0.5</v>
      </c>
      <c r="H154" s="131">
        <v>961</v>
      </c>
      <c r="I154" s="184">
        <v>2</v>
      </c>
      <c r="J154" s="133">
        <v>0.75</v>
      </c>
      <c r="K154" s="131">
        <v>2219</v>
      </c>
      <c r="L154" s="134">
        <v>2</v>
      </c>
      <c r="M154" s="133">
        <v>0.75</v>
      </c>
      <c r="N154" s="131">
        <v>961</v>
      </c>
      <c r="O154" s="184">
        <v>2</v>
      </c>
      <c r="P154" s="133">
        <v>0.75</v>
      </c>
      <c r="Q154" s="131">
        <v>2219</v>
      </c>
      <c r="R154" s="134">
        <v>2</v>
      </c>
      <c r="S154" s="133">
        <v>0.75</v>
      </c>
      <c r="T154" s="131">
        <v>961</v>
      </c>
      <c r="U154" s="184">
        <v>2</v>
      </c>
      <c r="V154" s="133">
        <v>0.75</v>
      </c>
      <c r="W154" s="131">
        <v>2219</v>
      </c>
      <c r="X154" s="134">
        <v>2</v>
      </c>
      <c r="Y154" s="133">
        <v>0.75</v>
      </c>
      <c r="Z154" s="131">
        <v>2364</v>
      </c>
      <c r="AA154" s="184">
        <v>1</v>
      </c>
      <c r="AB154" s="133">
        <v>0.75</v>
      </c>
      <c r="AC154" s="131">
        <v>5865</v>
      </c>
      <c r="AD154" s="134">
        <v>2</v>
      </c>
      <c r="AE154" s="133"/>
      <c r="AF154" s="131">
        <v>590</v>
      </c>
      <c r="AG154" s="184">
        <v>7</v>
      </c>
      <c r="AH154" s="133">
        <v>0.25</v>
      </c>
      <c r="AI154" s="131">
        <v>1466</v>
      </c>
      <c r="AJ154" s="134">
        <v>2</v>
      </c>
      <c r="AK154" s="133">
        <v>0.5</v>
      </c>
      <c r="AL154" s="131">
        <v>416</v>
      </c>
      <c r="AM154" s="184">
        <v>7</v>
      </c>
      <c r="AN154" s="133">
        <v>0.5</v>
      </c>
      <c r="AO154" s="131">
        <v>1028</v>
      </c>
      <c r="AP154" s="134">
        <v>6</v>
      </c>
      <c r="AQ154" s="133">
        <v>0.75</v>
      </c>
      <c r="AR154" s="131">
        <v>223</v>
      </c>
      <c r="AS154" s="184">
        <v>3</v>
      </c>
      <c r="AT154" s="133"/>
      <c r="AU154" s="131">
        <v>1464</v>
      </c>
      <c r="AV154" s="134">
        <v>1</v>
      </c>
      <c r="AW154" s="133">
        <v>0.75</v>
      </c>
      <c r="AX154" s="131">
        <v>3100</v>
      </c>
      <c r="AY154" s="134">
        <v>2</v>
      </c>
      <c r="AZ154" s="133"/>
      <c r="BA154" s="131">
        <v>300</v>
      </c>
      <c r="BB154" s="134"/>
      <c r="BC154" s="133"/>
      <c r="BD154" s="131">
        <v>32</v>
      </c>
      <c r="BE154" s="134">
        <v>4</v>
      </c>
      <c r="BF154" s="133"/>
      <c r="BG154" s="216"/>
      <c r="BH154" s="217"/>
      <c r="BI154" s="218"/>
      <c r="BJ154" s="131">
        <v>44</v>
      </c>
      <c r="BK154" s="134">
        <v>7</v>
      </c>
      <c r="BL154" s="133"/>
      <c r="BM154" s="216"/>
      <c r="BN154" s="217"/>
      <c r="BO154" s="218"/>
      <c r="BP154" s="131">
        <v>36</v>
      </c>
      <c r="BQ154" s="134">
        <v>6</v>
      </c>
      <c r="BR154" s="133"/>
      <c r="BS154" s="216"/>
      <c r="BT154" s="217"/>
      <c r="BU154" s="218"/>
      <c r="BV154" s="216"/>
      <c r="BW154" s="217"/>
      <c r="BX154" s="218"/>
      <c r="BY154" s="131">
        <v>122</v>
      </c>
      <c r="BZ154" s="132"/>
      <c r="CA154" s="133">
        <v>0.75</v>
      </c>
      <c r="CB154" s="131">
        <v>14930</v>
      </c>
      <c r="CC154" s="184">
        <v>2</v>
      </c>
      <c r="CD154" s="133">
        <v>0.75</v>
      </c>
      <c r="CE154" s="137">
        <f>B154+H154+N154+T154+Z154+AF154+AL154+AR154+AX154+BA154+BD154+BJ154+BP154+BY154</f>
        <v>14924</v>
      </c>
      <c r="CF154" s="192">
        <f>C154+I154+O154+U154+AA154+AG154+AM154+AS154+AY154+BB154+BE154+BK154+BQ154+BZ154</f>
        <v>46</v>
      </c>
      <c r="CG154" s="139">
        <f>D154+J154+P154+V154+AB154+AH154+AN154+AT154+AZ154+BC154+BF154+BL154+BR154+CA154</f>
        <v>4.75</v>
      </c>
      <c r="CH154" s="131">
        <v>27579</v>
      </c>
      <c r="CI154" s="134">
        <v>3</v>
      </c>
      <c r="CJ154" s="133">
        <v>0.75</v>
      </c>
      <c r="CK154" s="137">
        <f t="shared" si="5"/>
        <v>27576</v>
      </c>
      <c r="CL154" s="192">
        <f t="shared" si="5"/>
        <v>23</v>
      </c>
      <c r="CM154" s="139">
        <f t="shared" si="3"/>
        <v>4.75</v>
      </c>
      <c r="CN154" s="131">
        <v>42509</v>
      </c>
      <c r="CO154" s="184">
        <v>6</v>
      </c>
      <c r="CP154" s="133">
        <v>0.5</v>
      </c>
      <c r="CQ154" s="137">
        <f t="shared" si="4"/>
        <v>42500</v>
      </c>
      <c r="CR154" s="192">
        <f t="shared" si="2"/>
        <v>69</v>
      </c>
      <c r="CS154" s="139">
        <f t="shared" si="2"/>
        <v>9.5</v>
      </c>
    </row>
    <row r="155" spans="1:100" s="143" customFormat="1" x14ac:dyDescent="0.2">
      <c r="A155" s="219" t="s">
        <v>1265</v>
      </c>
      <c r="B155" s="140">
        <v>48223</v>
      </c>
      <c r="C155" s="184">
        <v>5</v>
      </c>
      <c r="D155" s="142">
        <f>3/4</f>
        <v>0.75</v>
      </c>
      <c r="E155" s="140">
        <v>219849</v>
      </c>
      <c r="F155" s="184">
        <v>1</v>
      </c>
      <c r="G155" s="142">
        <f>3/4</f>
        <v>0.75</v>
      </c>
      <c r="H155" s="140">
        <v>12777</v>
      </c>
      <c r="I155" s="184">
        <v>3</v>
      </c>
      <c r="J155" s="142">
        <v>0.25</v>
      </c>
      <c r="K155" s="140">
        <v>43969</v>
      </c>
      <c r="L155" s="184">
        <v>6</v>
      </c>
      <c r="M155" s="142">
        <v>0.75</v>
      </c>
      <c r="N155" s="140">
        <v>12777</v>
      </c>
      <c r="O155" s="184">
        <v>3</v>
      </c>
      <c r="P155" s="142">
        <v>0.25</v>
      </c>
      <c r="Q155" s="140">
        <v>43969</v>
      </c>
      <c r="R155" s="184">
        <v>6</v>
      </c>
      <c r="S155" s="142">
        <v>0.75</v>
      </c>
      <c r="T155" s="140">
        <v>20536</v>
      </c>
      <c r="U155" s="184">
        <v>2</v>
      </c>
      <c r="V155" s="142">
        <v>0.75</v>
      </c>
      <c r="W155" s="140">
        <v>43969</v>
      </c>
      <c r="X155" s="184">
        <v>6</v>
      </c>
      <c r="Y155" s="142">
        <v>0.75</v>
      </c>
      <c r="Z155" s="140">
        <v>32159</v>
      </c>
      <c r="AA155" s="184">
        <v>6</v>
      </c>
      <c r="AB155" s="142"/>
      <c r="AC155" s="140">
        <v>121109</v>
      </c>
      <c r="AD155" s="184">
        <v>6</v>
      </c>
      <c r="AE155" s="142">
        <v>0.25</v>
      </c>
      <c r="AF155" s="140">
        <v>8042</v>
      </c>
      <c r="AG155" s="184">
        <v>3</v>
      </c>
      <c r="AH155" s="142">
        <v>0.25</v>
      </c>
      <c r="AI155" s="140">
        <v>30277</v>
      </c>
      <c r="AJ155" s="184">
        <v>3</v>
      </c>
      <c r="AK155" s="142">
        <v>0.5</v>
      </c>
      <c r="AL155" s="140">
        <v>6082</v>
      </c>
      <c r="AM155" s="184">
        <v>7</v>
      </c>
      <c r="AN155" s="142">
        <v>0.75</v>
      </c>
      <c r="AO155" s="140">
        <v>21539</v>
      </c>
      <c r="AP155" s="184">
        <v>3</v>
      </c>
      <c r="AQ155" s="142">
        <v>0.75</v>
      </c>
      <c r="AR155" s="140">
        <v>5282</v>
      </c>
      <c r="AS155" s="184">
        <v>3</v>
      </c>
      <c r="AT155" s="142">
        <v>0.75</v>
      </c>
      <c r="AU155" s="140">
        <v>39518</v>
      </c>
      <c r="AV155" s="184">
        <v>3</v>
      </c>
      <c r="AW155" s="142">
        <v>0.75</v>
      </c>
      <c r="AX155" s="140">
        <v>5030</v>
      </c>
      <c r="AY155" s="184">
        <v>2</v>
      </c>
      <c r="AZ155" s="142">
        <v>0.25</v>
      </c>
      <c r="BA155" s="140">
        <v>502</v>
      </c>
      <c r="BB155" s="184"/>
      <c r="BC155" s="142"/>
      <c r="BD155" s="140">
        <v>45</v>
      </c>
      <c r="BE155" s="184">
        <v>4</v>
      </c>
      <c r="BF155" s="142"/>
      <c r="BG155" s="220"/>
      <c r="BH155" s="221"/>
      <c r="BI155" s="222"/>
      <c r="BJ155" s="140">
        <v>934</v>
      </c>
      <c r="BK155" s="184">
        <v>2</v>
      </c>
      <c r="BL155" s="142">
        <v>0.25</v>
      </c>
      <c r="BM155" s="220"/>
      <c r="BN155" s="221"/>
      <c r="BO155" s="222"/>
      <c r="BP155" s="140">
        <v>422</v>
      </c>
      <c r="BQ155" s="184">
        <v>4</v>
      </c>
      <c r="BR155" s="142">
        <v>0.25</v>
      </c>
      <c r="BS155" s="140">
        <v>7707</v>
      </c>
      <c r="BT155" s="184">
        <v>4</v>
      </c>
      <c r="BU155" s="142">
        <v>0.25</v>
      </c>
      <c r="BV155" s="220"/>
      <c r="BW155" s="221"/>
      <c r="BX155" s="222"/>
      <c r="BY155" s="140">
        <v>478</v>
      </c>
      <c r="BZ155" s="184">
        <v>3</v>
      </c>
      <c r="CA155" s="142">
        <v>0.5</v>
      </c>
      <c r="CB155" s="140">
        <v>161001</v>
      </c>
      <c r="CC155" s="184">
        <v>1</v>
      </c>
      <c r="CD155" s="142">
        <v>0.25</v>
      </c>
      <c r="CE155" s="137">
        <f>B155+H155+N155+T155+Z155+AF155+AL155+AR155+AX155+BA155+BD155+BJ155+BP155+BS155+BY155</f>
        <v>160996</v>
      </c>
      <c r="CF155" s="192">
        <f>C155+I155+O155+U155+AA155+AG155+AM155+AS155+AY155+BB155+BE155+BK155+BQ155+BT155+BZ155</f>
        <v>51</v>
      </c>
      <c r="CG155" s="139">
        <f>D155+J155+P155+V155+AB155+AH155+AN155+AT155+AZ155+BC155+BF155+BL155+BR155+BU155+CA155</f>
        <v>5.25</v>
      </c>
      <c r="CH155" s="140">
        <v>564203</v>
      </c>
      <c r="CI155" s="184">
        <v>7</v>
      </c>
      <c r="CJ155" s="142">
        <v>0.25</v>
      </c>
      <c r="CK155" s="137">
        <f t="shared" si="5"/>
        <v>564199</v>
      </c>
      <c r="CL155" s="192">
        <f t="shared" si="5"/>
        <v>34</v>
      </c>
      <c r="CM155" s="139">
        <f t="shared" si="3"/>
        <v>5.25</v>
      </c>
      <c r="CN155" s="140">
        <v>725205</v>
      </c>
      <c r="CO155" s="184">
        <v>6</v>
      </c>
      <c r="CP155" s="142">
        <v>0.5</v>
      </c>
      <c r="CQ155" s="137">
        <f t="shared" si="4"/>
        <v>725195</v>
      </c>
      <c r="CR155" s="192">
        <f t="shared" si="2"/>
        <v>85</v>
      </c>
      <c r="CS155" s="139">
        <f t="shared" si="2"/>
        <v>10.5</v>
      </c>
    </row>
    <row r="156" spans="1:100" x14ac:dyDescent="0.2">
      <c r="A156" s="164" t="s">
        <v>1266</v>
      </c>
      <c r="B156" s="131">
        <v>12</v>
      </c>
      <c r="C156" s="184">
        <v>1</v>
      </c>
      <c r="D156" s="133"/>
      <c r="E156" s="216"/>
      <c r="F156" s="217"/>
      <c r="G156" s="218"/>
      <c r="H156" s="131">
        <v>2</v>
      </c>
      <c r="I156" s="184">
        <v>3</v>
      </c>
      <c r="J156" s="133">
        <v>0.5</v>
      </c>
      <c r="K156" s="216"/>
      <c r="L156" s="217"/>
      <c r="M156" s="218"/>
      <c r="N156" s="131">
        <v>2</v>
      </c>
      <c r="O156" s="184">
        <v>3</v>
      </c>
      <c r="P156" s="133">
        <v>0.5</v>
      </c>
      <c r="Q156" s="216"/>
      <c r="R156" s="217"/>
      <c r="S156" s="218"/>
      <c r="T156" s="131">
        <v>2</v>
      </c>
      <c r="U156" s="184">
        <v>3</v>
      </c>
      <c r="V156" s="133">
        <v>0.5</v>
      </c>
      <c r="W156" s="216"/>
      <c r="X156" s="217"/>
      <c r="Y156" s="218"/>
      <c r="Z156" s="131">
        <v>5</v>
      </c>
      <c r="AA156" s="184">
        <v>6</v>
      </c>
      <c r="AB156" s="133">
        <v>0.25</v>
      </c>
      <c r="AC156" s="216"/>
      <c r="AD156" s="217"/>
      <c r="AE156" s="218"/>
      <c r="AF156" s="131">
        <v>1</v>
      </c>
      <c r="AG156" s="184">
        <v>2</v>
      </c>
      <c r="AH156" s="133">
        <v>0.25</v>
      </c>
      <c r="AI156" s="216"/>
      <c r="AJ156" s="217"/>
      <c r="AK156" s="218"/>
      <c r="AL156" s="136">
        <v>82</v>
      </c>
      <c r="AM156" s="184">
        <v>6</v>
      </c>
      <c r="AN156" s="133">
        <v>0.75</v>
      </c>
      <c r="AO156" s="216"/>
      <c r="AP156" s="217"/>
      <c r="AQ156" s="218"/>
      <c r="AR156" s="136">
        <v>282</v>
      </c>
      <c r="AS156" s="184">
        <v>3</v>
      </c>
      <c r="AT156" s="133">
        <v>0.5</v>
      </c>
      <c r="AU156" s="216"/>
      <c r="AV156" s="217"/>
      <c r="AW156" s="218"/>
      <c r="AX156" s="216"/>
      <c r="AY156" s="217"/>
      <c r="AZ156" s="218"/>
      <c r="BA156" s="131">
        <v>8</v>
      </c>
      <c r="BB156" s="134"/>
      <c r="BC156" s="133"/>
      <c r="BD156" s="216"/>
      <c r="BE156" s="217"/>
      <c r="BF156" s="218"/>
      <c r="BG156" s="216"/>
      <c r="BH156" s="217"/>
      <c r="BI156" s="218"/>
      <c r="BJ156" s="216"/>
      <c r="BK156" s="217"/>
      <c r="BL156" s="218"/>
      <c r="BM156" s="216"/>
      <c r="BN156" s="217"/>
      <c r="BO156" s="218"/>
      <c r="BP156" s="216"/>
      <c r="BQ156" s="217"/>
      <c r="BR156" s="218"/>
      <c r="BS156" s="216"/>
      <c r="BT156" s="217"/>
      <c r="BU156" s="218"/>
      <c r="BV156" s="216"/>
      <c r="BW156" s="217"/>
      <c r="BX156" s="218"/>
      <c r="BY156" s="216"/>
      <c r="BZ156" s="217"/>
      <c r="CA156" s="218"/>
      <c r="CB156" s="131">
        <v>35</v>
      </c>
      <c r="CC156" s="184">
        <v>1</v>
      </c>
      <c r="CD156" s="133">
        <v>0.25</v>
      </c>
      <c r="CE156" s="137">
        <f t="shared" ref="CE156:CG157" si="6">B156+H156+N156+T156+Z156+AF156+AL156+AR156+BA156</f>
        <v>396</v>
      </c>
      <c r="CF156" s="192">
        <f t="shared" si="6"/>
        <v>27</v>
      </c>
      <c r="CG156" s="139">
        <f t="shared" si="6"/>
        <v>3.25</v>
      </c>
      <c r="CH156" s="216"/>
      <c r="CI156" s="217"/>
      <c r="CJ156" s="218"/>
      <c r="CK156" s="137"/>
      <c r="CL156" s="192"/>
      <c r="CM156" s="139"/>
      <c r="CN156" s="131">
        <v>35</v>
      </c>
      <c r="CO156" s="184">
        <v>6</v>
      </c>
      <c r="CP156" s="133">
        <v>0.25</v>
      </c>
      <c r="CQ156" s="137">
        <f t="shared" si="4"/>
        <v>396</v>
      </c>
      <c r="CR156" s="192">
        <f t="shared" si="2"/>
        <v>27</v>
      </c>
      <c r="CS156" s="139">
        <f t="shared" si="2"/>
        <v>3.25</v>
      </c>
    </row>
    <row r="157" spans="1:100" s="143" customFormat="1" x14ac:dyDescent="0.2">
      <c r="A157" s="229" t="s">
        <v>1267</v>
      </c>
      <c r="B157" s="140">
        <v>52</v>
      </c>
      <c r="C157" s="184">
        <v>5</v>
      </c>
      <c r="D157" s="142">
        <f>1/4</f>
        <v>0.25</v>
      </c>
      <c r="E157" s="140">
        <v>448</v>
      </c>
      <c r="F157" s="184">
        <v>6</v>
      </c>
      <c r="G157" s="142">
        <f>1/2</f>
        <v>0.5</v>
      </c>
      <c r="H157" s="140">
        <v>9</v>
      </c>
      <c r="I157" s="184">
        <v>4</v>
      </c>
      <c r="J157" s="142">
        <v>0.25</v>
      </c>
      <c r="K157" s="140">
        <v>88</v>
      </c>
      <c r="L157" s="184">
        <v>5</v>
      </c>
      <c r="M157" s="142">
        <v>0.5</v>
      </c>
      <c r="N157" s="140">
        <v>9</v>
      </c>
      <c r="O157" s="184">
        <v>4</v>
      </c>
      <c r="P157" s="142">
        <v>0.25</v>
      </c>
      <c r="Q157" s="140">
        <v>88</v>
      </c>
      <c r="R157" s="184">
        <v>5</v>
      </c>
      <c r="S157" s="142">
        <v>0.5</v>
      </c>
      <c r="T157" s="140">
        <v>5</v>
      </c>
      <c r="U157" s="184">
        <v>3</v>
      </c>
      <c r="V157" s="142"/>
      <c r="W157" s="140">
        <v>81</v>
      </c>
      <c r="X157" s="184">
        <v>1</v>
      </c>
      <c r="Y157" s="142">
        <v>0.25</v>
      </c>
      <c r="Z157" s="140">
        <v>23</v>
      </c>
      <c r="AA157" s="184">
        <v>1</v>
      </c>
      <c r="AB157" s="142">
        <v>0.25</v>
      </c>
      <c r="AC157" s="140">
        <v>246</v>
      </c>
      <c r="AD157" s="184">
        <v>3</v>
      </c>
      <c r="AE157" s="142">
        <v>0.5</v>
      </c>
      <c r="AF157" s="140">
        <v>5</v>
      </c>
      <c r="AG157" s="184">
        <v>6</v>
      </c>
      <c r="AH157" s="142"/>
      <c r="AI157" s="140">
        <v>61</v>
      </c>
      <c r="AJ157" s="184">
        <v>3</v>
      </c>
      <c r="AK157" s="142"/>
      <c r="AL157" s="140">
        <v>4</v>
      </c>
      <c r="AM157" s="184">
        <v>1</v>
      </c>
      <c r="AN157" s="142">
        <v>0.25</v>
      </c>
      <c r="AO157" s="140">
        <v>44</v>
      </c>
      <c r="AP157" s="184">
        <v>3</v>
      </c>
      <c r="AQ157" s="142">
        <v>0.25</v>
      </c>
      <c r="AR157" s="140">
        <v>4</v>
      </c>
      <c r="AS157" s="184">
        <v>3</v>
      </c>
      <c r="AT157" s="142">
        <v>0.5</v>
      </c>
      <c r="AU157" s="140">
        <v>83</v>
      </c>
      <c r="AV157" s="184">
        <v>7</v>
      </c>
      <c r="AW157" s="142">
        <v>0.25</v>
      </c>
      <c r="AX157" s="220"/>
      <c r="AY157" s="221"/>
      <c r="AZ157" s="222"/>
      <c r="BA157" s="140">
        <v>10</v>
      </c>
      <c r="BB157" s="184"/>
      <c r="BC157" s="142"/>
      <c r="BD157" s="220"/>
      <c r="BE157" s="221"/>
      <c r="BF157" s="222"/>
      <c r="BG157" s="220"/>
      <c r="BH157" s="221"/>
      <c r="BI157" s="222"/>
      <c r="BJ157" s="220"/>
      <c r="BK157" s="221"/>
      <c r="BL157" s="222"/>
      <c r="BM157" s="220"/>
      <c r="BN157" s="221"/>
      <c r="BO157" s="222"/>
      <c r="BP157" s="220"/>
      <c r="BQ157" s="221"/>
      <c r="BR157" s="222"/>
      <c r="BS157" s="220"/>
      <c r="BT157" s="221"/>
      <c r="BU157" s="222"/>
      <c r="BV157" s="220"/>
      <c r="BW157" s="221"/>
      <c r="BX157" s="222"/>
      <c r="BY157" s="220"/>
      <c r="BZ157" s="221"/>
      <c r="CA157" s="222"/>
      <c r="CB157" s="140">
        <v>123</v>
      </c>
      <c r="CC157" s="184">
        <v>6</v>
      </c>
      <c r="CD157" s="142">
        <v>0.75</v>
      </c>
      <c r="CE157" s="137">
        <f t="shared" si="6"/>
        <v>121</v>
      </c>
      <c r="CF157" s="192">
        <f t="shared" si="6"/>
        <v>27</v>
      </c>
      <c r="CG157" s="139">
        <f t="shared" si="6"/>
        <v>1.75</v>
      </c>
      <c r="CH157" s="140">
        <v>1146</v>
      </c>
      <c r="CI157" s="184">
        <v>7</v>
      </c>
      <c r="CJ157" s="142">
        <v>0.75</v>
      </c>
      <c r="CK157" s="137">
        <f t="shared" si="5"/>
        <v>1139</v>
      </c>
      <c r="CL157" s="192">
        <f t="shared" si="5"/>
        <v>33</v>
      </c>
      <c r="CM157" s="139">
        <f t="shared" si="3"/>
        <v>2.75</v>
      </c>
      <c r="CN157" s="140">
        <v>1269</v>
      </c>
      <c r="CO157" s="184">
        <v>7</v>
      </c>
      <c r="CP157" s="142">
        <v>0.5</v>
      </c>
      <c r="CQ157" s="137">
        <f t="shared" si="4"/>
        <v>1260</v>
      </c>
      <c r="CR157" s="192">
        <f t="shared" si="2"/>
        <v>60</v>
      </c>
      <c r="CS157" s="139">
        <f t="shared" si="2"/>
        <v>4.5</v>
      </c>
    </row>
    <row r="158" spans="1:100" x14ac:dyDescent="0.2">
      <c r="A158" s="164" t="s">
        <v>1268</v>
      </c>
      <c r="B158" s="230">
        <v>2397</v>
      </c>
      <c r="C158" s="194">
        <v>1</v>
      </c>
      <c r="D158" s="231">
        <f>3/4</f>
        <v>0.75</v>
      </c>
      <c r="E158" s="216"/>
      <c r="F158" s="217"/>
      <c r="G158" s="218"/>
      <c r="H158" s="131">
        <v>450</v>
      </c>
      <c r="I158" s="184">
        <v>1</v>
      </c>
      <c r="J158" s="133"/>
      <c r="K158" s="216"/>
      <c r="L158" s="217"/>
      <c r="M158" s="218"/>
      <c r="N158" s="131">
        <v>450</v>
      </c>
      <c r="O158" s="184">
        <v>1</v>
      </c>
      <c r="P158" s="133"/>
      <c r="Q158" s="216"/>
      <c r="R158" s="217"/>
      <c r="S158" s="218"/>
      <c r="T158" s="131">
        <v>304</v>
      </c>
      <c r="U158" s="184">
        <v>6</v>
      </c>
      <c r="V158" s="133"/>
      <c r="W158" s="216"/>
      <c r="X158" s="217"/>
      <c r="Y158" s="218"/>
      <c r="Z158" s="131">
        <v>1308</v>
      </c>
      <c r="AA158" s="184">
        <v>1</v>
      </c>
      <c r="AB158" s="133">
        <v>0.75</v>
      </c>
      <c r="AC158" s="216"/>
      <c r="AD158" s="217"/>
      <c r="AE158" s="218"/>
      <c r="AF158" s="131">
        <v>326</v>
      </c>
      <c r="AG158" s="184">
        <v>7</v>
      </c>
      <c r="AH158" s="133">
        <v>0.75</v>
      </c>
      <c r="AI158" s="216"/>
      <c r="AJ158" s="217"/>
      <c r="AK158" s="218"/>
      <c r="AL158" s="131">
        <v>233</v>
      </c>
      <c r="AM158" s="184">
        <v>1</v>
      </c>
      <c r="AN158" s="133">
        <v>0.75</v>
      </c>
      <c r="AO158" s="216"/>
      <c r="AP158" s="217"/>
      <c r="AQ158" s="218"/>
      <c r="AR158" s="131">
        <v>1</v>
      </c>
      <c r="AS158" s="184">
        <v>6</v>
      </c>
      <c r="AT158" s="133"/>
      <c r="AU158" s="216"/>
      <c r="AV158" s="217"/>
      <c r="AW158" s="218"/>
      <c r="AX158" s="216"/>
      <c r="AY158" s="217"/>
      <c r="AZ158" s="218"/>
      <c r="BA158" s="216"/>
      <c r="BB158" s="217"/>
      <c r="BC158" s="218"/>
      <c r="BD158" s="216"/>
      <c r="BE158" s="217"/>
      <c r="BF158" s="218"/>
      <c r="BG158" s="216"/>
      <c r="BH158" s="217"/>
      <c r="BI158" s="218"/>
      <c r="BJ158" s="216"/>
      <c r="BK158" s="217"/>
      <c r="BL158" s="218"/>
      <c r="BM158" s="216"/>
      <c r="BN158" s="217"/>
      <c r="BO158" s="218"/>
      <c r="BP158" s="216"/>
      <c r="BQ158" s="217"/>
      <c r="BR158" s="218"/>
      <c r="BS158" s="216"/>
      <c r="BT158" s="217"/>
      <c r="BU158" s="218"/>
      <c r="BV158" s="216"/>
      <c r="BW158" s="217"/>
      <c r="BX158" s="218"/>
      <c r="BY158" s="216"/>
      <c r="BZ158" s="217"/>
      <c r="CA158" s="218"/>
      <c r="CB158" s="131">
        <v>5472</v>
      </c>
      <c r="CC158" s="184">
        <v>1</v>
      </c>
      <c r="CD158" s="133"/>
      <c r="CE158" s="137">
        <f>B158+H158+N158+T158+Z158+AF158+AL158+AR158</f>
        <v>5469</v>
      </c>
      <c r="CF158" s="192">
        <f>C158+I158+O158+U158+AA158+AG158+AM158+AS158</f>
        <v>24</v>
      </c>
      <c r="CG158" s="139">
        <f>D158+J158+P158+V158+AB158+AH158+AN158+AT158</f>
        <v>3</v>
      </c>
      <c r="CH158" s="216"/>
      <c r="CI158" s="217"/>
      <c r="CJ158" s="218"/>
      <c r="CK158" s="232"/>
      <c r="CL158" s="233"/>
      <c r="CM158" s="234"/>
      <c r="CN158" s="131">
        <v>5472</v>
      </c>
      <c r="CO158" s="184">
        <v>1</v>
      </c>
      <c r="CP158" s="133"/>
      <c r="CQ158" s="235">
        <f t="shared" si="4"/>
        <v>5469</v>
      </c>
      <c r="CR158" s="236">
        <f t="shared" si="2"/>
        <v>24</v>
      </c>
      <c r="CS158" s="237">
        <f t="shared" si="2"/>
        <v>3</v>
      </c>
    </row>
    <row r="159" spans="1:100" ht="29.5" customHeight="1" x14ac:dyDescent="0.2">
      <c r="A159" s="151"/>
      <c r="B159" s="230">
        <v>92023</v>
      </c>
      <c r="C159" s="238">
        <v>1</v>
      </c>
      <c r="D159" s="239"/>
      <c r="E159" s="240">
        <v>335281</v>
      </c>
      <c r="F159" s="238">
        <v>1</v>
      </c>
      <c r="G159" s="241"/>
      <c r="H159" s="240">
        <v>21231</v>
      </c>
      <c r="I159" s="238">
        <v>1</v>
      </c>
      <c r="J159" s="241">
        <v>0.75</v>
      </c>
      <c r="K159" s="240">
        <v>67045</v>
      </c>
      <c r="L159" s="238">
        <v>7</v>
      </c>
      <c r="M159" s="241">
        <v>0.5</v>
      </c>
      <c r="N159" s="240">
        <v>21231</v>
      </c>
      <c r="O159" s="238">
        <v>1</v>
      </c>
      <c r="P159" s="241">
        <v>0.75</v>
      </c>
      <c r="Q159" s="240">
        <v>67045</v>
      </c>
      <c r="R159" s="238">
        <v>7</v>
      </c>
      <c r="S159" s="241">
        <v>0.5</v>
      </c>
      <c r="T159" s="240">
        <v>28508</v>
      </c>
      <c r="U159" s="238">
        <v>6</v>
      </c>
      <c r="V159" s="241">
        <v>0.75</v>
      </c>
      <c r="W159" s="240">
        <v>68176</v>
      </c>
      <c r="X159" s="238">
        <v>7</v>
      </c>
      <c r="Y159" s="241"/>
      <c r="Z159" s="240">
        <v>54227</v>
      </c>
      <c r="AA159" s="238">
        <v>2</v>
      </c>
      <c r="AB159" s="241"/>
      <c r="AC159" s="240">
        <v>182212</v>
      </c>
      <c r="AD159" s="238">
        <v>7</v>
      </c>
      <c r="AE159" s="241">
        <v>0.5</v>
      </c>
      <c r="AF159" s="240">
        <v>13545</v>
      </c>
      <c r="AG159" s="238">
        <v>1</v>
      </c>
      <c r="AH159" s="241">
        <v>0.25</v>
      </c>
      <c r="AI159" s="240">
        <v>45552</v>
      </c>
      <c r="AJ159" s="238">
        <v>5</v>
      </c>
      <c r="AK159" s="241">
        <v>0.75</v>
      </c>
      <c r="AL159" s="240">
        <v>9946</v>
      </c>
      <c r="AM159" s="238">
        <v>7</v>
      </c>
      <c r="AN159" s="241">
        <v>0.25</v>
      </c>
      <c r="AO159" s="240">
        <v>33543</v>
      </c>
      <c r="AP159" s="238">
        <v>3</v>
      </c>
      <c r="AQ159" s="241">
        <v>0.75</v>
      </c>
      <c r="AR159" s="240">
        <v>11755</v>
      </c>
      <c r="AS159" s="238">
        <v>3</v>
      </c>
      <c r="AT159" s="241">
        <v>0.25</v>
      </c>
      <c r="AU159" s="240">
        <v>58964</v>
      </c>
      <c r="AV159" s="238">
        <v>1</v>
      </c>
      <c r="AW159" s="241">
        <v>0.75</v>
      </c>
      <c r="AX159" s="240">
        <v>10746</v>
      </c>
      <c r="AY159" s="238">
        <v>7</v>
      </c>
      <c r="AZ159" s="241">
        <v>0.75</v>
      </c>
      <c r="BA159" s="240">
        <v>1320</v>
      </c>
      <c r="BB159" s="238"/>
      <c r="BC159" s="241"/>
      <c r="BD159" s="240">
        <v>90</v>
      </c>
      <c r="BE159" s="238">
        <v>4</v>
      </c>
      <c r="BF159" s="241"/>
      <c r="BG159" s="240">
        <v>27</v>
      </c>
      <c r="BH159" s="238"/>
      <c r="BI159" s="241"/>
      <c r="BJ159" s="240">
        <v>1591</v>
      </c>
      <c r="BK159" s="238">
        <v>2</v>
      </c>
      <c r="BL159" s="241">
        <v>0.75</v>
      </c>
      <c r="BM159" s="240">
        <v>138</v>
      </c>
      <c r="BN159" s="238"/>
      <c r="BO159" s="241"/>
      <c r="BP159" s="240">
        <v>1083</v>
      </c>
      <c r="BQ159" s="238">
        <v>2</v>
      </c>
      <c r="BR159" s="241">
        <v>0.25</v>
      </c>
      <c r="BS159" s="240">
        <v>8194</v>
      </c>
      <c r="BT159" s="238">
        <v>4</v>
      </c>
      <c r="BU159" s="241">
        <v>0.25</v>
      </c>
      <c r="BV159" s="240">
        <v>24</v>
      </c>
      <c r="BW159" s="238">
        <v>1</v>
      </c>
      <c r="BX159" s="241">
        <v>0.5</v>
      </c>
      <c r="BY159" s="240">
        <v>600</v>
      </c>
      <c r="BZ159" s="238">
        <v>4</v>
      </c>
      <c r="CA159" s="241">
        <v>0.25</v>
      </c>
      <c r="CB159" s="240">
        <v>276284</v>
      </c>
      <c r="CC159" s="238">
        <v>1</v>
      </c>
      <c r="CD159" s="241">
        <v>0.25</v>
      </c>
      <c r="CE159" s="240"/>
      <c r="CF159" s="238"/>
      <c r="CG159" s="241"/>
      <c r="CH159" s="240">
        <v>857823</v>
      </c>
      <c r="CI159" s="238">
        <v>1</v>
      </c>
      <c r="CJ159" s="241">
        <v>0.75</v>
      </c>
      <c r="CK159" s="240"/>
      <c r="CL159" s="238"/>
      <c r="CM159" s="241"/>
      <c r="CN159" s="240">
        <v>1134107</v>
      </c>
      <c r="CO159" s="238">
        <v>3</v>
      </c>
      <c r="CP159" s="241"/>
      <c r="CQ159" s="240"/>
      <c r="CR159" s="238"/>
      <c r="CS159" s="241"/>
      <c r="CT159" s="242"/>
      <c r="CU159" s="143"/>
      <c r="CV159" s="143"/>
    </row>
    <row r="160" spans="1:100" ht="29.5" customHeight="1" x14ac:dyDescent="0.2">
      <c r="A160" s="151"/>
      <c r="B160" s="243">
        <f>B145+B146+B148+B149+B150+B151+B152+B153+B154+B155+B156+B157+B158+C160</f>
        <v>92022.375</v>
      </c>
      <c r="C160" s="244">
        <f>(C145+C146+C148+C149+C150+C151+C152+C153+C154+C155+C156+C157+C158)/8</f>
        <v>6.375</v>
      </c>
      <c r="D160" s="245">
        <f>D145+D146+D148+D149+D150+D151+D152+D153+D154+D155+D156+D157+D158</f>
        <v>5</v>
      </c>
      <c r="E160" s="243">
        <f>E146+E147+E148+E150+E151+E154+E155+E157+F160</f>
        <v>335280.625</v>
      </c>
      <c r="F160" s="244">
        <f>(F146+F147+F148+F150+F151+F154+F155+F157)/8</f>
        <v>2.625</v>
      </c>
      <c r="G160" s="245">
        <f>G146+G147+G148+G150+G151+G154+G155+G157</f>
        <v>4</v>
      </c>
      <c r="H160" s="243">
        <f>H145+H146+H148+H149+H150+H151+H152+H153+H154+H155+H156+H157+H158+I160</f>
        <v>21230.375</v>
      </c>
      <c r="I160" s="244">
        <f>(I145+I146+I148+I149+I150+I151+I153+I154+I155+I156+I157+I158+4)/8</f>
        <v>4.375</v>
      </c>
      <c r="J160" s="245">
        <f>J145+J146+J148+J149+J150+J151+J153+J154+J155+J156+J157+J158</f>
        <v>4.5</v>
      </c>
      <c r="K160" s="243">
        <f>K146+K147+K148+K150+K151+K154+K155+K157+L160</f>
        <v>67046.125</v>
      </c>
      <c r="L160" s="244">
        <f>(L146+L147+L148+L150+L151+L154+L155+L157+5)/8</f>
        <v>4.125</v>
      </c>
      <c r="M160" s="245">
        <f>M146+M147+M148+M150+M151+M154+M155+M157</f>
        <v>5.5</v>
      </c>
      <c r="N160" s="243">
        <f>N145+N146+N148+N149+N150+N151+N152+N153+N154+N155+N156+N157+N158+O160</f>
        <v>21230.375</v>
      </c>
      <c r="O160" s="244">
        <f>(O145+O146+O148+O149+O150+O151+O153+O154+O155+O156+O157+O158+4)/8</f>
        <v>4.375</v>
      </c>
      <c r="P160" s="245">
        <f>P145+P146+P148+P149+P150+P151+P153+P154+P155+P156+P157+P158</f>
        <v>4.5</v>
      </c>
      <c r="Q160" s="243">
        <f>Q146+Q147+Q148+Q150+Q151+Q154+Q155+Q157+R160</f>
        <v>67046.125</v>
      </c>
      <c r="R160" s="244">
        <f>(R146+R147+R148+R150+R151+R154+R155+R157+5)/8</f>
        <v>4.125</v>
      </c>
      <c r="S160" s="245">
        <f>S146+S147+S148+S150+S151+S154+S155+S157</f>
        <v>5.5</v>
      </c>
      <c r="T160" s="243">
        <f>T146+T148+T149+T150+T151+T152+T153+T154+T155+T156+T157+T158+U160</f>
        <v>28509.375</v>
      </c>
      <c r="U160" s="244">
        <f>(U146+U148+U149+U150+U151+U152+U153+U154+U155+U156+U157+U158+4)/8</f>
        <v>5.375</v>
      </c>
      <c r="V160" s="245">
        <f>V146+V148+V149+V150+V151+V152+V153+V154+V155+V156+V157+V158</f>
        <v>4.75</v>
      </c>
      <c r="W160" s="243">
        <f>W145+W146+W147+W148+W150+W151+W154+W155+W157+X160</f>
        <v>68174.125</v>
      </c>
      <c r="X160" s="244">
        <f>(X145+X146+X147+X148+X150+X151+X154+X155+X157+5)/8</f>
        <v>4.125</v>
      </c>
      <c r="Y160" s="245">
        <f>Y145+Y146+Y147+Y148+Y150+Y151+Y154+Y155+Y157</f>
        <v>5</v>
      </c>
      <c r="Z160" s="243">
        <f>Z145+Z146+Z148+Z149+Z150+Z151+Z152+Z153+Z154+Z155+Z156+Z157+Z158+AA160</f>
        <v>54228.75</v>
      </c>
      <c r="AA160" s="244">
        <f>(AA145+AA146+AA148+AA149+AA150+AA151+AA152+AA153+AA154+AA155+AA156+AA157+AA158+4)/8</f>
        <v>5.75</v>
      </c>
      <c r="AB160" s="245">
        <f>AB145+AB146+AB148+AB149+AB150+AB151+AB152+AB153+AB154+AB155+AB156+AB157+AB158</f>
        <v>4</v>
      </c>
      <c r="AC160" s="243">
        <f>AC146+AC147+AC148+AC150+AC151+AC154+AC155+AC157+AD160</f>
        <v>182212.875</v>
      </c>
      <c r="AD160" s="244">
        <f>(AD146+AD147+AD148+AD150+AD151+AD154+AD155+AD157+1)/8</f>
        <v>3.875</v>
      </c>
      <c r="AE160" s="245">
        <f>AE146+AE147+AE148+AE150+AE151+AE154+AE155+AE157</f>
        <v>1.5</v>
      </c>
      <c r="AF160" s="243">
        <f>AF145+AF146+AF148+AF149+AF150+AF151+AF152+AF153+AF154+AF155+AF156+AF157+AF158+AG160</f>
        <v>13546.125</v>
      </c>
      <c r="AG160" s="244">
        <f>(AG145+AG146+AG148+AG149+AG150+AG151+AG152+AG153+AG154+AG155+AG156+AG157+AG158+4)/8</f>
        <v>7.125</v>
      </c>
      <c r="AH160" s="245">
        <f>AH145+AH146+AH148+AH149+AH150+AH151+AH152+AH153+AH154+AH155+AH156+AH157+AH158</f>
        <v>4.25</v>
      </c>
      <c r="AI160" s="243">
        <f>AI146+AI147+AI148+AI150+AI151+AI154+AI155+AI157+AJ160</f>
        <v>45553.375</v>
      </c>
      <c r="AJ160" s="244">
        <f>(AJ146+AJ147+AJ148+AJ150+AJ151+AJ154+AJ155+AJ157+1)/8</f>
        <v>4.375</v>
      </c>
      <c r="AK160" s="245">
        <f>AK146+AK147+AK148+AK150+AK151+AK154+AK155+AK157</f>
        <v>1.75</v>
      </c>
      <c r="AL160" s="243">
        <f>AL145+AL146+AL148+AL149+AL150+AL151+AL152+AL153+AL154+AL155+AL156+AL157+AL158+AM160</f>
        <v>10029.625</v>
      </c>
      <c r="AM160" s="244">
        <f>(AM145+AM146+AM148+AM149+AM150+AM151+AM152+AM153+AM154+AM155+AM156+AM157+AM158+6)/8</f>
        <v>7.625</v>
      </c>
      <c r="AN160" s="245">
        <f>AN145+AN146+AN148+AN149+AN150+AN151+AN152+AN153+AN154+AN155+AN156+AN157+AN158</f>
        <v>6.25</v>
      </c>
      <c r="AO160" s="243">
        <f>AO145+AO146+AO147+AO148+AO150+AO151+AO154+AO155+AO157+AP160</f>
        <v>33544</v>
      </c>
      <c r="AP160" s="244">
        <f>(AP145+AP146+AP147+AP148+AP150+AP151+AP154+AP155+AP157+3)/8</f>
        <v>4</v>
      </c>
      <c r="AQ160" s="245">
        <f>AQ145+AQ146+AQ147+AQ148+AQ150+AQ151+AQ154+AQ155+AQ157</f>
        <v>3.75</v>
      </c>
      <c r="AR160" s="243">
        <f>AR145+AR146+AR148+AR149+AR150+AR151+AR152+AR153+AR154+AR155+AR156+AR157+AR158+AS160</f>
        <v>12038.625</v>
      </c>
      <c r="AS160" s="244">
        <f>(AS145+AS146+AS148+AS149+AS150+AS151+AS152+AS153+AS154+AS155+AS156+AS157+AS158+4)/8</f>
        <v>6.625</v>
      </c>
      <c r="AT160" s="245">
        <f>AT145+AT146+AT148+AT149+AT150+AT151+AT152+AT153+AT154+AT155+AT156+AT157+AT158</f>
        <v>4.25</v>
      </c>
      <c r="AU160" s="243">
        <f>AU146+AU148+AU150+AU151+AU154+AU155+AU157+AV160</f>
        <v>58964.125</v>
      </c>
      <c r="AV160" s="244">
        <f>(AV146+AV148+AV150+AV151+AV154+AV155+AV157+2)/8</f>
        <v>3.125</v>
      </c>
      <c r="AW160" s="245">
        <f>AW146+AW148+AW150+AW151+AW154+AW155+AW157</f>
        <v>2.75</v>
      </c>
      <c r="AX160" s="243">
        <f>AX146+AX147+AX148+AX149+AX150+AX154+AX155+AY160</f>
        <v>10747.125</v>
      </c>
      <c r="AY160" s="244">
        <f>(AY146+AY147+AY148+AY149+AY150+AY154+AY155+1)/8</f>
        <v>3.125</v>
      </c>
      <c r="AZ160" s="245">
        <f>AZ146+AZ147+AZ148+AZ149+AZ150+AZ154+AZ155</f>
        <v>1.75</v>
      </c>
      <c r="BA160" s="243">
        <f>BA146+BA147+BA148+BA149+BA150+BA154+BA155+BA156+BA157</f>
        <v>1320</v>
      </c>
      <c r="BB160" s="244">
        <f>BB146+BB147+BB148+BB149+BB150+BB154+BB155+BB156+BB157</f>
        <v>0</v>
      </c>
      <c r="BC160" s="245">
        <f>BC146+BC147+BC148+BC149+BC150+BC154+BC155+BC156+BC157</f>
        <v>0</v>
      </c>
      <c r="BD160" s="243">
        <f>BD148+BD149+BD152+BD154+BD155+BE160</f>
        <v>91</v>
      </c>
      <c r="BE160" s="244">
        <f>(BE148+BE149+BE152+BE154+BE155)/8</f>
        <v>2</v>
      </c>
      <c r="BF160" s="245">
        <f>BF148+BF149+BF152+BF154+BF155</f>
        <v>0</v>
      </c>
      <c r="BG160" s="243">
        <f>BG152</f>
        <v>27</v>
      </c>
      <c r="BH160" s="244"/>
      <c r="BI160" s="245"/>
      <c r="BJ160" s="243">
        <f>BJ146+BJ148+BJ154+BJ155+BK160</f>
        <v>1591.25</v>
      </c>
      <c r="BK160" s="244">
        <f>(BK146+BK148+BK154+BK155)/8</f>
        <v>2.25</v>
      </c>
      <c r="BL160" s="245">
        <f>BL146+BL148+BL154+BL155</f>
        <v>0.75</v>
      </c>
      <c r="BM160" s="243">
        <f>BM146</f>
        <v>138</v>
      </c>
      <c r="BN160" s="244"/>
      <c r="BO160" s="245"/>
      <c r="BP160" s="243">
        <f>BP146+BP148+BP151+BP154+BP155+BQ160</f>
        <v>1083.25</v>
      </c>
      <c r="BQ160" s="244">
        <f>(BQ146+BQ148+BQ151+BQ154+BQ155+1)/8</f>
        <v>3.25</v>
      </c>
      <c r="BR160" s="245">
        <f>BR146+BR148+BR151+BR154+BR155</f>
        <v>1.25</v>
      </c>
      <c r="BS160" s="243">
        <f>BS145+BS148+BS149+BS151+BS155+BT160</f>
        <v>8195.375</v>
      </c>
      <c r="BT160" s="244">
        <f>(BT145+BT148+BT149+BT151+BT155+1)/8</f>
        <v>3.375</v>
      </c>
      <c r="BU160" s="245">
        <f>BU145+BU148+BU149+BU151+BU155</f>
        <v>1.25</v>
      </c>
      <c r="BV160" s="243">
        <f>BV148+BV149+BW160</f>
        <v>24.125</v>
      </c>
      <c r="BW160" s="244">
        <f>(BW148+BW149)/8</f>
        <v>1.125</v>
      </c>
      <c r="BX160" s="245">
        <f>BX148+BX149</f>
        <v>0.5</v>
      </c>
      <c r="BY160" s="243">
        <f>BY154+BY155</f>
        <v>600</v>
      </c>
      <c r="BZ160" s="244">
        <f>BZ154+BZ155</f>
        <v>3</v>
      </c>
      <c r="CA160" s="245">
        <f>CA154+CA155</f>
        <v>1.25</v>
      </c>
      <c r="CB160" s="243">
        <f>CB145+CB146+CB147+CB148+CB149+CB150+CB151+CB152+CB153+CB154+CB155+CB156+CB157+CB158+CC160</f>
        <v>276285</v>
      </c>
      <c r="CC160" s="244">
        <f>(CC145+CC146+CC147+CC148+CC149+CC150+CC151+CC152+CC153+CC154+CC155+CC156+CC157+CC158+5)/8</f>
        <v>6</v>
      </c>
      <c r="CD160" s="245">
        <f t="shared" ref="CD160:CG160" si="7">CD145+CD146+CD147+CD148+CD149+CD150+CD151+CD152+CD153+CD154+CD155+CD156+CD157+CD158</f>
        <v>5.25</v>
      </c>
      <c r="CE160" s="243">
        <f>CE145+CE146+CE147+CE148+CE149+CE150+CE151+CE152+CE153+CE154+CE155+CE156+CE157+CE158+CF160</f>
        <v>276656.25</v>
      </c>
      <c r="CF160" s="244">
        <f>(CF145+CF146+CF147+CF148+CF149+CF150+CF151+CF152+CF153+CF154+CF155+CF156+CF157+CF158+44)/8</f>
        <v>66.25</v>
      </c>
      <c r="CG160" s="245">
        <f t="shared" si="7"/>
        <v>44.75</v>
      </c>
      <c r="CH160" s="243">
        <f>CH145+CH146+CH147+CH148+CH150+CH151+CH154+CH155+CH157+CI160</f>
        <v>857824.875</v>
      </c>
      <c r="CI160" s="244">
        <f>(CI145+CI146+CI147+CI148+CI150+CI151+CI154+CI155+CI157+4)/8</f>
        <v>6.875</v>
      </c>
      <c r="CJ160" s="245">
        <f>CJ145+CJ146+CJ147+CJ148+CJ150+CJ151+CJ154+CJ155+CJ157</f>
        <v>4.75</v>
      </c>
      <c r="CK160" s="243">
        <f>CK145+CK146+CK147+CK148+CK149+CK150+CK151+CK152+CK153+CK154+CK155+CK156+CK157+CK158+CL160</f>
        <v>857822.25</v>
      </c>
      <c r="CL160" s="244">
        <f>(CL145+CL146+CL147+CL148+CL149+CL150+CL151+CL152+CL153+CL154+CL155+CL156+CL157+CL158+29)/8</f>
        <v>31.25</v>
      </c>
      <c r="CM160" s="245">
        <f>CM145+CM146+CM147+CM148+CM149+CM150+CM151+CM152+CM153+CM154+CM155+CM156+CM157+CM158</f>
        <v>29.75</v>
      </c>
      <c r="CN160" s="243">
        <f>SUM(CN145:CN158)+CO160</f>
        <v>1133929.375</v>
      </c>
      <c r="CO160" s="244">
        <f>(SUM(CO145:CO158)+6)/8</f>
        <v>7.375</v>
      </c>
      <c r="CP160" s="245">
        <f>SUM(CP145:CP158)</f>
        <v>6</v>
      </c>
      <c r="CQ160" s="243">
        <f>CB160+CH160+CR160</f>
        <v>1134112.734375</v>
      </c>
      <c r="CR160" s="244">
        <f>(CC160+CI160+10)/8</f>
        <v>2.859375</v>
      </c>
      <c r="CS160" s="245">
        <f>CD160+CJ160</f>
        <v>10</v>
      </c>
    </row>
    <row r="161" spans="1:166" x14ac:dyDescent="0.2">
      <c r="I161" s="106">
        <f>38/8</f>
        <v>4.75</v>
      </c>
      <c r="Z161" s="140"/>
      <c r="CE161" s="246">
        <f>B160+H160+N160+T160+Z160+AF160+AL160+AR160+AX160+BA160+BD160+BG160+BJ160+BM160+BP160+BS160+BV160+BY160</f>
        <v>276652.75</v>
      </c>
      <c r="CK161" s="246">
        <f>E160+K160+Q160+W160+AC160+AI160+AO160+AU160</f>
        <v>857821.375</v>
      </c>
      <c r="CN161" s="246">
        <f>CE161+CK161</f>
        <v>1134474.125</v>
      </c>
    </row>
    <row r="162" spans="1:166" x14ac:dyDescent="0.2">
      <c r="A162" s="106" t="s">
        <v>1269</v>
      </c>
      <c r="CN162" s="107">
        <f>B69</f>
        <v>1134107</v>
      </c>
    </row>
    <row r="163" spans="1:166" x14ac:dyDescent="0.2">
      <c r="A163" s="106" t="s">
        <v>1270</v>
      </c>
    </row>
    <row r="164" spans="1:166" x14ac:dyDescent="0.2">
      <c r="A164" s="106" t="s">
        <v>1271</v>
      </c>
    </row>
    <row r="168" spans="1:166" x14ac:dyDescent="0.2">
      <c r="A168" s="113" t="s">
        <v>1272</v>
      </c>
    </row>
    <row r="169" spans="1:166" ht="42.5" customHeight="1" x14ac:dyDescent="0.2">
      <c r="A169" s="247" t="s">
        <v>1273</v>
      </c>
      <c r="B169" s="248"/>
      <c r="C169" s="248"/>
      <c r="D169" s="248"/>
      <c r="E169" s="248"/>
      <c r="F169" s="248"/>
      <c r="G169" s="248"/>
      <c r="H169" s="248"/>
      <c r="I169" s="248"/>
      <c r="J169" s="248"/>
      <c r="K169" s="248"/>
      <c r="L169" s="248"/>
      <c r="M169" s="248"/>
      <c r="N169" s="248"/>
      <c r="O169" s="248"/>
      <c r="P169" s="248"/>
      <c r="Q169" s="248"/>
      <c r="R169" s="248"/>
      <c r="S169" s="248"/>
      <c r="T169" s="248"/>
      <c r="U169" s="248"/>
      <c r="V169" s="248"/>
      <c r="W169" s="248"/>
      <c r="X169" s="248"/>
      <c r="Y169" s="248"/>
      <c r="Z169" s="248"/>
      <c r="AA169" s="248"/>
      <c r="AB169" s="248"/>
      <c r="AC169" s="248"/>
      <c r="AD169" s="248"/>
      <c r="AE169" s="248"/>
      <c r="AF169" s="248"/>
      <c r="AG169" s="248"/>
      <c r="AH169" s="248"/>
      <c r="AI169" s="248"/>
      <c r="AJ169" s="248"/>
      <c r="AK169" s="248"/>
      <c r="AL169" s="248"/>
      <c r="AM169" s="248"/>
      <c r="AN169" s="248"/>
      <c r="AO169" s="248"/>
      <c r="AP169" s="248"/>
      <c r="AQ169" s="248"/>
      <c r="AR169" s="248"/>
      <c r="AS169" s="248"/>
      <c r="AT169" s="248"/>
      <c r="AU169" s="248"/>
      <c r="AV169" s="248"/>
      <c r="AW169" s="248"/>
      <c r="AX169" s="248"/>
      <c r="AY169" s="248"/>
      <c r="AZ169" s="248"/>
      <c r="BA169" s="248"/>
      <c r="BB169" s="248"/>
      <c r="BC169" s="248"/>
      <c r="BD169" s="248"/>
      <c r="BE169" s="248"/>
      <c r="BF169" s="248"/>
      <c r="BG169" s="248"/>
      <c r="BH169" s="248"/>
      <c r="BI169" s="248"/>
      <c r="BJ169" s="248"/>
      <c r="BK169" s="248"/>
      <c r="BL169" s="248"/>
      <c r="BM169" s="248"/>
      <c r="BN169" s="248"/>
      <c r="BO169" s="248"/>
      <c r="BP169" s="248"/>
      <c r="BQ169" s="248"/>
      <c r="BR169" s="248"/>
      <c r="BS169" s="248"/>
      <c r="BT169" s="248"/>
      <c r="BU169" s="248"/>
      <c r="BV169" s="248"/>
      <c r="BW169" s="248"/>
      <c r="BX169" s="248"/>
      <c r="BY169" s="248"/>
      <c r="BZ169" s="248"/>
      <c r="CA169" s="248"/>
      <c r="CB169" s="248"/>
      <c r="CC169" s="248"/>
      <c r="CD169" s="248"/>
      <c r="CE169" s="248"/>
      <c r="CF169" s="248"/>
      <c r="CG169" s="248"/>
      <c r="CH169" s="248"/>
      <c r="CI169" s="248"/>
      <c r="CJ169" s="248"/>
      <c r="CK169" s="248"/>
      <c r="CL169" s="248"/>
      <c r="CM169" s="248"/>
      <c r="CN169" s="248"/>
      <c r="CO169" s="248"/>
      <c r="CP169" s="248"/>
      <c r="CQ169" s="248"/>
      <c r="CR169" s="248"/>
      <c r="CS169" s="248"/>
      <c r="CT169" s="248"/>
      <c r="CU169" s="248"/>
      <c r="CV169" s="248"/>
      <c r="CW169" s="248"/>
      <c r="CX169" s="248"/>
      <c r="CY169" s="248"/>
      <c r="CZ169" s="248"/>
      <c r="DA169" s="248"/>
      <c r="DB169" s="248"/>
      <c r="DC169" s="248"/>
      <c r="DD169" s="248"/>
      <c r="DE169" s="248"/>
      <c r="DF169" s="248"/>
      <c r="DG169" s="248"/>
      <c r="DH169" s="248"/>
      <c r="DI169" s="248"/>
      <c r="DJ169" s="248"/>
      <c r="DK169" s="248"/>
      <c r="DL169" s="248"/>
      <c r="DM169" s="248"/>
      <c r="DN169" s="248"/>
      <c r="DO169" s="248"/>
      <c r="DP169" s="248"/>
      <c r="DQ169" s="248"/>
      <c r="DR169" s="248"/>
      <c r="DS169" s="248"/>
      <c r="DT169" s="248"/>
      <c r="DU169" s="248"/>
      <c r="DV169" s="248"/>
      <c r="DW169" s="248"/>
      <c r="DX169" s="248"/>
      <c r="DY169" s="248"/>
      <c r="DZ169" s="248"/>
      <c r="EA169" s="248"/>
      <c r="EB169" s="248"/>
      <c r="EC169" s="248"/>
      <c r="ED169" s="248"/>
      <c r="EE169" s="248"/>
      <c r="EF169" s="248"/>
      <c r="EG169" s="248"/>
      <c r="EH169" s="248"/>
      <c r="EI169" s="248"/>
      <c r="EJ169" s="248"/>
      <c r="EK169" s="248"/>
      <c r="EL169" s="248"/>
      <c r="EM169" s="248"/>
      <c r="EN169" s="248"/>
      <c r="EO169" s="248"/>
      <c r="EP169" s="248"/>
      <c r="EQ169" s="248"/>
      <c r="ER169" s="248"/>
      <c r="ES169" s="248"/>
      <c r="ET169" s="248"/>
      <c r="EU169" s="248"/>
      <c r="EV169" s="248"/>
      <c r="EW169" s="248"/>
      <c r="EX169" s="248"/>
      <c r="EY169" s="248"/>
      <c r="EZ169" s="248"/>
      <c r="FA169" s="248"/>
      <c r="FB169" s="248"/>
      <c r="FC169" s="248"/>
      <c r="FD169" s="248"/>
      <c r="FE169" s="248"/>
      <c r="FF169" s="248"/>
      <c r="FG169" s="248"/>
      <c r="FH169" s="248"/>
      <c r="FI169" s="248"/>
      <c r="FJ169" s="249"/>
    </row>
    <row r="170" spans="1:166" ht="33.5" customHeight="1" x14ac:dyDescent="0.2">
      <c r="A170" s="200" t="s">
        <v>1274</v>
      </c>
      <c r="B170" s="201"/>
      <c r="C170" s="201"/>
      <c r="D170" s="201"/>
      <c r="E170" s="201"/>
      <c r="F170" s="201"/>
      <c r="G170" s="201"/>
      <c r="H170" s="201"/>
      <c r="I170" s="201"/>
      <c r="J170" s="201"/>
      <c r="K170" s="201"/>
      <c r="L170" s="201"/>
      <c r="M170" s="201"/>
      <c r="N170" s="201"/>
      <c r="O170" s="201"/>
      <c r="P170" s="201"/>
      <c r="Q170" s="201"/>
      <c r="R170" s="201"/>
      <c r="S170" s="201"/>
      <c r="T170" s="201"/>
      <c r="U170" s="201"/>
      <c r="V170" s="201"/>
      <c r="W170" s="201"/>
      <c r="X170" s="201"/>
      <c r="Y170" s="201"/>
      <c r="Z170" s="201"/>
      <c r="AA170" s="201"/>
      <c r="AB170" s="201"/>
      <c r="AC170" s="201"/>
      <c r="AD170" s="201"/>
      <c r="AE170" s="201"/>
      <c r="AF170" s="201"/>
      <c r="AG170" s="201"/>
      <c r="AH170" s="201"/>
      <c r="AI170" s="201"/>
      <c r="AJ170" s="201"/>
      <c r="AK170" s="201"/>
      <c r="AL170" s="201"/>
      <c r="AM170" s="201"/>
      <c r="AN170" s="201"/>
      <c r="AO170" s="201"/>
      <c r="AP170" s="201"/>
      <c r="AQ170" s="201"/>
      <c r="AR170" s="201"/>
      <c r="AS170" s="201"/>
      <c r="AT170" s="201"/>
      <c r="AU170" s="201"/>
      <c r="AV170" s="201"/>
      <c r="AW170" s="201"/>
      <c r="AX170" s="201"/>
      <c r="AY170" s="201"/>
      <c r="AZ170" s="201"/>
      <c r="BA170" s="201"/>
      <c r="BB170" s="201"/>
      <c r="BC170" s="201"/>
      <c r="BD170" s="201"/>
      <c r="BE170" s="201"/>
      <c r="BF170" s="201"/>
      <c r="BG170" s="201"/>
      <c r="BH170" s="201"/>
      <c r="BI170" s="201"/>
      <c r="BJ170" s="201"/>
      <c r="BK170" s="201"/>
      <c r="BL170" s="201"/>
      <c r="BM170" s="201"/>
      <c r="BN170" s="201"/>
      <c r="BO170" s="201"/>
      <c r="BP170" s="201"/>
      <c r="BQ170" s="201"/>
      <c r="BR170" s="201"/>
      <c r="BS170" s="201"/>
      <c r="BT170" s="201"/>
      <c r="BU170" s="201"/>
      <c r="BV170" s="201"/>
      <c r="BW170" s="201"/>
      <c r="BX170" s="201"/>
      <c r="BY170" s="201"/>
      <c r="BZ170" s="201"/>
      <c r="CA170" s="201"/>
      <c r="CB170" s="201"/>
      <c r="CC170" s="201"/>
      <c r="CD170" s="201"/>
      <c r="CE170" s="201"/>
      <c r="CF170" s="201"/>
      <c r="CG170" s="201"/>
      <c r="CH170" s="201"/>
      <c r="CI170" s="201"/>
      <c r="CJ170" s="201"/>
      <c r="CK170" s="201"/>
      <c r="CL170" s="201"/>
      <c r="CM170" s="201"/>
      <c r="CN170" s="201"/>
      <c r="CO170" s="201"/>
      <c r="CP170" s="201"/>
      <c r="CQ170" s="201"/>
      <c r="CR170" s="201"/>
      <c r="CS170" s="201"/>
      <c r="CT170" s="201"/>
      <c r="CU170" s="201"/>
      <c r="CV170" s="201"/>
      <c r="CW170" s="201"/>
      <c r="CX170" s="201"/>
      <c r="CY170" s="201"/>
      <c r="CZ170" s="201"/>
      <c r="DA170" s="201"/>
      <c r="DB170" s="201"/>
      <c r="DC170" s="201"/>
      <c r="DD170" s="201"/>
      <c r="DE170" s="201"/>
      <c r="DF170" s="201"/>
      <c r="DG170" s="201"/>
      <c r="DH170" s="201"/>
      <c r="DI170" s="201"/>
      <c r="DJ170" s="201"/>
      <c r="DK170" s="201"/>
      <c r="DL170" s="201"/>
      <c r="DM170" s="201"/>
      <c r="DN170" s="201"/>
      <c r="DO170" s="201"/>
      <c r="DP170" s="201"/>
      <c r="DQ170" s="201"/>
      <c r="DR170" s="201"/>
      <c r="DS170" s="201"/>
      <c r="DT170" s="201"/>
      <c r="DU170" s="201"/>
      <c r="DV170" s="201"/>
      <c r="DW170" s="201"/>
      <c r="DX170" s="201"/>
      <c r="DY170" s="201"/>
      <c r="DZ170" s="201"/>
      <c r="EA170" s="201"/>
      <c r="EB170" s="201"/>
      <c r="EC170" s="201"/>
      <c r="ED170" s="201"/>
      <c r="EE170" s="201"/>
      <c r="EF170" s="201"/>
      <c r="EG170" s="201"/>
      <c r="EH170" s="201"/>
      <c r="EI170" s="201"/>
      <c r="EJ170" s="201"/>
      <c r="EK170" s="201"/>
      <c r="EL170" s="201"/>
      <c r="EM170" s="201"/>
      <c r="EN170" s="201"/>
      <c r="EO170" s="201"/>
      <c r="EP170" s="201"/>
      <c r="EQ170" s="201"/>
      <c r="ER170" s="201"/>
      <c r="ES170" s="201"/>
      <c r="ET170" s="201"/>
      <c r="EU170" s="201"/>
      <c r="EV170" s="201"/>
      <c r="EW170" s="201"/>
      <c r="EX170" s="201"/>
      <c r="EY170" s="201"/>
      <c r="EZ170" s="201"/>
      <c r="FA170" s="201"/>
      <c r="FB170" s="201"/>
      <c r="FC170" s="201"/>
      <c r="FD170" s="201"/>
      <c r="FE170" s="201"/>
      <c r="FF170" s="201"/>
      <c r="FG170" s="201"/>
      <c r="FH170" s="201"/>
      <c r="FI170" s="201"/>
      <c r="FJ170" s="250"/>
    </row>
    <row r="171" spans="1:166" ht="42" customHeight="1" x14ac:dyDescent="0.2">
      <c r="A171" s="251" t="s">
        <v>1275</v>
      </c>
      <c r="B171" s="252" t="s">
        <v>1276</v>
      </c>
      <c r="C171" s="253"/>
      <c r="D171" s="254"/>
      <c r="E171" s="252" t="s">
        <v>1277</v>
      </c>
      <c r="F171" s="253"/>
      <c r="G171" s="254"/>
      <c r="H171" s="252" t="s">
        <v>1278</v>
      </c>
      <c r="I171" s="253"/>
      <c r="J171" s="253"/>
      <c r="K171" s="253"/>
      <c r="L171" s="253"/>
      <c r="M171" s="254"/>
      <c r="N171" s="252" t="s">
        <v>1279</v>
      </c>
      <c r="O171" s="253"/>
      <c r="P171" s="253"/>
      <c r="Q171" s="253"/>
      <c r="R171" s="253"/>
      <c r="S171" s="254"/>
      <c r="T171" s="252" t="s">
        <v>1280</v>
      </c>
      <c r="U171" s="253"/>
      <c r="V171" s="253"/>
      <c r="W171" s="253"/>
      <c r="X171" s="253"/>
      <c r="Y171" s="254"/>
      <c r="Z171" s="252" t="s">
        <v>1281</v>
      </c>
      <c r="AA171" s="253"/>
      <c r="AB171" s="253"/>
      <c r="AC171" s="253"/>
      <c r="AD171" s="253"/>
      <c r="AE171" s="254"/>
      <c r="AF171" s="252" t="s">
        <v>1282</v>
      </c>
      <c r="AG171" s="253"/>
      <c r="AH171" s="253"/>
      <c r="AI171" s="253"/>
      <c r="AJ171" s="253"/>
      <c r="AK171" s="254"/>
      <c r="AL171" s="252" t="s">
        <v>1283</v>
      </c>
      <c r="AM171" s="253"/>
      <c r="AN171" s="253"/>
      <c r="AO171" s="253"/>
      <c r="AP171" s="253"/>
      <c r="AQ171" s="254"/>
      <c r="AR171" s="252" t="s">
        <v>1245</v>
      </c>
      <c r="AS171" s="253"/>
      <c r="AT171" s="253"/>
      <c r="AU171" s="253"/>
      <c r="AV171" s="253"/>
      <c r="AW171" s="254"/>
      <c r="AX171" s="252" t="s">
        <v>1284</v>
      </c>
      <c r="AY171" s="253"/>
      <c r="AZ171" s="254"/>
      <c r="BA171" s="252" t="s">
        <v>1285</v>
      </c>
      <c r="BB171" s="253"/>
      <c r="BC171" s="254"/>
      <c r="BD171" s="252" t="s">
        <v>1286</v>
      </c>
      <c r="BE171" s="253"/>
      <c r="BF171" s="254"/>
      <c r="BG171" s="252" t="s">
        <v>1241</v>
      </c>
      <c r="BH171" s="253"/>
      <c r="BI171" s="254"/>
      <c r="BJ171" s="252" t="s">
        <v>1287</v>
      </c>
      <c r="BK171" s="253"/>
      <c r="BL171" s="254"/>
      <c r="BM171" s="252" t="s">
        <v>1288</v>
      </c>
      <c r="BN171" s="253"/>
      <c r="BO171" s="254"/>
      <c r="BP171" s="252" t="s">
        <v>1289</v>
      </c>
      <c r="BQ171" s="253"/>
      <c r="BR171" s="254"/>
      <c r="BS171" s="252" t="s">
        <v>1290</v>
      </c>
      <c r="BT171" s="253"/>
      <c r="BU171" s="254"/>
      <c r="BV171" s="252" t="s">
        <v>1291</v>
      </c>
      <c r="BW171" s="253"/>
      <c r="BX171" s="254"/>
      <c r="BY171" s="252" t="s">
        <v>1292</v>
      </c>
      <c r="BZ171" s="253"/>
      <c r="CA171" s="254"/>
      <c r="CB171" s="252" t="s">
        <v>1293</v>
      </c>
      <c r="CC171" s="253"/>
      <c r="CD171" s="254"/>
      <c r="CE171" s="252" t="s">
        <v>1294</v>
      </c>
      <c r="CF171" s="253"/>
      <c r="CG171" s="254"/>
      <c r="CH171" s="252" t="s">
        <v>1295</v>
      </c>
      <c r="CI171" s="253"/>
      <c r="CJ171" s="254"/>
      <c r="CK171" s="252" t="s">
        <v>1296</v>
      </c>
      <c r="CL171" s="253"/>
      <c r="CM171" s="254"/>
      <c r="CN171" s="252" t="s">
        <v>1297</v>
      </c>
      <c r="CO171" s="253"/>
      <c r="CP171" s="254"/>
      <c r="CQ171" s="252" t="s">
        <v>1298</v>
      </c>
      <c r="CR171" s="253"/>
      <c r="CS171" s="254"/>
      <c r="CT171" s="252" t="s">
        <v>1299</v>
      </c>
      <c r="CU171" s="253"/>
      <c r="CV171" s="254"/>
      <c r="CW171" s="252" t="s">
        <v>1300</v>
      </c>
      <c r="CX171" s="253"/>
      <c r="CY171" s="254"/>
      <c r="CZ171" s="252" t="s">
        <v>1301</v>
      </c>
      <c r="DA171" s="253"/>
      <c r="DB171" s="254"/>
      <c r="DC171" s="252" t="s">
        <v>1302</v>
      </c>
      <c r="DD171" s="253"/>
      <c r="DE171" s="254"/>
      <c r="DF171" s="252" t="s">
        <v>1303</v>
      </c>
      <c r="DG171" s="253"/>
      <c r="DH171" s="254"/>
      <c r="DI171" s="252" t="s">
        <v>1304</v>
      </c>
      <c r="DJ171" s="253"/>
      <c r="DK171" s="254"/>
      <c r="DL171" s="252" t="s">
        <v>1305</v>
      </c>
      <c r="DM171" s="253"/>
      <c r="DN171" s="254"/>
      <c r="DO171" s="252" t="s">
        <v>1306</v>
      </c>
      <c r="DP171" s="253"/>
      <c r="DQ171" s="254"/>
      <c r="DR171" s="252" t="s">
        <v>1307</v>
      </c>
      <c r="DS171" s="253"/>
      <c r="DT171" s="254"/>
      <c r="DU171" s="252" t="s">
        <v>1308</v>
      </c>
      <c r="DV171" s="253"/>
      <c r="DW171" s="254"/>
      <c r="DX171" s="252" t="s">
        <v>1309</v>
      </c>
      <c r="DY171" s="253"/>
      <c r="DZ171" s="254"/>
      <c r="EA171" s="252" t="s">
        <v>1310</v>
      </c>
      <c r="EB171" s="253"/>
      <c r="EC171" s="254"/>
      <c r="ED171" s="252" t="s">
        <v>1311</v>
      </c>
      <c r="EE171" s="253"/>
      <c r="EF171" s="254"/>
      <c r="EG171" s="252" t="s">
        <v>1312</v>
      </c>
      <c r="EH171" s="253"/>
      <c r="EI171" s="254"/>
      <c r="EJ171" s="252" t="s">
        <v>1313</v>
      </c>
      <c r="EK171" s="253"/>
      <c r="EL171" s="254"/>
      <c r="EM171" s="252" t="s">
        <v>1314</v>
      </c>
      <c r="EN171" s="253"/>
      <c r="EO171" s="254"/>
      <c r="EP171" s="252" t="s">
        <v>1315</v>
      </c>
      <c r="EQ171" s="253"/>
      <c r="ER171" s="254"/>
      <c r="ES171" s="252" t="s">
        <v>1316</v>
      </c>
      <c r="ET171" s="253"/>
      <c r="EU171" s="254"/>
      <c r="EV171" s="252"/>
      <c r="EW171" s="253"/>
      <c r="EX171" s="254"/>
      <c r="EY171" s="252" t="s">
        <v>1317</v>
      </c>
      <c r="EZ171" s="253"/>
      <c r="FA171" s="254"/>
      <c r="FB171" s="252"/>
      <c r="FC171" s="253"/>
      <c r="FD171" s="254"/>
      <c r="FE171" s="252" t="s">
        <v>1318</v>
      </c>
      <c r="FF171" s="253"/>
      <c r="FG171" s="254"/>
      <c r="FH171" s="252"/>
      <c r="FI171" s="253"/>
      <c r="FJ171" s="254"/>
    </row>
    <row r="172" spans="1:166" ht="26.5" customHeight="1" x14ac:dyDescent="0.2">
      <c r="A172" s="164"/>
      <c r="B172" s="205" t="s">
        <v>1251</v>
      </c>
      <c r="C172" s="205"/>
      <c r="D172" s="205"/>
      <c r="E172" s="210" t="s">
        <v>1251</v>
      </c>
      <c r="F172" s="205"/>
      <c r="G172" s="212"/>
      <c r="H172" s="205" t="s">
        <v>1251</v>
      </c>
      <c r="I172" s="205"/>
      <c r="J172" s="212"/>
      <c r="K172" s="212" t="s">
        <v>1319</v>
      </c>
      <c r="L172" s="255"/>
      <c r="M172" s="210"/>
      <c r="N172" s="210" t="s">
        <v>1251</v>
      </c>
      <c r="O172" s="205"/>
      <c r="P172" s="205"/>
      <c r="Q172" s="255" t="s">
        <v>1319</v>
      </c>
      <c r="R172" s="255"/>
      <c r="S172" s="255"/>
      <c r="T172" s="205" t="s">
        <v>1251</v>
      </c>
      <c r="U172" s="205"/>
      <c r="V172" s="212"/>
      <c r="W172" s="212" t="s">
        <v>1319</v>
      </c>
      <c r="X172" s="255"/>
      <c r="Y172" s="210"/>
      <c r="Z172" s="210" t="s">
        <v>1251</v>
      </c>
      <c r="AA172" s="205"/>
      <c r="AB172" s="205"/>
      <c r="AC172" s="255" t="s">
        <v>1319</v>
      </c>
      <c r="AD172" s="255"/>
      <c r="AE172" s="255"/>
      <c r="AF172" s="205" t="s">
        <v>1251</v>
      </c>
      <c r="AG172" s="205"/>
      <c r="AH172" s="212"/>
      <c r="AI172" s="212" t="s">
        <v>1319</v>
      </c>
      <c r="AJ172" s="255"/>
      <c r="AK172" s="210"/>
      <c r="AL172" s="210" t="s">
        <v>1251</v>
      </c>
      <c r="AM172" s="205"/>
      <c r="AN172" s="205"/>
      <c r="AO172" s="212" t="s">
        <v>1319</v>
      </c>
      <c r="AP172" s="255"/>
      <c r="AQ172" s="255"/>
      <c r="AR172" s="205" t="s">
        <v>1251</v>
      </c>
      <c r="AS172" s="205"/>
      <c r="AT172" s="205"/>
      <c r="AU172" s="255" t="s">
        <v>1319</v>
      </c>
      <c r="AV172" s="255"/>
      <c r="AW172" s="210"/>
      <c r="AX172" s="210" t="s">
        <v>1251</v>
      </c>
      <c r="AY172" s="205"/>
      <c r="AZ172" s="212"/>
      <c r="BA172" s="205" t="s">
        <v>1251</v>
      </c>
      <c r="BB172" s="205"/>
      <c r="BC172" s="212"/>
      <c r="BD172" s="205" t="s">
        <v>1251</v>
      </c>
      <c r="BE172" s="205"/>
      <c r="BF172" s="205"/>
      <c r="BG172" s="210" t="s">
        <v>1251</v>
      </c>
      <c r="BH172" s="205"/>
      <c r="BI172" s="205"/>
      <c r="BJ172" s="210" t="s">
        <v>1251</v>
      </c>
      <c r="BK172" s="205"/>
      <c r="BL172" s="212"/>
      <c r="BM172" s="205" t="s">
        <v>1251</v>
      </c>
      <c r="BN172" s="205"/>
      <c r="BO172" s="212"/>
      <c r="BP172" s="205" t="s">
        <v>1251</v>
      </c>
      <c r="BQ172" s="205"/>
      <c r="BR172" s="205"/>
      <c r="BS172" s="210" t="s">
        <v>1251</v>
      </c>
      <c r="BT172" s="205"/>
      <c r="BU172" s="205"/>
      <c r="BV172" s="210" t="s">
        <v>1251</v>
      </c>
      <c r="BW172" s="205"/>
      <c r="BX172" s="212"/>
      <c r="BY172" s="205" t="s">
        <v>1251</v>
      </c>
      <c r="BZ172" s="205"/>
      <c r="CA172" s="212"/>
      <c r="CB172" s="205" t="s">
        <v>1251</v>
      </c>
      <c r="CC172" s="205"/>
      <c r="CD172" s="205"/>
      <c r="CE172" s="210" t="s">
        <v>1251</v>
      </c>
      <c r="CF172" s="205"/>
      <c r="CG172" s="205"/>
      <c r="CH172" s="210" t="s">
        <v>1251</v>
      </c>
      <c r="CI172" s="205"/>
      <c r="CJ172" s="212"/>
      <c r="CK172" s="205" t="s">
        <v>1251</v>
      </c>
      <c r="CL172" s="205"/>
      <c r="CM172" s="212"/>
      <c r="CN172" s="205" t="s">
        <v>1251</v>
      </c>
      <c r="CO172" s="205"/>
      <c r="CP172" s="205"/>
      <c r="CQ172" s="210" t="s">
        <v>1251</v>
      </c>
      <c r="CR172" s="205"/>
      <c r="CS172" s="205"/>
      <c r="CT172" s="210" t="s">
        <v>1251</v>
      </c>
      <c r="CU172" s="205"/>
      <c r="CV172" s="212"/>
      <c r="CW172" s="205" t="s">
        <v>1251</v>
      </c>
      <c r="CX172" s="205"/>
      <c r="CY172" s="212"/>
      <c r="CZ172" s="205" t="s">
        <v>1251</v>
      </c>
      <c r="DA172" s="205"/>
      <c r="DB172" s="205"/>
      <c r="DC172" s="210" t="s">
        <v>1251</v>
      </c>
      <c r="DD172" s="205"/>
      <c r="DE172" s="205"/>
      <c r="DF172" s="210" t="s">
        <v>1251</v>
      </c>
      <c r="DG172" s="205"/>
      <c r="DH172" s="212"/>
      <c r="DI172" s="205" t="s">
        <v>1251</v>
      </c>
      <c r="DJ172" s="205"/>
      <c r="DK172" s="212"/>
      <c r="DL172" s="205" t="s">
        <v>1251</v>
      </c>
      <c r="DM172" s="205"/>
      <c r="DN172" s="205"/>
      <c r="DO172" s="210" t="s">
        <v>1251</v>
      </c>
      <c r="DP172" s="205"/>
      <c r="DQ172" s="205"/>
      <c r="DR172" s="210" t="s">
        <v>1251</v>
      </c>
      <c r="DS172" s="205"/>
      <c r="DT172" s="212"/>
      <c r="DU172" s="205" t="s">
        <v>1251</v>
      </c>
      <c r="DV172" s="205"/>
      <c r="DW172" s="212"/>
      <c r="DX172" s="205" t="s">
        <v>1251</v>
      </c>
      <c r="DY172" s="205"/>
      <c r="DZ172" s="205"/>
      <c r="EA172" s="210" t="s">
        <v>1251</v>
      </c>
      <c r="EB172" s="205"/>
      <c r="EC172" s="205"/>
      <c r="ED172" s="210" t="s">
        <v>1251</v>
      </c>
      <c r="EE172" s="205"/>
      <c r="EF172" s="212"/>
      <c r="EG172" s="205" t="s">
        <v>1251</v>
      </c>
      <c r="EH172" s="205"/>
      <c r="EI172" s="212"/>
      <c r="EJ172" s="205" t="s">
        <v>1251</v>
      </c>
      <c r="EK172" s="205"/>
      <c r="EL172" s="205"/>
      <c r="EM172" s="210" t="s">
        <v>1251</v>
      </c>
      <c r="EN172" s="205"/>
      <c r="EO172" s="205"/>
      <c r="EP172" s="210" t="s">
        <v>1251</v>
      </c>
      <c r="EQ172" s="205"/>
      <c r="ER172" s="205"/>
      <c r="ES172" s="205"/>
      <c r="ET172" s="205"/>
      <c r="EU172" s="205"/>
      <c r="EV172" s="205"/>
      <c r="EW172" s="205"/>
      <c r="EX172" s="205"/>
      <c r="EY172" s="205"/>
      <c r="EZ172" s="205"/>
      <c r="FA172" s="205"/>
      <c r="FB172" s="205"/>
      <c r="FC172" s="205"/>
      <c r="FD172" s="205"/>
      <c r="FE172" s="205"/>
      <c r="FF172" s="205"/>
      <c r="FG172" s="205"/>
      <c r="FH172" s="205"/>
      <c r="FI172" s="205"/>
      <c r="FJ172" s="205"/>
    </row>
    <row r="173" spans="1:166" x14ac:dyDescent="0.2">
      <c r="A173" s="164" t="s">
        <v>1320</v>
      </c>
      <c r="B173" s="136"/>
      <c r="C173" s="132"/>
      <c r="D173" s="146"/>
      <c r="E173" s="140"/>
      <c r="F173" s="184"/>
      <c r="G173" s="142"/>
      <c r="H173" s="140">
        <v>254</v>
      </c>
      <c r="I173" s="184">
        <v>5</v>
      </c>
      <c r="J173" s="142"/>
      <c r="K173" s="140"/>
      <c r="L173" s="184"/>
      <c r="M173" s="142"/>
      <c r="N173" s="140"/>
      <c r="O173" s="184"/>
      <c r="P173" s="142"/>
      <c r="Q173" s="140"/>
      <c r="R173" s="184"/>
      <c r="S173" s="142"/>
      <c r="T173" s="140">
        <v>33483</v>
      </c>
      <c r="U173" s="184">
        <v>7</v>
      </c>
      <c r="V173" s="142">
        <v>0.75</v>
      </c>
      <c r="W173" s="140"/>
      <c r="X173" s="184"/>
      <c r="Y173" s="142"/>
      <c r="Z173" s="140"/>
      <c r="AA173" s="184"/>
      <c r="AB173" s="142"/>
      <c r="AC173" s="140"/>
      <c r="AD173" s="184"/>
      <c r="AE173" s="142"/>
      <c r="AF173" s="140"/>
      <c r="AG173" s="184"/>
      <c r="AH173" s="142"/>
      <c r="AI173" s="140"/>
      <c r="AJ173" s="184"/>
      <c r="AK173" s="142"/>
      <c r="AL173" s="140"/>
      <c r="AM173" s="184"/>
      <c r="AN173" s="142"/>
      <c r="AO173" s="140"/>
      <c r="AP173" s="184"/>
      <c r="AQ173" s="142"/>
      <c r="AR173" s="140"/>
      <c r="AS173" s="184"/>
      <c r="AT173" s="142"/>
      <c r="AU173" s="140"/>
      <c r="AV173" s="184"/>
      <c r="AW173" s="142"/>
      <c r="AX173" s="140"/>
      <c r="AY173" s="184"/>
      <c r="AZ173" s="142"/>
      <c r="BA173" s="140"/>
      <c r="BB173" s="184"/>
      <c r="BC173" s="142"/>
      <c r="BD173" s="140">
        <v>8334</v>
      </c>
      <c r="BE173" s="184">
        <v>3</v>
      </c>
      <c r="BF173" s="142">
        <v>0.75</v>
      </c>
      <c r="BG173" s="140"/>
      <c r="BH173" s="184"/>
      <c r="BI173" s="142"/>
      <c r="BJ173" s="140"/>
      <c r="BK173" s="184"/>
      <c r="BL173" s="142"/>
      <c r="BM173" s="140">
        <v>178</v>
      </c>
      <c r="BN173" s="184"/>
      <c r="BO173" s="142"/>
      <c r="BP173" s="140">
        <v>6020</v>
      </c>
      <c r="BQ173" s="184">
        <v>5</v>
      </c>
      <c r="BR173" s="142"/>
      <c r="BS173" s="140">
        <v>2237</v>
      </c>
      <c r="BT173" s="184">
        <v>2</v>
      </c>
      <c r="BU173" s="142">
        <v>0.75</v>
      </c>
      <c r="BV173" s="140">
        <v>6146</v>
      </c>
      <c r="BW173" s="184">
        <v>5</v>
      </c>
      <c r="BX173" s="142"/>
      <c r="BY173" s="140"/>
      <c r="BZ173" s="184"/>
      <c r="CA173" s="142"/>
      <c r="CB173" s="140"/>
      <c r="CC173" s="184"/>
      <c r="CD173" s="142"/>
      <c r="CE173" s="140">
        <v>4000</v>
      </c>
      <c r="CF173" s="132"/>
      <c r="CG173" s="142"/>
      <c r="CH173" s="140"/>
      <c r="CI173" s="184"/>
      <c r="CJ173" s="142"/>
      <c r="CK173" s="140"/>
      <c r="CL173" s="184"/>
      <c r="CM173" s="142"/>
      <c r="CN173" s="140">
        <v>18450</v>
      </c>
      <c r="CO173" s="184">
        <v>7</v>
      </c>
      <c r="CP173" s="142">
        <v>0.75</v>
      </c>
      <c r="CQ173" s="140">
        <v>23000</v>
      </c>
      <c r="CR173" s="132"/>
      <c r="CS173" s="142"/>
      <c r="CT173" s="140"/>
      <c r="CU173" s="184"/>
      <c r="CV173" s="142"/>
      <c r="CW173" s="140"/>
      <c r="CX173" s="184">
        <v>6</v>
      </c>
      <c r="CY173" s="142">
        <v>0.75</v>
      </c>
      <c r="CZ173" s="140">
        <v>179</v>
      </c>
      <c r="DA173" s="184">
        <v>4</v>
      </c>
      <c r="DB173" s="142">
        <v>0.25</v>
      </c>
      <c r="DC173" s="140"/>
      <c r="DD173" s="184"/>
      <c r="DE173" s="142"/>
      <c r="DF173" s="140"/>
      <c r="DG173" s="184"/>
      <c r="DH173" s="142"/>
      <c r="DI173" s="140"/>
      <c r="DJ173" s="184"/>
      <c r="DK173" s="142"/>
      <c r="DL173" s="140"/>
      <c r="DM173" s="184"/>
      <c r="DN173" s="142"/>
      <c r="DO173" s="140"/>
      <c r="DP173" s="184"/>
      <c r="DQ173" s="142"/>
      <c r="DR173" s="140"/>
      <c r="DS173" s="184"/>
      <c r="DT173" s="142"/>
      <c r="DU173" s="140"/>
      <c r="DV173" s="184"/>
      <c r="DW173" s="142"/>
      <c r="DX173" s="140"/>
      <c r="DY173" s="184"/>
      <c r="DZ173" s="142"/>
      <c r="EA173" s="140"/>
      <c r="EB173" s="184"/>
      <c r="EC173" s="142"/>
      <c r="ED173" s="140"/>
      <c r="EE173" s="184"/>
      <c r="EF173" s="142"/>
      <c r="EG173" s="140"/>
      <c r="EH173" s="184"/>
      <c r="EI173" s="142"/>
      <c r="EJ173" s="140">
        <v>599</v>
      </c>
      <c r="EK173" s="184">
        <v>2</v>
      </c>
      <c r="EL173" s="142">
        <v>0.25</v>
      </c>
      <c r="EM173" s="140">
        <v>578</v>
      </c>
      <c r="EN173" s="184">
        <v>5</v>
      </c>
      <c r="EO173" s="142">
        <v>0.25</v>
      </c>
      <c r="EP173" s="140">
        <v>390</v>
      </c>
      <c r="EQ173" s="132"/>
      <c r="ER173" s="142">
        <v>0.75</v>
      </c>
      <c r="ES173" s="140">
        <v>103855</v>
      </c>
      <c r="ET173" s="132"/>
      <c r="EU173" s="142">
        <v>0.25</v>
      </c>
      <c r="EV173" s="137">
        <f t="shared" ref="EV173:EV193" si="8">B173+E173+H173+N173+T173+Z173+AF173+AL173+AR173+AX173+BA173+BD173+BG173+BJ173+BM173+BP173+BS173+BV173+BY173+CB173+CE173+CH173+CK173+CN173+CQ173+CT173+CW173+CZ173+DC173+DF173+DI173+DL173+DO173+DR173+DU173+DX173+EA173+ED173+EG173+EJ173+EM173+EP173+EW173</f>
        <v>103854.375</v>
      </c>
      <c r="EW173" s="192">
        <f t="shared" ref="EW173:EW193" si="9">(C173+F173+I173+O173+U173+AA173+AG173+AM173+AS173+AY173+BB173+BE173+BH173+BK173+BN173+BQ173+BT173+BW173+BZ173+CC173+CF173+CI173+CL173+CO173+CR173+CU173+CX173+DA173+DD173+DG173+DJ173+DM173+DP173+DS173+DV173+DY173+EB173+EE173+EH173+EK173+EN173+EQ173)/8</f>
        <v>6.375</v>
      </c>
      <c r="EX173" s="139">
        <f>D173+G173+J173+P173+V173+AB173+AH173+AN173+AT173+AZ173+BC173+BF173+BI173+BL173+BO173+BR173+BU173+BX173+CA173+CD173+CG173+CJ173+CM173+CP173+CS173+CV173+CY173+DB173+DE173+DH173+DK173+DN173+DQ173+DT173+DW173+DZ173+EC173+EF173+EI173+EL173+EO173+ER173</f>
        <v>5.25</v>
      </c>
      <c r="EY173" s="140"/>
      <c r="EZ173" s="184"/>
      <c r="FA173" s="142"/>
      <c r="FB173" s="137"/>
      <c r="FC173" s="192"/>
      <c r="FD173" s="139"/>
      <c r="FE173" s="140">
        <v>103855</v>
      </c>
      <c r="FF173" s="132"/>
      <c r="FG173" s="142">
        <v>0.25</v>
      </c>
      <c r="FH173" s="137">
        <f>EV173+FB173</f>
        <v>103854.375</v>
      </c>
      <c r="FI173" s="192">
        <f t="shared" ref="FI173:FJ188" si="10">EW173+FC173</f>
        <v>6.375</v>
      </c>
      <c r="FJ173" s="139">
        <f t="shared" si="10"/>
        <v>5.25</v>
      </c>
    </row>
    <row r="174" spans="1:166" x14ac:dyDescent="0.2">
      <c r="A174" s="164" t="s">
        <v>1321</v>
      </c>
      <c r="B174" s="140">
        <v>2364</v>
      </c>
      <c r="C174" s="184">
        <v>3</v>
      </c>
      <c r="D174" s="142">
        <f>1/2</f>
        <v>0.5</v>
      </c>
      <c r="E174" s="140"/>
      <c r="F174" s="184"/>
      <c r="G174" s="142"/>
      <c r="H174" s="140">
        <v>14719</v>
      </c>
      <c r="I174" s="184">
        <v>4</v>
      </c>
      <c r="J174" s="142">
        <v>0.75</v>
      </c>
      <c r="K174" s="140"/>
      <c r="L174" s="184"/>
      <c r="M174" s="142"/>
      <c r="N174" s="140">
        <v>5355</v>
      </c>
      <c r="O174" s="184">
        <v>2</v>
      </c>
      <c r="P174" s="142"/>
      <c r="Q174" s="140">
        <v>608</v>
      </c>
      <c r="R174" s="184">
        <v>6</v>
      </c>
      <c r="S174" s="142">
        <v>0.75</v>
      </c>
      <c r="T174" s="140"/>
      <c r="U174" s="184"/>
      <c r="V174" s="142"/>
      <c r="W174" s="140"/>
      <c r="X174" s="184"/>
      <c r="Y174" s="142"/>
      <c r="Z174" s="140">
        <v>3049</v>
      </c>
      <c r="AA174" s="184">
        <v>7</v>
      </c>
      <c r="AB174" s="142">
        <v>0.25</v>
      </c>
      <c r="AC174" s="140">
        <v>1016</v>
      </c>
      <c r="AD174" s="184">
        <v>5</v>
      </c>
      <c r="AE174" s="142">
        <v>0.25</v>
      </c>
      <c r="AF174" s="140">
        <v>2640</v>
      </c>
      <c r="AG174" s="184">
        <v>4</v>
      </c>
      <c r="AH174" s="142">
        <v>0.75</v>
      </c>
      <c r="AI174" s="140">
        <v>880</v>
      </c>
      <c r="AJ174" s="184">
        <v>1</v>
      </c>
      <c r="AK174" s="142">
        <v>0.75</v>
      </c>
      <c r="AL174" s="140">
        <v>1141</v>
      </c>
      <c r="AM174" s="184">
        <v>3</v>
      </c>
      <c r="AN174" s="142">
        <v>0.25</v>
      </c>
      <c r="AO174" s="140">
        <v>380</v>
      </c>
      <c r="AP174" s="184">
        <v>3</v>
      </c>
      <c r="AQ174" s="142">
        <v>0.75</v>
      </c>
      <c r="AR174" s="140">
        <v>66</v>
      </c>
      <c r="AS174" s="184">
        <v>7</v>
      </c>
      <c r="AT174" s="142"/>
      <c r="AU174" s="140"/>
      <c r="AV174" s="184"/>
      <c r="AW174" s="142"/>
      <c r="AX174" s="140">
        <v>24663</v>
      </c>
      <c r="AY174" s="132"/>
      <c r="AZ174" s="142">
        <v>0.25</v>
      </c>
      <c r="BA174" s="140">
        <v>2151</v>
      </c>
      <c r="BB174" s="184">
        <v>6</v>
      </c>
      <c r="BC174" s="142">
        <v>0.75</v>
      </c>
      <c r="BD174" s="140"/>
      <c r="BE174" s="184"/>
      <c r="BF174" s="142"/>
      <c r="BG174" s="140"/>
      <c r="BH174" s="184"/>
      <c r="BI174" s="142"/>
      <c r="BJ174" s="140">
        <v>346</v>
      </c>
      <c r="BK174" s="184">
        <v>3</v>
      </c>
      <c r="BL174" s="142">
        <v>0.5</v>
      </c>
      <c r="BM174" s="140">
        <v>54</v>
      </c>
      <c r="BN174" s="184"/>
      <c r="BO174" s="142"/>
      <c r="BP174" s="140"/>
      <c r="BQ174" s="184"/>
      <c r="BR174" s="142"/>
      <c r="BS174" s="140"/>
      <c r="BT174" s="184"/>
      <c r="BU174" s="142"/>
      <c r="BV174" s="140">
        <v>483</v>
      </c>
      <c r="BW174" s="184">
        <v>4</v>
      </c>
      <c r="BX174" s="142"/>
      <c r="BY174" s="140"/>
      <c r="BZ174" s="184"/>
      <c r="CA174" s="142"/>
      <c r="CB174" s="140">
        <v>9</v>
      </c>
      <c r="CC174" s="184">
        <v>1</v>
      </c>
      <c r="CD174" s="142">
        <v>0.5</v>
      </c>
      <c r="CE174" s="140">
        <v>132</v>
      </c>
      <c r="CF174" s="184">
        <v>6</v>
      </c>
      <c r="CG174" s="142">
        <v>0.75</v>
      </c>
      <c r="CH174" s="140">
        <v>137</v>
      </c>
      <c r="CI174" s="184">
        <v>4</v>
      </c>
      <c r="CJ174" s="142"/>
      <c r="CK174" s="140"/>
      <c r="CL174" s="184"/>
      <c r="CM174" s="142"/>
      <c r="CN174" s="140"/>
      <c r="CO174" s="184"/>
      <c r="CP174" s="142"/>
      <c r="CQ174" s="140"/>
      <c r="CR174" s="184"/>
      <c r="CS174" s="142"/>
      <c r="CT174" s="140"/>
      <c r="CU174" s="184"/>
      <c r="CV174" s="142"/>
      <c r="CW174" s="140">
        <v>128</v>
      </c>
      <c r="CX174" s="184">
        <v>3</v>
      </c>
      <c r="CY174" s="142"/>
      <c r="CZ174" s="140"/>
      <c r="DA174" s="184"/>
      <c r="DB174" s="142"/>
      <c r="DC174" s="140"/>
      <c r="DD174" s="184"/>
      <c r="DE174" s="142"/>
      <c r="DF174" s="140"/>
      <c r="DG174" s="184"/>
      <c r="DH174" s="142"/>
      <c r="DI174" s="140"/>
      <c r="DJ174" s="184"/>
      <c r="DK174" s="142"/>
      <c r="DL174" s="140"/>
      <c r="DM174" s="184"/>
      <c r="DN174" s="142"/>
      <c r="DO174" s="140">
        <v>24</v>
      </c>
      <c r="DP174" s="184">
        <v>7</v>
      </c>
      <c r="DQ174" s="142"/>
      <c r="DR174" s="140"/>
      <c r="DS174" s="184"/>
      <c r="DT174" s="142"/>
      <c r="DU174" s="140"/>
      <c r="DV174" s="184"/>
      <c r="DW174" s="142"/>
      <c r="DX174" s="140"/>
      <c r="DY174" s="184"/>
      <c r="DZ174" s="142"/>
      <c r="EA174" s="140"/>
      <c r="EB174" s="184"/>
      <c r="EC174" s="142"/>
      <c r="ED174" s="140"/>
      <c r="EE174" s="184"/>
      <c r="EF174" s="142"/>
      <c r="EG174" s="140"/>
      <c r="EH174" s="184"/>
      <c r="EI174" s="142"/>
      <c r="EJ174" s="140"/>
      <c r="EK174" s="184"/>
      <c r="EL174" s="142"/>
      <c r="EM174" s="140"/>
      <c r="EN174" s="184"/>
      <c r="EO174" s="142"/>
      <c r="EP174" s="140"/>
      <c r="EQ174" s="184"/>
      <c r="ER174" s="142"/>
      <c r="ES174" s="140">
        <v>57469</v>
      </c>
      <c r="ET174" s="184">
        <v>4</v>
      </c>
      <c r="EU174" s="142">
        <v>0.75</v>
      </c>
      <c r="EV174" s="137">
        <f t="shared" si="8"/>
        <v>57469</v>
      </c>
      <c r="EW174" s="192">
        <f t="shared" si="9"/>
        <v>8</v>
      </c>
      <c r="EX174" s="139">
        <f t="shared" ref="EX174:EX193" si="11">D174+G174+J174+P174+V174+AB174+AH174+AN174+AT174+AZ174+BC174+BF174+BI174+BL174+BO174+BR174+BU174+BX174+CA174+CD174+CG174+CJ174+CM174+CP174+CS174+CV174+CY174+DB174+DE174+DH174+DK174+DN174+DQ174+DT174+DW174+DZ174+EC174+EF174+EI174+EL174+EO174+ER174</f>
        <v>5.25</v>
      </c>
      <c r="EY174" s="140">
        <v>2886</v>
      </c>
      <c r="EZ174" s="184">
        <v>1</v>
      </c>
      <c r="FA174" s="142">
        <v>0.5</v>
      </c>
      <c r="FB174" s="137">
        <f t="shared" ref="FB174:FD192" si="12">K174+Q174+W174+AC174+AI174+AO174+AU174</f>
        <v>2884</v>
      </c>
      <c r="FC174" s="192">
        <f t="shared" si="12"/>
        <v>15</v>
      </c>
      <c r="FD174" s="139">
        <f t="shared" si="12"/>
        <v>2.5</v>
      </c>
      <c r="FE174" s="140">
        <v>60355</v>
      </c>
      <c r="FF174" s="184">
        <v>6</v>
      </c>
      <c r="FG174" s="142">
        <v>0.25</v>
      </c>
      <c r="FH174" s="137">
        <f t="shared" ref="FH174:FJ193" si="13">EV174+FB174</f>
        <v>60353</v>
      </c>
      <c r="FI174" s="192">
        <f t="shared" si="10"/>
        <v>23</v>
      </c>
      <c r="FJ174" s="139">
        <f t="shared" si="10"/>
        <v>7.75</v>
      </c>
    </row>
    <row r="175" spans="1:166" x14ac:dyDescent="0.2">
      <c r="A175" s="164" t="s">
        <v>1322</v>
      </c>
      <c r="B175" s="140">
        <v>4408</v>
      </c>
      <c r="C175" s="184">
        <v>3</v>
      </c>
      <c r="D175" s="142">
        <v>0.5</v>
      </c>
      <c r="E175" s="140"/>
      <c r="F175" s="184"/>
      <c r="G175" s="142"/>
      <c r="H175" s="140">
        <v>14735</v>
      </c>
      <c r="I175" s="184">
        <v>7</v>
      </c>
      <c r="J175" s="142">
        <v>0.5</v>
      </c>
      <c r="K175" s="140"/>
      <c r="L175" s="184"/>
      <c r="M175" s="142"/>
      <c r="N175" s="140">
        <v>7440</v>
      </c>
      <c r="O175" s="184">
        <v>2</v>
      </c>
      <c r="P175" s="142">
        <v>0.25</v>
      </c>
      <c r="Q175" s="140">
        <v>3016</v>
      </c>
      <c r="R175" s="184">
        <v>1</v>
      </c>
      <c r="S175" s="142">
        <v>0.25</v>
      </c>
      <c r="T175" s="140">
        <v>214901</v>
      </c>
      <c r="U175" s="184">
        <v>7</v>
      </c>
      <c r="V175" s="142">
        <v>0.75</v>
      </c>
      <c r="W175" s="140"/>
      <c r="X175" s="184"/>
      <c r="Y175" s="142"/>
      <c r="Z175" s="140"/>
      <c r="AA175" s="184"/>
      <c r="AB175" s="142"/>
      <c r="AC175" s="140"/>
      <c r="AD175" s="184"/>
      <c r="AE175" s="142"/>
      <c r="AF175" s="140"/>
      <c r="AG175" s="184"/>
      <c r="AH175" s="142"/>
      <c r="AI175" s="140"/>
      <c r="AJ175" s="184"/>
      <c r="AK175" s="142"/>
      <c r="AL175" s="140"/>
      <c r="AM175" s="184"/>
      <c r="AN175" s="142"/>
      <c r="AO175" s="140"/>
      <c r="AP175" s="184"/>
      <c r="AQ175" s="142"/>
      <c r="AR175" s="140">
        <v>325</v>
      </c>
      <c r="AS175" s="184">
        <v>1</v>
      </c>
      <c r="AT175" s="142">
        <v>0.5</v>
      </c>
      <c r="AU175" s="140"/>
      <c r="AV175" s="184"/>
      <c r="AW175" s="142"/>
      <c r="AX175" s="140">
        <v>2380</v>
      </c>
      <c r="AY175" s="184">
        <v>4</v>
      </c>
      <c r="AZ175" s="142">
        <v>0.5</v>
      </c>
      <c r="BA175" s="140">
        <v>1337</v>
      </c>
      <c r="BB175" s="184">
        <v>7</v>
      </c>
      <c r="BC175" s="142">
        <v>0.75</v>
      </c>
      <c r="BD175" s="140">
        <v>280</v>
      </c>
      <c r="BE175" s="184">
        <v>7</v>
      </c>
      <c r="BF175" s="142"/>
      <c r="BG175" s="140">
        <v>756</v>
      </c>
      <c r="BH175" s="184">
        <v>1</v>
      </c>
      <c r="BI175" s="142">
        <v>0.75</v>
      </c>
      <c r="BJ175" s="140"/>
      <c r="BK175" s="184"/>
      <c r="BL175" s="142"/>
      <c r="BM175" s="140"/>
      <c r="BN175" s="184"/>
      <c r="BO175" s="142"/>
      <c r="BP175" s="140"/>
      <c r="BQ175" s="184"/>
      <c r="BR175" s="142"/>
      <c r="BS175" s="140">
        <v>455</v>
      </c>
      <c r="BT175" s="184">
        <v>4</v>
      </c>
      <c r="BU175" s="142">
        <v>0.75</v>
      </c>
      <c r="BV175" s="140">
        <v>70</v>
      </c>
      <c r="BW175" s="184">
        <v>4</v>
      </c>
      <c r="BX175" s="142"/>
      <c r="BY175" s="140"/>
      <c r="BZ175" s="184"/>
      <c r="CA175" s="142"/>
      <c r="CB175" s="140">
        <v>18</v>
      </c>
      <c r="CC175" s="184">
        <v>1</v>
      </c>
      <c r="CD175" s="142"/>
      <c r="CE175" s="140">
        <v>62</v>
      </c>
      <c r="CF175" s="184">
        <v>1</v>
      </c>
      <c r="CG175" s="142">
        <v>0.75</v>
      </c>
      <c r="CH175" s="140"/>
      <c r="CI175" s="184"/>
      <c r="CJ175" s="142"/>
      <c r="CK175" s="140"/>
      <c r="CL175" s="184"/>
      <c r="CM175" s="142"/>
      <c r="CN175" s="140"/>
      <c r="CO175" s="184"/>
      <c r="CP175" s="142"/>
      <c r="CQ175" s="140">
        <v>1428</v>
      </c>
      <c r="CR175" s="184">
        <v>4</v>
      </c>
      <c r="CS175" s="142">
        <v>0.5</v>
      </c>
      <c r="CT175" s="140">
        <v>5835</v>
      </c>
      <c r="CU175" s="184">
        <v>1</v>
      </c>
      <c r="CV175" s="142">
        <v>0.5</v>
      </c>
      <c r="CW175" s="140">
        <v>1272</v>
      </c>
      <c r="CX175" s="184">
        <v>3</v>
      </c>
      <c r="CY175" s="142">
        <v>0.5</v>
      </c>
      <c r="CZ175" s="140"/>
      <c r="DA175" s="184"/>
      <c r="DB175" s="142"/>
      <c r="DC175" s="140"/>
      <c r="DD175" s="184"/>
      <c r="DE175" s="142"/>
      <c r="DF175" s="140"/>
      <c r="DG175" s="184"/>
      <c r="DH175" s="142"/>
      <c r="DI175" s="140"/>
      <c r="DJ175" s="184"/>
      <c r="DK175" s="142"/>
      <c r="DL175" s="140"/>
      <c r="DM175" s="184"/>
      <c r="DN175" s="142"/>
      <c r="DO175" s="140"/>
      <c r="DP175" s="184"/>
      <c r="DQ175" s="142"/>
      <c r="DR175" s="140">
        <v>11</v>
      </c>
      <c r="DS175" s="132"/>
      <c r="DT175" s="142"/>
      <c r="DU175" s="140">
        <v>20</v>
      </c>
      <c r="DV175" s="184">
        <v>2</v>
      </c>
      <c r="DW175" s="142">
        <v>0.75</v>
      </c>
      <c r="DX175" s="140"/>
      <c r="DY175" s="184"/>
      <c r="DZ175" s="142"/>
      <c r="EA175" s="140"/>
      <c r="EB175" s="184"/>
      <c r="EC175" s="142"/>
      <c r="ED175" s="140"/>
      <c r="EE175" s="184"/>
      <c r="EF175" s="142"/>
      <c r="EG175" s="140"/>
      <c r="EH175" s="184"/>
      <c r="EI175" s="142"/>
      <c r="EJ175" s="140">
        <v>8</v>
      </c>
      <c r="EK175" s="184">
        <v>2</v>
      </c>
      <c r="EL175" s="142">
        <v>0.25</v>
      </c>
      <c r="EM175" s="140"/>
      <c r="EN175" s="184"/>
      <c r="EO175" s="142"/>
      <c r="EP175" s="140"/>
      <c r="EQ175" s="184"/>
      <c r="ER175" s="142"/>
      <c r="ES175" s="140">
        <v>255747</v>
      </c>
      <c r="ET175" s="184">
        <v>3</v>
      </c>
      <c r="EU175" s="142">
        <v>0.5</v>
      </c>
      <c r="EV175" s="137">
        <f t="shared" si="8"/>
        <v>255748.625</v>
      </c>
      <c r="EW175" s="192">
        <f t="shared" si="9"/>
        <v>7.625</v>
      </c>
      <c r="EX175" s="139">
        <f t="shared" si="11"/>
        <v>8.5</v>
      </c>
      <c r="EY175" s="140">
        <v>3016</v>
      </c>
      <c r="EZ175" s="184">
        <v>1</v>
      </c>
      <c r="FA175" s="142">
        <v>0.25</v>
      </c>
      <c r="FB175" s="137">
        <f t="shared" si="12"/>
        <v>3016</v>
      </c>
      <c r="FC175" s="192">
        <f t="shared" si="12"/>
        <v>1</v>
      </c>
      <c r="FD175" s="139">
        <f t="shared" si="12"/>
        <v>0.25</v>
      </c>
      <c r="FE175" s="140">
        <v>258763</v>
      </c>
      <c r="FF175" s="184">
        <v>4</v>
      </c>
      <c r="FG175" s="142">
        <v>0.75</v>
      </c>
      <c r="FH175" s="137">
        <f t="shared" si="13"/>
        <v>258764.625</v>
      </c>
      <c r="FI175" s="192">
        <f t="shared" si="10"/>
        <v>8.625</v>
      </c>
      <c r="FJ175" s="139">
        <f t="shared" si="10"/>
        <v>8.75</v>
      </c>
    </row>
    <row r="176" spans="1:166" x14ac:dyDescent="0.2">
      <c r="A176" s="164" t="s">
        <v>1323</v>
      </c>
      <c r="B176" s="140">
        <v>367</v>
      </c>
      <c r="C176" s="184">
        <v>7</v>
      </c>
      <c r="D176" s="142">
        <v>0.5</v>
      </c>
      <c r="E176" s="140"/>
      <c r="F176" s="184"/>
      <c r="G176" s="142"/>
      <c r="H176" s="140">
        <v>2654</v>
      </c>
      <c r="I176" s="184">
        <v>4</v>
      </c>
      <c r="J176" s="142">
        <v>0.25</v>
      </c>
      <c r="K176" s="140"/>
      <c r="L176" s="184"/>
      <c r="M176" s="142"/>
      <c r="N176" s="140">
        <v>7933</v>
      </c>
      <c r="O176" s="184">
        <v>2</v>
      </c>
      <c r="P176" s="142">
        <v>0.75</v>
      </c>
      <c r="Q176" s="140"/>
      <c r="R176" s="184"/>
      <c r="S176" s="142"/>
      <c r="T176" s="140"/>
      <c r="U176" s="184"/>
      <c r="V176" s="142"/>
      <c r="W176" s="140"/>
      <c r="X176" s="184"/>
      <c r="Y176" s="142"/>
      <c r="Z176" s="140"/>
      <c r="AA176" s="184"/>
      <c r="AB176" s="142"/>
      <c r="AC176" s="140"/>
      <c r="AD176" s="184"/>
      <c r="AE176" s="142"/>
      <c r="AF176" s="140"/>
      <c r="AG176" s="184"/>
      <c r="AH176" s="142"/>
      <c r="AI176" s="140"/>
      <c r="AJ176" s="184"/>
      <c r="AK176" s="142"/>
      <c r="AL176" s="140"/>
      <c r="AM176" s="184"/>
      <c r="AN176" s="142"/>
      <c r="AO176" s="140"/>
      <c r="AP176" s="184"/>
      <c r="AQ176" s="142"/>
      <c r="AR176" s="140"/>
      <c r="AS176" s="184"/>
      <c r="AT176" s="142"/>
      <c r="AU176" s="140"/>
      <c r="AV176" s="184"/>
      <c r="AW176" s="142"/>
      <c r="AX176" s="140">
        <v>421</v>
      </c>
      <c r="AY176" s="184">
        <v>7</v>
      </c>
      <c r="AZ176" s="142">
        <v>0.25</v>
      </c>
      <c r="BA176" s="140"/>
      <c r="BB176" s="184"/>
      <c r="BC176" s="142"/>
      <c r="BD176" s="140"/>
      <c r="BE176" s="184"/>
      <c r="BF176" s="142"/>
      <c r="BG176" s="140"/>
      <c r="BH176" s="184"/>
      <c r="BI176" s="142"/>
      <c r="BJ176" s="140"/>
      <c r="BK176" s="184"/>
      <c r="BL176" s="142"/>
      <c r="BM176" s="140">
        <v>8</v>
      </c>
      <c r="BN176" s="184"/>
      <c r="BO176" s="142"/>
      <c r="BP176" s="140"/>
      <c r="BQ176" s="184"/>
      <c r="BR176" s="142"/>
      <c r="BS176" s="140"/>
      <c r="BT176" s="184"/>
      <c r="BU176" s="142"/>
      <c r="BV176" s="140"/>
      <c r="BW176" s="184"/>
      <c r="BX176" s="142"/>
      <c r="BY176" s="140"/>
      <c r="BZ176" s="184"/>
      <c r="CA176" s="142"/>
      <c r="CB176" s="140"/>
      <c r="CC176" s="184"/>
      <c r="CD176" s="142"/>
      <c r="CE176" s="140"/>
      <c r="CF176" s="184"/>
      <c r="CG176" s="142"/>
      <c r="CH176" s="140">
        <v>24</v>
      </c>
      <c r="CI176" s="184">
        <v>4</v>
      </c>
      <c r="CJ176" s="142"/>
      <c r="CK176" s="140"/>
      <c r="CL176" s="184"/>
      <c r="CM176" s="142"/>
      <c r="CN176" s="140"/>
      <c r="CO176" s="184"/>
      <c r="CP176" s="142"/>
      <c r="CQ176" s="140">
        <v>30</v>
      </c>
      <c r="CR176" s="184">
        <v>4</v>
      </c>
      <c r="CS176" s="142"/>
      <c r="CT176" s="140"/>
      <c r="CU176" s="184"/>
      <c r="CV176" s="142"/>
      <c r="CW176" s="140">
        <v>222</v>
      </c>
      <c r="CX176" s="184">
        <v>4</v>
      </c>
      <c r="CY176" s="142"/>
      <c r="CZ176" s="140"/>
      <c r="DA176" s="184"/>
      <c r="DB176" s="142"/>
      <c r="DC176" s="140"/>
      <c r="DD176" s="184"/>
      <c r="DE176" s="142"/>
      <c r="DF176" s="140"/>
      <c r="DG176" s="184"/>
      <c r="DH176" s="142"/>
      <c r="DI176" s="140"/>
      <c r="DJ176" s="184"/>
      <c r="DK176" s="142"/>
      <c r="DL176" s="140"/>
      <c r="DM176" s="184"/>
      <c r="DN176" s="142"/>
      <c r="DO176" s="140"/>
      <c r="DP176" s="184"/>
      <c r="DQ176" s="142"/>
      <c r="DR176" s="140"/>
      <c r="DS176" s="184"/>
      <c r="DT176" s="142"/>
      <c r="DU176" s="140"/>
      <c r="DV176" s="184"/>
      <c r="DW176" s="142"/>
      <c r="DX176" s="140"/>
      <c r="DY176" s="184"/>
      <c r="DZ176" s="142"/>
      <c r="EA176" s="140"/>
      <c r="EB176" s="184"/>
      <c r="EC176" s="142"/>
      <c r="ED176" s="140"/>
      <c r="EE176" s="184"/>
      <c r="EF176" s="142"/>
      <c r="EG176" s="140"/>
      <c r="EH176" s="184"/>
      <c r="EI176" s="142"/>
      <c r="EJ176" s="140"/>
      <c r="EK176" s="184"/>
      <c r="EL176" s="142"/>
      <c r="EM176" s="140"/>
      <c r="EN176" s="184"/>
      <c r="EO176" s="142"/>
      <c r="EP176" s="140"/>
      <c r="EQ176" s="184"/>
      <c r="ER176" s="142"/>
      <c r="ES176" s="140">
        <v>11661</v>
      </c>
      <c r="ET176" s="184">
        <v>7</v>
      </c>
      <c r="EU176" s="142">
        <v>0.75</v>
      </c>
      <c r="EV176" s="137">
        <f t="shared" si="8"/>
        <v>11663</v>
      </c>
      <c r="EW176" s="192">
        <f t="shared" si="9"/>
        <v>4</v>
      </c>
      <c r="EX176" s="139">
        <f t="shared" si="11"/>
        <v>1.75</v>
      </c>
      <c r="EY176" s="140"/>
      <c r="EZ176" s="184"/>
      <c r="FA176" s="142"/>
      <c r="FB176" s="137"/>
      <c r="FC176" s="192"/>
      <c r="FD176" s="139"/>
      <c r="FE176" s="140">
        <v>11661</v>
      </c>
      <c r="FF176" s="184">
        <v>7</v>
      </c>
      <c r="FG176" s="142">
        <v>0.75</v>
      </c>
      <c r="FH176" s="137">
        <f t="shared" si="13"/>
        <v>11663</v>
      </c>
      <c r="FI176" s="192">
        <f t="shared" si="10"/>
        <v>4</v>
      </c>
      <c r="FJ176" s="139">
        <f t="shared" si="10"/>
        <v>1.75</v>
      </c>
    </row>
    <row r="177" spans="1:166" x14ac:dyDescent="0.2">
      <c r="A177" s="164" t="s">
        <v>1324</v>
      </c>
      <c r="B177" s="140">
        <v>844</v>
      </c>
      <c r="C177" s="184">
        <v>7</v>
      </c>
      <c r="D177" s="142">
        <v>0.75</v>
      </c>
      <c r="E177" s="140">
        <v>40</v>
      </c>
      <c r="F177" s="184"/>
      <c r="G177" s="142"/>
      <c r="H177" s="140">
        <v>4250</v>
      </c>
      <c r="I177" s="184">
        <v>3</v>
      </c>
      <c r="J177" s="142"/>
      <c r="K177" s="140"/>
      <c r="L177" s="184"/>
      <c r="M177" s="142"/>
      <c r="N177" s="140">
        <v>15557</v>
      </c>
      <c r="O177" s="184">
        <v>4</v>
      </c>
      <c r="P177" s="142"/>
      <c r="Q177" s="140"/>
      <c r="R177" s="184"/>
      <c r="S177" s="142"/>
      <c r="T177" s="140"/>
      <c r="U177" s="184"/>
      <c r="V177" s="142"/>
      <c r="W177" s="140"/>
      <c r="X177" s="184"/>
      <c r="Y177" s="142"/>
      <c r="Z177" s="140">
        <v>409</v>
      </c>
      <c r="AA177" s="184">
        <v>7</v>
      </c>
      <c r="AB177" s="142"/>
      <c r="AC177" s="140"/>
      <c r="AD177" s="184"/>
      <c r="AE177" s="142"/>
      <c r="AF177" s="140"/>
      <c r="AG177" s="184"/>
      <c r="AH177" s="142"/>
      <c r="AI177" s="140"/>
      <c r="AJ177" s="184"/>
      <c r="AK177" s="142"/>
      <c r="AL177" s="140"/>
      <c r="AM177" s="184"/>
      <c r="AN177" s="142"/>
      <c r="AO177" s="140"/>
      <c r="AP177" s="184"/>
      <c r="AQ177" s="142"/>
      <c r="AR177" s="140"/>
      <c r="AS177" s="184"/>
      <c r="AT177" s="142"/>
      <c r="AU177" s="140"/>
      <c r="AV177" s="184"/>
      <c r="AW177" s="142"/>
      <c r="AX177" s="140"/>
      <c r="AY177" s="184"/>
      <c r="AZ177" s="142"/>
      <c r="BA177" s="140"/>
      <c r="BB177" s="184"/>
      <c r="BC177" s="142"/>
      <c r="BD177" s="140"/>
      <c r="BE177" s="184"/>
      <c r="BF177" s="142"/>
      <c r="BG177" s="140">
        <v>5124</v>
      </c>
      <c r="BH177" s="184">
        <v>2</v>
      </c>
      <c r="BI177" s="142">
        <v>0.75</v>
      </c>
      <c r="BJ177" s="140"/>
      <c r="BK177" s="184"/>
      <c r="BL177" s="142"/>
      <c r="BM177" s="140"/>
      <c r="BN177" s="184"/>
      <c r="BO177" s="142"/>
      <c r="BP177" s="140"/>
      <c r="BQ177" s="184"/>
      <c r="BR177" s="142"/>
      <c r="BS177" s="140">
        <v>126</v>
      </c>
      <c r="BT177" s="184">
        <v>7</v>
      </c>
      <c r="BU177" s="142">
        <v>0.75</v>
      </c>
      <c r="BV177" s="140">
        <v>73</v>
      </c>
      <c r="BW177" s="184">
        <v>4</v>
      </c>
      <c r="BX177" s="142"/>
      <c r="BY177" s="140"/>
      <c r="BZ177" s="184"/>
      <c r="CA177" s="142"/>
      <c r="CB177" s="140">
        <v>5037</v>
      </c>
      <c r="CC177" s="184">
        <v>4</v>
      </c>
      <c r="CD177" s="142">
        <v>0.75</v>
      </c>
      <c r="CE177" s="140">
        <v>1081</v>
      </c>
      <c r="CF177" s="184">
        <v>1</v>
      </c>
      <c r="CG177" s="142">
        <v>0.5</v>
      </c>
      <c r="CH177" s="140">
        <v>57</v>
      </c>
      <c r="CI177" s="184">
        <v>4</v>
      </c>
      <c r="CJ177" s="142"/>
      <c r="CK177" s="140">
        <v>4</v>
      </c>
      <c r="CL177" s="184"/>
      <c r="CM177" s="142"/>
      <c r="CN177" s="140"/>
      <c r="CO177" s="184"/>
      <c r="CP177" s="142"/>
      <c r="CQ177" s="140"/>
      <c r="CR177" s="184"/>
      <c r="CS177" s="142"/>
      <c r="CT177" s="140">
        <v>20</v>
      </c>
      <c r="CU177" s="184">
        <v>7</v>
      </c>
      <c r="CV177" s="142"/>
      <c r="CW177" s="140">
        <v>320</v>
      </c>
      <c r="CX177" s="184">
        <v>6</v>
      </c>
      <c r="CY177" s="142">
        <v>0.75</v>
      </c>
      <c r="CZ177" s="140"/>
      <c r="DA177" s="184"/>
      <c r="DB177" s="142"/>
      <c r="DC177" s="140"/>
      <c r="DD177" s="184"/>
      <c r="DE177" s="142"/>
      <c r="DF177" s="140"/>
      <c r="DG177" s="184"/>
      <c r="DH177" s="142"/>
      <c r="DI177" s="140">
        <v>887</v>
      </c>
      <c r="DJ177" s="184">
        <v>6</v>
      </c>
      <c r="DK177" s="142"/>
      <c r="DL177" s="140"/>
      <c r="DM177" s="184"/>
      <c r="DN177" s="142"/>
      <c r="DO177" s="140"/>
      <c r="DP177" s="184"/>
      <c r="DQ177" s="142"/>
      <c r="DR177" s="140"/>
      <c r="DS177" s="184"/>
      <c r="DT177" s="142"/>
      <c r="DU177" s="140"/>
      <c r="DV177" s="184"/>
      <c r="DW177" s="142"/>
      <c r="DX177" s="140"/>
      <c r="DY177" s="184"/>
      <c r="DZ177" s="142"/>
      <c r="EA177" s="140">
        <v>842</v>
      </c>
      <c r="EB177" s="132"/>
      <c r="EC177" s="142"/>
      <c r="ED177" s="140"/>
      <c r="EE177" s="184"/>
      <c r="EF177" s="142"/>
      <c r="EG177" s="140">
        <v>263</v>
      </c>
      <c r="EH177" s="184">
        <v>7</v>
      </c>
      <c r="EI177" s="142">
        <v>0.25</v>
      </c>
      <c r="EJ177" s="140"/>
      <c r="EK177" s="184"/>
      <c r="EL177" s="142"/>
      <c r="EM177" s="140"/>
      <c r="EN177" s="184"/>
      <c r="EO177" s="142"/>
      <c r="EP177" s="140"/>
      <c r="EQ177" s="184"/>
      <c r="ER177" s="142"/>
      <c r="ES177" s="140">
        <v>34941</v>
      </c>
      <c r="ET177" s="184">
        <v>3</v>
      </c>
      <c r="EU177" s="142">
        <v>0.5</v>
      </c>
      <c r="EV177" s="137">
        <f t="shared" si="8"/>
        <v>34942.625</v>
      </c>
      <c r="EW177" s="192">
        <f t="shared" si="9"/>
        <v>8.625</v>
      </c>
      <c r="EX177" s="139">
        <f t="shared" si="11"/>
        <v>4.5</v>
      </c>
      <c r="EY177" s="140"/>
      <c r="EZ177" s="184"/>
      <c r="FA177" s="142"/>
      <c r="FB177" s="137"/>
      <c r="FC177" s="192"/>
      <c r="FD177" s="139"/>
      <c r="FE177" s="140">
        <v>34941</v>
      </c>
      <c r="FF177" s="184">
        <v>3</v>
      </c>
      <c r="FG177" s="142">
        <v>0.5</v>
      </c>
      <c r="FH177" s="137">
        <f t="shared" si="13"/>
        <v>34942.625</v>
      </c>
      <c r="FI177" s="192">
        <f t="shared" si="10"/>
        <v>8.625</v>
      </c>
      <c r="FJ177" s="139">
        <f t="shared" si="10"/>
        <v>4.5</v>
      </c>
    </row>
    <row r="178" spans="1:166" x14ac:dyDescent="0.2">
      <c r="A178" s="164" t="s">
        <v>1325</v>
      </c>
      <c r="B178" s="140">
        <v>53</v>
      </c>
      <c r="C178" s="184">
        <v>4</v>
      </c>
      <c r="D178" s="142">
        <v>0.5</v>
      </c>
      <c r="E178" s="140"/>
      <c r="F178" s="184"/>
      <c r="G178" s="142"/>
      <c r="H178" s="140">
        <v>337</v>
      </c>
      <c r="I178" s="184">
        <v>6</v>
      </c>
      <c r="J178" s="142">
        <v>0.75</v>
      </c>
      <c r="K178" s="140">
        <v>755</v>
      </c>
      <c r="L178" s="184">
        <v>3</v>
      </c>
      <c r="M178" s="142">
        <v>0.25</v>
      </c>
      <c r="N178" s="140">
        <v>884</v>
      </c>
      <c r="O178" s="184">
        <v>2</v>
      </c>
      <c r="P178" s="142">
        <v>0.5</v>
      </c>
      <c r="Q178" s="140">
        <v>845</v>
      </c>
      <c r="R178" s="184">
        <v>5</v>
      </c>
      <c r="S178" s="142"/>
      <c r="T178" s="140">
        <v>6913</v>
      </c>
      <c r="U178" s="184">
        <v>2</v>
      </c>
      <c r="V178" s="142"/>
      <c r="W178" s="140">
        <v>1890</v>
      </c>
      <c r="X178" s="132"/>
      <c r="Y178" s="142"/>
      <c r="Z178" s="140"/>
      <c r="AA178" s="184"/>
      <c r="AB178" s="142"/>
      <c r="AC178" s="140"/>
      <c r="AD178" s="184"/>
      <c r="AE178" s="142"/>
      <c r="AF178" s="140"/>
      <c r="AG178" s="184"/>
      <c r="AH178" s="142"/>
      <c r="AI178" s="140"/>
      <c r="AJ178" s="184"/>
      <c r="AK178" s="142"/>
      <c r="AL178" s="140"/>
      <c r="AM178" s="184"/>
      <c r="AN178" s="142"/>
      <c r="AO178" s="140"/>
      <c r="AP178" s="184"/>
      <c r="AQ178" s="142"/>
      <c r="AR178" s="140">
        <v>2</v>
      </c>
      <c r="AS178" s="184">
        <v>2</v>
      </c>
      <c r="AT178" s="142"/>
      <c r="AU178" s="140"/>
      <c r="AV178" s="184"/>
      <c r="AW178" s="142"/>
      <c r="AX178" s="140"/>
      <c r="AY178" s="184"/>
      <c r="AZ178" s="142"/>
      <c r="BA178" s="140"/>
      <c r="BB178" s="184"/>
      <c r="BC178" s="142"/>
      <c r="BD178" s="140"/>
      <c r="BE178" s="184"/>
      <c r="BF178" s="142"/>
      <c r="BG178" s="140"/>
      <c r="BH178" s="184"/>
      <c r="BI178" s="142"/>
      <c r="BJ178" s="140"/>
      <c r="BK178" s="184"/>
      <c r="BL178" s="142"/>
      <c r="BM178" s="140"/>
      <c r="BN178" s="184"/>
      <c r="BO178" s="142"/>
      <c r="BP178" s="140"/>
      <c r="BQ178" s="184"/>
      <c r="BR178" s="142"/>
      <c r="BS178" s="140"/>
      <c r="BT178" s="184"/>
      <c r="BU178" s="142"/>
      <c r="BV178" s="140"/>
      <c r="BW178" s="184"/>
      <c r="BX178" s="142"/>
      <c r="BY178" s="140"/>
      <c r="BZ178" s="184"/>
      <c r="CA178" s="142"/>
      <c r="CB178" s="140"/>
      <c r="CC178" s="184"/>
      <c r="CD178" s="142"/>
      <c r="CE178" s="140">
        <v>106</v>
      </c>
      <c r="CF178" s="184">
        <v>4</v>
      </c>
      <c r="CG178" s="142"/>
      <c r="CH178" s="140"/>
      <c r="CI178" s="184"/>
      <c r="CJ178" s="142"/>
      <c r="CK178" s="140"/>
      <c r="CL178" s="184"/>
      <c r="CM178" s="142"/>
      <c r="CN178" s="140"/>
      <c r="CO178" s="184"/>
      <c r="CP178" s="142"/>
      <c r="CQ178" s="140"/>
      <c r="CR178" s="184"/>
      <c r="CS178" s="142"/>
      <c r="CT178" s="140"/>
      <c r="CU178" s="184"/>
      <c r="CV178" s="142"/>
      <c r="CW178" s="140"/>
      <c r="CX178" s="184"/>
      <c r="CY178" s="142"/>
      <c r="CZ178" s="140"/>
      <c r="DA178" s="184"/>
      <c r="DB178" s="142"/>
      <c r="DC178" s="140"/>
      <c r="DD178" s="184"/>
      <c r="DE178" s="142"/>
      <c r="DF178" s="140"/>
      <c r="DG178" s="184"/>
      <c r="DH178" s="142"/>
      <c r="DI178" s="140"/>
      <c r="DJ178" s="184"/>
      <c r="DK178" s="142"/>
      <c r="DL178" s="140"/>
      <c r="DM178" s="184"/>
      <c r="DN178" s="142"/>
      <c r="DO178" s="140"/>
      <c r="DP178" s="184"/>
      <c r="DQ178" s="142"/>
      <c r="DR178" s="140"/>
      <c r="DS178" s="184"/>
      <c r="DT178" s="142"/>
      <c r="DU178" s="140"/>
      <c r="DV178" s="184"/>
      <c r="DW178" s="142"/>
      <c r="DX178" s="140"/>
      <c r="DY178" s="184"/>
      <c r="DZ178" s="142"/>
      <c r="EA178" s="140"/>
      <c r="EB178" s="184"/>
      <c r="EC178" s="142"/>
      <c r="ED178" s="140"/>
      <c r="EE178" s="184"/>
      <c r="EF178" s="142"/>
      <c r="EG178" s="140"/>
      <c r="EH178" s="184"/>
      <c r="EI178" s="142"/>
      <c r="EJ178" s="140"/>
      <c r="EK178" s="184"/>
      <c r="EL178" s="142"/>
      <c r="EM178" s="140"/>
      <c r="EN178" s="184"/>
      <c r="EO178" s="142"/>
      <c r="EP178" s="140"/>
      <c r="EQ178" s="184"/>
      <c r="ER178" s="142"/>
      <c r="ES178" s="140">
        <v>8297</v>
      </c>
      <c r="ET178" s="184">
        <v>5</v>
      </c>
      <c r="EU178" s="142">
        <v>0.75</v>
      </c>
      <c r="EV178" s="137">
        <f t="shared" si="8"/>
        <v>8297.5</v>
      </c>
      <c r="EW178" s="192">
        <f t="shared" si="9"/>
        <v>2.5</v>
      </c>
      <c r="EX178" s="139">
        <f t="shared" si="11"/>
        <v>1.75</v>
      </c>
      <c r="EY178" s="140">
        <v>3491</v>
      </c>
      <c r="EZ178" s="184">
        <v>1</v>
      </c>
      <c r="FA178" s="142">
        <v>0.25</v>
      </c>
      <c r="FB178" s="137">
        <f t="shared" si="12"/>
        <v>3490</v>
      </c>
      <c r="FC178" s="192">
        <f t="shared" si="12"/>
        <v>8</v>
      </c>
      <c r="FD178" s="139">
        <f t="shared" si="12"/>
        <v>0.25</v>
      </c>
      <c r="FE178" s="140">
        <v>11788</v>
      </c>
      <c r="FF178" s="184">
        <v>6</v>
      </c>
      <c r="FG178" s="142"/>
      <c r="FH178" s="137">
        <f t="shared" si="13"/>
        <v>11787.5</v>
      </c>
      <c r="FI178" s="192">
        <f t="shared" si="10"/>
        <v>10.5</v>
      </c>
      <c r="FJ178" s="139">
        <f t="shared" si="10"/>
        <v>2</v>
      </c>
    </row>
    <row r="179" spans="1:166" x14ac:dyDescent="0.2">
      <c r="A179" s="164" t="s">
        <v>1326</v>
      </c>
      <c r="B179" s="140">
        <v>508</v>
      </c>
      <c r="C179" s="184">
        <v>6</v>
      </c>
      <c r="D179" s="142"/>
      <c r="E179" s="140"/>
      <c r="F179" s="184"/>
      <c r="G179" s="142"/>
      <c r="H179" s="140">
        <v>3421</v>
      </c>
      <c r="I179" s="184">
        <v>6</v>
      </c>
      <c r="J179" s="142">
        <v>0.75</v>
      </c>
      <c r="K179" s="140"/>
      <c r="L179" s="184"/>
      <c r="M179" s="142"/>
      <c r="N179" s="140">
        <v>3382</v>
      </c>
      <c r="O179" s="184">
        <v>7</v>
      </c>
      <c r="P179" s="142">
        <v>0.25</v>
      </c>
      <c r="Q179" s="140">
        <v>139</v>
      </c>
      <c r="R179" s="184">
        <v>6</v>
      </c>
      <c r="S179" s="142"/>
      <c r="T179" s="140">
        <v>416</v>
      </c>
      <c r="U179" s="184">
        <v>6</v>
      </c>
      <c r="V179" s="142"/>
      <c r="W179" s="140">
        <v>16</v>
      </c>
      <c r="X179" s="184">
        <v>5</v>
      </c>
      <c r="Y179" s="142">
        <v>0.25</v>
      </c>
      <c r="Z179" s="140"/>
      <c r="AA179" s="184"/>
      <c r="AB179" s="142"/>
      <c r="AC179" s="140"/>
      <c r="AD179" s="184"/>
      <c r="AE179" s="142"/>
      <c r="AF179" s="140"/>
      <c r="AG179" s="184"/>
      <c r="AH179" s="142"/>
      <c r="AI179" s="140"/>
      <c r="AJ179" s="184"/>
      <c r="AK179" s="142"/>
      <c r="AL179" s="140"/>
      <c r="AM179" s="184"/>
      <c r="AN179" s="142"/>
      <c r="AO179" s="140"/>
      <c r="AP179" s="184"/>
      <c r="AQ179" s="142"/>
      <c r="AR179" s="140">
        <v>18</v>
      </c>
      <c r="AS179" s="184">
        <v>2</v>
      </c>
      <c r="AT179" s="142">
        <v>0.75</v>
      </c>
      <c r="AU179" s="140"/>
      <c r="AV179" s="184"/>
      <c r="AW179" s="142"/>
      <c r="AX179" s="140">
        <v>5048</v>
      </c>
      <c r="AY179" s="184">
        <v>2</v>
      </c>
      <c r="AZ179" s="142">
        <v>0.5</v>
      </c>
      <c r="BA179" s="140"/>
      <c r="BB179" s="184"/>
      <c r="BC179" s="142"/>
      <c r="BD179" s="140"/>
      <c r="BE179" s="184"/>
      <c r="BF179" s="142"/>
      <c r="BG179" s="140"/>
      <c r="BH179" s="184"/>
      <c r="BI179" s="142"/>
      <c r="BJ179" s="140"/>
      <c r="BK179" s="184"/>
      <c r="BL179" s="142"/>
      <c r="BM179" s="140">
        <v>4</v>
      </c>
      <c r="BN179" s="184"/>
      <c r="BO179" s="142"/>
      <c r="BP179" s="140"/>
      <c r="BQ179" s="184"/>
      <c r="BR179" s="142"/>
      <c r="BS179" s="140"/>
      <c r="BT179" s="184"/>
      <c r="BU179" s="142"/>
      <c r="BV179" s="140"/>
      <c r="BW179" s="184"/>
      <c r="BX179" s="142"/>
      <c r="BY179" s="140"/>
      <c r="BZ179" s="184"/>
      <c r="CA179" s="142"/>
      <c r="CB179" s="140">
        <v>44</v>
      </c>
      <c r="CC179" s="184">
        <v>2</v>
      </c>
      <c r="CD179" s="142">
        <v>0.5</v>
      </c>
      <c r="CE179" s="140">
        <v>14</v>
      </c>
      <c r="CF179" s="184">
        <v>4</v>
      </c>
      <c r="CG179" s="142">
        <v>0.25</v>
      </c>
      <c r="CH179" s="140">
        <v>23</v>
      </c>
      <c r="CI179" s="184">
        <v>4</v>
      </c>
      <c r="CJ179" s="142"/>
      <c r="CK179" s="140"/>
      <c r="CL179" s="184"/>
      <c r="CM179" s="142"/>
      <c r="CN179" s="140"/>
      <c r="CO179" s="184"/>
      <c r="CP179" s="142"/>
      <c r="CQ179" s="140"/>
      <c r="CR179" s="184"/>
      <c r="CS179" s="142"/>
      <c r="CT179" s="140">
        <v>40</v>
      </c>
      <c r="CU179" s="184">
        <v>7</v>
      </c>
      <c r="CV179" s="142"/>
      <c r="CW179" s="140"/>
      <c r="CX179" s="184"/>
      <c r="CY179" s="142"/>
      <c r="CZ179" s="140"/>
      <c r="DA179" s="184"/>
      <c r="DB179" s="142"/>
      <c r="DC179" s="140"/>
      <c r="DD179" s="184"/>
      <c r="DE179" s="142"/>
      <c r="DF179" s="140"/>
      <c r="DG179" s="184"/>
      <c r="DH179" s="142"/>
      <c r="DI179" s="140"/>
      <c r="DJ179" s="184"/>
      <c r="DK179" s="142"/>
      <c r="DL179" s="140"/>
      <c r="DM179" s="184"/>
      <c r="DN179" s="142"/>
      <c r="DO179" s="140"/>
      <c r="DP179" s="184"/>
      <c r="DQ179" s="142"/>
      <c r="DR179" s="140"/>
      <c r="DS179" s="184"/>
      <c r="DT179" s="142"/>
      <c r="DU179" s="140"/>
      <c r="DV179" s="184"/>
      <c r="DW179" s="142"/>
      <c r="DX179" s="140"/>
      <c r="DY179" s="184"/>
      <c r="DZ179" s="142"/>
      <c r="EA179" s="140"/>
      <c r="EB179" s="184"/>
      <c r="EC179" s="142"/>
      <c r="ED179" s="140"/>
      <c r="EE179" s="184"/>
      <c r="EF179" s="142"/>
      <c r="EG179" s="140"/>
      <c r="EH179" s="184"/>
      <c r="EI179" s="142"/>
      <c r="EJ179" s="140"/>
      <c r="EK179" s="184"/>
      <c r="EL179" s="142"/>
      <c r="EM179" s="140"/>
      <c r="EN179" s="184"/>
      <c r="EO179" s="142"/>
      <c r="EP179" s="140"/>
      <c r="EQ179" s="184"/>
      <c r="ER179" s="142"/>
      <c r="ES179" s="140">
        <v>12922</v>
      </c>
      <c r="ET179" s="184">
        <v>5</v>
      </c>
      <c r="EU179" s="142"/>
      <c r="EV179" s="137">
        <f t="shared" si="8"/>
        <v>12923.75</v>
      </c>
      <c r="EW179" s="192">
        <f t="shared" si="9"/>
        <v>5.75</v>
      </c>
      <c r="EX179" s="139">
        <f t="shared" si="11"/>
        <v>3</v>
      </c>
      <c r="EY179" s="140">
        <v>150</v>
      </c>
      <c r="EZ179" s="184">
        <v>3</v>
      </c>
      <c r="FA179" s="142">
        <v>0.25</v>
      </c>
      <c r="FB179" s="137">
        <f t="shared" si="12"/>
        <v>155</v>
      </c>
      <c r="FC179" s="192">
        <f t="shared" si="12"/>
        <v>11</v>
      </c>
      <c r="FD179" s="139">
        <f t="shared" si="12"/>
        <v>0.25</v>
      </c>
      <c r="FE179" s="140">
        <v>13078</v>
      </c>
      <c r="FF179" s="184">
        <v>3</v>
      </c>
      <c r="FG179" s="142">
        <v>0.25</v>
      </c>
      <c r="FH179" s="137">
        <f t="shared" si="13"/>
        <v>13078.75</v>
      </c>
      <c r="FI179" s="192">
        <f t="shared" si="10"/>
        <v>16.75</v>
      </c>
      <c r="FJ179" s="139">
        <f t="shared" si="10"/>
        <v>3.25</v>
      </c>
    </row>
    <row r="180" spans="1:166" x14ac:dyDescent="0.2">
      <c r="A180" s="164" t="s">
        <v>1327</v>
      </c>
      <c r="B180" s="140">
        <v>111</v>
      </c>
      <c r="C180" s="184">
        <v>1</v>
      </c>
      <c r="D180" s="142"/>
      <c r="E180" s="140"/>
      <c r="F180" s="184"/>
      <c r="G180" s="142"/>
      <c r="H180" s="140">
        <v>1271</v>
      </c>
      <c r="I180" s="184">
        <v>2</v>
      </c>
      <c r="J180" s="142">
        <v>0.25</v>
      </c>
      <c r="K180" s="140"/>
      <c r="L180" s="184"/>
      <c r="M180" s="142"/>
      <c r="N180" s="140">
        <v>1614</v>
      </c>
      <c r="O180" s="184">
        <v>4</v>
      </c>
      <c r="P180" s="142">
        <v>0.75</v>
      </c>
      <c r="Q180" s="140"/>
      <c r="R180" s="184"/>
      <c r="S180" s="142"/>
      <c r="T180" s="140"/>
      <c r="U180" s="184"/>
      <c r="V180" s="142"/>
      <c r="W180" s="140"/>
      <c r="X180" s="184"/>
      <c r="Y180" s="142"/>
      <c r="Z180" s="140"/>
      <c r="AA180" s="184"/>
      <c r="AB180" s="142"/>
      <c r="AC180" s="140"/>
      <c r="AD180" s="184"/>
      <c r="AE180" s="142"/>
      <c r="AF180" s="140"/>
      <c r="AG180" s="184"/>
      <c r="AH180" s="142"/>
      <c r="AI180" s="140"/>
      <c r="AJ180" s="184"/>
      <c r="AK180" s="142"/>
      <c r="AL180" s="140"/>
      <c r="AM180" s="184"/>
      <c r="AN180" s="142"/>
      <c r="AO180" s="140"/>
      <c r="AP180" s="184"/>
      <c r="AQ180" s="142"/>
      <c r="AR180" s="140">
        <v>17</v>
      </c>
      <c r="AS180" s="184">
        <v>2</v>
      </c>
      <c r="AT180" s="142">
        <v>0.75</v>
      </c>
      <c r="AU180" s="140"/>
      <c r="AV180" s="184"/>
      <c r="AW180" s="142"/>
      <c r="AX180" s="140">
        <v>5707</v>
      </c>
      <c r="AY180" s="184">
        <v>6</v>
      </c>
      <c r="AZ180" s="142">
        <v>0.5</v>
      </c>
      <c r="BA180" s="140">
        <v>637</v>
      </c>
      <c r="BB180" s="184">
        <v>3</v>
      </c>
      <c r="BC180" s="142">
        <v>0.25</v>
      </c>
      <c r="BD180" s="140"/>
      <c r="BE180" s="184"/>
      <c r="BF180" s="142"/>
      <c r="BG180" s="140">
        <v>2629</v>
      </c>
      <c r="BH180" s="184">
        <v>7</v>
      </c>
      <c r="BI180" s="142">
        <v>0.25</v>
      </c>
      <c r="BJ180" s="140"/>
      <c r="BK180" s="184"/>
      <c r="BL180" s="142"/>
      <c r="BM180" s="140">
        <v>2</v>
      </c>
      <c r="BN180" s="184"/>
      <c r="BO180" s="142"/>
      <c r="BP180" s="140"/>
      <c r="BQ180" s="184"/>
      <c r="BR180" s="142"/>
      <c r="BS180" s="140"/>
      <c r="BT180" s="184"/>
      <c r="BU180" s="142"/>
      <c r="BV180" s="140"/>
      <c r="BW180" s="184"/>
      <c r="BX180" s="142"/>
      <c r="BY180" s="140"/>
      <c r="BZ180" s="184"/>
      <c r="CA180" s="142"/>
      <c r="CB180" s="140">
        <v>28</v>
      </c>
      <c r="CC180" s="184">
        <v>4</v>
      </c>
      <c r="CD180" s="142"/>
      <c r="CE180" s="140"/>
      <c r="CF180" s="184"/>
      <c r="CG180" s="142"/>
      <c r="CH180" s="140">
        <v>22</v>
      </c>
      <c r="CI180" s="184">
        <v>4</v>
      </c>
      <c r="CJ180" s="142"/>
      <c r="CK180" s="140"/>
      <c r="CL180" s="184"/>
      <c r="CM180" s="142"/>
      <c r="CN180" s="140"/>
      <c r="CO180" s="184"/>
      <c r="CP180" s="142"/>
      <c r="CQ180" s="140"/>
      <c r="CR180" s="184"/>
      <c r="CS180" s="142"/>
      <c r="CT180" s="140"/>
      <c r="CU180" s="184"/>
      <c r="CV180" s="142"/>
      <c r="CW180" s="140">
        <v>15</v>
      </c>
      <c r="CX180" s="184">
        <v>7</v>
      </c>
      <c r="CY180" s="142">
        <v>0.5</v>
      </c>
      <c r="CZ180" s="140"/>
      <c r="DA180" s="184"/>
      <c r="DB180" s="142"/>
      <c r="DC180" s="140"/>
      <c r="DD180" s="184"/>
      <c r="DE180" s="142"/>
      <c r="DF180" s="140"/>
      <c r="DG180" s="184"/>
      <c r="DH180" s="142"/>
      <c r="DI180" s="140"/>
      <c r="DJ180" s="184"/>
      <c r="DK180" s="142"/>
      <c r="DL180" s="140">
        <v>88</v>
      </c>
      <c r="DM180" s="184">
        <v>6</v>
      </c>
      <c r="DN180" s="142">
        <v>0.5</v>
      </c>
      <c r="DO180" s="140"/>
      <c r="DP180" s="184"/>
      <c r="DQ180" s="142"/>
      <c r="DR180" s="140"/>
      <c r="DS180" s="184"/>
      <c r="DT180" s="142"/>
      <c r="DU180" s="140">
        <v>6</v>
      </c>
      <c r="DV180" s="184">
        <v>6</v>
      </c>
      <c r="DW180" s="142">
        <v>0.5</v>
      </c>
      <c r="DX180" s="140"/>
      <c r="DY180" s="184"/>
      <c r="DZ180" s="142"/>
      <c r="EA180" s="140"/>
      <c r="EB180" s="184"/>
      <c r="EC180" s="142"/>
      <c r="ED180" s="140">
        <v>14</v>
      </c>
      <c r="EE180" s="184">
        <v>3</v>
      </c>
      <c r="EF180" s="142">
        <v>0.5</v>
      </c>
      <c r="EG180" s="140"/>
      <c r="EH180" s="184"/>
      <c r="EI180" s="142"/>
      <c r="EJ180" s="140"/>
      <c r="EK180" s="184"/>
      <c r="EL180" s="142"/>
      <c r="EM180" s="140"/>
      <c r="EN180" s="184"/>
      <c r="EO180" s="142"/>
      <c r="EP180" s="140"/>
      <c r="EQ180" s="184"/>
      <c r="ER180" s="142"/>
      <c r="ES180" s="140">
        <v>12168</v>
      </c>
      <c r="ET180" s="184">
        <v>3</v>
      </c>
      <c r="EU180" s="142">
        <v>0.75</v>
      </c>
      <c r="EV180" s="137">
        <f t="shared" si="8"/>
        <v>12167.875</v>
      </c>
      <c r="EW180" s="192">
        <f t="shared" si="9"/>
        <v>6.875</v>
      </c>
      <c r="EX180" s="139">
        <f t="shared" si="11"/>
        <v>4.75</v>
      </c>
      <c r="EY180" s="140"/>
      <c r="EZ180" s="184"/>
      <c r="FA180" s="142"/>
      <c r="FB180" s="137"/>
      <c r="FC180" s="192"/>
      <c r="FD180" s="139"/>
      <c r="FE180" s="140">
        <v>12168</v>
      </c>
      <c r="FF180" s="184">
        <v>3</v>
      </c>
      <c r="FG180" s="142">
        <v>0.75</v>
      </c>
      <c r="FH180" s="137">
        <f t="shared" si="13"/>
        <v>12167.875</v>
      </c>
      <c r="FI180" s="192">
        <f t="shared" si="10"/>
        <v>6.875</v>
      </c>
      <c r="FJ180" s="139">
        <f t="shared" si="10"/>
        <v>4.75</v>
      </c>
    </row>
    <row r="181" spans="1:166" x14ac:dyDescent="0.2">
      <c r="A181" s="164" t="s">
        <v>1328</v>
      </c>
      <c r="B181" s="140">
        <v>233</v>
      </c>
      <c r="C181" s="184">
        <v>7</v>
      </c>
      <c r="D181" s="142">
        <v>0.75</v>
      </c>
      <c r="E181" s="140">
        <v>220</v>
      </c>
      <c r="F181" s="184">
        <v>4</v>
      </c>
      <c r="G181" s="142">
        <v>0.25</v>
      </c>
      <c r="H181" s="140">
        <v>2658</v>
      </c>
      <c r="I181" s="184">
        <v>5</v>
      </c>
      <c r="J181" s="142"/>
      <c r="K181" s="140"/>
      <c r="L181" s="184"/>
      <c r="M181" s="142"/>
      <c r="N181" s="140">
        <v>2024</v>
      </c>
      <c r="O181" s="184">
        <v>6</v>
      </c>
      <c r="P181" s="142"/>
      <c r="Q181" s="140"/>
      <c r="R181" s="184"/>
      <c r="S181" s="142"/>
      <c r="T181" s="140"/>
      <c r="U181" s="184"/>
      <c r="V181" s="142"/>
      <c r="W181" s="140"/>
      <c r="X181" s="184"/>
      <c r="Y181" s="142"/>
      <c r="Z181" s="140"/>
      <c r="AA181" s="184"/>
      <c r="AB181" s="142"/>
      <c r="AC181" s="140"/>
      <c r="AD181" s="184"/>
      <c r="AE181" s="142"/>
      <c r="AF181" s="140"/>
      <c r="AG181" s="184"/>
      <c r="AH181" s="142"/>
      <c r="AI181" s="140"/>
      <c r="AJ181" s="184"/>
      <c r="AK181" s="142"/>
      <c r="AL181" s="140"/>
      <c r="AM181" s="184"/>
      <c r="AN181" s="142"/>
      <c r="AO181" s="140"/>
      <c r="AP181" s="184"/>
      <c r="AQ181" s="142"/>
      <c r="AR181" s="140"/>
      <c r="AS181" s="184"/>
      <c r="AT181" s="142"/>
      <c r="AU181" s="140"/>
      <c r="AV181" s="184"/>
      <c r="AW181" s="142"/>
      <c r="AX181" s="140">
        <v>1454</v>
      </c>
      <c r="AY181" s="184">
        <v>4</v>
      </c>
      <c r="AZ181" s="142"/>
      <c r="BA181" s="140"/>
      <c r="BB181" s="184"/>
      <c r="BC181" s="142"/>
      <c r="BD181" s="140"/>
      <c r="BE181" s="184"/>
      <c r="BF181" s="142"/>
      <c r="BG181" s="140">
        <v>8603</v>
      </c>
      <c r="BH181" s="184">
        <v>4</v>
      </c>
      <c r="BI181" s="142">
        <v>0.75</v>
      </c>
      <c r="BJ181" s="140"/>
      <c r="BK181" s="184"/>
      <c r="BL181" s="142"/>
      <c r="BM181" s="140"/>
      <c r="BN181" s="184"/>
      <c r="BO181" s="142"/>
      <c r="BP181" s="140"/>
      <c r="BQ181" s="184"/>
      <c r="BR181" s="142"/>
      <c r="BS181" s="140"/>
      <c r="BT181" s="184"/>
      <c r="BU181" s="142"/>
      <c r="BV181" s="140"/>
      <c r="BW181" s="184"/>
      <c r="BX181" s="142"/>
      <c r="BY181" s="140"/>
      <c r="BZ181" s="184"/>
      <c r="CA181" s="142"/>
      <c r="CB181" s="140"/>
      <c r="CC181" s="184"/>
      <c r="CD181" s="142"/>
      <c r="CE181" s="140"/>
      <c r="CF181" s="184"/>
      <c r="CG181" s="142"/>
      <c r="CH181" s="140"/>
      <c r="CI181" s="184"/>
      <c r="CJ181" s="142"/>
      <c r="CK181" s="140"/>
      <c r="CL181" s="184"/>
      <c r="CM181" s="142"/>
      <c r="CN181" s="140"/>
      <c r="CO181" s="184"/>
      <c r="CP181" s="142"/>
      <c r="CQ181" s="140"/>
      <c r="CR181" s="184"/>
      <c r="CS181" s="142"/>
      <c r="CT181" s="140"/>
      <c r="CU181" s="184"/>
      <c r="CV181" s="142"/>
      <c r="CW181" s="140"/>
      <c r="CX181" s="184"/>
      <c r="CY181" s="142"/>
      <c r="CZ181" s="140"/>
      <c r="DA181" s="184"/>
      <c r="DB181" s="142"/>
      <c r="DC181" s="140"/>
      <c r="DD181" s="184"/>
      <c r="DE181" s="142"/>
      <c r="DF181" s="140"/>
      <c r="DG181" s="184"/>
      <c r="DH181" s="142"/>
      <c r="DI181" s="140"/>
      <c r="DJ181" s="184"/>
      <c r="DK181" s="142"/>
      <c r="DL181" s="140"/>
      <c r="DM181" s="184"/>
      <c r="DN181" s="142"/>
      <c r="DO181" s="140"/>
      <c r="DP181" s="184"/>
      <c r="DQ181" s="142"/>
      <c r="DR181" s="140"/>
      <c r="DS181" s="184"/>
      <c r="DT181" s="142"/>
      <c r="DU181" s="140"/>
      <c r="DV181" s="184"/>
      <c r="DW181" s="142"/>
      <c r="DX181" s="140"/>
      <c r="DY181" s="184"/>
      <c r="DZ181" s="142"/>
      <c r="EA181" s="140"/>
      <c r="EB181" s="184"/>
      <c r="EC181" s="142"/>
      <c r="ED181" s="140"/>
      <c r="EE181" s="184"/>
      <c r="EF181" s="142"/>
      <c r="EG181" s="140"/>
      <c r="EH181" s="184"/>
      <c r="EI181" s="142"/>
      <c r="EJ181" s="140"/>
      <c r="EK181" s="184"/>
      <c r="EL181" s="142"/>
      <c r="EM181" s="140"/>
      <c r="EN181" s="184"/>
      <c r="EO181" s="142"/>
      <c r="EP181" s="140"/>
      <c r="EQ181" s="184"/>
      <c r="ER181" s="142"/>
      <c r="ES181" s="140">
        <v>15195</v>
      </c>
      <c r="ET181" s="184">
        <v>7</v>
      </c>
      <c r="EU181" s="142">
        <v>0.75</v>
      </c>
      <c r="EV181" s="137">
        <f t="shared" si="8"/>
        <v>15195.75</v>
      </c>
      <c r="EW181" s="192">
        <f t="shared" si="9"/>
        <v>3.75</v>
      </c>
      <c r="EX181" s="139">
        <f t="shared" si="11"/>
        <v>1.75</v>
      </c>
      <c r="EY181" s="140"/>
      <c r="EZ181" s="184"/>
      <c r="FA181" s="142"/>
      <c r="FB181" s="137"/>
      <c r="FC181" s="192"/>
      <c r="FD181" s="139"/>
      <c r="FE181" s="140">
        <v>15195</v>
      </c>
      <c r="FF181" s="184">
        <v>7</v>
      </c>
      <c r="FG181" s="142">
        <v>0.75</v>
      </c>
      <c r="FH181" s="137">
        <f t="shared" si="13"/>
        <v>15195.75</v>
      </c>
      <c r="FI181" s="192">
        <f t="shared" si="10"/>
        <v>3.75</v>
      </c>
      <c r="FJ181" s="139">
        <f t="shared" si="10"/>
        <v>1.75</v>
      </c>
    </row>
    <row r="182" spans="1:166" x14ac:dyDescent="0.2">
      <c r="A182" s="164" t="s">
        <v>1329</v>
      </c>
      <c r="B182" s="140">
        <v>291</v>
      </c>
      <c r="C182" s="184">
        <v>7</v>
      </c>
      <c r="D182" s="142">
        <v>0.25</v>
      </c>
      <c r="E182" s="140"/>
      <c r="F182" s="184"/>
      <c r="G182" s="142"/>
      <c r="H182" s="140">
        <v>2565</v>
      </c>
      <c r="I182" s="184">
        <v>6</v>
      </c>
      <c r="J182" s="142"/>
      <c r="K182" s="140"/>
      <c r="L182" s="184"/>
      <c r="M182" s="142"/>
      <c r="N182" s="140">
        <v>8784</v>
      </c>
      <c r="O182" s="184">
        <v>6</v>
      </c>
      <c r="P182" s="142">
        <v>0.75</v>
      </c>
      <c r="Q182" s="140"/>
      <c r="R182" s="184"/>
      <c r="S182" s="142"/>
      <c r="T182" s="140"/>
      <c r="U182" s="184"/>
      <c r="V182" s="142"/>
      <c r="W182" s="140"/>
      <c r="X182" s="184"/>
      <c r="Y182" s="142"/>
      <c r="Z182" s="140"/>
      <c r="AA182" s="184"/>
      <c r="AB182" s="142"/>
      <c r="AC182" s="140"/>
      <c r="AD182" s="184"/>
      <c r="AE182" s="142"/>
      <c r="AF182" s="140"/>
      <c r="AG182" s="184"/>
      <c r="AH182" s="142"/>
      <c r="AI182" s="140"/>
      <c r="AJ182" s="184"/>
      <c r="AK182" s="142"/>
      <c r="AL182" s="140"/>
      <c r="AM182" s="184"/>
      <c r="AN182" s="142"/>
      <c r="AO182" s="140"/>
      <c r="AP182" s="184"/>
      <c r="AQ182" s="142"/>
      <c r="AR182" s="140">
        <v>56</v>
      </c>
      <c r="AS182" s="184">
        <v>6</v>
      </c>
      <c r="AT182" s="142">
        <v>0.5</v>
      </c>
      <c r="AU182" s="140"/>
      <c r="AV182" s="184"/>
      <c r="AW182" s="142"/>
      <c r="AX182" s="140"/>
      <c r="AY182" s="184"/>
      <c r="AZ182" s="142"/>
      <c r="BA182" s="140"/>
      <c r="BB182" s="184"/>
      <c r="BC182" s="142"/>
      <c r="BD182" s="140"/>
      <c r="BE182" s="184"/>
      <c r="BF182" s="142"/>
      <c r="BG182" s="140">
        <v>212</v>
      </c>
      <c r="BH182" s="184">
        <v>4</v>
      </c>
      <c r="BI182" s="142"/>
      <c r="BJ182" s="140"/>
      <c r="BK182" s="184"/>
      <c r="BL182" s="142"/>
      <c r="BM182" s="140">
        <v>18</v>
      </c>
      <c r="BN182" s="184"/>
      <c r="BO182" s="142"/>
      <c r="BP182" s="140"/>
      <c r="BQ182" s="184"/>
      <c r="BR182" s="142"/>
      <c r="BS182" s="140">
        <v>22</v>
      </c>
      <c r="BT182" s="184">
        <v>7</v>
      </c>
      <c r="BU182" s="142">
        <v>0.25</v>
      </c>
      <c r="BV182" s="140"/>
      <c r="BW182" s="184"/>
      <c r="BX182" s="142"/>
      <c r="BY182" s="140">
        <v>5599</v>
      </c>
      <c r="BZ182" s="184">
        <v>3</v>
      </c>
      <c r="CA182" s="142"/>
      <c r="CB182" s="140"/>
      <c r="CC182" s="184"/>
      <c r="CD182" s="142"/>
      <c r="CE182" s="140">
        <v>2483</v>
      </c>
      <c r="CF182" s="184">
        <v>7</v>
      </c>
      <c r="CG182" s="142">
        <v>0.75</v>
      </c>
      <c r="CH182" s="140">
        <v>21</v>
      </c>
      <c r="CI182" s="184">
        <v>4</v>
      </c>
      <c r="CJ182" s="142"/>
      <c r="CK182" s="140"/>
      <c r="CL182" s="184"/>
      <c r="CM182" s="142"/>
      <c r="CN182" s="140"/>
      <c r="CO182" s="184"/>
      <c r="CP182" s="142"/>
      <c r="CQ182" s="140"/>
      <c r="CR182" s="184"/>
      <c r="CS182" s="142"/>
      <c r="CT182" s="140"/>
      <c r="CU182" s="184"/>
      <c r="CV182" s="142"/>
      <c r="CW182" s="140"/>
      <c r="CX182" s="184"/>
      <c r="CY182" s="142"/>
      <c r="CZ182" s="140"/>
      <c r="DA182" s="184"/>
      <c r="DB182" s="142"/>
      <c r="DC182" s="140"/>
      <c r="DD182" s="184"/>
      <c r="DE182" s="142"/>
      <c r="DF182" s="140">
        <v>68</v>
      </c>
      <c r="DG182" s="184">
        <v>1</v>
      </c>
      <c r="DH182" s="142">
        <v>0.5</v>
      </c>
      <c r="DI182" s="140"/>
      <c r="DJ182" s="184"/>
      <c r="DK182" s="142"/>
      <c r="DL182" s="140"/>
      <c r="DM182" s="184"/>
      <c r="DN182" s="142"/>
      <c r="DO182" s="140"/>
      <c r="DP182" s="184"/>
      <c r="DQ182" s="142"/>
      <c r="DR182" s="140"/>
      <c r="DS182" s="184"/>
      <c r="DT182" s="142"/>
      <c r="DU182" s="140">
        <v>64</v>
      </c>
      <c r="DV182" s="184">
        <v>6</v>
      </c>
      <c r="DW182" s="142"/>
      <c r="DX182" s="140"/>
      <c r="DY182" s="184"/>
      <c r="DZ182" s="142"/>
      <c r="EA182" s="140"/>
      <c r="EB182" s="184"/>
      <c r="EC182" s="142"/>
      <c r="ED182" s="140"/>
      <c r="EE182" s="184"/>
      <c r="EF182" s="142"/>
      <c r="EG182" s="140"/>
      <c r="EH182" s="184"/>
      <c r="EI182" s="142"/>
      <c r="EJ182" s="140"/>
      <c r="EK182" s="184"/>
      <c r="EL182" s="142"/>
      <c r="EM182" s="140"/>
      <c r="EN182" s="184"/>
      <c r="EO182" s="142"/>
      <c r="EP182" s="140"/>
      <c r="EQ182" s="184"/>
      <c r="ER182" s="142"/>
      <c r="ES182" s="140">
        <v>20188</v>
      </c>
      <c r="ET182" s="184">
        <v>3</v>
      </c>
      <c r="EU182" s="142"/>
      <c r="EV182" s="137">
        <f t="shared" si="8"/>
        <v>20190.125</v>
      </c>
      <c r="EW182" s="192">
        <f t="shared" si="9"/>
        <v>7.125</v>
      </c>
      <c r="EX182" s="139">
        <f t="shared" si="11"/>
        <v>3</v>
      </c>
      <c r="EY182" s="140"/>
      <c r="EZ182" s="184"/>
      <c r="FA182" s="142"/>
      <c r="FB182" s="137"/>
      <c r="FC182" s="192"/>
      <c r="FD182" s="139"/>
      <c r="FE182" s="140">
        <v>20188</v>
      </c>
      <c r="FF182" s="184">
        <v>3</v>
      </c>
      <c r="FG182" s="142"/>
      <c r="FH182" s="137">
        <f t="shared" si="13"/>
        <v>20190.125</v>
      </c>
      <c r="FI182" s="192">
        <f t="shared" si="10"/>
        <v>7.125</v>
      </c>
      <c r="FJ182" s="139">
        <f t="shared" si="10"/>
        <v>3</v>
      </c>
    </row>
    <row r="183" spans="1:166" x14ac:dyDescent="0.2">
      <c r="A183" s="164" t="s">
        <v>1330</v>
      </c>
      <c r="B183" s="140">
        <v>262</v>
      </c>
      <c r="C183" s="184">
        <v>7</v>
      </c>
      <c r="D183" s="142">
        <v>0.75</v>
      </c>
      <c r="E183" s="140"/>
      <c r="F183" s="184"/>
      <c r="G183" s="142"/>
      <c r="H183" s="140">
        <v>2592</v>
      </c>
      <c r="I183" s="184">
        <v>7</v>
      </c>
      <c r="J183" s="142"/>
      <c r="K183" s="140"/>
      <c r="L183" s="184"/>
      <c r="M183" s="142"/>
      <c r="N183" s="140">
        <v>2345</v>
      </c>
      <c r="O183" s="184">
        <v>6</v>
      </c>
      <c r="P183" s="142">
        <v>0.25</v>
      </c>
      <c r="Q183" s="140">
        <v>274</v>
      </c>
      <c r="R183" s="184">
        <v>5</v>
      </c>
      <c r="S183" s="142">
        <v>0.5</v>
      </c>
      <c r="T183" s="140"/>
      <c r="U183" s="184"/>
      <c r="V183" s="142"/>
      <c r="W183" s="140"/>
      <c r="X183" s="184"/>
      <c r="Y183" s="142"/>
      <c r="Z183" s="140"/>
      <c r="AA183" s="184"/>
      <c r="AB183" s="142"/>
      <c r="AC183" s="140"/>
      <c r="AD183" s="184"/>
      <c r="AE183" s="142"/>
      <c r="AF183" s="140"/>
      <c r="AG183" s="184"/>
      <c r="AH183" s="142"/>
      <c r="AI183" s="140"/>
      <c r="AJ183" s="184"/>
      <c r="AK183" s="142"/>
      <c r="AL183" s="140"/>
      <c r="AM183" s="184"/>
      <c r="AN183" s="142"/>
      <c r="AO183" s="140"/>
      <c r="AP183" s="184"/>
      <c r="AQ183" s="142"/>
      <c r="AR183" s="140">
        <v>82</v>
      </c>
      <c r="AS183" s="184">
        <v>2</v>
      </c>
      <c r="AT183" s="142"/>
      <c r="AU183" s="140">
        <v>342</v>
      </c>
      <c r="AV183" s="184">
        <v>5</v>
      </c>
      <c r="AW183" s="142"/>
      <c r="AX183" s="140"/>
      <c r="AY183" s="184"/>
      <c r="AZ183" s="142"/>
      <c r="BA183" s="140"/>
      <c r="BB183" s="184"/>
      <c r="BC183" s="142"/>
      <c r="BD183" s="140"/>
      <c r="BE183" s="184"/>
      <c r="BF183" s="142"/>
      <c r="BG183" s="140"/>
      <c r="BH183" s="184"/>
      <c r="BI183" s="142"/>
      <c r="BJ183" s="140"/>
      <c r="BK183" s="184"/>
      <c r="BL183" s="142"/>
      <c r="BM183" s="140"/>
      <c r="BN183" s="184"/>
      <c r="BO183" s="142"/>
      <c r="BP183" s="140"/>
      <c r="BQ183" s="184"/>
      <c r="BR183" s="142"/>
      <c r="BS183" s="140"/>
      <c r="BT183" s="184"/>
      <c r="BU183" s="142"/>
      <c r="BV183" s="140">
        <v>228</v>
      </c>
      <c r="BW183" s="184">
        <v>2</v>
      </c>
      <c r="BX183" s="142"/>
      <c r="BY183" s="140"/>
      <c r="BZ183" s="184"/>
      <c r="CA183" s="142"/>
      <c r="CB183" s="140"/>
      <c r="CC183" s="184"/>
      <c r="CD183" s="142"/>
      <c r="CE183" s="140"/>
      <c r="CF183" s="184"/>
      <c r="CG183" s="142"/>
      <c r="CH183" s="140">
        <v>27</v>
      </c>
      <c r="CI183" s="184">
        <v>4</v>
      </c>
      <c r="CJ183" s="142"/>
      <c r="CK183" s="140"/>
      <c r="CL183" s="184"/>
      <c r="CM183" s="142"/>
      <c r="CN183" s="140"/>
      <c r="CO183" s="184"/>
      <c r="CP183" s="142"/>
      <c r="CQ183" s="140"/>
      <c r="CR183" s="184"/>
      <c r="CS183" s="142"/>
      <c r="CT183" s="140"/>
      <c r="CU183" s="184"/>
      <c r="CV183" s="142"/>
      <c r="CW183" s="140">
        <v>10</v>
      </c>
      <c r="CX183" s="184">
        <v>5</v>
      </c>
      <c r="CY183" s="142"/>
      <c r="CZ183" s="140"/>
      <c r="DA183" s="184"/>
      <c r="DB183" s="142"/>
      <c r="DC183" s="140"/>
      <c r="DD183" s="184"/>
      <c r="DE183" s="142"/>
      <c r="DF183" s="140"/>
      <c r="DG183" s="184"/>
      <c r="DH183" s="142"/>
      <c r="DI183" s="140"/>
      <c r="DJ183" s="184"/>
      <c r="DK183" s="142"/>
      <c r="DL183" s="140"/>
      <c r="DM183" s="184"/>
      <c r="DN183" s="142"/>
      <c r="DO183" s="140"/>
      <c r="DP183" s="184"/>
      <c r="DQ183" s="142"/>
      <c r="DR183" s="140"/>
      <c r="DS183" s="184"/>
      <c r="DT183" s="142"/>
      <c r="DU183" s="140"/>
      <c r="DV183" s="184"/>
      <c r="DW183" s="142"/>
      <c r="DX183" s="140"/>
      <c r="DY183" s="184"/>
      <c r="DZ183" s="142"/>
      <c r="EA183" s="140"/>
      <c r="EB183" s="184"/>
      <c r="EC183" s="142"/>
      <c r="ED183" s="140"/>
      <c r="EE183" s="184"/>
      <c r="EF183" s="142"/>
      <c r="EG183" s="140"/>
      <c r="EH183" s="184"/>
      <c r="EI183" s="142"/>
      <c r="EJ183" s="140"/>
      <c r="EK183" s="184"/>
      <c r="EL183" s="142"/>
      <c r="EM183" s="140"/>
      <c r="EN183" s="184"/>
      <c r="EO183" s="142"/>
      <c r="EP183" s="140"/>
      <c r="EQ183" s="184"/>
      <c r="ER183" s="142"/>
      <c r="ES183" s="140">
        <v>5548</v>
      </c>
      <c r="ET183" s="184">
        <v>7</v>
      </c>
      <c r="EU183" s="142"/>
      <c r="EV183" s="137">
        <f t="shared" si="8"/>
        <v>5550.125</v>
      </c>
      <c r="EW183" s="192">
        <f t="shared" si="9"/>
        <v>4.125</v>
      </c>
      <c r="EX183" s="139">
        <f t="shared" si="11"/>
        <v>1</v>
      </c>
      <c r="EY183" s="140">
        <v>617</v>
      </c>
      <c r="EZ183" s="184">
        <v>2</v>
      </c>
      <c r="FA183" s="142">
        <v>0.5</v>
      </c>
      <c r="FB183" s="137">
        <f t="shared" si="12"/>
        <v>616</v>
      </c>
      <c r="FC183" s="192">
        <f t="shared" si="12"/>
        <v>10</v>
      </c>
      <c r="FD183" s="139">
        <f t="shared" si="12"/>
        <v>0.5</v>
      </c>
      <c r="FE183" s="140">
        <v>6166</v>
      </c>
      <c r="FF183" s="184">
        <v>1</v>
      </c>
      <c r="FG183" s="142">
        <v>0.5</v>
      </c>
      <c r="FH183" s="137">
        <f t="shared" si="13"/>
        <v>6166.125</v>
      </c>
      <c r="FI183" s="192">
        <f t="shared" si="10"/>
        <v>14.125</v>
      </c>
      <c r="FJ183" s="139">
        <f t="shared" si="10"/>
        <v>1.5</v>
      </c>
    </row>
    <row r="184" spans="1:166" x14ac:dyDescent="0.2">
      <c r="A184" s="164" t="s">
        <v>1331</v>
      </c>
      <c r="B184" s="140">
        <v>734</v>
      </c>
      <c r="C184" s="184">
        <v>3</v>
      </c>
      <c r="D184" s="142">
        <v>0.75</v>
      </c>
      <c r="E184" s="140"/>
      <c r="F184" s="184"/>
      <c r="G184" s="142"/>
      <c r="H184" s="140">
        <v>3818</v>
      </c>
      <c r="I184" s="184">
        <v>3</v>
      </c>
      <c r="J184" s="142">
        <v>0.75</v>
      </c>
      <c r="K184" s="140"/>
      <c r="L184" s="184"/>
      <c r="M184" s="142"/>
      <c r="N184" s="140">
        <v>16361</v>
      </c>
      <c r="O184" s="184">
        <v>2</v>
      </c>
      <c r="P184" s="142">
        <v>0.5</v>
      </c>
      <c r="Q184" s="140">
        <v>620</v>
      </c>
      <c r="R184" s="184">
        <v>4</v>
      </c>
      <c r="S184" s="142">
        <v>0.25</v>
      </c>
      <c r="T184" s="140"/>
      <c r="U184" s="184"/>
      <c r="V184" s="142"/>
      <c r="W184" s="140"/>
      <c r="X184" s="184"/>
      <c r="Y184" s="142"/>
      <c r="Z184" s="140"/>
      <c r="AA184" s="184"/>
      <c r="AB184" s="142"/>
      <c r="AC184" s="140"/>
      <c r="AD184" s="184"/>
      <c r="AE184" s="142"/>
      <c r="AF184" s="140"/>
      <c r="AG184" s="184"/>
      <c r="AH184" s="142"/>
      <c r="AI184" s="140"/>
      <c r="AJ184" s="184"/>
      <c r="AK184" s="142"/>
      <c r="AL184" s="140"/>
      <c r="AM184" s="184"/>
      <c r="AN184" s="142"/>
      <c r="AO184" s="140"/>
      <c r="AP184" s="184"/>
      <c r="AQ184" s="142"/>
      <c r="AR184" s="140">
        <v>9</v>
      </c>
      <c r="AS184" s="184">
        <v>3</v>
      </c>
      <c r="AT184" s="142">
        <v>0.25</v>
      </c>
      <c r="AU184" s="140"/>
      <c r="AV184" s="184"/>
      <c r="AW184" s="142"/>
      <c r="AX184" s="140">
        <v>536</v>
      </c>
      <c r="AY184" s="184">
        <v>1</v>
      </c>
      <c r="AZ184" s="142"/>
      <c r="BA184" s="140"/>
      <c r="BB184" s="184"/>
      <c r="BC184" s="142"/>
      <c r="BD184" s="140"/>
      <c r="BE184" s="184"/>
      <c r="BF184" s="142"/>
      <c r="BG184" s="140"/>
      <c r="BH184" s="184"/>
      <c r="BI184" s="142"/>
      <c r="BJ184" s="140"/>
      <c r="BK184" s="184"/>
      <c r="BL184" s="142"/>
      <c r="BM184" s="140"/>
      <c r="BN184" s="184"/>
      <c r="BO184" s="142"/>
      <c r="BP184" s="140"/>
      <c r="BQ184" s="184"/>
      <c r="BR184" s="142"/>
      <c r="BS184" s="140"/>
      <c r="BT184" s="184"/>
      <c r="BU184" s="142"/>
      <c r="BV184" s="140">
        <v>3</v>
      </c>
      <c r="BW184" s="184">
        <v>3</v>
      </c>
      <c r="BX184" s="142">
        <v>0.5</v>
      </c>
      <c r="BY184" s="140"/>
      <c r="BZ184" s="184"/>
      <c r="CA184" s="142"/>
      <c r="CB184" s="140"/>
      <c r="CC184" s="184"/>
      <c r="CD184" s="142"/>
      <c r="CE184" s="140">
        <v>92</v>
      </c>
      <c r="CF184" s="184">
        <v>6</v>
      </c>
      <c r="CG184" s="142">
        <v>0.5</v>
      </c>
      <c r="CH184" s="140">
        <v>33</v>
      </c>
      <c r="CI184" s="184">
        <v>2</v>
      </c>
      <c r="CJ184" s="142"/>
      <c r="CK184" s="140"/>
      <c r="CL184" s="184"/>
      <c r="CM184" s="142"/>
      <c r="CN184" s="140"/>
      <c r="CO184" s="184"/>
      <c r="CP184" s="142"/>
      <c r="CQ184" s="140"/>
      <c r="CR184" s="184"/>
      <c r="CS184" s="142"/>
      <c r="CT184" s="140"/>
      <c r="CU184" s="184"/>
      <c r="CV184" s="142"/>
      <c r="CW184" s="140"/>
      <c r="CX184" s="184">
        <v>3</v>
      </c>
      <c r="CY184" s="142">
        <v>0.5</v>
      </c>
      <c r="CZ184" s="140"/>
      <c r="DA184" s="184"/>
      <c r="DB184" s="142"/>
      <c r="DC184" s="140"/>
      <c r="DD184" s="184"/>
      <c r="DE184" s="142"/>
      <c r="DF184" s="140"/>
      <c r="DG184" s="184"/>
      <c r="DH184" s="142"/>
      <c r="DI184" s="140"/>
      <c r="DJ184" s="184"/>
      <c r="DK184" s="142"/>
      <c r="DL184" s="140">
        <v>1430</v>
      </c>
      <c r="DM184" s="184">
        <v>5</v>
      </c>
      <c r="DN184" s="142">
        <v>0.5</v>
      </c>
      <c r="DO184" s="140"/>
      <c r="DP184" s="184"/>
      <c r="DQ184" s="142"/>
      <c r="DR184" s="140"/>
      <c r="DS184" s="184"/>
      <c r="DT184" s="142"/>
      <c r="DU184" s="140"/>
      <c r="DV184" s="184"/>
      <c r="DW184" s="142"/>
      <c r="DX184" s="140"/>
      <c r="DY184" s="184"/>
      <c r="DZ184" s="142"/>
      <c r="EA184" s="140"/>
      <c r="EB184" s="184"/>
      <c r="EC184" s="142"/>
      <c r="ED184" s="140"/>
      <c r="EE184" s="184"/>
      <c r="EF184" s="142"/>
      <c r="EG184" s="140"/>
      <c r="EH184" s="184"/>
      <c r="EI184" s="142"/>
      <c r="EJ184" s="140"/>
      <c r="EK184" s="184"/>
      <c r="EL184" s="142"/>
      <c r="EM184" s="140"/>
      <c r="EN184" s="184"/>
      <c r="EO184" s="142"/>
      <c r="EP184" s="140"/>
      <c r="EQ184" s="184"/>
      <c r="ER184" s="142"/>
      <c r="ES184" s="140">
        <v>23020</v>
      </c>
      <c r="ET184" s="184">
        <v>3</v>
      </c>
      <c r="EU184" s="142">
        <v>0.25</v>
      </c>
      <c r="EV184" s="137">
        <f t="shared" si="8"/>
        <v>23019.875</v>
      </c>
      <c r="EW184" s="192">
        <f t="shared" si="9"/>
        <v>3.875</v>
      </c>
      <c r="EX184" s="139">
        <f t="shared" si="11"/>
        <v>4.25</v>
      </c>
      <c r="EY184" s="140">
        <v>620</v>
      </c>
      <c r="EZ184" s="184">
        <v>4</v>
      </c>
      <c r="FA184" s="142">
        <v>0.25</v>
      </c>
      <c r="FB184" s="137">
        <f t="shared" si="12"/>
        <v>620</v>
      </c>
      <c r="FC184" s="192">
        <f t="shared" si="12"/>
        <v>4</v>
      </c>
      <c r="FD184" s="139">
        <f t="shared" si="12"/>
        <v>0.25</v>
      </c>
      <c r="FE184" s="140">
        <v>23640</v>
      </c>
      <c r="FF184" s="184">
        <v>7</v>
      </c>
      <c r="FG184" s="142">
        <v>0.5</v>
      </c>
      <c r="FH184" s="137">
        <f t="shared" si="13"/>
        <v>23639.875</v>
      </c>
      <c r="FI184" s="192">
        <f t="shared" si="10"/>
        <v>7.875</v>
      </c>
      <c r="FJ184" s="139">
        <f t="shared" si="10"/>
        <v>4.5</v>
      </c>
    </row>
    <row r="185" spans="1:166" x14ac:dyDescent="0.2">
      <c r="A185" s="164" t="s">
        <v>1332</v>
      </c>
      <c r="B185" s="140">
        <v>330</v>
      </c>
      <c r="C185" s="184">
        <v>6</v>
      </c>
      <c r="D185" s="142">
        <v>0.75</v>
      </c>
      <c r="E185" s="140"/>
      <c r="F185" s="184"/>
      <c r="G185" s="142"/>
      <c r="H185" s="140">
        <v>2814</v>
      </c>
      <c r="I185" s="184">
        <v>1</v>
      </c>
      <c r="J185" s="142">
        <v>0.75</v>
      </c>
      <c r="K185" s="140"/>
      <c r="L185" s="184"/>
      <c r="M185" s="142"/>
      <c r="N185" s="140">
        <v>2957</v>
      </c>
      <c r="O185" s="184">
        <v>2</v>
      </c>
      <c r="P185" s="142">
        <v>0.75</v>
      </c>
      <c r="Q185" s="140"/>
      <c r="R185" s="184"/>
      <c r="S185" s="142"/>
      <c r="T185" s="140"/>
      <c r="U185" s="184"/>
      <c r="V185" s="142"/>
      <c r="W185" s="140"/>
      <c r="X185" s="184"/>
      <c r="Y185" s="142"/>
      <c r="Z185" s="140">
        <v>1378</v>
      </c>
      <c r="AA185" s="184">
        <v>7</v>
      </c>
      <c r="AB185" s="142"/>
      <c r="AC185" s="140"/>
      <c r="AD185" s="184"/>
      <c r="AE185" s="142"/>
      <c r="AF185" s="140">
        <v>1171</v>
      </c>
      <c r="AG185" s="184">
        <v>5</v>
      </c>
      <c r="AH185" s="142">
        <v>0.25</v>
      </c>
      <c r="AI185" s="140"/>
      <c r="AJ185" s="184"/>
      <c r="AK185" s="142"/>
      <c r="AL185" s="140">
        <v>1048</v>
      </c>
      <c r="AM185" s="184">
        <v>3</v>
      </c>
      <c r="AN185" s="142"/>
      <c r="AO185" s="140"/>
      <c r="AP185" s="184"/>
      <c r="AQ185" s="142"/>
      <c r="AR185" s="140"/>
      <c r="AS185" s="184"/>
      <c r="AT185" s="142"/>
      <c r="AU185" s="140"/>
      <c r="AV185" s="184"/>
      <c r="AW185" s="142"/>
      <c r="AX185" s="140">
        <v>25</v>
      </c>
      <c r="AY185" s="184">
        <v>7</v>
      </c>
      <c r="AZ185" s="142"/>
      <c r="BA185" s="140"/>
      <c r="BB185" s="184"/>
      <c r="BC185" s="142"/>
      <c r="BD185" s="140"/>
      <c r="BE185" s="184"/>
      <c r="BF185" s="142"/>
      <c r="BG185" s="140">
        <v>38299</v>
      </c>
      <c r="BH185" s="184">
        <v>5</v>
      </c>
      <c r="BI185" s="142">
        <v>0.5</v>
      </c>
      <c r="BJ185" s="140"/>
      <c r="BK185" s="184"/>
      <c r="BL185" s="142"/>
      <c r="BM185" s="140"/>
      <c r="BN185" s="184"/>
      <c r="BO185" s="142"/>
      <c r="BP185" s="140"/>
      <c r="BQ185" s="184"/>
      <c r="BR185" s="142"/>
      <c r="BS185" s="140"/>
      <c r="BT185" s="184"/>
      <c r="BU185" s="142"/>
      <c r="BV185" s="140"/>
      <c r="BW185" s="184"/>
      <c r="BX185" s="142"/>
      <c r="BY185" s="140"/>
      <c r="BZ185" s="184"/>
      <c r="CA185" s="142"/>
      <c r="CB185" s="140"/>
      <c r="CC185" s="184"/>
      <c r="CD185" s="142"/>
      <c r="CE185" s="140"/>
      <c r="CF185" s="184"/>
      <c r="CG185" s="142"/>
      <c r="CH185" s="140"/>
      <c r="CI185" s="184"/>
      <c r="CJ185" s="142"/>
      <c r="CK185" s="140"/>
      <c r="CL185" s="184"/>
      <c r="CM185" s="142"/>
      <c r="CN185" s="140">
        <v>2121</v>
      </c>
      <c r="CO185" s="184">
        <v>4</v>
      </c>
      <c r="CP185" s="142">
        <v>0.5</v>
      </c>
      <c r="CQ185" s="140"/>
      <c r="CR185" s="184"/>
      <c r="CS185" s="142"/>
      <c r="CT185" s="140"/>
      <c r="CU185" s="184"/>
      <c r="CV185" s="142"/>
      <c r="CW185" s="140"/>
      <c r="CX185" s="184"/>
      <c r="CY185" s="142"/>
      <c r="CZ185" s="140"/>
      <c r="DA185" s="184"/>
      <c r="DB185" s="142"/>
      <c r="DC185" s="140"/>
      <c r="DD185" s="184"/>
      <c r="DE185" s="142"/>
      <c r="DF185" s="140"/>
      <c r="DG185" s="184"/>
      <c r="DH185" s="142"/>
      <c r="DI185" s="140"/>
      <c r="DJ185" s="184"/>
      <c r="DK185" s="142"/>
      <c r="DL185" s="140"/>
      <c r="DM185" s="184"/>
      <c r="DN185" s="142"/>
      <c r="DO185" s="140"/>
      <c r="DP185" s="184"/>
      <c r="DQ185" s="142"/>
      <c r="DR185" s="140"/>
      <c r="DS185" s="184"/>
      <c r="DT185" s="142"/>
      <c r="DU185" s="140"/>
      <c r="DV185" s="184"/>
      <c r="DW185" s="142"/>
      <c r="DX185" s="140"/>
      <c r="DY185" s="184"/>
      <c r="DZ185" s="142"/>
      <c r="EA185" s="140"/>
      <c r="EB185" s="184"/>
      <c r="EC185" s="142"/>
      <c r="ED185" s="140"/>
      <c r="EE185" s="184"/>
      <c r="EF185" s="142"/>
      <c r="EG185" s="140"/>
      <c r="EH185" s="184"/>
      <c r="EI185" s="142"/>
      <c r="EJ185" s="140"/>
      <c r="EK185" s="184"/>
      <c r="EL185" s="142"/>
      <c r="EM185" s="140"/>
      <c r="EN185" s="184"/>
      <c r="EO185" s="142"/>
      <c r="EP185" s="140"/>
      <c r="EQ185" s="184"/>
      <c r="ER185" s="142"/>
      <c r="ES185" s="140">
        <v>50147</v>
      </c>
      <c r="ET185" s="184">
        <v>1</v>
      </c>
      <c r="EU185" s="142">
        <v>0.5</v>
      </c>
      <c r="EV185" s="137">
        <f t="shared" si="8"/>
        <v>50148</v>
      </c>
      <c r="EW185" s="192">
        <f t="shared" si="9"/>
        <v>5</v>
      </c>
      <c r="EX185" s="139">
        <f t="shared" si="11"/>
        <v>3.5</v>
      </c>
      <c r="EY185" s="140"/>
      <c r="EZ185" s="184"/>
      <c r="FA185" s="142"/>
      <c r="FB185" s="137"/>
      <c r="FC185" s="192"/>
      <c r="FD185" s="139"/>
      <c r="FE185" s="140">
        <v>50147</v>
      </c>
      <c r="FF185" s="184">
        <v>1</v>
      </c>
      <c r="FG185" s="142">
        <v>0.5</v>
      </c>
      <c r="FH185" s="137">
        <f t="shared" si="13"/>
        <v>50148</v>
      </c>
      <c r="FI185" s="192">
        <f t="shared" si="10"/>
        <v>5</v>
      </c>
      <c r="FJ185" s="139">
        <f t="shared" si="10"/>
        <v>3.5</v>
      </c>
    </row>
    <row r="186" spans="1:166" x14ac:dyDescent="0.2">
      <c r="A186" s="164" t="s">
        <v>1333</v>
      </c>
      <c r="B186" s="140">
        <v>310</v>
      </c>
      <c r="C186" s="184">
        <v>6</v>
      </c>
      <c r="D186" s="142"/>
      <c r="E186" s="140"/>
      <c r="F186" s="184"/>
      <c r="G186" s="142"/>
      <c r="H186" s="140">
        <v>2576</v>
      </c>
      <c r="I186" s="184">
        <v>3</v>
      </c>
      <c r="J186" s="142">
        <v>0.75</v>
      </c>
      <c r="K186" s="140"/>
      <c r="L186" s="184"/>
      <c r="M186" s="142"/>
      <c r="N186" s="140">
        <v>1682</v>
      </c>
      <c r="O186" s="184">
        <v>2</v>
      </c>
      <c r="P186" s="142">
        <v>0.75</v>
      </c>
      <c r="Q186" s="140">
        <v>497</v>
      </c>
      <c r="R186" s="184">
        <v>6</v>
      </c>
      <c r="S186" s="142"/>
      <c r="T186" s="140"/>
      <c r="U186" s="184"/>
      <c r="V186" s="142"/>
      <c r="W186" s="140"/>
      <c r="X186" s="184"/>
      <c r="Y186" s="142"/>
      <c r="Z186" s="140"/>
      <c r="AA186" s="184"/>
      <c r="AB186" s="142"/>
      <c r="AC186" s="140"/>
      <c r="AD186" s="184"/>
      <c r="AE186" s="142"/>
      <c r="AF186" s="140"/>
      <c r="AG186" s="184"/>
      <c r="AH186" s="142"/>
      <c r="AI186" s="140"/>
      <c r="AJ186" s="184"/>
      <c r="AK186" s="142"/>
      <c r="AL186" s="140"/>
      <c r="AM186" s="184"/>
      <c r="AN186" s="142"/>
      <c r="AO186" s="140"/>
      <c r="AP186" s="184"/>
      <c r="AQ186" s="142"/>
      <c r="AR186" s="140">
        <v>4</v>
      </c>
      <c r="AS186" s="184"/>
      <c r="AT186" s="142"/>
      <c r="AU186" s="140"/>
      <c r="AV186" s="184"/>
      <c r="AW186" s="142"/>
      <c r="AX186" s="140">
        <v>2527</v>
      </c>
      <c r="AY186" s="184">
        <v>2</v>
      </c>
      <c r="AZ186" s="142"/>
      <c r="BA186" s="140">
        <v>197</v>
      </c>
      <c r="BB186" s="184">
        <v>2</v>
      </c>
      <c r="BC186" s="142">
        <v>0.75</v>
      </c>
      <c r="BD186" s="140"/>
      <c r="BE186" s="184"/>
      <c r="BF186" s="142"/>
      <c r="BG186" s="140"/>
      <c r="BH186" s="184"/>
      <c r="BI186" s="142"/>
      <c r="BJ186" s="140"/>
      <c r="BK186" s="184"/>
      <c r="BL186" s="142"/>
      <c r="BM186" s="140"/>
      <c r="BN186" s="184"/>
      <c r="BO186" s="142"/>
      <c r="BP186" s="140"/>
      <c r="BQ186" s="184"/>
      <c r="BR186" s="142"/>
      <c r="BS186" s="140">
        <v>54</v>
      </c>
      <c r="BT186" s="184">
        <v>1</v>
      </c>
      <c r="BU186" s="142"/>
      <c r="BV186" s="140"/>
      <c r="BW186" s="184"/>
      <c r="BX186" s="142"/>
      <c r="BY186" s="140"/>
      <c r="BZ186" s="184"/>
      <c r="CA186" s="142"/>
      <c r="CB186" s="140"/>
      <c r="CC186" s="184"/>
      <c r="CD186" s="142"/>
      <c r="CE186" s="140"/>
      <c r="CF186" s="184"/>
      <c r="CG186" s="142"/>
      <c r="CH186" s="140">
        <v>18</v>
      </c>
      <c r="CI186" s="184">
        <v>2</v>
      </c>
      <c r="CJ186" s="142"/>
      <c r="CK186" s="140">
        <v>12</v>
      </c>
      <c r="CL186" s="184"/>
      <c r="CM186" s="142"/>
      <c r="CN186" s="140"/>
      <c r="CO186" s="184"/>
      <c r="CP186" s="142"/>
      <c r="CQ186" s="140"/>
      <c r="CR186" s="184"/>
      <c r="CS186" s="142"/>
      <c r="CT186" s="140"/>
      <c r="CU186" s="184"/>
      <c r="CV186" s="142"/>
      <c r="CW186" s="140">
        <v>60</v>
      </c>
      <c r="CX186" s="184">
        <v>1</v>
      </c>
      <c r="CY186" s="142">
        <v>0.25</v>
      </c>
      <c r="CZ186" s="140"/>
      <c r="DA186" s="184"/>
      <c r="DB186" s="142"/>
      <c r="DC186" s="140"/>
      <c r="DD186" s="184"/>
      <c r="DE186" s="142"/>
      <c r="DF186" s="140"/>
      <c r="DG186" s="184"/>
      <c r="DH186" s="142"/>
      <c r="DI186" s="140"/>
      <c r="DJ186" s="184"/>
      <c r="DK186" s="142"/>
      <c r="DL186" s="140"/>
      <c r="DM186" s="184"/>
      <c r="DN186" s="142"/>
      <c r="DO186" s="140"/>
      <c r="DP186" s="184"/>
      <c r="DQ186" s="142"/>
      <c r="DR186" s="140"/>
      <c r="DS186" s="184"/>
      <c r="DT186" s="142"/>
      <c r="DU186" s="140">
        <v>122</v>
      </c>
      <c r="DV186" s="184">
        <v>6</v>
      </c>
      <c r="DW186" s="142"/>
      <c r="DX186" s="140"/>
      <c r="DY186" s="184"/>
      <c r="DZ186" s="142"/>
      <c r="EA186" s="140"/>
      <c r="EB186" s="184"/>
      <c r="EC186" s="142"/>
      <c r="ED186" s="140"/>
      <c r="EE186" s="184"/>
      <c r="EF186" s="142"/>
      <c r="EG186" s="140"/>
      <c r="EH186" s="184"/>
      <c r="EI186" s="142"/>
      <c r="EJ186" s="140"/>
      <c r="EK186" s="184"/>
      <c r="EL186" s="142"/>
      <c r="EM186" s="140"/>
      <c r="EN186" s="184"/>
      <c r="EO186" s="142"/>
      <c r="EP186" s="140"/>
      <c r="EQ186" s="184"/>
      <c r="ER186" s="142"/>
      <c r="ES186" s="140">
        <v>7560</v>
      </c>
      <c r="ET186" s="184">
        <v>5</v>
      </c>
      <c r="EU186" s="142">
        <v>0.5</v>
      </c>
      <c r="EV186" s="137">
        <f t="shared" si="8"/>
        <v>7565.125</v>
      </c>
      <c r="EW186" s="192">
        <f t="shared" si="9"/>
        <v>3.125</v>
      </c>
      <c r="EX186" s="139">
        <f t="shared" si="11"/>
        <v>2.5</v>
      </c>
      <c r="EY186" s="140">
        <v>497</v>
      </c>
      <c r="EZ186" s="184">
        <v>6</v>
      </c>
      <c r="FA186" s="142"/>
      <c r="FB186" s="137">
        <f t="shared" si="12"/>
        <v>497</v>
      </c>
      <c r="FC186" s="192">
        <f t="shared" si="12"/>
        <v>6</v>
      </c>
      <c r="FD186" s="139"/>
      <c r="FE186" s="140">
        <v>8058</v>
      </c>
      <c r="FF186" s="184">
        <v>3</v>
      </c>
      <c r="FG186" s="142">
        <v>0.5</v>
      </c>
      <c r="FH186" s="137">
        <f t="shared" si="13"/>
        <v>8062.125</v>
      </c>
      <c r="FI186" s="192">
        <f t="shared" si="10"/>
        <v>9.125</v>
      </c>
      <c r="FJ186" s="139">
        <f t="shared" si="10"/>
        <v>2.5</v>
      </c>
    </row>
    <row r="187" spans="1:166" x14ac:dyDescent="0.2">
      <c r="A187" s="164" t="s">
        <v>1334</v>
      </c>
      <c r="B187" s="140">
        <v>467</v>
      </c>
      <c r="C187" s="184">
        <v>4</v>
      </c>
      <c r="D187" s="142"/>
      <c r="E187" s="140"/>
      <c r="F187" s="184"/>
      <c r="G187" s="142"/>
      <c r="H187" s="140">
        <v>3568</v>
      </c>
      <c r="I187" s="184">
        <v>2</v>
      </c>
      <c r="J187" s="142">
        <v>0.5</v>
      </c>
      <c r="K187" s="140"/>
      <c r="L187" s="184"/>
      <c r="M187" s="142"/>
      <c r="N187" s="140">
        <v>489</v>
      </c>
      <c r="O187" s="184">
        <v>2</v>
      </c>
      <c r="P187" s="142"/>
      <c r="Q187" s="140">
        <v>35</v>
      </c>
      <c r="R187" s="184">
        <v>6</v>
      </c>
      <c r="S187" s="142"/>
      <c r="T187" s="140">
        <v>24</v>
      </c>
      <c r="U187" s="184">
        <v>1</v>
      </c>
      <c r="V187" s="142">
        <v>0.5</v>
      </c>
      <c r="W187" s="140"/>
      <c r="X187" s="184"/>
      <c r="Y187" s="142"/>
      <c r="Z187" s="140"/>
      <c r="AA187" s="184"/>
      <c r="AB187" s="142"/>
      <c r="AC187" s="140"/>
      <c r="AD187" s="184"/>
      <c r="AE187" s="142"/>
      <c r="AF187" s="140">
        <v>800</v>
      </c>
      <c r="AG187" s="184">
        <v>5</v>
      </c>
      <c r="AH187" s="142"/>
      <c r="AI187" s="140"/>
      <c r="AJ187" s="184"/>
      <c r="AK187" s="142"/>
      <c r="AL187" s="140">
        <v>542</v>
      </c>
      <c r="AM187" s="184">
        <v>3</v>
      </c>
      <c r="AN187" s="142">
        <v>0.5</v>
      </c>
      <c r="AO187" s="140"/>
      <c r="AP187" s="184"/>
      <c r="AQ187" s="142"/>
      <c r="AR187" s="140"/>
      <c r="AS187" s="184"/>
      <c r="AT187" s="142"/>
      <c r="AU187" s="140"/>
      <c r="AV187" s="184"/>
      <c r="AW187" s="142"/>
      <c r="AX187" s="140">
        <v>2746</v>
      </c>
      <c r="AY187" s="184">
        <v>5</v>
      </c>
      <c r="AZ187" s="142">
        <v>0.25</v>
      </c>
      <c r="BA187" s="140">
        <v>335</v>
      </c>
      <c r="BB187" s="184">
        <v>2</v>
      </c>
      <c r="BC187" s="142">
        <v>0.5</v>
      </c>
      <c r="BD187" s="140">
        <v>721</v>
      </c>
      <c r="BE187" s="184">
        <v>2</v>
      </c>
      <c r="BF187" s="142"/>
      <c r="BG187" s="140"/>
      <c r="BH187" s="184"/>
      <c r="BI187" s="142"/>
      <c r="BJ187" s="140"/>
      <c r="BK187" s="184"/>
      <c r="BL187" s="142"/>
      <c r="BM187" s="140"/>
      <c r="BN187" s="184"/>
      <c r="BO187" s="142"/>
      <c r="BP187" s="140"/>
      <c r="BQ187" s="184"/>
      <c r="BR187" s="142"/>
      <c r="BS187" s="140">
        <v>606</v>
      </c>
      <c r="BT187" s="184">
        <v>4</v>
      </c>
      <c r="BU187" s="142"/>
      <c r="BV187" s="140"/>
      <c r="BW187" s="184"/>
      <c r="BX187" s="142"/>
      <c r="BY187" s="140"/>
      <c r="BZ187" s="184"/>
      <c r="CA187" s="142"/>
      <c r="CB187" s="140">
        <v>300</v>
      </c>
      <c r="CC187" s="184">
        <v>4</v>
      </c>
      <c r="CD187" s="142"/>
      <c r="CE187" s="140">
        <v>141</v>
      </c>
      <c r="CF187" s="184">
        <v>6</v>
      </c>
      <c r="CG187" s="142">
        <v>0.75</v>
      </c>
      <c r="CH187" s="140">
        <v>85</v>
      </c>
      <c r="CI187" s="184">
        <v>5</v>
      </c>
      <c r="CJ187" s="142">
        <v>0.75</v>
      </c>
      <c r="CK187" s="140"/>
      <c r="CL187" s="184"/>
      <c r="CM187" s="142"/>
      <c r="CN187" s="140"/>
      <c r="CO187" s="184"/>
      <c r="CP187" s="142"/>
      <c r="CQ187" s="140"/>
      <c r="CR187" s="184"/>
      <c r="CS187" s="142"/>
      <c r="CT187" s="140"/>
      <c r="CU187" s="184"/>
      <c r="CV187" s="142"/>
      <c r="CW187" s="140"/>
      <c r="CX187" s="184"/>
      <c r="CY187" s="142"/>
      <c r="CZ187" s="140"/>
      <c r="DA187" s="184"/>
      <c r="DB187" s="142"/>
      <c r="DC187" s="140"/>
      <c r="DD187" s="184"/>
      <c r="DE187" s="142"/>
      <c r="DF187" s="140">
        <v>35</v>
      </c>
      <c r="DG187" s="184">
        <v>3</v>
      </c>
      <c r="DH187" s="142"/>
      <c r="DI187" s="140"/>
      <c r="DJ187" s="184"/>
      <c r="DK187" s="142"/>
      <c r="DL187" s="140">
        <v>62</v>
      </c>
      <c r="DM187" s="184">
        <v>6</v>
      </c>
      <c r="DN187" s="142">
        <v>0.75</v>
      </c>
      <c r="DO187" s="140"/>
      <c r="DP187" s="184"/>
      <c r="DQ187" s="142"/>
      <c r="DR187" s="140"/>
      <c r="DS187" s="184"/>
      <c r="DT187" s="142"/>
      <c r="DU187" s="140"/>
      <c r="DV187" s="184"/>
      <c r="DW187" s="142"/>
      <c r="DX187" s="140">
        <v>325</v>
      </c>
      <c r="DY187" s="132"/>
      <c r="DZ187" s="142"/>
      <c r="EA187" s="140"/>
      <c r="EB187" s="184"/>
      <c r="EC187" s="142"/>
      <c r="ED187" s="140"/>
      <c r="EE187" s="184"/>
      <c r="EF187" s="142"/>
      <c r="EG187" s="140"/>
      <c r="EH187" s="184"/>
      <c r="EI187" s="142"/>
      <c r="EJ187" s="140"/>
      <c r="EK187" s="184"/>
      <c r="EL187" s="142"/>
      <c r="EM187" s="140"/>
      <c r="EN187" s="184"/>
      <c r="EO187" s="142"/>
      <c r="EP187" s="140"/>
      <c r="EQ187" s="184"/>
      <c r="ER187" s="142"/>
      <c r="ES187" s="140">
        <v>11251</v>
      </c>
      <c r="ET187" s="184">
        <v>3</v>
      </c>
      <c r="EU187" s="142">
        <v>0.5</v>
      </c>
      <c r="EV187" s="137">
        <f t="shared" si="8"/>
        <v>11252.75</v>
      </c>
      <c r="EW187" s="192">
        <f t="shared" si="9"/>
        <v>6.75</v>
      </c>
      <c r="EX187" s="139">
        <f t="shared" si="11"/>
        <v>4.5</v>
      </c>
      <c r="EY187" s="140">
        <v>35</v>
      </c>
      <c r="EZ187" s="184">
        <v>6</v>
      </c>
      <c r="FA187" s="142"/>
      <c r="FB187" s="137">
        <f t="shared" si="12"/>
        <v>35</v>
      </c>
      <c r="FC187" s="192">
        <f t="shared" si="12"/>
        <v>6</v>
      </c>
      <c r="FD187" s="139"/>
      <c r="FE187" s="140">
        <v>11287</v>
      </c>
      <c r="FF187" s="184">
        <v>1</v>
      </c>
      <c r="FG187" s="142">
        <v>0.5</v>
      </c>
      <c r="FH187" s="137">
        <f t="shared" si="13"/>
        <v>11287.75</v>
      </c>
      <c r="FI187" s="192">
        <f t="shared" si="10"/>
        <v>12.75</v>
      </c>
      <c r="FJ187" s="139">
        <f t="shared" si="10"/>
        <v>4.5</v>
      </c>
    </row>
    <row r="188" spans="1:166" x14ac:dyDescent="0.2">
      <c r="A188" s="164" t="s">
        <v>1335</v>
      </c>
      <c r="B188" s="140">
        <v>89</v>
      </c>
      <c r="C188" s="184">
        <v>3</v>
      </c>
      <c r="D188" s="142">
        <v>0.75</v>
      </c>
      <c r="E188" s="140"/>
      <c r="F188" s="184"/>
      <c r="G188" s="142"/>
      <c r="H188" s="140">
        <v>1029</v>
      </c>
      <c r="I188" s="184">
        <v>4</v>
      </c>
      <c r="J188" s="142"/>
      <c r="K188" s="140"/>
      <c r="L188" s="184"/>
      <c r="M188" s="142"/>
      <c r="N188" s="140">
        <v>4177</v>
      </c>
      <c r="O188" s="184">
        <v>6</v>
      </c>
      <c r="P188" s="142"/>
      <c r="Q188" s="140"/>
      <c r="R188" s="184"/>
      <c r="S188" s="142"/>
      <c r="T188" s="140">
        <v>770</v>
      </c>
      <c r="U188" s="184">
        <v>1</v>
      </c>
      <c r="V188" s="142">
        <v>0.25</v>
      </c>
      <c r="W188" s="140"/>
      <c r="X188" s="184"/>
      <c r="Y188" s="142"/>
      <c r="Z188" s="140"/>
      <c r="AA188" s="184"/>
      <c r="AB188" s="142"/>
      <c r="AC188" s="140"/>
      <c r="AD188" s="184"/>
      <c r="AE188" s="142"/>
      <c r="AF188" s="140"/>
      <c r="AG188" s="184"/>
      <c r="AH188" s="142"/>
      <c r="AI188" s="140"/>
      <c r="AJ188" s="184"/>
      <c r="AK188" s="142"/>
      <c r="AL188" s="140"/>
      <c r="AM188" s="184"/>
      <c r="AN188" s="142"/>
      <c r="AO188" s="140"/>
      <c r="AP188" s="184"/>
      <c r="AQ188" s="142"/>
      <c r="AR188" s="140"/>
      <c r="AS188" s="184">
        <v>3</v>
      </c>
      <c r="AT188" s="142">
        <v>0.75</v>
      </c>
      <c r="AU188" s="140"/>
      <c r="AV188" s="184"/>
      <c r="AW188" s="142"/>
      <c r="AX188" s="140"/>
      <c r="AY188" s="184"/>
      <c r="AZ188" s="142"/>
      <c r="BA188" s="140"/>
      <c r="BB188" s="184"/>
      <c r="BC188" s="142"/>
      <c r="BD188" s="140"/>
      <c r="BE188" s="184"/>
      <c r="BF188" s="142"/>
      <c r="BG188" s="140"/>
      <c r="BH188" s="184"/>
      <c r="BI188" s="142"/>
      <c r="BJ188" s="140"/>
      <c r="BK188" s="184"/>
      <c r="BL188" s="142"/>
      <c r="BM188" s="140"/>
      <c r="BN188" s="184"/>
      <c r="BO188" s="142"/>
      <c r="BP188" s="140"/>
      <c r="BQ188" s="184"/>
      <c r="BR188" s="142"/>
      <c r="BS188" s="140"/>
      <c r="BT188" s="184"/>
      <c r="BU188" s="142"/>
      <c r="BV188" s="140">
        <v>345</v>
      </c>
      <c r="BW188" s="184">
        <v>7</v>
      </c>
      <c r="BX188" s="142"/>
      <c r="BY188" s="140"/>
      <c r="BZ188" s="184"/>
      <c r="CA188" s="142"/>
      <c r="CB188" s="140">
        <v>300</v>
      </c>
      <c r="CC188" s="184">
        <v>4</v>
      </c>
      <c r="CD188" s="142"/>
      <c r="CE188" s="140">
        <v>553</v>
      </c>
      <c r="CF188" s="184">
        <v>2</v>
      </c>
      <c r="CG188" s="142">
        <v>0.5</v>
      </c>
      <c r="CH188" s="140"/>
      <c r="CI188" s="184"/>
      <c r="CJ188" s="142"/>
      <c r="CK188" s="140">
        <v>32</v>
      </c>
      <c r="CL188" s="184"/>
      <c r="CM188" s="142"/>
      <c r="CN188" s="140"/>
      <c r="CO188" s="184"/>
      <c r="CP188" s="142"/>
      <c r="CQ188" s="140"/>
      <c r="CR188" s="184"/>
      <c r="CS188" s="142"/>
      <c r="CT188" s="140"/>
      <c r="CU188" s="184"/>
      <c r="CV188" s="142"/>
      <c r="CW188" s="140">
        <v>160</v>
      </c>
      <c r="CX188" s="184">
        <v>5</v>
      </c>
      <c r="CY188" s="142">
        <v>0.5</v>
      </c>
      <c r="CZ188" s="140"/>
      <c r="DA188" s="184"/>
      <c r="DB188" s="142"/>
      <c r="DC188" s="140"/>
      <c r="DD188" s="184"/>
      <c r="DE188" s="142"/>
      <c r="DF188" s="140"/>
      <c r="DG188" s="184"/>
      <c r="DH188" s="142"/>
      <c r="DI188" s="140"/>
      <c r="DJ188" s="184"/>
      <c r="DK188" s="142"/>
      <c r="DL188" s="140"/>
      <c r="DM188" s="184"/>
      <c r="DN188" s="142"/>
      <c r="DO188" s="140"/>
      <c r="DP188" s="184"/>
      <c r="DQ188" s="142"/>
      <c r="DR188" s="140"/>
      <c r="DS188" s="184"/>
      <c r="DT188" s="142"/>
      <c r="DU188" s="140"/>
      <c r="DV188" s="184"/>
      <c r="DW188" s="142"/>
      <c r="DX188" s="140"/>
      <c r="DY188" s="184"/>
      <c r="DZ188" s="142"/>
      <c r="EA188" s="140"/>
      <c r="EB188" s="184"/>
      <c r="EC188" s="142"/>
      <c r="ED188" s="140"/>
      <c r="EE188" s="184"/>
      <c r="EF188" s="142"/>
      <c r="EG188" s="140"/>
      <c r="EH188" s="184"/>
      <c r="EI188" s="142"/>
      <c r="EJ188" s="140">
        <v>1</v>
      </c>
      <c r="EK188" s="184">
        <v>4</v>
      </c>
      <c r="EL188" s="142"/>
      <c r="EM188" s="140"/>
      <c r="EN188" s="184"/>
      <c r="EO188" s="142"/>
      <c r="EP188" s="140"/>
      <c r="EQ188" s="184"/>
      <c r="ER188" s="142"/>
      <c r="ES188" s="140">
        <v>7460</v>
      </c>
      <c r="ET188" s="184">
        <v>4</v>
      </c>
      <c r="EU188" s="142">
        <v>0.25</v>
      </c>
      <c r="EV188" s="137">
        <f t="shared" si="8"/>
        <v>7460.875</v>
      </c>
      <c r="EW188" s="192">
        <f t="shared" si="9"/>
        <v>4.875</v>
      </c>
      <c r="EX188" s="139">
        <f t="shared" si="11"/>
        <v>2.75</v>
      </c>
      <c r="EY188" s="140"/>
      <c r="EZ188" s="184"/>
      <c r="FA188" s="142"/>
      <c r="FB188" s="137"/>
      <c r="FC188" s="192"/>
      <c r="FD188" s="139"/>
      <c r="FE188" s="140">
        <v>7460</v>
      </c>
      <c r="FF188" s="184">
        <v>4</v>
      </c>
      <c r="FG188" s="142">
        <v>0.25</v>
      </c>
      <c r="FH188" s="137">
        <f t="shared" si="13"/>
        <v>7460.875</v>
      </c>
      <c r="FI188" s="192">
        <f t="shared" si="10"/>
        <v>4.875</v>
      </c>
      <c r="FJ188" s="139">
        <f t="shared" si="10"/>
        <v>2.75</v>
      </c>
    </row>
    <row r="189" spans="1:166" x14ac:dyDescent="0.2">
      <c r="A189" s="164" t="s">
        <v>1336</v>
      </c>
      <c r="B189" s="140">
        <v>326</v>
      </c>
      <c r="C189" s="184">
        <v>1</v>
      </c>
      <c r="D189" s="142">
        <v>0.5</v>
      </c>
      <c r="E189" s="140"/>
      <c r="F189" s="184"/>
      <c r="G189" s="142"/>
      <c r="H189" s="140">
        <v>2864</v>
      </c>
      <c r="I189" s="184">
        <v>7</v>
      </c>
      <c r="J189" s="142">
        <v>0.25</v>
      </c>
      <c r="K189" s="140"/>
      <c r="L189" s="184"/>
      <c r="M189" s="142"/>
      <c r="N189" s="140">
        <v>2589</v>
      </c>
      <c r="O189" s="184">
        <v>7</v>
      </c>
      <c r="P189" s="142">
        <v>0.5</v>
      </c>
      <c r="Q189" s="140"/>
      <c r="R189" s="184"/>
      <c r="S189" s="142"/>
      <c r="T189" s="140"/>
      <c r="U189" s="184"/>
      <c r="V189" s="142"/>
      <c r="W189" s="140"/>
      <c r="X189" s="184"/>
      <c r="Y189" s="142"/>
      <c r="Z189" s="140">
        <v>2324</v>
      </c>
      <c r="AA189" s="184">
        <v>7</v>
      </c>
      <c r="AB189" s="142">
        <v>0.5</v>
      </c>
      <c r="AC189" s="140"/>
      <c r="AD189" s="184"/>
      <c r="AE189" s="142"/>
      <c r="AF189" s="140">
        <v>1350</v>
      </c>
      <c r="AG189" s="184">
        <v>2</v>
      </c>
      <c r="AH189" s="142">
        <v>0.5</v>
      </c>
      <c r="AI189" s="140"/>
      <c r="AJ189" s="184"/>
      <c r="AK189" s="142"/>
      <c r="AL189" s="140">
        <v>659</v>
      </c>
      <c r="AM189" s="184">
        <v>6</v>
      </c>
      <c r="AN189" s="142">
        <v>0.25</v>
      </c>
      <c r="AO189" s="140"/>
      <c r="AP189" s="184"/>
      <c r="AQ189" s="142"/>
      <c r="AR189" s="140">
        <v>7</v>
      </c>
      <c r="AS189" s="184">
        <v>6</v>
      </c>
      <c r="AT189" s="142">
        <v>0.5</v>
      </c>
      <c r="AU189" s="140"/>
      <c r="AV189" s="184"/>
      <c r="AW189" s="142"/>
      <c r="AX189" s="140"/>
      <c r="AY189" s="184"/>
      <c r="AZ189" s="142"/>
      <c r="BA189" s="140"/>
      <c r="BB189" s="184"/>
      <c r="BC189" s="142"/>
      <c r="BD189" s="140"/>
      <c r="BE189" s="184"/>
      <c r="BF189" s="142"/>
      <c r="BG189" s="140"/>
      <c r="BH189" s="184"/>
      <c r="BI189" s="142"/>
      <c r="BJ189" s="140"/>
      <c r="BK189" s="184"/>
      <c r="BL189" s="142"/>
      <c r="BM189" s="140">
        <v>6</v>
      </c>
      <c r="BN189" s="184"/>
      <c r="BO189" s="142"/>
      <c r="BP189" s="140"/>
      <c r="BQ189" s="184"/>
      <c r="BR189" s="142"/>
      <c r="BS189" s="140"/>
      <c r="BT189" s="184"/>
      <c r="BU189" s="142"/>
      <c r="BV189" s="140"/>
      <c r="BW189" s="184"/>
      <c r="BX189" s="142"/>
      <c r="BY189" s="140"/>
      <c r="BZ189" s="184"/>
      <c r="CA189" s="142"/>
      <c r="CB189" s="140"/>
      <c r="CC189" s="184"/>
      <c r="CD189" s="142"/>
      <c r="CE189" s="140">
        <v>59</v>
      </c>
      <c r="CF189" s="184">
        <v>2</v>
      </c>
      <c r="CG189" s="142">
        <v>0.5</v>
      </c>
      <c r="CH189" s="140"/>
      <c r="CI189" s="184"/>
      <c r="CJ189" s="142"/>
      <c r="CK189" s="140">
        <v>24</v>
      </c>
      <c r="CL189" s="184"/>
      <c r="CM189" s="142"/>
      <c r="CN189" s="140">
        <v>1640</v>
      </c>
      <c r="CO189" s="184">
        <v>4</v>
      </c>
      <c r="CP189" s="142">
        <v>0.5</v>
      </c>
      <c r="CQ189" s="140"/>
      <c r="CR189" s="184"/>
      <c r="CS189" s="142"/>
      <c r="CT189" s="140"/>
      <c r="CU189" s="184"/>
      <c r="CV189" s="142"/>
      <c r="CW189" s="140">
        <v>17</v>
      </c>
      <c r="CX189" s="184">
        <v>4</v>
      </c>
      <c r="CY189" s="142">
        <v>0.25</v>
      </c>
      <c r="CZ189" s="140"/>
      <c r="DA189" s="184"/>
      <c r="DB189" s="142"/>
      <c r="DC189" s="140"/>
      <c r="DD189" s="184"/>
      <c r="DE189" s="142"/>
      <c r="DF189" s="140"/>
      <c r="DG189" s="184"/>
      <c r="DH189" s="142"/>
      <c r="DI189" s="140"/>
      <c r="DJ189" s="184"/>
      <c r="DK189" s="142"/>
      <c r="DL189" s="140"/>
      <c r="DM189" s="184"/>
      <c r="DN189" s="142"/>
      <c r="DO189" s="140"/>
      <c r="DP189" s="184"/>
      <c r="DQ189" s="142"/>
      <c r="DR189" s="140"/>
      <c r="DS189" s="184"/>
      <c r="DT189" s="142"/>
      <c r="DU189" s="140"/>
      <c r="DV189" s="184"/>
      <c r="DW189" s="142"/>
      <c r="DX189" s="140"/>
      <c r="DY189" s="184"/>
      <c r="DZ189" s="142"/>
      <c r="EA189" s="140"/>
      <c r="EB189" s="184"/>
      <c r="EC189" s="142"/>
      <c r="ED189" s="140"/>
      <c r="EE189" s="184"/>
      <c r="EF189" s="142"/>
      <c r="EG189" s="140"/>
      <c r="EH189" s="184"/>
      <c r="EI189" s="142"/>
      <c r="EJ189" s="140"/>
      <c r="EK189" s="184"/>
      <c r="EL189" s="142"/>
      <c r="EM189" s="140"/>
      <c r="EN189" s="184"/>
      <c r="EO189" s="142"/>
      <c r="EP189" s="140"/>
      <c r="EQ189" s="184"/>
      <c r="ER189" s="142"/>
      <c r="ES189" s="140">
        <v>11869</v>
      </c>
      <c r="ET189" s="184">
        <v>7</v>
      </c>
      <c r="EU189" s="142">
        <v>0.25</v>
      </c>
      <c r="EV189" s="137">
        <f t="shared" si="8"/>
        <v>11870.75</v>
      </c>
      <c r="EW189" s="192">
        <f t="shared" si="9"/>
        <v>5.75</v>
      </c>
      <c r="EX189" s="139">
        <f t="shared" si="11"/>
        <v>4.25</v>
      </c>
      <c r="EY189" s="140"/>
      <c r="EZ189" s="184"/>
      <c r="FA189" s="142"/>
      <c r="FB189" s="137"/>
      <c r="FC189" s="192"/>
      <c r="FD189" s="139"/>
      <c r="FE189" s="140">
        <v>11869</v>
      </c>
      <c r="FF189" s="184">
        <v>7</v>
      </c>
      <c r="FG189" s="142">
        <v>0.25</v>
      </c>
      <c r="FH189" s="137">
        <f t="shared" si="13"/>
        <v>11870.75</v>
      </c>
      <c r="FI189" s="192">
        <f t="shared" si="13"/>
        <v>5.75</v>
      </c>
      <c r="FJ189" s="139">
        <f t="shared" si="13"/>
        <v>4.25</v>
      </c>
    </row>
    <row r="190" spans="1:166" x14ac:dyDescent="0.2">
      <c r="A190" s="164" t="s">
        <v>1337</v>
      </c>
      <c r="B190" s="140">
        <v>730</v>
      </c>
      <c r="C190" s="184">
        <v>7</v>
      </c>
      <c r="D190" s="142">
        <v>0.25</v>
      </c>
      <c r="E190" s="140">
        <v>4</v>
      </c>
      <c r="F190" s="184">
        <v>3</v>
      </c>
      <c r="G190" s="142">
        <v>0.5</v>
      </c>
      <c r="H190" s="140">
        <v>2117</v>
      </c>
      <c r="I190" s="184">
        <v>4</v>
      </c>
      <c r="J190" s="142">
        <v>0.75</v>
      </c>
      <c r="K190" s="140"/>
      <c r="L190" s="184"/>
      <c r="M190" s="142"/>
      <c r="N190" s="140">
        <v>9600</v>
      </c>
      <c r="O190" s="184">
        <v>2</v>
      </c>
      <c r="P190" s="142">
        <v>0.25</v>
      </c>
      <c r="Q190" s="140"/>
      <c r="R190" s="184"/>
      <c r="S190" s="142"/>
      <c r="T190" s="140"/>
      <c r="U190" s="184"/>
      <c r="V190" s="142"/>
      <c r="W190" s="140"/>
      <c r="X190" s="184"/>
      <c r="Y190" s="142"/>
      <c r="Z190" s="140"/>
      <c r="AA190" s="184"/>
      <c r="AB190" s="142"/>
      <c r="AC190" s="140"/>
      <c r="AD190" s="184"/>
      <c r="AE190" s="142"/>
      <c r="AF190" s="140"/>
      <c r="AG190" s="184"/>
      <c r="AH190" s="142"/>
      <c r="AI190" s="140"/>
      <c r="AJ190" s="184"/>
      <c r="AK190" s="142"/>
      <c r="AL190" s="140"/>
      <c r="AM190" s="184"/>
      <c r="AN190" s="142"/>
      <c r="AO190" s="140"/>
      <c r="AP190" s="184"/>
      <c r="AQ190" s="142"/>
      <c r="AR190" s="140"/>
      <c r="AS190" s="184"/>
      <c r="AT190" s="142"/>
      <c r="AU190" s="140"/>
      <c r="AV190" s="184"/>
      <c r="AW190" s="142"/>
      <c r="AX190" s="140"/>
      <c r="AY190" s="184"/>
      <c r="AZ190" s="142"/>
      <c r="BA190" s="140"/>
      <c r="BB190" s="184"/>
      <c r="BC190" s="142"/>
      <c r="BD190" s="140"/>
      <c r="BE190" s="184"/>
      <c r="BF190" s="142"/>
      <c r="BG190" s="140"/>
      <c r="BH190" s="184"/>
      <c r="BI190" s="142"/>
      <c r="BJ190" s="140"/>
      <c r="BK190" s="184"/>
      <c r="BL190" s="142"/>
      <c r="BM190" s="140"/>
      <c r="BN190" s="184"/>
      <c r="BO190" s="142"/>
      <c r="BP190" s="140"/>
      <c r="BQ190" s="184"/>
      <c r="BR190" s="142"/>
      <c r="BS190" s="140"/>
      <c r="BT190" s="184"/>
      <c r="BU190" s="142"/>
      <c r="BV190" s="140"/>
      <c r="BW190" s="184"/>
      <c r="BX190" s="142"/>
      <c r="BY190" s="140"/>
      <c r="BZ190" s="184"/>
      <c r="CA190" s="142"/>
      <c r="CB190" s="140">
        <v>16</v>
      </c>
      <c r="CC190" s="184">
        <v>4</v>
      </c>
      <c r="CD190" s="142"/>
      <c r="CE190" s="140">
        <v>384</v>
      </c>
      <c r="CF190" s="184">
        <v>6</v>
      </c>
      <c r="CG190" s="142">
        <v>0.75</v>
      </c>
      <c r="CH190" s="140">
        <v>31</v>
      </c>
      <c r="CI190" s="184">
        <v>2</v>
      </c>
      <c r="CJ190" s="142"/>
      <c r="CK190" s="140"/>
      <c r="CL190" s="184"/>
      <c r="CM190" s="142"/>
      <c r="CN190" s="140"/>
      <c r="CO190" s="184"/>
      <c r="CP190" s="142"/>
      <c r="CQ190" s="140"/>
      <c r="CR190" s="184"/>
      <c r="CS190" s="142"/>
      <c r="CT190" s="140"/>
      <c r="CU190" s="184"/>
      <c r="CV190" s="142"/>
      <c r="CW190" s="140"/>
      <c r="CX190" s="184"/>
      <c r="CY190" s="142"/>
      <c r="CZ190" s="140"/>
      <c r="DA190" s="184"/>
      <c r="DB190" s="142"/>
      <c r="DC190" s="140"/>
      <c r="DD190" s="184"/>
      <c r="DE190" s="142"/>
      <c r="DF190" s="140">
        <v>19</v>
      </c>
      <c r="DG190" s="184">
        <v>6</v>
      </c>
      <c r="DH190" s="142"/>
      <c r="DI190" s="140"/>
      <c r="DJ190" s="184"/>
      <c r="DK190" s="142"/>
      <c r="DL190" s="140"/>
      <c r="DM190" s="184"/>
      <c r="DN190" s="142"/>
      <c r="DO190" s="140"/>
      <c r="DP190" s="184"/>
      <c r="DQ190" s="142"/>
      <c r="DR190" s="140"/>
      <c r="DS190" s="184"/>
      <c r="DT190" s="142"/>
      <c r="DU190" s="140"/>
      <c r="DV190" s="184"/>
      <c r="DW190" s="142"/>
      <c r="DX190" s="140"/>
      <c r="DY190" s="184"/>
      <c r="DZ190" s="142"/>
      <c r="EA190" s="140"/>
      <c r="EB190" s="184"/>
      <c r="EC190" s="142"/>
      <c r="ED190" s="140"/>
      <c r="EE190" s="184"/>
      <c r="EF190" s="142"/>
      <c r="EG190" s="140"/>
      <c r="EH190" s="184"/>
      <c r="EI190" s="142"/>
      <c r="EJ190" s="140"/>
      <c r="EK190" s="184"/>
      <c r="EL190" s="142"/>
      <c r="EM190" s="140"/>
      <c r="EN190" s="184"/>
      <c r="EO190" s="142"/>
      <c r="EP190" s="140"/>
      <c r="EQ190" s="184"/>
      <c r="ER190" s="142"/>
      <c r="ES190" s="140">
        <v>12905</v>
      </c>
      <c r="ET190" s="184">
        <v>7</v>
      </c>
      <c r="EU190" s="142">
        <v>0.5</v>
      </c>
      <c r="EV190" s="137">
        <f t="shared" si="8"/>
        <v>12905.25</v>
      </c>
      <c r="EW190" s="192">
        <f t="shared" si="9"/>
        <v>4.25</v>
      </c>
      <c r="EX190" s="139">
        <f t="shared" si="11"/>
        <v>2.5</v>
      </c>
      <c r="EY190" s="140"/>
      <c r="EZ190" s="184"/>
      <c r="FA190" s="142"/>
      <c r="FB190" s="137"/>
      <c r="FC190" s="192"/>
      <c r="FD190" s="139"/>
      <c r="FE190" s="140">
        <v>12905</v>
      </c>
      <c r="FF190" s="184">
        <v>7</v>
      </c>
      <c r="FG190" s="142">
        <v>0.5</v>
      </c>
      <c r="FH190" s="137">
        <f t="shared" si="13"/>
        <v>12905.25</v>
      </c>
      <c r="FI190" s="192">
        <f t="shared" si="13"/>
        <v>4.25</v>
      </c>
      <c r="FJ190" s="139">
        <f t="shared" si="13"/>
        <v>2.5</v>
      </c>
    </row>
    <row r="191" spans="1:166" x14ac:dyDescent="0.2">
      <c r="A191" s="164" t="s">
        <v>1338</v>
      </c>
      <c r="B191" s="140">
        <v>1158</v>
      </c>
      <c r="C191" s="184">
        <v>1</v>
      </c>
      <c r="D191" s="142">
        <v>0.25</v>
      </c>
      <c r="E191" s="140"/>
      <c r="F191" s="184"/>
      <c r="G191" s="142"/>
      <c r="H191" s="140">
        <v>7191</v>
      </c>
      <c r="I191" s="184">
        <v>3</v>
      </c>
      <c r="J191" s="142">
        <v>0.25</v>
      </c>
      <c r="K191" s="140"/>
      <c r="L191" s="184"/>
      <c r="M191" s="142"/>
      <c r="N191" s="140">
        <v>8956</v>
      </c>
      <c r="O191" s="184">
        <v>3</v>
      </c>
      <c r="P191" s="142">
        <v>0.25</v>
      </c>
      <c r="Q191" s="140">
        <v>2384</v>
      </c>
      <c r="R191" s="184">
        <v>4</v>
      </c>
      <c r="S191" s="142">
        <v>0.25</v>
      </c>
      <c r="T191" s="140">
        <v>30146</v>
      </c>
      <c r="U191" s="184">
        <v>1</v>
      </c>
      <c r="V191" s="142">
        <v>0.75</v>
      </c>
      <c r="W191" s="140"/>
      <c r="X191" s="184"/>
      <c r="Y191" s="142"/>
      <c r="Z191" s="140"/>
      <c r="AA191" s="184"/>
      <c r="AB191" s="142"/>
      <c r="AC191" s="140"/>
      <c r="AD191" s="184"/>
      <c r="AE191" s="142"/>
      <c r="AF191" s="140"/>
      <c r="AG191" s="184"/>
      <c r="AH191" s="142"/>
      <c r="AI191" s="140"/>
      <c r="AJ191" s="184"/>
      <c r="AK191" s="142"/>
      <c r="AL191" s="140"/>
      <c r="AM191" s="184"/>
      <c r="AN191" s="142"/>
      <c r="AO191" s="140"/>
      <c r="AP191" s="184"/>
      <c r="AQ191" s="142"/>
      <c r="AR191" s="140"/>
      <c r="AS191" s="184"/>
      <c r="AT191" s="142"/>
      <c r="AU191" s="140"/>
      <c r="AV191" s="184"/>
      <c r="AW191" s="142"/>
      <c r="AX191" s="140"/>
      <c r="AY191" s="184"/>
      <c r="AZ191" s="142"/>
      <c r="BA191" s="140"/>
      <c r="BB191" s="184"/>
      <c r="BC191" s="142"/>
      <c r="BD191" s="140"/>
      <c r="BE191" s="184"/>
      <c r="BF191" s="142"/>
      <c r="BG191" s="140"/>
      <c r="BH191" s="184"/>
      <c r="BI191" s="142"/>
      <c r="BJ191" s="140"/>
      <c r="BK191" s="184"/>
      <c r="BL191" s="142"/>
      <c r="BM191" s="140">
        <v>26</v>
      </c>
      <c r="BN191" s="184"/>
      <c r="BO191" s="142"/>
      <c r="BP191" s="140"/>
      <c r="BQ191" s="184"/>
      <c r="BR191" s="142"/>
      <c r="BS191" s="140"/>
      <c r="BT191" s="184"/>
      <c r="BU191" s="142"/>
      <c r="BV191" s="140"/>
      <c r="BW191" s="184"/>
      <c r="BX191" s="142"/>
      <c r="BY191" s="140"/>
      <c r="BZ191" s="184"/>
      <c r="CA191" s="142"/>
      <c r="CB191" s="140">
        <v>1035</v>
      </c>
      <c r="CC191" s="184">
        <v>6</v>
      </c>
      <c r="CD191" s="142">
        <v>0.5</v>
      </c>
      <c r="CE191" s="140">
        <v>3</v>
      </c>
      <c r="CF191" s="184">
        <v>4</v>
      </c>
      <c r="CG191" s="142"/>
      <c r="CH191" s="140">
        <v>30</v>
      </c>
      <c r="CI191" s="184">
        <v>2</v>
      </c>
      <c r="CJ191" s="142"/>
      <c r="CK191" s="140"/>
      <c r="CL191" s="184"/>
      <c r="CM191" s="142"/>
      <c r="CN191" s="140"/>
      <c r="CO191" s="184"/>
      <c r="CP191" s="142"/>
      <c r="CQ191" s="140">
        <v>886</v>
      </c>
      <c r="CR191" s="184">
        <v>1</v>
      </c>
      <c r="CS191" s="142">
        <v>0.75</v>
      </c>
      <c r="CT191" s="140"/>
      <c r="CU191" s="184"/>
      <c r="CV191" s="142"/>
      <c r="CW191" s="140">
        <v>2</v>
      </c>
      <c r="CX191" s="184">
        <v>2</v>
      </c>
      <c r="CY191" s="142">
        <v>0.75</v>
      </c>
      <c r="CZ191" s="140"/>
      <c r="DA191" s="184"/>
      <c r="DB191" s="142"/>
      <c r="DC191" s="140"/>
      <c r="DD191" s="184"/>
      <c r="DE191" s="142"/>
      <c r="DF191" s="140"/>
      <c r="DG191" s="184"/>
      <c r="DH191" s="142"/>
      <c r="DI191" s="140"/>
      <c r="DJ191" s="184"/>
      <c r="DK191" s="142"/>
      <c r="DL191" s="140"/>
      <c r="DM191" s="184"/>
      <c r="DN191" s="142"/>
      <c r="DO191" s="140"/>
      <c r="DP191" s="184"/>
      <c r="DQ191" s="142"/>
      <c r="DR191" s="140"/>
      <c r="DS191" s="184"/>
      <c r="DT191" s="142"/>
      <c r="DU191" s="140"/>
      <c r="DV191" s="184"/>
      <c r="DW191" s="142"/>
      <c r="DX191" s="140"/>
      <c r="DY191" s="184"/>
      <c r="DZ191" s="142"/>
      <c r="EA191" s="140"/>
      <c r="EB191" s="184"/>
      <c r="EC191" s="142"/>
      <c r="ED191" s="140"/>
      <c r="EE191" s="184"/>
      <c r="EF191" s="142"/>
      <c r="EG191" s="140"/>
      <c r="EH191" s="184"/>
      <c r="EI191" s="142"/>
      <c r="EJ191" s="140">
        <v>25</v>
      </c>
      <c r="EK191" s="184">
        <v>4</v>
      </c>
      <c r="EL191" s="142"/>
      <c r="EM191" s="140"/>
      <c r="EN191" s="184"/>
      <c r="EO191" s="142"/>
      <c r="EP191" s="140"/>
      <c r="EQ191" s="184"/>
      <c r="ER191" s="142"/>
      <c r="ES191" s="140">
        <v>49460</v>
      </c>
      <c r="ET191" s="184">
        <v>7</v>
      </c>
      <c r="EU191" s="142">
        <v>0.5</v>
      </c>
      <c r="EV191" s="137">
        <f t="shared" si="8"/>
        <v>49461.375</v>
      </c>
      <c r="EW191" s="192">
        <f t="shared" si="9"/>
        <v>3.375</v>
      </c>
      <c r="EX191" s="139">
        <f t="shared" si="11"/>
        <v>3.5</v>
      </c>
      <c r="EY191" s="140">
        <v>2384</v>
      </c>
      <c r="EZ191" s="184">
        <v>4</v>
      </c>
      <c r="FA191" s="142">
        <v>0.25</v>
      </c>
      <c r="FB191" s="137">
        <f t="shared" si="12"/>
        <v>2384</v>
      </c>
      <c r="FC191" s="192">
        <f>L191+R191+X191+AD191+AJ191+AP191+AV191</f>
        <v>4</v>
      </c>
      <c r="FD191" s="139">
        <f>M191+S191+Y191+AE191+AK191+AQ191+AW191</f>
        <v>0.25</v>
      </c>
      <c r="FE191" s="140">
        <v>51845</v>
      </c>
      <c r="FF191" s="184">
        <v>3</v>
      </c>
      <c r="FG191" s="142">
        <v>0.75</v>
      </c>
      <c r="FH191" s="137">
        <f t="shared" si="13"/>
        <v>51845.375</v>
      </c>
      <c r="FI191" s="192">
        <f t="shared" si="13"/>
        <v>7.375</v>
      </c>
      <c r="FJ191" s="139">
        <f t="shared" si="13"/>
        <v>3.75</v>
      </c>
    </row>
    <row r="192" spans="1:166" x14ac:dyDescent="0.2">
      <c r="A192" s="164" t="s">
        <v>1339</v>
      </c>
      <c r="B192" s="140">
        <v>382</v>
      </c>
      <c r="C192" s="184">
        <v>4</v>
      </c>
      <c r="D192" s="142">
        <v>0.25</v>
      </c>
      <c r="E192" s="140"/>
      <c r="F192" s="184"/>
      <c r="G192" s="142"/>
      <c r="H192" s="140">
        <v>2359</v>
      </c>
      <c r="I192" s="184">
        <v>3</v>
      </c>
      <c r="J192" s="142"/>
      <c r="K192" s="140"/>
      <c r="L192" s="184"/>
      <c r="M192" s="142"/>
      <c r="N192" s="140">
        <v>3709</v>
      </c>
      <c r="O192" s="184">
        <v>5</v>
      </c>
      <c r="P192" s="142">
        <v>0.25</v>
      </c>
      <c r="Q192" s="140">
        <v>1411</v>
      </c>
      <c r="R192" s="184">
        <v>2</v>
      </c>
      <c r="S192" s="142">
        <v>0.75</v>
      </c>
      <c r="T192" s="140"/>
      <c r="U192" s="184"/>
      <c r="V192" s="142"/>
      <c r="W192" s="140"/>
      <c r="X192" s="184"/>
      <c r="Y192" s="142"/>
      <c r="Z192" s="140"/>
      <c r="AA192" s="184"/>
      <c r="AB192" s="142"/>
      <c r="AC192" s="140"/>
      <c r="AD192" s="184"/>
      <c r="AE192" s="142"/>
      <c r="AF192" s="140"/>
      <c r="AG192" s="184"/>
      <c r="AH192" s="142"/>
      <c r="AI192" s="140"/>
      <c r="AJ192" s="184"/>
      <c r="AK192" s="142"/>
      <c r="AL192" s="140"/>
      <c r="AM192" s="184"/>
      <c r="AN192" s="142"/>
      <c r="AO192" s="140"/>
      <c r="AP192" s="184"/>
      <c r="AQ192" s="142"/>
      <c r="AR192" s="140">
        <v>26</v>
      </c>
      <c r="AS192" s="184">
        <v>1</v>
      </c>
      <c r="AT192" s="142"/>
      <c r="AU192" s="140"/>
      <c r="AV192" s="184"/>
      <c r="AW192" s="142"/>
      <c r="AX192" s="140"/>
      <c r="AY192" s="184"/>
      <c r="AZ192" s="142"/>
      <c r="BA192" s="140"/>
      <c r="BB192" s="184"/>
      <c r="BC192" s="142"/>
      <c r="BD192" s="140"/>
      <c r="BE192" s="184"/>
      <c r="BF192" s="142"/>
      <c r="BG192" s="140">
        <v>32</v>
      </c>
      <c r="BH192" s="184">
        <v>4</v>
      </c>
      <c r="BI192" s="142"/>
      <c r="BJ192" s="140"/>
      <c r="BK192" s="184"/>
      <c r="BL192" s="142"/>
      <c r="BM192" s="140">
        <v>16</v>
      </c>
      <c r="BN192" s="184"/>
      <c r="BO192" s="142"/>
      <c r="BP192" s="140"/>
      <c r="BQ192" s="184"/>
      <c r="BR192" s="142"/>
      <c r="BS192" s="140"/>
      <c r="BT192" s="184"/>
      <c r="BU192" s="142"/>
      <c r="BV192" s="140"/>
      <c r="BW192" s="184"/>
      <c r="BX192" s="142"/>
      <c r="BY192" s="140"/>
      <c r="BZ192" s="184"/>
      <c r="CA192" s="142"/>
      <c r="CB192" s="140"/>
      <c r="CC192" s="184"/>
      <c r="CD192" s="142"/>
      <c r="CE192" s="140">
        <v>36</v>
      </c>
      <c r="CF192" s="184">
        <v>2</v>
      </c>
      <c r="CG192" s="142"/>
      <c r="CH192" s="140"/>
      <c r="CI192" s="184"/>
      <c r="CJ192" s="142"/>
      <c r="CK192" s="140"/>
      <c r="CL192" s="184"/>
      <c r="CM192" s="142"/>
      <c r="CN192" s="140"/>
      <c r="CO192" s="184"/>
      <c r="CP192" s="142"/>
      <c r="CQ192" s="140">
        <v>334</v>
      </c>
      <c r="CR192" s="184">
        <v>5</v>
      </c>
      <c r="CS192" s="142"/>
      <c r="CT192" s="140"/>
      <c r="CU192" s="184"/>
      <c r="CV192" s="142"/>
      <c r="CW192" s="140"/>
      <c r="CX192" s="184"/>
      <c r="CY192" s="142"/>
      <c r="CZ192" s="140"/>
      <c r="DA192" s="184"/>
      <c r="DB192" s="142"/>
      <c r="DC192" s="140"/>
      <c r="DD192" s="184"/>
      <c r="DE192" s="142"/>
      <c r="DF192" s="140"/>
      <c r="DG192" s="184"/>
      <c r="DH192" s="142"/>
      <c r="DI192" s="140"/>
      <c r="DJ192" s="184"/>
      <c r="DK192" s="142"/>
      <c r="DL192" s="140"/>
      <c r="DM192" s="184"/>
      <c r="DN192" s="142"/>
      <c r="DO192" s="140"/>
      <c r="DP192" s="184"/>
      <c r="DQ192" s="142"/>
      <c r="DR192" s="140"/>
      <c r="DS192" s="184"/>
      <c r="DT192" s="142"/>
      <c r="DU192" s="140"/>
      <c r="DV192" s="184"/>
      <c r="DW192" s="142"/>
      <c r="DX192" s="140"/>
      <c r="DY192" s="184"/>
      <c r="DZ192" s="142"/>
      <c r="EA192" s="140"/>
      <c r="EB192" s="184"/>
      <c r="EC192" s="142"/>
      <c r="ED192" s="140"/>
      <c r="EE192" s="184"/>
      <c r="EF192" s="142"/>
      <c r="EG192" s="140"/>
      <c r="EH192" s="184"/>
      <c r="EI192" s="142"/>
      <c r="EJ192" s="140">
        <v>293</v>
      </c>
      <c r="EK192" s="184">
        <v>5</v>
      </c>
      <c r="EL192" s="142"/>
      <c r="EM192" s="140"/>
      <c r="EN192" s="184"/>
      <c r="EO192" s="142"/>
      <c r="EP192" s="140"/>
      <c r="EQ192" s="184"/>
      <c r="ER192" s="142"/>
      <c r="ES192" s="140">
        <v>7190</v>
      </c>
      <c r="ET192" s="184">
        <v>2</v>
      </c>
      <c r="EU192" s="142">
        <v>0.5</v>
      </c>
      <c r="EV192" s="137">
        <f t="shared" si="8"/>
        <v>7190.625</v>
      </c>
      <c r="EW192" s="192">
        <f t="shared" si="9"/>
        <v>3.625</v>
      </c>
      <c r="EX192" s="139">
        <f t="shared" si="11"/>
        <v>0.5</v>
      </c>
      <c r="EY192" s="140">
        <v>1411</v>
      </c>
      <c r="EZ192" s="184">
        <v>2</v>
      </c>
      <c r="FA192" s="142">
        <v>0.75</v>
      </c>
      <c r="FB192" s="137">
        <f t="shared" si="12"/>
        <v>1411</v>
      </c>
      <c r="FC192" s="192">
        <f>L192+R192+X192+AD192+AJ192+AP192+AV192</f>
        <v>2</v>
      </c>
      <c r="FD192" s="139">
        <f>M192+S192+Y192+AE192+AK192+AQ192+AW192</f>
        <v>0.75</v>
      </c>
      <c r="FE192" s="140">
        <v>8601</v>
      </c>
      <c r="FF192" s="184">
        <v>5</v>
      </c>
      <c r="FG192" s="142">
        <v>0.25</v>
      </c>
      <c r="FH192" s="137">
        <f t="shared" si="13"/>
        <v>8601.625</v>
      </c>
      <c r="FI192" s="192">
        <f t="shared" si="13"/>
        <v>5.625</v>
      </c>
      <c r="FJ192" s="139">
        <f t="shared" si="13"/>
        <v>1.25</v>
      </c>
    </row>
    <row r="193" spans="1:166" x14ac:dyDescent="0.2">
      <c r="A193" s="164" t="s">
        <v>1340</v>
      </c>
      <c r="B193" s="140">
        <v>100</v>
      </c>
      <c r="C193" s="184">
        <v>3</v>
      </c>
      <c r="D193" s="142"/>
      <c r="E193" s="140"/>
      <c r="F193" s="184"/>
      <c r="G193" s="142"/>
      <c r="H193" s="140">
        <v>980</v>
      </c>
      <c r="I193" s="184">
        <v>6</v>
      </c>
      <c r="J193" s="142"/>
      <c r="K193" s="140"/>
      <c r="L193" s="184"/>
      <c r="M193" s="142"/>
      <c r="N193" s="140">
        <v>1978</v>
      </c>
      <c r="O193" s="184">
        <v>5</v>
      </c>
      <c r="P193" s="142">
        <v>0.25</v>
      </c>
      <c r="Q193" s="140"/>
      <c r="R193" s="184"/>
      <c r="S193" s="142"/>
      <c r="T193" s="140"/>
      <c r="U193" s="184"/>
      <c r="V193" s="142"/>
      <c r="W193" s="140"/>
      <c r="X193" s="184"/>
      <c r="Y193" s="142"/>
      <c r="Z193" s="140"/>
      <c r="AA193" s="184"/>
      <c r="AB193" s="142"/>
      <c r="AC193" s="140"/>
      <c r="AD193" s="184"/>
      <c r="AE193" s="142"/>
      <c r="AF193" s="140"/>
      <c r="AG193" s="184"/>
      <c r="AH193" s="142"/>
      <c r="AI193" s="140"/>
      <c r="AJ193" s="184"/>
      <c r="AK193" s="142"/>
      <c r="AL193" s="140"/>
      <c r="AM193" s="184"/>
      <c r="AN193" s="142"/>
      <c r="AO193" s="140"/>
      <c r="AP193" s="184"/>
      <c r="AQ193" s="142"/>
      <c r="AR193" s="140"/>
      <c r="AS193" s="184"/>
      <c r="AT193" s="142"/>
      <c r="AU193" s="140"/>
      <c r="AV193" s="184"/>
      <c r="AW193" s="142"/>
      <c r="AX193" s="140"/>
      <c r="AY193" s="184"/>
      <c r="AZ193" s="142"/>
      <c r="BA193" s="140"/>
      <c r="BB193" s="184"/>
      <c r="BC193" s="142"/>
      <c r="BD193" s="140"/>
      <c r="BE193" s="184"/>
      <c r="BF193" s="142"/>
      <c r="BG193" s="140">
        <v>172</v>
      </c>
      <c r="BH193" s="184">
        <v>7</v>
      </c>
      <c r="BI193" s="142">
        <v>0.5</v>
      </c>
      <c r="BJ193" s="140"/>
      <c r="BK193" s="184"/>
      <c r="BL193" s="142"/>
      <c r="BM193" s="140"/>
      <c r="BN193" s="184"/>
      <c r="BO193" s="142"/>
      <c r="BP193" s="140"/>
      <c r="BQ193" s="184"/>
      <c r="BR193" s="142"/>
      <c r="BS193" s="140"/>
      <c r="BT193" s="184"/>
      <c r="BU193" s="142"/>
      <c r="BV193" s="140"/>
      <c r="BW193" s="184"/>
      <c r="BX193" s="142"/>
      <c r="BY193" s="140"/>
      <c r="BZ193" s="184"/>
      <c r="CA193" s="142"/>
      <c r="CB193" s="140"/>
      <c r="CC193" s="184"/>
      <c r="CD193" s="142"/>
      <c r="CE193" s="140">
        <v>33</v>
      </c>
      <c r="CF193" s="184">
        <v>5</v>
      </c>
      <c r="CG193" s="142"/>
      <c r="CH193" s="140"/>
      <c r="CI193" s="184"/>
      <c r="CJ193" s="142"/>
      <c r="CK193" s="140"/>
      <c r="CL193" s="184"/>
      <c r="CM193" s="142"/>
      <c r="CN193" s="140"/>
      <c r="CO193" s="184"/>
      <c r="CP193" s="142"/>
      <c r="CQ193" s="140"/>
      <c r="CR193" s="184"/>
      <c r="CS193" s="142"/>
      <c r="CT193" s="140"/>
      <c r="CU193" s="184"/>
      <c r="CV193" s="142"/>
      <c r="CW193" s="140"/>
      <c r="CX193" s="184"/>
      <c r="CY193" s="142"/>
      <c r="CZ193" s="140"/>
      <c r="DA193" s="184"/>
      <c r="DB193" s="142"/>
      <c r="DC193" s="140">
        <v>8</v>
      </c>
      <c r="DD193" s="184">
        <v>6</v>
      </c>
      <c r="DE193" s="142">
        <v>0.5</v>
      </c>
      <c r="DF193" s="140"/>
      <c r="DG193" s="184"/>
      <c r="DH193" s="142"/>
      <c r="DI193" s="140"/>
      <c r="DJ193" s="184"/>
      <c r="DK193" s="142"/>
      <c r="DL193" s="140"/>
      <c r="DM193" s="184"/>
      <c r="DN193" s="142"/>
      <c r="DO193" s="140"/>
      <c r="DP193" s="184"/>
      <c r="DQ193" s="142"/>
      <c r="DR193" s="140"/>
      <c r="DS193" s="184"/>
      <c r="DT193" s="142"/>
      <c r="DU193" s="140">
        <v>9</v>
      </c>
      <c r="DV193" s="184">
        <v>6</v>
      </c>
      <c r="DW193" s="142"/>
      <c r="DX193" s="140"/>
      <c r="DY193" s="184"/>
      <c r="DZ193" s="142"/>
      <c r="EA193" s="140"/>
      <c r="EB193" s="184"/>
      <c r="EC193" s="142"/>
      <c r="ED193" s="140"/>
      <c r="EE193" s="184"/>
      <c r="EF193" s="142"/>
      <c r="EG193" s="140"/>
      <c r="EH193" s="184"/>
      <c r="EI193" s="142"/>
      <c r="EJ193" s="140"/>
      <c r="EK193" s="184"/>
      <c r="EL193" s="142"/>
      <c r="EM193" s="140"/>
      <c r="EN193" s="184"/>
      <c r="EO193" s="142"/>
      <c r="EP193" s="140"/>
      <c r="EQ193" s="184"/>
      <c r="ER193" s="142"/>
      <c r="ES193" s="140">
        <v>3284</v>
      </c>
      <c r="ET193" s="184">
        <v>7</v>
      </c>
      <c r="EU193" s="142">
        <v>0.25</v>
      </c>
      <c r="EV193" s="137">
        <f t="shared" si="8"/>
        <v>3284.75</v>
      </c>
      <c r="EW193" s="192">
        <f t="shared" si="9"/>
        <v>4.75</v>
      </c>
      <c r="EX193" s="139">
        <f t="shared" si="11"/>
        <v>1.25</v>
      </c>
      <c r="EY193" s="140"/>
      <c r="EZ193" s="184"/>
      <c r="FA193" s="142"/>
      <c r="FB193" s="137"/>
      <c r="FC193" s="192"/>
      <c r="FD193" s="139"/>
      <c r="FE193" s="140">
        <v>3284</v>
      </c>
      <c r="FF193" s="184">
        <v>7</v>
      </c>
      <c r="FG193" s="142">
        <v>0.25</v>
      </c>
      <c r="FH193" s="137">
        <f t="shared" si="13"/>
        <v>3284.75</v>
      </c>
      <c r="FI193" s="192">
        <f t="shared" si="13"/>
        <v>4.75</v>
      </c>
      <c r="FJ193" s="139">
        <f t="shared" si="13"/>
        <v>1.25</v>
      </c>
    </row>
    <row r="194" spans="1:166" ht="22.25" customHeight="1" x14ac:dyDescent="0.2">
      <c r="A194" s="256" t="s">
        <v>1341</v>
      </c>
      <c r="B194" s="240">
        <v>14076</v>
      </c>
      <c r="C194" s="238">
        <v>3</v>
      </c>
      <c r="D194" s="241"/>
      <c r="E194" s="240">
        <v>264</v>
      </c>
      <c r="F194" s="238">
        <v>7</v>
      </c>
      <c r="G194" s="241">
        <f>3/4</f>
        <v>0.75</v>
      </c>
      <c r="H194" s="240">
        <v>78783</v>
      </c>
      <c r="I194" s="238">
        <v>7</v>
      </c>
      <c r="J194" s="241">
        <v>0.25</v>
      </c>
      <c r="K194" s="240"/>
      <c r="L194" s="238"/>
      <c r="M194" s="241"/>
      <c r="N194" s="240">
        <v>107826</v>
      </c>
      <c r="O194" s="238">
        <v>5</v>
      </c>
      <c r="P194" s="241"/>
      <c r="Q194" s="240">
        <v>9834</v>
      </c>
      <c r="R194" s="238">
        <v>7</v>
      </c>
      <c r="S194" s="241">
        <v>0.75</v>
      </c>
      <c r="T194" s="240">
        <v>286655</v>
      </c>
      <c r="U194" s="238">
        <v>3</v>
      </c>
      <c r="V194" s="241"/>
      <c r="W194" s="240">
        <v>1906</v>
      </c>
      <c r="X194" s="238">
        <v>5</v>
      </c>
      <c r="Y194" s="241">
        <v>0.25</v>
      </c>
      <c r="Z194" s="240">
        <v>7160</v>
      </c>
      <c r="AA194" s="238">
        <v>7</v>
      </c>
      <c r="AB194" s="241">
        <v>0.75</v>
      </c>
      <c r="AC194" s="240">
        <v>1016</v>
      </c>
      <c r="AD194" s="238">
        <v>5</v>
      </c>
      <c r="AE194" s="241">
        <v>0.25</v>
      </c>
      <c r="AF194" s="240">
        <v>5692</v>
      </c>
      <c r="AG194" s="238">
        <v>4</v>
      </c>
      <c r="AH194" s="241">
        <v>0.5</v>
      </c>
      <c r="AI194" s="240">
        <v>880</v>
      </c>
      <c r="AJ194" s="238">
        <v>1</v>
      </c>
      <c r="AK194" s="241">
        <v>0.75</v>
      </c>
      <c r="AL194" s="240">
        <v>3391</v>
      </c>
      <c r="AM194" s="238">
        <v>5</v>
      </c>
      <c r="AN194" s="241"/>
      <c r="AO194" s="240">
        <v>380</v>
      </c>
      <c r="AP194" s="238">
        <v>3</v>
      </c>
      <c r="AQ194" s="241">
        <v>0.75</v>
      </c>
      <c r="AR194" s="240">
        <v>613</v>
      </c>
      <c r="AS194" s="238">
        <v>1</v>
      </c>
      <c r="AT194" s="241">
        <v>0.5</v>
      </c>
      <c r="AU194" s="240">
        <v>342</v>
      </c>
      <c r="AV194" s="238">
        <v>5</v>
      </c>
      <c r="AW194" s="241"/>
      <c r="AX194" s="240">
        <v>45512</v>
      </c>
      <c r="AY194" s="238">
        <v>5</v>
      </c>
      <c r="AZ194" s="241">
        <v>0.25</v>
      </c>
      <c r="BA194" s="240">
        <v>4659</v>
      </c>
      <c r="BB194" s="238">
        <v>7</v>
      </c>
      <c r="BC194" s="241"/>
      <c r="BD194" s="240">
        <v>9336</v>
      </c>
      <c r="BE194" s="238">
        <v>4</v>
      </c>
      <c r="BF194" s="241">
        <v>0.75</v>
      </c>
      <c r="BG194" s="240">
        <v>55831</v>
      </c>
      <c r="BH194" s="238">
        <v>5</v>
      </c>
      <c r="BI194" s="241">
        <v>0.5</v>
      </c>
      <c r="BJ194" s="240">
        <v>346</v>
      </c>
      <c r="BK194" s="238">
        <v>3</v>
      </c>
      <c r="BL194" s="241">
        <v>0.5</v>
      </c>
      <c r="BM194" s="240">
        <v>312</v>
      </c>
      <c r="BN194" s="238"/>
      <c r="BO194" s="241"/>
      <c r="BP194" s="240">
        <v>6020</v>
      </c>
      <c r="BQ194" s="238">
        <v>5</v>
      </c>
      <c r="BR194" s="241"/>
      <c r="BS194" s="240">
        <v>3502</v>
      </c>
      <c r="BT194" s="238">
        <v>4</v>
      </c>
      <c r="BU194" s="241">
        <v>0.5</v>
      </c>
      <c r="BV194" s="240">
        <v>7351</v>
      </c>
      <c r="BW194" s="238">
        <v>1</v>
      </c>
      <c r="BX194" s="241">
        <v>0.5</v>
      </c>
      <c r="BY194" s="240">
        <v>5599</v>
      </c>
      <c r="BZ194" s="238">
        <v>3</v>
      </c>
      <c r="CA194" s="241"/>
      <c r="CB194" s="240">
        <v>6789</v>
      </c>
      <c r="CC194" s="238">
        <v>3</v>
      </c>
      <c r="CD194" s="241">
        <v>0.25</v>
      </c>
      <c r="CE194" s="240">
        <v>9185</v>
      </c>
      <c r="CF194" s="238">
        <v>3</v>
      </c>
      <c r="CG194" s="241">
        <v>0.5</v>
      </c>
      <c r="CH194" s="240">
        <v>510</v>
      </c>
      <c r="CI194" s="238">
        <v>5</v>
      </c>
      <c r="CJ194" s="241">
        <v>0.75</v>
      </c>
      <c r="CK194" s="240">
        <v>72</v>
      </c>
      <c r="CL194" s="238"/>
      <c r="CM194" s="241"/>
      <c r="CN194" s="240">
        <v>22212</v>
      </c>
      <c r="CO194" s="238">
        <v>4</v>
      </c>
      <c r="CP194" s="241">
        <v>0.75</v>
      </c>
      <c r="CQ194" s="240">
        <v>25679</v>
      </c>
      <c r="CR194" s="238">
        <v>3</v>
      </c>
      <c r="CS194" s="241">
        <v>0.25</v>
      </c>
      <c r="CT194" s="240">
        <v>5896</v>
      </c>
      <c r="CU194" s="238">
        <v>7</v>
      </c>
      <c r="CV194" s="241">
        <v>0.5</v>
      </c>
      <c r="CW194" s="240">
        <v>2212</v>
      </c>
      <c r="CX194" s="238">
        <v>2</v>
      </c>
      <c r="CY194" s="241">
        <v>0.75</v>
      </c>
      <c r="CZ194" s="240">
        <v>179</v>
      </c>
      <c r="DA194" s="238">
        <v>4</v>
      </c>
      <c r="DB194" s="241">
        <v>0.25</v>
      </c>
      <c r="DC194" s="240">
        <v>8</v>
      </c>
      <c r="DD194" s="238">
        <v>6</v>
      </c>
      <c r="DE194" s="241">
        <v>0.5</v>
      </c>
      <c r="DF194" s="240">
        <v>123</v>
      </c>
      <c r="DG194" s="238">
        <v>2</v>
      </c>
      <c r="DH194" s="241">
        <v>0.5</v>
      </c>
      <c r="DI194" s="240">
        <v>887</v>
      </c>
      <c r="DJ194" s="238">
        <v>6</v>
      </c>
      <c r="DK194" s="241"/>
      <c r="DL194" s="240">
        <v>1582</v>
      </c>
      <c r="DM194" s="238">
        <v>2</v>
      </c>
      <c r="DN194" s="241">
        <v>0.75</v>
      </c>
      <c r="DO194" s="240">
        <v>24</v>
      </c>
      <c r="DP194" s="238">
        <v>7</v>
      </c>
      <c r="DQ194" s="241"/>
      <c r="DR194" s="240">
        <v>11</v>
      </c>
      <c r="DS194" s="238"/>
      <c r="DT194" s="241"/>
      <c r="DU194" s="240">
        <v>223</v>
      </c>
      <c r="DV194" s="238">
        <v>5</v>
      </c>
      <c r="DW194" s="241">
        <v>0.25</v>
      </c>
      <c r="DX194" s="240">
        <v>325</v>
      </c>
      <c r="DY194" s="238"/>
      <c r="DZ194" s="241"/>
      <c r="EA194" s="240">
        <v>842</v>
      </c>
      <c r="EB194" s="238"/>
      <c r="EC194" s="241"/>
      <c r="ED194" s="240">
        <v>14</v>
      </c>
      <c r="EE194" s="238">
        <v>3</v>
      </c>
      <c r="EF194" s="241">
        <v>0.5</v>
      </c>
      <c r="EG194" s="240">
        <v>263</v>
      </c>
      <c r="EH194" s="238">
        <v>7</v>
      </c>
      <c r="EI194" s="241">
        <v>0.25</v>
      </c>
      <c r="EJ194" s="240">
        <v>927</v>
      </c>
      <c r="EK194" s="238">
        <v>5</v>
      </c>
      <c r="EL194" s="241">
        <v>0.5</v>
      </c>
      <c r="EM194" s="240">
        <v>578</v>
      </c>
      <c r="EN194" s="238">
        <v>5</v>
      </c>
      <c r="EO194" s="241">
        <v>0.25</v>
      </c>
      <c r="EP194" s="240">
        <v>390</v>
      </c>
      <c r="EQ194" s="238"/>
      <c r="ER194" s="241">
        <v>0.75</v>
      </c>
      <c r="ES194" s="240">
        <v>722148</v>
      </c>
      <c r="ET194" s="238">
        <v>2</v>
      </c>
      <c r="EU194" s="241"/>
      <c r="EV194" s="240"/>
      <c r="EW194" s="238"/>
      <c r="EX194" s="241"/>
      <c r="EY194" s="240">
        <v>15117</v>
      </c>
      <c r="EZ194" s="238">
        <v>2</v>
      </c>
      <c r="FA194" s="241"/>
      <c r="FB194" s="240"/>
      <c r="FC194" s="238"/>
      <c r="FD194" s="241"/>
      <c r="FE194" s="240">
        <v>737265</v>
      </c>
      <c r="FF194" s="238">
        <v>2</v>
      </c>
      <c r="FG194" s="241"/>
      <c r="FH194" s="240"/>
      <c r="FI194" s="238"/>
      <c r="FJ194" s="241"/>
    </row>
    <row r="195" spans="1:166" ht="21.5" customHeight="1" x14ac:dyDescent="0.2">
      <c r="A195" s="257"/>
      <c r="B195" s="243">
        <f>SUM(B173:B193)+C195</f>
        <v>14078.25</v>
      </c>
      <c r="C195" s="244">
        <f>SUM(C173:C193)/8</f>
        <v>11.25</v>
      </c>
      <c r="D195" s="245">
        <f t="shared" ref="D195:BN195" si="14">SUM(D173:D193)</f>
        <v>8</v>
      </c>
      <c r="E195" s="243">
        <f t="shared" si="14"/>
        <v>264</v>
      </c>
      <c r="F195" s="244">
        <f t="shared" si="14"/>
        <v>7</v>
      </c>
      <c r="G195" s="245">
        <f t="shared" si="14"/>
        <v>0.75</v>
      </c>
      <c r="H195" s="243">
        <f>SUM(H173:H193)+I195</f>
        <v>78783.375</v>
      </c>
      <c r="I195" s="244">
        <f>SUM(I173:I193)/8</f>
        <v>11.375</v>
      </c>
      <c r="J195" s="245">
        <f t="shared" si="14"/>
        <v>7.25</v>
      </c>
      <c r="K195" s="243">
        <f t="shared" si="14"/>
        <v>755</v>
      </c>
      <c r="L195" s="244">
        <f t="shared" si="14"/>
        <v>3</v>
      </c>
      <c r="M195" s="245">
        <f t="shared" si="14"/>
        <v>0.25</v>
      </c>
      <c r="N195" s="243">
        <f>SUM(N173:N193)+O195</f>
        <v>107825.625</v>
      </c>
      <c r="O195" s="244">
        <f>SUM(O173:O193)/8</f>
        <v>9.625</v>
      </c>
      <c r="P195" s="245">
        <f t="shared" si="14"/>
        <v>7</v>
      </c>
      <c r="Q195" s="243">
        <f>SUM(Q173:Q193)+R195</f>
        <v>9834.625</v>
      </c>
      <c r="R195" s="244">
        <f>SUM(R173:R193)/8</f>
        <v>5.625</v>
      </c>
      <c r="S195" s="245">
        <f t="shared" si="14"/>
        <v>2.75</v>
      </c>
      <c r="T195" s="243">
        <f>SUM(T173:T193)+U195</f>
        <v>286656.125</v>
      </c>
      <c r="U195" s="244">
        <f>SUM(U173:U193)/8</f>
        <v>3.125</v>
      </c>
      <c r="V195" s="245">
        <f t="shared" si="14"/>
        <v>3</v>
      </c>
      <c r="W195" s="243">
        <f t="shared" si="14"/>
        <v>1906</v>
      </c>
      <c r="X195" s="244">
        <f t="shared" si="14"/>
        <v>5</v>
      </c>
      <c r="Y195" s="245">
        <f t="shared" si="14"/>
        <v>0.25</v>
      </c>
      <c r="Z195" s="243">
        <f>SUM(Z173:Z193)+AA195</f>
        <v>7163.5</v>
      </c>
      <c r="AA195" s="244">
        <f>SUM(AA173:AA193)/8</f>
        <v>3.5</v>
      </c>
      <c r="AB195" s="245">
        <f t="shared" si="14"/>
        <v>0.75</v>
      </c>
      <c r="AC195" s="243">
        <f t="shared" si="14"/>
        <v>1016</v>
      </c>
      <c r="AD195" s="244">
        <f t="shared" si="14"/>
        <v>5</v>
      </c>
      <c r="AE195" s="245">
        <f t="shared" si="14"/>
        <v>0.25</v>
      </c>
      <c r="AF195" s="243">
        <f>SUM(AF173:AF193)+AG195</f>
        <v>5963</v>
      </c>
      <c r="AG195" s="244">
        <f>SUM(AG173:AG193)/8</f>
        <v>2</v>
      </c>
      <c r="AH195" s="245">
        <f t="shared" si="14"/>
        <v>1.5</v>
      </c>
      <c r="AI195" s="243">
        <f t="shared" si="14"/>
        <v>880</v>
      </c>
      <c r="AJ195" s="244">
        <f t="shared" si="14"/>
        <v>1</v>
      </c>
      <c r="AK195" s="245">
        <f t="shared" si="14"/>
        <v>0.75</v>
      </c>
      <c r="AL195" s="243">
        <f>SUM(AL173:AL193)+AM195</f>
        <v>3391.875</v>
      </c>
      <c r="AM195" s="244">
        <f>SUM(AM173:AM193)/8</f>
        <v>1.875</v>
      </c>
      <c r="AN195" s="245">
        <f t="shared" si="14"/>
        <v>1</v>
      </c>
      <c r="AO195" s="243">
        <f t="shared" si="14"/>
        <v>380</v>
      </c>
      <c r="AP195" s="244">
        <f t="shared" si="14"/>
        <v>3</v>
      </c>
      <c r="AQ195" s="245">
        <f t="shared" si="14"/>
        <v>0.75</v>
      </c>
      <c r="AR195" s="243">
        <f>SUM(AR173:AR193)+AS195</f>
        <v>616.375</v>
      </c>
      <c r="AS195" s="244">
        <f>SUM(AS173:AS193)/8</f>
        <v>4.375</v>
      </c>
      <c r="AT195" s="245">
        <f t="shared" si="14"/>
        <v>4</v>
      </c>
      <c r="AU195" s="243">
        <f t="shared" si="14"/>
        <v>342</v>
      </c>
      <c r="AV195" s="244">
        <f t="shared" si="14"/>
        <v>5</v>
      </c>
      <c r="AW195" s="245">
        <f t="shared" si="14"/>
        <v>0</v>
      </c>
      <c r="AX195" s="243">
        <f>SUM(AX173:AX193)+AY195</f>
        <v>45511.75</v>
      </c>
      <c r="AY195" s="244">
        <f>SUM(AY173:AY193)/8</f>
        <v>4.75</v>
      </c>
      <c r="AZ195" s="245">
        <f t="shared" si="14"/>
        <v>2.25</v>
      </c>
      <c r="BA195" s="243">
        <f>SUM(BA173:BA193)+BB195</f>
        <v>4659.5</v>
      </c>
      <c r="BB195" s="244">
        <f>SUM(BB173:BB193)/8</f>
        <v>2.5</v>
      </c>
      <c r="BC195" s="245">
        <f t="shared" si="14"/>
        <v>3</v>
      </c>
      <c r="BD195" s="243">
        <f>SUM(BD173:BD193)+BE195</f>
        <v>9336.5</v>
      </c>
      <c r="BE195" s="244">
        <f>SUM(BE173:BE193)/8</f>
        <v>1.5</v>
      </c>
      <c r="BF195" s="245">
        <f t="shared" si="14"/>
        <v>0.75</v>
      </c>
      <c r="BG195" s="243">
        <f>SUM(BG173:BG193)+BH195</f>
        <v>55831.25</v>
      </c>
      <c r="BH195" s="244">
        <f>SUM(BH173:BH193)/8</f>
        <v>4.25</v>
      </c>
      <c r="BI195" s="245">
        <f t="shared" si="14"/>
        <v>3.5</v>
      </c>
      <c r="BJ195" s="243">
        <f t="shared" si="14"/>
        <v>346</v>
      </c>
      <c r="BK195" s="244">
        <f t="shared" si="14"/>
        <v>3</v>
      </c>
      <c r="BL195" s="245">
        <f t="shared" si="14"/>
        <v>0.5</v>
      </c>
      <c r="BM195" s="243">
        <f t="shared" si="14"/>
        <v>312</v>
      </c>
      <c r="BN195" s="244">
        <f t="shared" si="14"/>
        <v>0</v>
      </c>
      <c r="BO195" s="245">
        <f>SUM(BO173:BO193)</f>
        <v>0</v>
      </c>
      <c r="BP195" s="243">
        <f t="shared" ref="BP195:DZ195" si="15">SUM(BP173:BP193)</f>
        <v>6020</v>
      </c>
      <c r="BQ195" s="244">
        <f t="shared" si="15"/>
        <v>5</v>
      </c>
      <c r="BR195" s="245">
        <f t="shared" si="15"/>
        <v>0</v>
      </c>
      <c r="BS195" s="243">
        <f>SUM(BS173:BS193)+BT195</f>
        <v>3503.125</v>
      </c>
      <c r="BT195" s="244">
        <f>SUM(BT173:BT193)/8</f>
        <v>3.125</v>
      </c>
      <c r="BU195" s="245">
        <f t="shared" si="15"/>
        <v>2.5</v>
      </c>
      <c r="BV195" s="243">
        <f>SUM(BV173:BV193)+BW195</f>
        <v>7351.625</v>
      </c>
      <c r="BW195" s="244">
        <f>SUM(BW173:BW193)/8</f>
        <v>3.625</v>
      </c>
      <c r="BX195" s="245">
        <f t="shared" si="15"/>
        <v>0.5</v>
      </c>
      <c r="BY195" s="243">
        <f t="shared" si="15"/>
        <v>5599</v>
      </c>
      <c r="BZ195" s="244">
        <f t="shared" si="15"/>
        <v>3</v>
      </c>
      <c r="CA195" s="245">
        <f t="shared" si="15"/>
        <v>0</v>
      </c>
      <c r="CB195" s="243">
        <f>SUM(CB173:CB193)+CC195</f>
        <v>6790.75</v>
      </c>
      <c r="CC195" s="244">
        <f>SUM(CC173:CC193)/8</f>
        <v>3.75</v>
      </c>
      <c r="CD195" s="245">
        <f t="shared" si="15"/>
        <v>2.25</v>
      </c>
      <c r="CE195" s="243">
        <f>SUM(CE173:CE193)+CF195</f>
        <v>9186</v>
      </c>
      <c r="CF195" s="244">
        <f>SUM(CF173:CF193)/8</f>
        <v>7</v>
      </c>
      <c r="CG195" s="245">
        <f t="shared" si="15"/>
        <v>6</v>
      </c>
      <c r="CH195" s="243">
        <f>SUM(CH173:CH193)+CI195</f>
        <v>513.125</v>
      </c>
      <c r="CI195" s="244">
        <f>SUM(CI173:CI193)/8</f>
        <v>5.125</v>
      </c>
      <c r="CJ195" s="245">
        <f t="shared" si="15"/>
        <v>0.75</v>
      </c>
      <c r="CK195" s="243">
        <f t="shared" si="15"/>
        <v>72</v>
      </c>
      <c r="CL195" s="244">
        <f t="shared" si="15"/>
        <v>0</v>
      </c>
      <c r="CM195" s="245">
        <f t="shared" si="15"/>
        <v>0</v>
      </c>
      <c r="CN195" s="243">
        <f>SUM(CN173:CN193)+CO195</f>
        <v>22212.875</v>
      </c>
      <c r="CO195" s="244">
        <f>SUM(CO173:CO193)/8</f>
        <v>1.875</v>
      </c>
      <c r="CP195" s="245">
        <f t="shared" si="15"/>
        <v>1.75</v>
      </c>
      <c r="CQ195" s="243">
        <f>SUM(CQ173:CQ193)+CR195</f>
        <v>25679.75</v>
      </c>
      <c r="CR195" s="244">
        <f>SUM(CR173:CR193)/8</f>
        <v>1.75</v>
      </c>
      <c r="CS195" s="245">
        <f t="shared" si="15"/>
        <v>1.25</v>
      </c>
      <c r="CT195" s="243">
        <f>SUM(CT173:CT193)+CU195</f>
        <v>5896.875</v>
      </c>
      <c r="CU195" s="244">
        <f>SUM(CU173:CU193)/8</f>
        <v>1.875</v>
      </c>
      <c r="CV195" s="245">
        <f t="shared" si="15"/>
        <v>0.5</v>
      </c>
      <c r="CW195" s="243">
        <f>SUM(CW173:CW193)+CX195</f>
        <v>2212.125</v>
      </c>
      <c r="CX195" s="244">
        <f>SUM(CX173:CX193)/8</f>
        <v>6.125</v>
      </c>
      <c r="CY195" s="245">
        <f t="shared" si="15"/>
        <v>4.75</v>
      </c>
      <c r="CZ195" s="243">
        <f t="shared" si="15"/>
        <v>179</v>
      </c>
      <c r="DA195" s="244">
        <f t="shared" si="15"/>
        <v>4</v>
      </c>
      <c r="DB195" s="245">
        <f t="shared" si="15"/>
        <v>0.25</v>
      </c>
      <c r="DC195" s="243">
        <f t="shared" si="15"/>
        <v>8</v>
      </c>
      <c r="DD195" s="244">
        <f t="shared" si="15"/>
        <v>6</v>
      </c>
      <c r="DE195" s="245">
        <f t="shared" si="15"/>
        <v>0.5</v>
      </c>
      <c r="DF195" s="243">
        <f>SUM(DF173:DF193)+DG195</f>
        <v>123.25</v>
      </c>
      <c r="DG195" s="244">
        <f>SUM(DG173:DG193)/8</f>
        <v>1.25</v>
      </c>
      <c r="DH195" s="245">
        <f t="shared" si="15"/>
        <v>0.5</v>
      </c>
      <c r="DI195" s="243">
        <f t="shared" si="15"/>
        <v>887</v>
      </c>
      <c r="DJ195" s="244">
        <f t="shared" si="15"/>
        <v>6</v>
      </c>
      <c r="DK195" s="245">
        <f t="shared" si="15"/>
        <v>0</v>
      </c>
      <c r="DL195" s="243">
        <f>SUM(DL173:DL193)+DM195</f>
        <v>1582.125</v>
      </c>
      <c r="DM195" s="244">
        <f>SUM(DM173:DM193)/8</f>
        <v>2.125</v>
      </c>
      <c r="DN195" s="245">
        <f t="shared" si="15"/>
        <v>1.75</v>
      </c>
      <c r="DO195" s="243">
        <f t="shared" si="15"/>
        <v>24</v>
      </c>
      <c r="DP195" s="244">
        <f t="shared" si="15"/>
        <v>7</v>
      </c>
      <c r="DQ195" s="245">
        <f t="shared" si="15"/>
        <v>0</v>
      </c>
      <c r="DR195" s="243">
        <f t="shared" si="15"/>
        <v>11</v>
      </c>
      <c r="DS195" s="244">
        <f t="shared" si="15"/>
        <v>0</v>
      </c>
      <c r="DT195" s="245">
        <f t="shared" si="15"/>
        <v>0</v>
      </c>
      <c r="DU195" s="243">
        <f>SUM(DU173:DU193)+DV195</f>
        <v>224.25</v>
      </c>
      <c r="DV195" s="244">
        <f>SUM(DV173:DV193)/8</f>
        <v>3.25</v>
      </c>
      <c r="DW195" s="245">
        <f t="shared" si="15"/>
        <v>1.25</v>
      </c>
      <c r="DX195" s="243">
        <f t="shared" si="15"/>
        <v>325</v>
      </c>
      <c r="DY195" s="244">
        <f t="shared" si="15"/>
        <v>0</v>
      </c>
      <c r="DZ195" s="245">
        <f t="shared" si="15"/>
        <v>0</v>
      </c>
      <c r="EA195" s="243">
        <f t="shared" ref="EA195:EU195" si="16">SUM(EA173:EA193)</f>
        <v>842</v>
      </c>
      <c r="EB195" s="244">
        <f t="shared" si="16"/>
        <v>0</v>
      </c>
      <c r="EC195" s="245">
        <f t="shared" si="16"/>
        <v>0</v>
      </c>
      <c r="ED195" s="243">
        <f t="shared" si="16"/>
        <v>14</v>
      </c>
      <c r="EE195" s="244">
        <f t="shared" si="16"/>
        <v>3</v>
      </c>
      <c r="EF195" s="245">
        <f t="shared" si="16"/>
        <v>0.5</v>
      </c>
      <c r="EG195" s="243">
        <f t="shared" si="16"/>
        <v>263</v>
      </c>
      <c r="EH195" s="244">
        <f t="shared" si="16"/>
        <v>7</v>
      </c>
      <c r="EI195" s="245">
        <f t="shared" si="16"/>
        <v>0.25</v>
      </c>
      <c r="EJ195" s="243">
        <f>SUM(EJ173:EJ193)+EK195</f>
        <v>928.125</v>
      </c>
      <c r="EK195" s="244">
        <f>SUM(EK173:EK193)/8</f>
        <v>2.125</v>
      </c>
      <c r="EL195" s="245">
        <f t="shared" si="16"/>
        <v>0.5</v>
      </c>
      <c r="EM195" s="243">
        <f t="shared" si="16"/>
        <v>578</v>
      </c>
      <c r="EN195" s="244">
        <f t="shared" si="16"/>
        <v>5</v>
      </c>
      <c r="EO195" s="245">
        <f t="shared" si="16"/>
        <v>0.25</v>
      </c>
      <c r="EP195" s="243">
        <f t="shared" si="16"/>
        <v>390</v>
      </c>
      <c r="EQ195" s="244">
        <f t="shared" si="16"/>
        <v>0</v>
      </c>
      <c r="ER195" s="245">
        <f t="shared" si="16"/>
        <v>0.75</v>
      </c>
      <c r="ES195" s="243">
        <f>SUM(ES173:ES193)+ET195</f>
        <v>722148.625</v>
      </c>
      <c r="ET195" s="244">
        <f>SUM(ET173:ET193)/8</f>
        <v>11.625</v>
      </c>
      <c r="EU195" s="245">
        <f t="shared" si="16"/>
        <v>9</v>
      </c>
      <c r="EV195" s="243">
        <f>SUM(EV173:EV193)+EW195</f>
        <v>722175.890625</v>
      </c>
      <c r="EW195" s="244">
        <f>SUM(EW173:EW193)/8</f>
        <v>13.765625</v>
      </c>
      <c r="EX195" s="245">
        <f>SUM(EX173:EX193)</f>
        <v>70</v>
      </c>
      <c r="EY195" s="243">
        <f>SUM(EY173:EY193)+EZ195</f>
        <v>15110.75</v>
      </c>
      <c r="EZ195" s="244">
        <f>SUM(EZ173:EZ193)/8</f>
        <v>3.75</v>
      </c>
      <c r="FA195" s="245">
        <f t="shared" ref="FA195:FJ195" si="17">SUM(FA173:FA193)</f>
        <v>3</v>
      </c>
      <c r="FB195" s="243">
        <f>SUM(FB173:FB193)+FC195</f>
        <v>15116.375</v>
      </c>
      <c r="FC195" s="244">
        <f>SUM(FC173:FC193)/8</f>
        <v>8.375</v>
      </c>
      <c r="FD195" s="245">
        <f t="shared" si="17"/>
        <v>5</v>
      </c>
      <c r="FE195" s="243">
        <f>SUM(FE173:FE193)+FF195</f>
        <v>737265</v>
      </c>
      <c r="FF195" s="244">
        <f>SUM(FF173:FF193)/8</f>
        <v>11</v>
      </c>
      <c r="FG195" s="245">
        <f t="shared" si="17"/>
        <v>9</v>
      </c>
      <c r="FH195" s="243">
        <f>SUM(FH173:FH193)+FI195</f>
        <v>737292.265625</v>
      </c>
      <c r="FI195" s="244">
        <f>SUM(FI173:FI193)/8</f>
        <v>22.140625</v>
      </c>
      <c r="FJ195" s="245">
        <f t="shared" si="17"/>
        <v>75</v>
      </c>
    </row>
    <row r="196" spans="1:166" x14ac:dyDescent="0.2">
      <c r="ET196" s="106">
        <f>ET195/8</f>
        <v>1.453125</v>
      </c>
      <c r="EV196" s="243">
        <f>A196+B195+E195+H195+N195+T195+Z195+AF195+AL195+AR195+AX195+BA195+BD195+BG195+BJ195+BM195+BP195+BS195+BV195+BY195+CB195+CE195+CH195+CK195+CN195+CQ195+CT195+CW195+CZ195+DC195+DF195+DI195+DL195+DO195+DR195+DU195+DX195+EA195+ED195+EG195+EJ195+EM195+EP195</f>
        <v>722155.125</v>
      </c>
      <c r="EY196" s="243">
        <f>A196+K195+Q195+W195+AC195+AI195+AO195+AU195</f>
        <v>15113.625</v>
      </c>
      <c r="FH196" s="107">
        <f>EV196+EY196</f>
        <v>737268.75</v>
      </c>
    </row>
    <row r="199" spans="1:166" x14ac:dyDescent="0.2">
      <c r="A199" s="113" t="s">
        <v>1342</v>
      </c>
    </row>
    <row r="200" spans="1:166" ht="27.5" customHeight="1" x14ac:dyDescent="0.25">
      <c r="A200" s="114" t="s">
        <v>1343</v>
      </c>
      <c r="B200" s="115"/>
      <c r="C200" s="115"/>
      <c r="D200" s="115"/>
      <c r="E200" s="115"/>
      <c r="F200" s="115"/>
      <c r="G200" s="115"/>
      <c r="H200" s="115"/>
      <c r="I200" s="115"/>
      <c r="J200" s="116"/>
    </row>
    <row r="201" spans="1:166" ht="43.25" customHeight="1" x14ac:dyDescent="0.2">
      <c r="A201" s="258" t="s">
        <v>1344</v>
      </c>
      <c r="B201" s="259"/>
      <c r="C201" s="259"/>
      <c r="D201" s="259"/>
      <c r="E201" s="259"/>
      <c r="F201" s="259"/>
      <c r="G201" s="259"/>
      <c r="H201" s="259"/>
      <c r="I201" s="259"/>
      <c r="J201" s="260"/>
    </row>
    <row r="202" spans="1:166" ht="33.5" customHeight="1" x14ac:dyDescent="0.2">
      <c r="A202" s="261" t="s">
        <v>1345</v>
      </c>
      <c r="B202" s="127" t="s">
        <v>1346</v>
      </c>
      <c r="C202" s="128"/>
      <c r="D202" s="129"/>
      <c r="E202" s="127" t="s">
        <v>1347</v>
      </c>
      <c r="F202" s="128"/>
      <c r="G202" s="128"/>
      <c r="H202" s="127" t="s">
        <v>1348</v>
      </c>
      <c r="I202" s="128"/>
      <c r="J202" s="129"/>
    </row>
    <row r="203" spans="1:166" x14ac:dyDescent="0.2">
      <c r="A203" s="130" t="s">
        <v>1349</v>
      </c>
      <c r="B203" s="140">
        <v>8796</v>
      </c>
      <c r="C203" s="184">
        <v>3</v>
      </c>
      <c r="D203" s="142"/>
      <c r="E203" s="140"/>
      <c r="F203" s="184"/>
      <c r="G203" s="142"/>
      <c r="H203" s="140">
        <v>8796</v>
      </c>
      <c r="I203" s="184">
        <v>3</v>
      </c>
      <c r="J203" s="142"/>
    </row>
    <row r="204" spans="1:166" x14ac:dyDescent="0.2">
      <c r="A204" s="130" t="s">
        <v>1350</v>
      </c>
      <c r="B204" s="140">
        <v>3844</v>
      </c>
      <c r="C204" s="184">
        <v>3</v>
      </c>
      <c r="D204" s="142"/>
      <c r="E204" s="140"/>
      <c r="F204" s="184"/>
      <c r="G204" s="142"/>
      <c r="H204" s="140">
        <v>3844</v>
      </c>
      <c r="I204" s="184">
        <v>3</v>
      </c>
      <c r="J204" s="142"/>
    </row>
    <row r="205" spans="1:166" ht="30" x14ac:dyDescent="0.2">
      <c r="A205" s="130" t="s">
        <v>1351</v>
      </c>
      <c r="B205" s="140">
        <v>15839</v>
      </c>
      <c r="C205" s="184">
        <v>2</v>
      </c>
      <c r="D205" s="142">
        <f>1/4</f>
        <v>0.25</v>
      </c>
      <c r="E205" s="140">
        <v>1444</v>
      </c>
      <c r="F205" s="184">
        <v>5</v>
      </c>
      <c r="G205" s="142">
        <f>1/2</f>
        <v>0.5</v>
      </c>
      <c r="H205" s="140">
        <v>17283</v>
      </c>
      <c r="I205" s="184">
        <v>7</v>
      </c>
      <c r="J205" s="142">
        <v>0.75</v>
      </c>
    </row>
    <row r="206" spans="1:166" ht="30" x14ac:dyDescent="0.2">
      <c r="A206" s="130" t="s">
        <v>1352</v>
      </c>
      <c r="B206" s="140">
        <v>31678</v>
      </c>
      <c r="C206" s="184">
        <v>4</v>
      </c>
      <c r="D206" s="142">
        <v>0.5</v>
      </c>
      <c r="E206" s="140">
        <v>2889</v>
      </c>
      <c r="F206" s="184">
        <v>3</v>
      </c>
      <c r="G206" s="142">
        <v>0.25</v>
      </c>
      <c r="H206" s="140">
        <v>34567</v>
      </c>
      <c r="I206" s="184">
        <v>7</v>
      </c>
      <c r="J206" s="142">
        <v>0.75</v>
      </c>
    </row>
    <row r="207" spans="1:166" ht="45" x14ac:dyDescent="0.2">
      <c r="A207" s="130" t="s">
        <v>1353</v>
      </c>
      <c r="B207" s="140">
        <v>3049</v>
      </c>
      <c r="C207" s="184">
        <v>4</v>
      </c>
      <c r="D207" s="142">
        <v>0.5</v>
      </c>
      <c r="E207" s="140">
        <v>278</v>
      </c>
      <c r="F207" s="184">
        <v>3</v>
      </c>
      <c r="G207" s="142">
        <v>0.5</v>
      </c>
      <c r="H207" s="140">
        <v>3327</v>
      </c>
      <c r="I207" s="184">
        <v>1</v>
      </c>
      <c r="J207" s="142"/>
    </row>
    <row r="208" spans="1:166" x14ac:dyDescent="0.2">
      <c r="A208" s="130" t="s">
        <v>1354</v>
      </c>
      <c r="B208" s="140">
        <v>995</v>
      </c>
      <c r="C208" s="184">
        <v>1</v>
      </c>
      <c r="D208" s="142">
        <v>0.25</v>
      </c>
      <c r="E208" s="140">
        <v>144</v>
      </c>
      <c r="F208" s="184">
        <v>1</v>
      </c>
      <c r="G208" s="142">
        <v>0.75</v>
      </c>
      <c r="H208" s="140">
        <v>1139</v>
      </c>
      <c r="I208" s="184">
        <v>3</v>
      </c>
      <c r="J208" s="142"/>
    </row>
    <row r="209" spans="1:16" x14ac:dyDescent="0.2">
      <c r="A209" s="130" t="s">
        <v>1355</v>
      </c>
      <c r="B209" s="140">
        <v>146074</v>
      </c>
      <c r="C209" s="184">
        <v>6</v>
      </c>
      <c r="D209" s="142">
        <v>0.25</v>
      </c>
      <c r="E209" s="140"/>
      <c r="F209" s="184"/>
      <c r="G209" s="142"/>
      <c r="H209" s="140">
        <v>146074</v>
      </c>
      <c r="I209" s="184">
        <v>6</v>
      </c>
      <c r="J209" s="142">
        <v>0.25</v>
      </c>
    </row>
    <row r="210" spans="1:16" x14ac:dyDescent="0.2">
      <c r="A210" s="130" t="s">
        <v>1356</v>
      </c>
      <c r="B210" s="140">
        <v>47467</v>
      </c>
      <c r="C210" s="184">
        <v>2</v>
      </c>
      <c r="D210" s="142">
        <v>0.25</v>
      </c>
      <c r="E210" s="140"/>
      <c r="F210" s="184"/>
      <c r="G210" s="142"/>
      <c r="H210" s="140">
        <v>47467</v>
      </c>
      <c r="I210" s="184">
        <v>2</v>
      </c>
      <c r="J210" s="142">
        <v>0.25</v>
      </c>
    </row>
    <row r="211" spans="1:16" ht="21" customHeight="1" x14ac:dyDescent="0.2">
      <c r="A211" s="262" t="s">
        <v>1357</v>
      </c>
      <c r="B211" s="240">
        <v>257744</v>
      </c>
      <c r="C211" s="238">
        <v>4</v>
      </c>
      <c r="D211" s="241"/>
      <c r="E211" s="240">
        <v>4756</v>
      </c>
      <c r="F211" s="238">
        <v>3</v>
      </c>
      <c r="G211" s="241"/>
      <c r="H211" s="240">
        <v>262500</v>
      </c>
      <c r="I211" s="238">
        <v>7</v>
      </c>
      <c r="J211" s="241"/>
    </row>
    <row r="212" spans="1:16" x14ac:dyDescent="0.2">
      <c r="A212" s="263"/>
      <c r="B212" s="243">
        <f>SUM(B203:B210)+C212</f>
        <v>257745.125</v>
      </c>
      <c r="C212" s="244">
        <f>SUM(C203:C210)/8</f>
        <v>3.125</v>
      </c>
      <c r="D212" s="245">
        <f t="shared" ref="D212:J212" si="18">SUM(D203:D210)</f>
        <v>2</v>
      </c>
      <c r="E212" s="243">
        <f>SUM(E203:E210)+F212</f>
        <v>4756.5</v>
      </c>
      <c r="F212" s="244">
        <f>SUM(F203:F210)/8</f>
        <v>1.5</v>
      </c>
      <c r="G212" s="245">
        <f t="shared" si="18"/>
        <v>2</v>
      </c>
      <c r="H212" s="243">
        <f>SUM(H203:H210)+I212</f>
        <v>262501</v>
      </c>
      <c r="I212" s="244">
        <f>SUM(I203:I210)/8</f>
        <v>4</v>
      </c>
      <c r="J212" s="245">
        <f t="shared" si="18"/>
        <v>2</v>
      </c>
    </row>
    <row r="213" spans="1:16" x14ac:dyDescent="0.2">
      <c r="H213" s="243">
        <f>B212+E212</f>
        <v>262501.625</v>
      </c>
    </row>
    <row r="216" spans="1:16" x14ac:dyDescent="0.2">
      <c r="A216" s="113" t="s">
        <v>1358</v>
      </c>
    </row>
    <row r="217" spans="1:16" ht="21" x14ac:dyDescent="0.25">
      <c r="A217" s="264" t="s">
        <v>1359</v>
      </c>
      <c r="B217" s="265"/>
      <c r="C217" s="265"/>
      <c r="D217" s="265"/>
      <c r="E217" s="265"/>
      <c r="F217" s="265"/>
      <c r="G217" s="265"/>
      <c r="H217" s="265"/>
      <c r="I217" s="265"/>
      <c r="J217" s="265"/>
      <c r="K217" s="265"/>
      <c r="L217" s="265"/>
      <c r="M217" s="265"/>
      <c r="N217" s="265"/>
      <c r="O217" s="265"/>
      <c r="P217" s="266"/>
    </row>
    <row r="218" spans="1:16" ht="29" customHeight="1" x14ac:dyDescent="0.2">
      <c r="A218" s="258" t="s">
        <v>1360</v>
      </c>
      <c r="B218" s="259"/>
      <c r="C218" s="259"/>
      <c r="D218" s="259"/>
      <c r="E218" s="259"/>
      <c r="F218" s="259"/>
      <c r="G218" s="259"/>
      <c r="H218" s="259"/>
      <c r="I218" s="259"/>
      <c r="J218" s="259"/>
      <c r="K218" s="259"/>
      <c r="L218" s="259"/>
      <c r="M218" s="259"/>
      <c r="N218" s="259"/>
      <c r="O218" s="259"/>
      <c r="P218" s="260"/>
    </row>
    <row r="219" spans="1:16" ht="35.5" customHeight="1" x14ac:dyDescent="0.2">
      <c r="A219" s="267" t="s">
        <v>1361</v>
      </c>
      <c r="B219" s="268" t="s">
        <v>1362</v>
      </c>
      <c r="C219" s="269"/>
      <c r="D219" s="270"/>
      <c r="E219" s="269" t="s">
        <v>1363</v>
      </c>
      <c r="F219" s="269"/>
      <c r="G219" s="269"/>
      <c r="H219" s="268" t="s">
        <v>1364</v>
      </c>
      <c r="I219" s="269"/>
      <c r="J219" s="269"/>
      <c r="K219" s="268" t="s">
        <v>1365</v>
      </c>
      <c r="L219" s="269"/>
      <c r="M219" s="270"/>
      <c r="N219" s="269" t="s">
        <v>1366</v>
      </c>
      <c r="O219" s="269"/>
      <c r="P219" s="270"/>
    </row>
    <row r="220" spans="1:16" x14ac:dyDescent="0.2">
      <c r="A220" s="164" t="s">
        <v>1367</v>
      </c>
      <c r="B220" s="140">
        <v>29541</v>
      </c>
      <c r="C220" s="184">
        <v>7</v>
      </c>
      <c r="D220" s="142">
        <f>3/4</f>
        <v>0.75</v>
      </c>
      <c r="E220" s="140">
        <v>37675</v>
      </c>
      <c r="F220" s="184">
        <v>1</v>
      </c>
      <c r="G220" s="146"/>
      <c r="H220" s="140">
        <v>32568</v>
      </c>
      <c r="I220" s="132"/>
      <c r="J220" s="142">
        <v>0.5</v>
      </c>
      <c r="K220" s="140">
        <v>34649</v>
      </c>
      <c r="L220" s="132"/>
      <c r="M220" s="142">
        <v>0.25</v>
      </c>
      <c r="N220" s="140"/>
      <c r="O220" s="184"/>
      <c r="P220" s="142"/>
    </row>
    <row r="221" spans="1:16" x14ac:dyDescent="0.2">
      <c r="A221" s="164" t="s">
        <v>1368</v>
      </c>
      <c r="B221" s="140">
        <v>3516</v>
      </c>
      <c r="C221" s="184">
        <v>7</v>
      </c>
      <c r="D221" s="142">
        <v>0.25</v>
      </c>
      <c r="E221" s="140">
        <v>248641</v>
      </c>
      <c r="F221" s="184">
        <v>1</v>
      </c>
      <c r="G221" s="142">
        <v>0.75</v>
      </c>
      <c r="H221" s="140">
        <v>249122</v>
      </c>
      <c r="I221" s="132"/>
      <c r="J221" s="142">
        <v>0.5</v>
      </c>
      <c r="K221" s="140">
        <v>3036</v>
      </c>
      <c r="L221" s="132"/>
      <c r="M221" s="142">
        <v>0.25</v>
      </c>
      <c r="N221" s="140">
        <v>38260</v>
      </c>
      <c r="O221" s="132"/>
      <c r="P221" s="271"/>
    </row>
    <row r="222" spans="1:16" x14ac:dyDescent="0.2">
      <c r="A222" s="164" t="s">
        <v>1369</v>
      </c>
      <c r="B222" s="140">
        <v>10043</v>
      </c>
      <c r="C222" s="184">
        <v>5</v>
      </c>
      <c r="D222" s="142">
        <v>0.25</v>
      </c>
      <c r="E222" s="140">
        <v>14980</v>
      </c>
      <c r="F222" s="184">
        <v>1</v>
      </c>
      <c r="G222" s="142">
        <v>0.75</v>
      </c>
      <c r="H222" s="140">
        <v>16566</v>
      </c>
      <c r="I222" s="184">
        <v>5</v>
      </c>
      <c r="J222" s="142">
        <v>0.5</v>
      </c>
      <c r="K222" s="140">
        <v>8457</v>
      </c>
      <c r="L222" s="184">
        <v>1</v>
      </c>
      <c r="M222" s="142">
        <v>0.25</v>
      </c>
      <c r="N222" s="140">
        <v>32652</v>
      </c>
      <c r="O222" s="184">
        <v>6</v>
      </c>
      <c r="P222" s="142"/>
    </row>
    <row r="223" spans="1:16" x14ac:dyDescent="0.2">
      <c r="A223" s="164" t="s">
        <v>1370</v>
      </c>
      <c r="B223" s="140">
        <v>1061</v>
      </c>
      <c r="C223" s="184">
        <v>5</v>
      </c>
      <c r="D223" s="142">
        <v>0.25</v>
      </c>
      <c r="E223" s="140">
        <v>22093</v>
      </c>
      <c r="F223" s="184">
        <v>1</v>
      </c>
      <c r="G223" s="142">
        <v>0.75</v>
      </c>
      <c r="H223" s="140">
        <v>21758</v>
      </c>
      <c r="I223" s="184">
        <v>1</v>
      </c>
      <c r="J223" s="142">
        <v>0.5</v>
      </c>
      <c r="K223" s="140">
        <v>1396</v>
      </c>
      <c r="L223" s="184">
        <v>1</v>
      </c>
      <c r="M223" s="142">
        <v>0.25</v>
      </c>
      <c r="N223" s="140">
        <v>393</v>
      </c>
      <c r="O223" s="184">
        <v>4</v>
      </c>
      <c r="P223" s="142">
        <v>0.75</v>
      </c>
    </row>
    <row r="224" spans="1:16" x14ac:dyDescent="0.2">
      <c r="A224" s="164" t="s">
        <v>1371</v>
      </c>
      <c r="B224" s="140">
        <v>14512</v>
      </c>
      <c r="C224" s="184">
        <v>4</v>
      </c>
      <c r="D224" s="142">
        <v>0.25</v>
      </c>
      <c r="E224" s="140">
        <v>16261</v>
      </c>
      <c r="F224" s="184">
        <v>3</v>
      </c>
      <c r="G224" s="142">
        <v>0.75</v>
      </c>
      <c r="H224" s="140">
        <v>20298</v>
      </c>
      <c r="I224" s="184">
        <v>7</v>
      </c>
      <c r="J224" s="142">
        <v>0.25</v>
      </c>
      <c r="K224" s="140">
        <v>10475</v>
      </c>
      <c r="L224" s="184">
        <v>1</v>
      </c>
      <c r="M224" s="142">
        <v>0.75</v>
      </c>
      <c r="N224" s="140">
        <v>393</v>
      </c>
      <c r="O224" s="184">
        <v>4</v>
      </c>
      <c r="P224" s="142">
        <v>0.75</v>
      </c>
    </row>
    <row r="225" spans="1:16" x14ac:dyDescent="0.2">
      <c r="A225" s="164" t="s">
        <v>1372</v>
      </c>
      <c r="B225" s="140">
        <v>7560</v>
      </c>
      <c r="C225" s="184">
        <v>4</v>
      </c>
      <c r="D225" s="142">
        <v>0.25</v>
      </c>
      <c r="E225" s="140">
        <v>46407</v>
      </c>
      <c r="F225" s="184">
        <v>5</v>
      </c>
      <c r="G225" s="142">
        <v>0.5</v>
      </c>
      <c r="H225" s="140">
        <v>45985</v>
      </c>
      <c r="I225" s="184">
        <v>6</v>
      </c>
      <c r="J225" s="142">
        <v>0.5</v>
      </c>
      <c r="K225" s="140">
        <v>7981</v>
      </c>
      <c r="L225" s="184">
        <v>7</v>
      </c>
      <c r="M225" s="142">
        <v>0.25</v>
      </c>
      <c r="N225" s="140">
        <v>3574</v>
      </c>
      <c r="O225" s="184">
        <v>7</v>
      </c>
      <c r="P225" s="142">
        <v>0.75</v>
      </c>
    </row>
    <row r="226" spans="1:16" x14ac:dyDescent="0.2">
      <c r="A226" s="164" t="s">
        <v>1373</v>
      </c>
      <c r="B226" s="140">
        <v>182</v>
      </c>
      <c r="C226" s="184">
        <v>1</v>
      </c>
      <c r="D226" s="142">
        <v>0.5</v>
      </c>
      <c r="E226" s="140">
        <v>9444</v>
      </c>
      <c r="F226" s="184">
        <v>7</v>
      </c>
      <c r="G226" s="142">
        <v>0.75</v>
      </c>
      <c r="H226" s="140">
        <v>9587</v>
      </c>
      <c r="I226" s="184">
        <v>6</v>
      </c>
      <c r="J226" s="142">
        <v>0.5</v>
      </c>
      <c r="K226" s="140">
        <v>40</v>
      </c>
      <c r="L226" s="184">
        <v>1</v>
      </c>
      <c r="M226" s="142">
        <v>0.25</v>
      </c>
      <c r="N226" s="140">
        <v>9073</v>
      </c>
      <c r="O226" s="184">
        <v>4</v>
      </c>
      <c r="P226" s="142">
        <v>0.75</v>
      </c>
    </row>
    <row r="227" spans="1:16" ht="23" customHeight="1" x14ac:dyDescent="0.2">
      <c r="A227" s="272" t="s">
        <v>1357</v>
      </c>
      <c r="B227" s="240">
        <v>66418</v>
      </c>
      <c r="C227" s="238">
        <v>2</v>
      </c>
      <c r="D227" s="241">
        <v>0.25</v>
      </c>
      <c r="E227" s="240">
        <v>395503</v>
      </c>
      <c r="F227" s="238">
        <v>4</v>
      </c>
      <c r="G227" s="241">
        <v>0.75</v>
      </c>
      <c r="H227" s="240">
        <v>395886</v>
      </c>
      <c r="I227" s="238">
        <v>4</v>
      </c>
      <c r="J227" s="241">
        <v>0.25</v>
      </c>
      <c r="K227" s="240">
        <v>66035</v>
      </c>
      <c r="L227" s="238">
        <v>2</v>
      </c>
      <c r="M227" s="241">
        <v>0.75</v>
      </c>
      <c r="N227" s="240">
        <v>83954</v>
      </c>
      <c r="O227" s="238">
        <v>6</v>
      </c>
      <c r="P227" s="241">
        <v>0.5</v>
      </c>
    </row>
    <row r="228" spans="1:16" ht="22.25" customHeight="1" x14ac:dyDescent="0.2">
      <c r="A228" s="273"/>
      <c r="B228" s="243">
        <f>SUM(B220:B226)+C228</f>
        <v>66419.125</v>
      </c>
      <c r="C228" s="244">
        <f>SUM(C220:C226)/8</f>
        <v>4.125</v>
      </c>
      <c r="D228" s="245">
        <f t="shared" ref="D228:P228" si="19">SUM(D220:D226)</f>
        <v>2.5</v>
      </c>
      <c r="E228" s="243">
        <f>SUM(E220:E226)+F228</f>
        <v>395503.375</v>
      </c>
      <c r="F228" s="244">
        <f>SUM(F220:F226)/8</f>
        <v>2.375</v>
      </c>
      <c r="G228" s="245">
        <f t="shared" si="19"/>
        <v>4.25</v>
      </c>
      <c r="H228" s="243">
        <f>SUM(H220:H226)+I228</f>
        <v>395887.125</v>
      </c>
      <c r="I228" s="244">
        <f>SUM(I220:I226)/8</f>
        <v>3.125</v>
      </c>
      <c r="J228" s="245">
        <f t="shared" si="19"/>
        <v>3.25</v>
      </c>
      <c r="K228" s="243">
        <f>SUM(K220:K226)+L228</f>
        <v>66035.375</v>
      </c>
      <c r="L228" s="244">
        <f>SUM(L220:L226)/8</f>
        <v>1.375</v>
      </c>
      <c r="M228" s="245">
        <f t="shared" si="19"/>
        <v>2.25</v>
      </c>
      <c r="N228" s="243">
        <f>SUM(N220:N226)+O228</f>
        <v>84348.125</v>
      </c>
      <c r="O228" s="244">
        <f>SUM(O220:O226)/8</f>
        <v>3.125</v>
      </c>
      <c r="P228" s="245">
        <f t="shared" si="19"/>
        <v>3</v>
      </c>
    </row>
    <row r="229" spans="1:16" x14ac:dyDescent="0.2">
      <c r="N229" s="107"/>
    </row>
    <row r="232" spans="1:16" x14ac:dyDescent="0.2">
      <c r="A232" s="113" t="s">
        <v>1374</v>
      </c>
    </row>
    <row r="233" spans="1:16" ht="33.5" customHeight="1" x14ac:dyDescent="0.25">
      <c r="A233" s="114" t="s">
        <v>1375</v>
      </c>
      <c r="B233" s="115"/>
      <c r="C233" s="115"/>
      <c r="D233" s="116"/>
    </row>
    <row r="234" spans="1:16" ht="59" customHeight="1" x14ac:dyDescent="0.2">
      <c r="A234" s="274" t="s">
        <v>1376</v>
      </c>
      <c r="B234" s="275"/>
      <c r="C234" s="275"/>
      <c r="D234" s="276"/>
    </row>
    <row r="235" spans="1:16" ht="27.5" customHeight="1" x14ac:dyDescent="0.2">
      <c r="A235" s="165" t="s">
        <v>1345</v>
      </c>
      <c r="B235" s="277"/>
      <c r="C235" s="277"/>
      <c r="D235" s="278"/>
    </row>
    <row r="236" spans="1:16" x14ac:dyDescent="0.2">
      <c r="A236" s="178" t="s">
        <v>1377</v>
      </c>
      <c r="B236" s="145">
        <v>174323</v>
      </c>
      <c r="C236" s="134">
        <v>6</v>
      </c>
      <c r="D236" s="185">
        <v>2</v>
      </c>
    </row>
    <row r="237" spans="1:16" x14ac:dyDescent="0.2">
      <c r="A237" s="178" t="s">
        <v>1378</v>
      </c>
      <c r="B237" s="145">
        <v>3</v>
      </c>
      <c r="C237" s="134">
        <v>6</v>
      </c>
      <c r="D237" s="185">
        <v>2</v>
      </c>
    </row>
    <row r="238" spans="1:16" x14ac:dyDescent="0.2">
      <c r="A238" s="178" t="s">
        <v>1379</v>
      </c>
      <c r="B238" s="145">
        <v>902</v>
      </c>
      <c r="C238" s="134">
        <v>4</v>
      </c>
      <c r="D238" s="185">
        <v>3</v>
      </c>
    </row>
    <row r="239" spans="1:16" x14ac:dyDescent="0.2">
      <c r="A239" s="178" t="s">
        <v>1380</v>
      </c>
      <c r="B239" s="145">
        <v>50</v>
      </c>
      <c r="C239" s="184">
        <v>6</v>
      </c>
      <c r="D239" s="185">
        <v>1</v>
      </c>
    </row>
    <row r="240" spans="1:16" x14ac:dyDescent="0.2">
      <c r="A240" s="178" t="s">
        <v>1381</v>
      </c>
      <c r="B240" s="145">
        <v>34792</v>
      </c>
      <c r="C240" s="184">
        <v>5</v>
      </c>
      <c r="D240" s="185">
        <v>1</v>
      </c>
    </row>
    <row r="241" spans="1:4" x14ac:dyDescent="0.2">
      <c r="A241" s="279" t="s">
        <v>1382</v>
      </c>
      <c r="B241" s="145">
        <v>5866</v>
      </c>
      <c r="C241" s="184">
        <v>4</v>
      </c>
      <c r="D241" s="185">
        <v>1</v>
      </c>
    </row>
    <row r="242" spans="1:4" x14ac:dyDescent="0.2">
      <c r="A242" s="178" t="s">
        <v>1383</v>
      </c>
      <c r="B242" s="145">
        <v>58</v>
      </c>
      <c r="C242" s="184">
        <v>4</v>
      </c>
      <c r="D242" s="185">
        <v>1</v>
      </c>
    </row>
    <row r="243" spans="1:4" x14ac:dyDescent="0.2">
      <c r="A243" s="178" t="s">
        <v>1384</v>
      </c>
      <c r="B243" s="145">
        <v>895</v>
      </c>
      <c r="C243" s="184">
        <v>4</v>
      </c>
      <c r="D243" s="185">
        <v>1</v>
      </c>
    </row>
    <row r="244" spans="1:4" x14ac:dyDescent="0.2">
      <c r="A244" s="178" t="s">
        <v>1385</v>
      </c>
      <c r="B244" s="145">
        <v>38</v>
      </c>
      <c r="C244" s="184">
        <v>4</v>
      </c>
      <c r="D244" s="185">
        <v>1</v>
      </c>
    </row>
    <row r="245" spans="1:4" x14ac:dyDescent="0.2">
      <c r="A245" s="178" t="s">
        <v>1297</v>
      </c>
      <c r="B245" s="145">
        <v>16479</v>
      </c>
      <c r="C245" s="184">
        <v>5</v>
      </c>
      <c r="D245" s="185">
        <v>1</v>
      </c>
    </row>
    <row r="246" spans="1:4" x14ac:dyDescent="0.2">
      <c r="A246" s="178" t="s">
        <v>1386</v>
      </c>
      <c r="B246" s="145">
        <v>5</v>
      </c>
      <c r="C246" s="184">
        <v>3</v>
      </c>
      <c r="D246" s="185">
        <v>1</v>
      </c>
    </row>
    <row r="247" spans="1:4" x14ac:dyDescent="0.2">
      <c r="A247" s="178" t="s">
        <v>1387</v>
      </c>
      <c r="B247" s="145">
        <v>4210</v>
      </c>
      <c r="C247" s="184">
        <v>3</v>
      </c>
      <c r="D247" s="185">
        <v>3</v>
      </c>
    </row>
    <row r="248" spans="1:4" ht="30" x14ac:dyDescent="0.2">
      <c r="A248" s="178" t="s">
        <v>1388</v>
      </c>
      <c r="B248" s="145">
        <v>5121</v>
      </c>
      <c r="C248" s="184">
        <v>3</v>
      </c>
      <c r="D248" s="185">
        <v>3</v>
      </c>
    </row>
    <row r="249" spans="1:4" x14ac:dyDescent="0.2">
      <c r="A249" s="178" t="s">
        <v>1389</v>
      </c>
      <c r="B249" s="145">
        <v>300</v>
      </c>
      <c r="C249" s="184">
        <v>3</v>
      </c>
      <c r="D249" s="185">
        <v>3</v>
      </c>
    </row>
    <row r="250" spans="1:4" x14ac:dyDescent="0.2">
      <c r="A250" s="178" t="s">
        <v>1390</v>
      </c>
      <c r="B250" s="145">
        <v>1360</v>
      </c>
      <c r="C250" s="184">
        <v>2</v>
      </c>
      <c r="D250" s="185">
        <v>3</v>
      </c>
    </row>
    <row r="251" spans="1:4" x14ac:dyDescent="0.2">
      <c r="A251" s="178" t="s">
        <v>1391</v>
      </c>
      <c r="B251" s="145">
        <v>1673</v>
      </c>
      <c r="C251" s="184">
        <v>5</v>
      </c>
      <c r="D251" s="185">
        <v>1</v>
      </c>
    </row>
    <row r="252" spans="1:4" x14ac:dyDescent="0.2">
      <c r="A252" s="178" t="s">
        <v>1392</v>
      </c>
      <c r="B252" s="145">
        <v>712</v>
      </c>
      <c r="C252" s="184">
        <v>6</v>
      </c>
      <c r="D252" s="185">
        <v>1</v>
      </c>
    </row>
    <row r="253" spans="1:4" ht="30" x14ac:dyDescent="0.2">
      <c r="A253" s="178" t="s">
        <v>1393</v>
      </c>
      <c r="B253" s="145">
        <v>429</v>
      </c>
      <c r="C253" s="184">
        <v>6</v>
      </c>
      <c r="D253" s="185">
        <v>1</v>
      </c>
    </row>
    <row r="254" spans="1:4" x14ac:dyDescent="0.2">
      <c r="A254" s="178" t="s">
        <v>1394</v>
      </c>
      <c r="B254" s="145">
        <v>6680</v>
      </c>
      <c r="C254" s="184">
        <v>6</v>
      </c>
      <c r="D254" s="185">
        <v>3</v>
      </c>
    </row>
    <row r="255" spans="1:4" x14ac:dyDescent="0.2">
      <c r="A255" s="178" t="s">
        <v>1395</v>
      </c>
      <c r="B255" s="145">
        <v>18746</v>
      </c>
      <c r="C255" s="184">
        <v>7</v>
      </c>
      <c r="D255" s="185">
        <v>2</v>
      </c>
    </row>
    <row r="256" spans="1:4" x14ac:dyDescent="0.2">
      <c r="A256" s="178" t="s">
        <v>1396</v>
      </c>
      <c r="B256" s="145">
        <v>2025</v>
      </c>
      <c r="C256" s="184">
        <v>6</v>
      </c>
      <c r="D256" s="185">
        <v>3</v>
      </c>
    </row>
    <row r="257" spans="1:4" x14ac:dyDescent="0.2">
      <c r="A257" s="178" t="s">
        <v>1397</v>
      </c>
      <c r="B257" s="145">
        <v>4513</v>
      </c>
      <c r="C257" s="184">
        <v>2</v>
      </c>
      <c r="D257" s="185">
        <v>3</v>
      </c>
    </row>
    <row r="258" spans="1:4" x14ac:dyDescent="0.2">
      <c r="A258" s="178" t="s">
        <v>1398</v>
      </c>
      <c r="B258" s="145">
        <v>6633</v>
      </c>
      <c r="C258" s="184">
        <v>2</v>
      </c>
      <c r="D258" s="185">
        <v>3</v>
      </c>
    </row>
    <row r="259" spans="1:4" ht="30" x14ac:dyDescent="0.2">
      <c r="A259" s="178" t="s">
        <v>1399</v>
      </c>
      <c r="B259" s="145">
        <v>111</v>
      </c>
      <c r="C259" s="184">
        <v>2</v>
      </c>
      <c r="D259" s="185">
        <v>3</v>
      </c>
    </row>
    <row r="260" spans="1:4" x14ac:dyDescent="0.2">
      <c r="A260" s="178" t="s">
        <v>1400</v>
      </c>
      <c r="B260" s="145">
        <v>1031</v>
      </c>
      <c r="C260" s="184">
        <v>2</v>
      </c>
      <c r="D260" s="185">
        <v>2</v>
      </c>
    </row>
    <row r="261" spans="1:4" x14ac:dyDescent="0.2">
      <c r="A261" s="178" t="s">
        <v>1401</v>
      </c>
      <c r="B261" s="145">
        <v>79813</v>
      </c>
      <c r="C261" s="184">
        <v>4</v>
      </c>
      <c r="D261" s="185">
        <v>3</v>
      </c>
    </row>
    <row r="262" spans="1:4" x14ac:dyDescent="0.2">
      <c r="A262" s="178" t="s">
        <v>1284</v>
      </c>
      <c r="B262" s="145">
        <v>44098</v>
      </c>
      <c r="C262" s="184">
        <v>4</v>
      </c>
      <c r="D262" s="185">
        <v>3</v>
      </c>
    </row>
    <row r="263" spans="1:4" ht="30" x14ac:dyDescent="0.2">
      <c r="A263" s="178" t="s">
        <v>1402</v>
      </c>
      <c r="B263" s="145">
        <v>3238</v>
      </c>
      <c r="C263" s="184">
        <v>3</v>
      </c>
      <c r="D263" s="185">
        <v>1</v>
      </c>
    </row>
    <row r="264" spans="1:4" x14ac:dyDescent="0.2">
      <c r="A264" s="178" t="s">
        <v>1403</v>
      </c>
      <c r="B264" s="145">
        <v>2545</v>
      </c>
      <c r="C264" s="184">
        <v>1</v>
      </c>
      <c r="D264" s="185">
        <v>1</v>
      </c>
    </row>
    <row r="265" spans="1:4" x14ac:dyDescent="0.2">
      <c r="A265" s="178" t="s">
        <v>1404</v>
      </c>
      <c r="B265" s="145">
        <v>24</v>
      </c>
      <c r="C265" s="184">
        <v>1</v>
      </c>
      <c r="D265" s="185">
        <v>1</v>
      </c>
    </row>
    <row r="266" spans="1:4" ht="30" x14ac:dyDescent="0.2">
      <c r="A266" s="178" t="s">
        <v>1405</v>
      </c>
      <c r="B266" s="145">
        <v>6909</v>
      </c>
      <c r="C266" s="184">
        <v>7</v>
      </c>
      <c r="D266" s="185">
        <v>2</v>
      </c>
    </row>
    <row r="267" spans="1:4" x14ac:dyDescent="0.2">
      <c r="A267" s="279" t="s">
        <v>1406</v>
      </c>
      <c r="B267" s="240">
        <v>423594</v>
      </c>
      <c r="C267" s="238">
        <v>1</v>
      </c>
      <c r="D267" s="239">
        <v>2</v>
      </c>
    </row>
    <row r="268" spans="1:4" x14ac:dyDescent="0.2">
      <c r="A268" s="151"/>
      <c r="B268" s="243">
        <f>SUM(B236:B266)+C268</f>
        <v>423597.75</v>
      </c>
      <c r="C268" s="244">
        <f>SUM(C236:C266)/8</f>
        <v>15.75</v>
      </c>
      <c r="D268" s="280">
        <f>SUM(D236:D266)</f>
        <v>60</v>
      </c>
    </row>
  </sheetData>
  <mergeCells count="356">
    <mergeCell ref="A233:D233"/>
    <mergeCell ref="A234:D234"/>
    <mergeCell ref="B235:D235"/>
    <mergeCell ref="A217:P217"/>
    <mergeCell ref="A218:P218"/>
    <mergeCell ref="B219:D219"/>
    <mergeCell ref="E219:G219"/>
    <mergeCell ref="H219:J219"/>
    <mergeCell ref="K219:M219"/>
    <mergeCell ref="N219:P219"/>
    <mergeCell ref="FH172:FJ172"/>
    <mergeCell ref="A200:J200"/>
    <mergeCell ref="A201:J201"/>
    <mergeCell ref="B202:D202"/>
    <mergeCell ref="E202:G202"/>
    <mergeCell ref="H202:J202"/>
    <mergeCell ref="EP172:ER172"/>
    <mergeCell ref="ES172:EU172"/>
    <mergeCell ref="EV172:EX172"/>
    <mergeCell ref="EY172:FA172"/>
    <mergeCell ref="FB172:FD172"/>
    <mergeCell ref="FE172:FG172"/>
    <mergeCell ref="DX172:DZ172"/>
    <mergeCell ref="EA172:EC172"/>
    <mergeCell ref="ED172:EF172"/>
    <mergeCell ref="EG172:EI172"/>
    <mergeCell ref="EJ172:EL172"/>
    <mergeCell ref="EM172:EO172"/>
    <mergeCell ref="DF172:DH172"/>
    <mergeCell ref="DI172:DK172"/>
    <mergeCell ref="DL172:DN172"/>
    <mergeCell ref="DO172:DQ172"/>
    <mergeCell ref="DR172:DT172"/>
    <mergeCell ref="DU172:DW172"/>
    <mergeCell ref="CN172:CP172"/>
    <mergeCell ref="CQ172:CS172"/>
    <mergeCell ref="CT172:CV172"/>
    <mergeCell ref="CW172:CY172"/>
    <mergeCell ref="CZ172:DB172"/>
    <mergeCell ref="DC172:DE172"/>
    <mergeCell ref="BV172:BX172"/>
    <mergeCell ref="BY172:CA172"/>
    <mergeCell ref="CB172:CD172"/>
    <mergeCell ref="CE172:CG172"/>
    <mergeCell ref="CH172:CJ172"/>
    <mergeCell ref="CK172:CM172"/>
    <mergeCell ref="BD172:BF172"/>
    <mergeCell ref="BG172:BI172"/>
    <mergeCell ref="BJ172:BL172"/>
    <mergeCell ref="BM172:BO172"/>
    <mergeCell ref="BP172:BR172"/>
    <mergeCell ref="BS172:BU172"/>
    <mergeCell ref="AL172:AN172"/>
    <mergeCell ref="AO172:AQ172"/>
    <mergeCell ref="AR172:AT172"/>
    <mergeCell ref="AU172:AW172"/>
    <mergeCell ref="AX172:AZ172"/>
    <mergeCell ref="BA172:BC172"/>
    <mergeCell ref="T172:V172"/>
    <mergeCell ref="W172:Y172"/>
    <mergeCell ref="Z172:AB172"/>
    <mergeCell ref="AC172:AE172"/>
    <mergeCell ref="AF172:AH172"/>
    <mergeCell ref="AI172:AK172"/>
    <mergeCell ref="B172:D172"/>
    <mergeCell ref="E172:G172"/>
    <mergeCell ref="H172:J172"/>
    <mergeCell ref="K172:M172"/>
    <mergeCell ref="N172:P172"/>
    <mergeCell ref="Q172:S172"/>
    <mergeCell ref="ES171:EU171"/>
    <mergeCell ref="EV171:EX171"/>
    <mergeCell ref="EY171:FA171"/>
    <mergeCell ref="FB171:FD171"/>
    <mergeCell ref="FE171:FG171"/>
    <mergeCell ref="FH171:FJ171"/>
    <mergeCell ref="EA171:EC171"/>
    <mergeCell ref="ED171:EF171"/>
    <mergeCell ref="EG171:EI171"/>
    <mergeCell ref="EJ171:EL171"/>
    <mergeCell ref="EM171:EO171"/>
    <mergeCell ref="EP171:ER171"/>
    <mergeCell ref="DI171:DK171"/>
    <mergeCell ref="DL171:DN171"/>
    <mergeCell ref="DO171:DQ171"/>
    <mergeCell ref="DR171:DT171"/>
    <mergeCell ref="DU171:DW171"/>
    <mergeCell ref="DX171:DZ171"/>
    <mergeCell ref="CQ171:CS171"/>
    <mergeCell ref="CT171:CV171"/>
    <mergeCell ref="CW171:CY171"/>
    <mergeCell ref="CZ171:DB171"/>
    <mergeCell ref="DC171:DE171"/>
    <mergeCell ref="DF171:DH171"/>
    <mergeCell ref="BY171:CA171"/>
    <mergeCell ref="CB171:CD171"/>
    <mergeCell ref="CE171:CG171"/>
    <mergeCell ref="CH171:CJ171"/>
    <mergeCell ref="CK171:CM171"/>
    <mergeCell ref="CN171:CP171"/>
    <mergeCell ref="BG171:BI171"/>
    <mergeCell ref="BJ171:BL171"/>
    <mergeCell ref="BM171:BO171"/>
    <mergeCell ref="BP171:BR171"/>
    <mergeCell ref="BS171:BU171"/>
    <mergeCell ref="BV171:BX171"/>
    <mergeCell ref="AF171:AK171"/>
    <mergeCell ref="AL171:AQ171"/>
    <mergeCell ref="AR171:AW171"/>
    <mergeCell ref="AX171:AZ171"/>
    <mergeCell ref="BA171:BC171"/>
    <mergeCell ref="BD171:BF171"/>
    <mergeCell ref="CH158:CJ158"/>
    <mergeCell ref="CK158:CM158"/>
    <mergeCell ref="A169:FJ169"/>
    <mergeCell ref="A170:FJ170"/>
    <mergeCell ref="B171:D171"/>
    <mergeCell ref="E171:G171"/>
    <mergeCell ref="H171:M171"/>
    <mergeCell ref="N171:S171"/>
    <mergeCell ref="T171:Y171"/>
    <mergeCell ref="Z171:AE171"/>
    <mergeCell ref="BJ158:BL158"/>
    <mergeCell ref="BM158:BO158"/>
    <mergeCell ref="BP158:BR158"/>
    <mergeCell ref="BS158:BU158"/>
    <mergeCell ref="BV158:BX158"/>
    <mergeCell ref="BY158:CA158"/>
    <mergeCell ref="AO158:AQ158"/>
    <mergeCell ref="AU158:AW158"/>
    <mergeCell ref="AX158:AZ158"/>
    <mergeCell ref="BA158:BC158"/>
    <mergeCell ref="BD158:BF158"/>
    <mergeCell ref="BG158:BI158"/>
    <mergeCell ref="BP157:BR157"/>
    <mergeCell ref="BS157:BU157"/>
    <mergeCell ref="BV157:BX157"/>
    <mergeCell ref="BY157:CA157"/>
    <mergeCell ref="E158:G158"/>
    <mergeCell ref="K158:M158"/>
    <mergeCell ref="Q158:S158"/>
    <mergeCell ref="W158:Y158"/>
    <mergeCell ref="AC158:AE158"/>
    <mergeCell ref="AI158:AK158"/>
    <mergeCell ref="BP156:BR156"/>
    <mergeCell ref="BS156:BU156"/>
    <mergeCell ref="BV156:BX156"/>
    <mergeCell ref="BY156:CA156"/>
    <mergeCell ref="CH156:CJ156"/>
    <mergeCell ref="AX157:AZ157"/>
    <mergeCell ref="BD157:BF157"/>
    <mergeCell ref="BG157:BI157"/>
    <mergeCell ref="BJ157:BL157"/>
    <mergeCell ref="BM157:BO157"/>
    <mergeCell ref="AU156:AW156"/>
    <mergeCell ref="AX156:AZ156"/>
    <mergeCell ref="BD156:BF156"/>
    <mergeCell ref="BG156:BI156"/>
    <mergeCell ref="BJ156:BL156"/>
    <mergeCell ref="BM156:BO156"/>
    <mergeCell ref="BG155:BI155"/>
    <mergeCell ref="BM155:BO155"/>
    <mergeCell ref="BV155:BX155"/>
    <mergeCell ref="E156:G156"/>
    <mergeCell ref="K156:M156"/>
    <mergeCell ref="Q156:S156"/>
    <mergeCell ref="W156:Y156"/>
    <mergeCell ref="AC156:AE156"/>
    <mergeCell ref="AI156:AK156"/>
    <mergeCell ref="AO156:AQ156"/>
    <mergeCell ref="CH153:CJ153"/>
    <mergeCell ref="CK153:CM153"/>
    <mergeCell ref="BG154:BI154"/>
    <mergeCell ref="BM154:BO154"/>
    <mergeCell ref="BS154:BU154"/>
    <mergeCell ref="BV154:BX154"/>
    <mergeCell ref="BJ153:BL153"/>
    <mergeCell ref="BM153:BO153"/>
    <mergeCell ref="BP153:BR153"/>
    <mergeCell ref="BS153:BU153"/>
    <mergeCell ref="BV153:BX153"/>
    <mergeCell ref="BY153:CA153"/>
    <mergeCell ref="AO153:AQ153"/>
    <mergeCell ref="AU153:AW153"/>
    <mergeCell ref="AX153:AZ153"/>
    <mergeCell ref="BA153:BC153"/>
    <mergeCell ref="BD153:BF153"/>
    <mergeCell ref="BG153:BI153"/>
    <mergeCell ref="E153:G153"/>
    <mergeCell ref="K153:M153"/>
    <mergeCell ref="Q153:S153"/>
    <mergeCell ref="W153:Y153"/>
    <mergeCell ref="AC153:AE153"/>
    <mergeCell ref="AI153:AK153"/>
    <mergeCell ref="BP152:BR152"/>
    <mergeCell ref="BS152:BU152"/>
    <mergeCell ref="BV152:BX152"/>
    <mergeCell ref="BY152:CA152"/>
    <mergeCell ref="CH152:CJ152"/>
    <mergeCell ref="CK152:CM152"/>
    <mergeCell ref="AO152:AQ152"/>
    <mergeCell ref="AU152:AW152"/>
    <mergeCell ref="AX152:AZ152"/>
    <mergeCell ref="BA152:BC152"/>
    <mergeCell ref="BJ152:BL152"/>
    <mergeCell ref="BM152:BO152"/>
    <mergeCell ref="E152:G152"/>
    <mergeCell ref="K152:M152"/>
    <mergeCell ref="Q152:S152"/>
    <mergeCell ref="W152:Y152"/>
    <mergeCell ref="AC152:AE152"/>
    <mergeCell ref="AI152:AK152"/>
    <mergeCell ref="BY150:CA150"/>
    <mergeCell ref="AX151:AZ151"/>
    <mergeCell ref="BA151:BC151"/>
    <mergeCell ref="BD151:BF151"/>
    <mergeCell ref="BG151:BI151"/>
    <mergeCell ref="BJ151:BL151"/>
    <mergeCell ref="BM151:BO151"/>
    <mergeCell ref="BV151:BX151"/>
    <mergeCell ref="BY151:CA151"/>
    <mergeCell ref="BY149:CA149"/>
    <mergeCell ref="CH149:CJ149"/>
    <mergeCell ref="CK149:CM149"/>
    <mergeCell ref="BD150:BF150"/>
    <mergeCell ref="BG150:BI150"/>
    <mergeCell ref="BJ150:BL150"/>
    <mergeCell ref="BM150:BO150"/>
    <mergeCell ref="BP150:BR150"/>
    <mergeCell ref="BS150:BU150"/>
    <mergeCell ref="BV150:BX150"/>
    <mergeCell ref="AO149:AQ149"/>
    <mergeCell ref="AU149:AW149"/>
    <mergeCell ref="BG149:BI149"/>
    <mergeCell ref="BJ149:BL149"/>
    <mergeCell ref="BM149:BO149"/>
    <mergeCell ref="BP149:BR149"/>
    <mergeCell ref="E149:G149"/>
    <mergeCell ref="K149:M149"/>
    <mergeCell ref="Q149:S149"/>
    <mergeCell ref="W149:Y149"/>
    <mergeCell ref="AC149:AE149"/>
    <mergeCell ref="AI149:AK149"/>
    <mergeCell ref="BM147:BO147"/>
    <mergeCell ref="BP147:BR147"/>
    <mergeCell ref="BS147:BU147"/>
    <mergeCell ref="BV147:BX147"/>
    <mergeCell ref="BY147:CA147"/>
    <mergeCell ref="BG148:BI148"/>
    <mergeCell ref="BM148:BO148"/>
    <mergeCell ref="BY148:CA148"/>
    <mergeCell ref="AL147:AN147"/>
    <mergeCell ref="AR147:AT147"/>
    <mergeCell ref="AU147:AW147"/>
    <mergeCell ref="BD147:BF147"/>
    <mergeCell ref="BG147:BI147"/>
    <mergeCell ref="BJ147:BL147"/>
    <mergeCell ref="B147:D147"/>
    <mergeCell ref="H147:J147"/>
    <mergeCell ref="N147:P147"/>
    <mergeCell ref="T147:V147"/>
    <mergeCell ref="Z147:AB147"/>
    <mergeCell ref="AF147:AH147"/>
    <mergeCell ref="BY145:CA145"/>
    <mergeCell ref="BD146:BF146"/>
    <mergeCell ref="BG146:BI146"/>
    <mergeCell ref="BS146:BU146"/>
    <mergeCell ref="BV146:BX146"/>
    <mergeCell ref="BY146:CA146"/>
    <mergeCell ref="BD145:BF145"/>
    <mergeCell ref="BG145:BI145"/>
    <mergeCell ref="BJ145:BL145"/>
    <mergeCell ref="BM145:BO145"/>
    <mergeCell ref="BP145:BR145"/>
    <mergeCell ref="BV145:BX145"/>
    <mergeCell ref="CN144:CP144"/>
    <mergeCell ref="E145:G145"/>
    <mergeCell ref="K145:M145"/>
    <mergeCell ref="Q145:S145"/>
    <mergeCell ref="T145:V145"/>
    <mergeCell ref="AC145:AE145"/>
    <mergeCell ref="AI145:AK145"/>
    <mergeCell ref="AU145:AW145"/>
    <mergeCell ref="AX145:AZ145"/>
    <mergeCell ref="BA145:BC145"/>
    <mergeCell ref="BG144:BI144"/>
    <mergeCell ref="BJ144:BL144"/>
    <mergeCell ref="BM144:BO144"/>
    <mergeCell ref="BP144:BR144"/>
    <mergeCell ref="BS144:BU144"/>
    <mergeCell ref="BV144:BX144"/>
    <mergeCell ref="AO144:AQ144"/>
    <mergeCell ref="AR144:AT144"/>
    <mergeCell ref="AU144:AW144"/>
    <mergeCell ref="AX144:AZ144"/>
    <mergeCell ref="BA144:BC144"/>
    <mergeCell ref="BD144:BF144"/>
    <mergeCell ref="W144:Y144"/>
    <mergeCell ref="Z144:AB144"/>
    <mergeCell ref="AC144:AE144"/>
    <mergeCell ref="AF144:AH144"/>
    <mergeCell ref="AI144:AK144"/>
    <mergeCell ref="AL144:AN144"/>
    <mergeCell ref="CK143:CM144"/>
    <mergeCell ref="CN143:CP143"/>
    <mergeCell ref="CQ143:CS144"/>
    <mergeCell ref="B144:D144"/>
    <mergeCell ref="E144:G144"/>
    <mergeCell ref="H144:J144"/>
    <mergeCell ref="K144:M144"/>
    <mergeCell ref="N144:P144"/>
    <mergeCell ref="Q144:S144"/>
    <mergeCell ref="T144:V144"/>
    <mergeCell ref="BS143:BU143"/>
    <mergeCell ref="BV143:BX143"/>
    <mergeCell ref="BY143:CA143"/>
    <mergeCell ref="CB143:CD143"/>
    <mergeCell ref="CE143:CG144"/>
    <mergeCell ref="CH143:CJ143"/>
    <mergeCell ref="BY144:CA144"/>
    <mergeCell ref="CB144:CD144"/>
    <mergeCell ref="CH144:CJ144"/>
    <mergeCell ref="BA143:BC143"/>
    <mergeCell ref="BD143:BF143"/>
    <mergeCell ref="BG143:BI143"/>
    <mergeCell ref="BJ143:BL143"/>
    <mergeCell ref="BM143:BO143"/>
    <mergeCell ref="BP143:BR143"/>
    <mergeCell ref="A142:CJ142"/>
    <mergeCell ref="B143:G143"/>
    <mergeCell ref="H143:M143"/>
    <mergeCell ref="N143:S143"/>
    <mergeCell ref="T143:Y143"/>
    <mergeCell ref="Z143:AE143"/>
    <mergeCell ref="AF143:AK143"/>
    <mergeCell ref="AL143:AQ143"/>
    <mergeCell ref="AR143:AW143"/>
    <mergeCell ref="AX143:AZ143"/>
    <mergeCell ref="A102:D102"/>
    <mergeCell ref="A104:D104"/>
    <mergeCell ref="A109:G109"/>
    <mergeCell ref="A117:D117"/>
    <mergeCell ref="A129:D129"/>
    <mergeCell ref="A141:CJ141"/>
    <mergeCell ref="A68:D68"/>
    <mergeCell ref="A81:G81"/>
    <mergeCell ref="A82:G82"/>
    <mergeCell ref="A83:G83"/>
    <mergeCell ref="A84:D84"/>
    <mergeCell ref="A94:D94"/>
    <mergeCell ref="A2:J2"/>
    <mergeCell ref="A3:J5"/>
    <mergeCell ref="B6:D6"/>
    <mergeCell ref="E6:G6"/>
    <mergeCell ref="H6:J6"/>
    <mergeCell ref="A66:D67"/>
  </mergeCells>
  <pageMargins left="0.7" right="0.7" top="0.75" bottom="0.75" header="0.3" footer="0.3"/>
  <legacy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N174"/>
  <sheetViews>
    <sheetView topLeftCell="A43" workbookViewId="0">
      <selection activeCell="B1" sqref="B1"/>
    </sheetView>
  </sheetViews>
  <sheetFormatPr baseColWidth="10" defaultRowHeight="15" x14ac:dyDescent="0.2"/>
  <cols>
    <col min="1" max="1" width="31.33203125" style="106" customWidth="1"/>
    <col min="2" max="2" width="10.83203125" style="106"/>
    <col min="3" max="4" width="6.1640625" style="106" customWidth="1"/>
    <col min="5" max="5" width="11.83203125" style="106" bestFit="1" customWidth="1"/>
    <col min="6" max="7" width="6.1640625" style="106" customWidth="1"/>
    <col min="8" max="8" width="10.83203125" style="106"/>
    <col min="9" max="10" width="6.1640625" style="106" customWidth="1"/>
    <col min="11" max="11" width="10.83203125" style="106"/>
    <col min="12" max="13" width="6.1640625" style="106" customWidth="1"/>
    <col min="14" max="14" width="10.83203125" style="106"/>
    <col min="15" max="16" width="6.1640625" style="106" customWidth="1"/>
    <col min="17" max="17" width="10.83203125" style="106"/>
    <col min="18" max="19" width="6.1640625" style="106" customWidth="1"/>
    <col min="20" max="20" width="10.83203125" style="106"/>
    <col min="21" max="22" width="6.1640625" style="106" customWidth="1"/>
    <col min="23" max="23" width="10.83203125" style="106"/>
    <col min="24" max="25" width="6.1640625" style="106" customWidth="1"/>
    <col min="26" max="26" width="10.83203125" style="106"/>
    <col min="27" max="28" width="6.1640625" style="106" customWidth="1"/>
    <col min="29" max="29" width="10.83203125" style="106"/>
    <col min="30" max="31" width="6.1640625" style="106" customWidth="1"/>
    <col min="32" max="32" width="10.83203125" style="106"/>
    <col min="33" max="34" width="6.1640625" style="106" customWidth="1"/>
    <col min="35" max="35" width="10.83203125" style="106"/>
    <col min="36" max="37" width="6.1640625" style="106" customWidth="1"/>
    <col min="38" max="38" width="10.83203125" style="106"/>
    <col min="39" max="40" width="6.1640625" style="106" customWidth="1"/>
    <col min="41" max="41" width="10.83203125" style="106"/>
    <col min="42" max="43" width="6.1640625" style="106" customWidth="1"/>
    <col min="44" max="44" width="10.83203125" style="106"/>
    <col min="45" max="46" width="6.1640625" style="106" customWidth="1"/>
    <col min="47" max="47" width="10.83203125" style="106"/>
    <col min="48" max="49" width="6.1640625" style="106" customWidth="1"/>
    <col min="50" max="50" width="10.83203125" style="106"/>
    <col min="51" max="52" width="6.1640625" style="106" customWidth="1"/>
    <col min="53" max="53" width="10.83203125" style="106"/>
    <col min="54" max="55" width="6.1640625" style="106" customWidth="1"/>
    <col min="56" max="56" width="10.83203125" style="106"/>
    <col min="57" max="58" width="6.1640625" style="106" customWidth="1"/>
    <col min="59" max="59" width="10.83203125" style="106"/>
    <col min="60" max="61" width="6.1640625" style="106" customWidth="1"/>
    <col min="62" max="62" width="10.83203125" style="106"/>
    <col min="63" max="64" width="6.1640625" style="106" customWidth="1"/>
    <col min="65" max="65" width="10.83203125" style="106"/>
    <col min="66" max="67" width="6.1640625" style="106" customWidth="1"/>
    <col min="68" max="68" width="10.83203125" style="106"/>
    <col min="69" max="70" width="6.1640625" style="106" customWidth="1"/>
    <col min="71" max="71" width="10.83203125" style="106"/>
    <col min="72" max="73" width="6.1640625" style="106" customWidth="1"/>
    <col min="74" max="74" width="10.83203125" style="106"/>
    <col min="75" max="76" width="6.1640625" style="106" customWidth="1"/>
    <col min="77" max="77" width="10.83203125" style="106"/>
    <col min="78" max="79" width="6.1640625" style="106" customWidth="1"/>
    <col min="80" max="80" width="10.83203125" style="106"/>
    <col min="81" max="82" width="6.1640625" style="106" customWidth="1"/>
    <col min="83" max="83" width="10.83203125" style="106"/>
    <col min="84" max="85" width="6.1640625" style="106" customWidth="1"/>
    <col min="86" max="86" width="10.83203125" style="106"/>
    <col min="87" max="88" width="6.1640625" style="106" customWidth="1"/>
    <col min="89" max="89" width="10.83203125" style="106"/>
    <col min="90" max="91" width="6.1640625" style="106" customWidth="1"/>
    <col min="92" max="92" width="10.83203125" style="106"/>
    <col min="93" max="94" width="6.1640625" style="106" customWidth="1"/>
    <col min="95" max="95" width="10.83203125" style="106"/>
    <col min="96" max="97" width="6.1640625" style="106" customWidth="1"/>
    <col min="98" max="98" width="10.83203125" style="106"/>
    <col min="99" max="100" width="6.1640625" style="106" customWidth="1"/>
    <col min="101" max="101" width="10.83203125" style="106"/>
    <col min="102" max="103" width="6.1640625" style="106" customWidth="1"/>
    <col min="104" max="104" width="10.83203125" style="106"/>
    <col min="105" max="106" width="6.1640625" style="106" customWidth="1"/>
    <col min="107" max="107" width="10.83203125" style="106"/>
    <col min="108" max="109" width="6.1640625" style="106" customWidth="1"/>
    <col min="110" max="110" width="10.83203125" style="106"/>
    <col min="111" max="112" width="6.1640625" style="106" customWidth="1"/>
    <col min="113" max="113" width="10.83203125" style="106"/>
    <col min="114" max="115" width="6.1640625" style="106" customWidth="1"/>
    <col min="116" max="116" width="10.83203125" style="106"/>
    <col min="117" max="118" width="6.1640625" style="106" customWidth="1"/>
    <col min="119" max="16384" width="10.83203125" style="106"/>
  </cols>
  <sheetData>
    <row r="1" spans="1:13" x14ac:dyDescent="0.2">
      <c r="A1" s="113" t="s">
        <v>1111</v>
      </c>
    </row>
    <row r="2" spans="1:13" ht="39" customHeight="1" x14ac:dyDescent="0.2">
      <c r="A2" s="281" t="s">
        <v>1407</v>
      </c>
      <c r="B2" s="282"/>
      <c r="C2" s="282"/>
      <c r="D2" s="282"/>
      <c r="E2" s="282"/>
      <c r="F2" s="282"/>
      <c r="G2" s="282"/>
      <c r="H2" s="282"/>
      <c r="I2" s="282"/>
      <c r="J2" s="282"/>
      <c r="K2" s="282"/>
      <c r="L2" s="282"/>
      <c r="M2" s="283"/>
    </row>
    <row r="3" spans="1:13" ht="46.25" customHeight="1" x14ac:dyDescent="0.2">
      <c r="A3" s="284" t="s">
        <v>1408</v>
      </c>
      <c r="B3" s="285" t="s">
        <v>1409</v>
      </c>
      <c r="C3" s="286"/>
      <c r="D3" s="287"/>
      <c r="E3" s="285" t="s">
        <v>1410</v>
      </c>
      <c r="F3" s="286"/>
      <c r="G3" s="287"/>
      <c r="H3" s="285" t="s">
        <v>1411</v>
      </c>
      <c r="I3" s="286"/>
      <c r="J3" s="287"/>
      <c r="K3" s="285" t="s">
        <v>1412</v>
      </c>
      <c r="L3" s="286"/>
      <c r="M3" s="287"/>
    </row>
    <row r="4" spans="1:13" x14ac:dyDescent="0.2">
      <c r="A4" s="178" t="s">
        <v>1413</v>
      </c>
      <c r="B4" s="140">
        <v>166842</v>
      </c>
      <c r="C4" s="184">
        <v>1</v>
      </c>
      <c r="D4" s="142">
        <f>3/4</f>
        <v>0.75</v>
      </c>
      <c r="E4" s="140">
        <v>173883</v>
      </c>
      <c r="F4" s="184">
        <v>6</v>
      </c>
      <c r="G4" s="142">
        <v>0.5</v>
      </c>
      <c r="H4" s="140">
        <v>7041</v>
      </c>
      <c r="I4" s="184">
        <v>4</v>
      </c>
      <c r="J4" s="142">
        <v>0.75</v>
      </c>
      <c r="K4" s="140"/>
      <c r="L4" s="184"/>
      <c r="M4" s="142"/>
    </row>
    <row r="5" spans="1:13" x14ac:dyDescent="0.2">
      <c r="A5" s="178" t="s">
        <v>1414</v>
      </c>
      <c r="B5" s="140">
        <v>288562</v>
      </c>
      <c r="C5" s="184">
        <v>1</v>
      </c>
      <c r="D5" s="142"/>
      <c r="E5" s="140">
        <v>321986</v>
      </c>
      <c r="F5" s="184">
        <v>1</v>
      </c>
      <c r="G5" s="142">
        <v>0.75</v>
      </c>
      <c r="H5" s="140">
        <v>33424</v>
      </c>
      <c r="I5" s="184">
        <v>1</v>
      </c>
      <c r="J5" s="142">
        <v>0.75</v>
      </c>
      <c r="K5" s="140"/>
      <c r="L5" s="184"/>
      <c r="M5" s="142"/>
    </row>
    <row r="6" spans="1:13" x14ac:dyDescent="0.2">
      <c r="A6" s="178" t="s">
        <v>1415</v>
      </c>
      <c r="B6" s="140">
        <v>784694</v>
      </c>
      <c r="C6" s="184">
        <v>5</v>
      </c>
      <c r="D6" s="142">
        <v>0.5</v>
      </c>
      <c r="E6" s="140">
        <v>820438</v>
      </c>
      <c r="F6" s="184">
        <v>4</v>
      </c>
      <c r="G6" s="142">
        <v>0.5</v>
      </c>
      <c r="H6" s="140">
        <v>35743</v>
      </c>
      <c r="I6" s="184">
        <v>7</v>
      </c>
      <c r="J6" s="142"/>
      <c r="K6" s="140"/>
      <c r="L6" s="184"/>
      <c r="M6" s="142"/>
    </row>
    <row r="7" spans="1:13" x14ac:dyDescent="0.2">
      <c r="A7" s="178" t="s">
        <v>1416</v>
      </c>
      <c r="B7" s="140">
        <v>172840</v>
      </c>
      <c r="C7" s="184">
        <v>5</v>
      </c>
      <c r="D7" s="142">
        <v>0.25</v>
      </c>
      <c r="E7" s="140">
        <v>180359</v>
      </c>
      <c r="F7" s="184">
        <v>1</v>
      </c>
      <c r="G7" s="142">
        <v>0.25</v>
      </c>
      <c r="H7" s="140">
        <v>7519</v>
      </c>
      <c r="I7" s="184">
        <v>1</v>
      </c>
      <c r="J7" s="142"/>
      <c r="K7" s="140"/>
      <c r="L7" s="184"/>
      <c r="M7" s="142"/>
    </row>
    <row r="8" spans="1:13" x14ac:dyDescent="0.2">
      <c r="A8" s="178" t="s">
        <v>1417</v>
      </c>
      <c r="B8" s="140">
        <v>14076</v>
      </c>
      <c r="C8" s="184">
        <v>3</v>
      </c>
      <c r="D8" s="142"/>
      <c r="E8" s="140">
        <v>14661</v>
      </c>
      <c r="F8" s="184">
        <v>4</v>
      </c>
      <c r="G8" s="142"/>
      <c r="H8" s="140">
        <v>585</v>
      </c>
      <c r="I8" s="184">
        <v>1</v>
      </c>
      <c r="J8" s="142"/>
      <c r="K8" s="140"/>
      <c r="L8" s="184"/>
      <c r="M8" s="142"/>
    </row>
    <row r="9" spans="1:13" x14ac:dyDescent="0.2">
      <c r="A9" s="178" t="s">
        <v>1392</v>
      </c>
      <c r="B9" s="140">
        <v>578</v>
      </c>
      <c r="C9" s="184">
        <v>5</v>
      </c>
      <c r="D9" s="142">
        <v>0.25</v>
      </c>
      <c r="E9" s="140">
        <v>640</v>
      </c>
      <c r="F9" s="184">
        <v>4</v>
      </c>
      <c r="G9" s="142">
        <v>0.5</v>
      </c>
      <c r="H9" s="140">
        <v>61</v>
      </c>
      <c r="I9" s="184">
        <v>3</v>
      </c>
      <c r="J9" s="142">
        <v>0.25</v>
      </c>
      <c r="K9" s="140"/>
      <c r="L9" s="184"/>
      <c r="M9" s="142"/>
    </row>
    <row r="10" spans="1:13" x14ac:dyDescent="0.2">
      <c r="A10" s="178" t="s">
        <v>1418</v>
      </c>
      <c r="B10" s="140">
        <v>5599</v>
      </c>
      <c r="C10" s="184">
        <v>3</v>
      </c>
      <c r="D10" s="142"/>
      <c r="E10" s="140">
        <v>6651</v>
      </c>
      <c r="F10" s="184">
        <v>4</v>
      </c>
      <c r="G10" s="142"/>
      <c r="H10" s="140">
        <v>1051</v>
      </c>
      <c r="I10" s="184">
        <v>5</v>
      </c>
      <c r="J10" s="142"/>
      <c r="K10" s="140"/>
      <c r="L10" s="184"/>
      <c r="M10" s="142"/>
    </row>
    <row r="11" spans="1:13" x14ac:dyDescent="0.2">
      <c r="A11" s="178" t="s">
        <v>1419</v>
      </c>
      <c r="B11" s="140">
        <v>312</v>
      </c>
      <c r="C11" s="184">
        <v>3</v>
      </c>
      <c r="D11" s="142"/>
      <c r="E11" s="140">
        <v>842</v>
      </c>
      <c r="F11" s="184">
        <v>4</v>
      </c>
      <c r="G11" s="142">
        <v>0.25</v>
      </c>
      <c r="H11" s="140">
        <v>530</v>
      </c>
      <c r="I11" s="184">
        <v>4</v>
      </c>
      <c r="J11" s="142">
        <v>0.25</v>
      </c>
      <c r="K11" s="140"/>
      <c r="L11" s="184"/>
      <c r="M11" s="142"/>
    </row>
    <row r="12" spans="1:13" ht="38" customHeight="1" x14ac:dyDescent="0.2">
      <c r="A12" s="284" t="s">
        <v>1420</v>
      </c>
      <c r="B12" s="285" t="s">
        <v>1409</v>
      </c>
      <c r="C12" s="286"/>
      <c r="D12" s="287"/>
      <c r="E12" s="285" t="s">
        <v>1410</v>
      </c>
      <c r="F12" s="286"/>
      <c r="G12" s="287"/>
      <c r="H12" s="285" t="s">
        <v>1411</v>
      </c>
      <c r="I12" s="286"/>
      <c r="J12" s="287"/>
      <c r="K12" s="285" t="s">
        <v>1412</v>
      </c>
      <c r="L12" s="286"/>
      <c r="M12" s="287"/>
    </row>
    <row r="13" spans="1:13" x14ac:dyDescent="0.2">
      <c r="A13" s="178" t="s">
        <v>1174</v>
      </c>
      <c r="B13" s="140">
        <v>1134107</v>
      </c>
      <c r="C13" s="184">
        <v>3</v>
      </c>
      <c r="D13" s="142"/>
      <c r="E13" s="140">
        <v>1124345</v>
      </c>
      <c r="F13" s="184">
        <v>4</v>
      </c>
      <c r="G13" s="142">
        <v>0.75</v>
      </c>
      <c r="H13" s="140"/>
      <c r="I13" s="184"/>
      <c r="J13" s="142"/>
      <c r="K13" s="140">
        <v>9761</v>
      </c>
      <c r="L13" s="184">
        <v>6</v>
      </c>
      <c r="M13" s="142">
        <v>0.25</v>
      </c>
    </row>
    <row r="14" spans="1:13" x14ac:dyDescent="0.2">
      <c r="A14" s="178" t="s">
        <v>1175</v>
      </c>
      <c r="B14" s="140">
        <v>80681</v>
      </c>
      <c r="C14" s="184">
        <v>1</v>
      </c>
      <c r="D14" s="142"/>
      <c r="E14" s="140">
        <v>80462</v>
      </c>
      <c r="F14" s="184">
        <v>3</v>
      </c>
      <c r="G14" s="142">
        <v>0.75</v>
      </c>
      <c r="H14" s="140"/>
      <c r="I14" s="184"/>
      <c r="J14" s="142"/>
      <c r="K14" s="140">
        <v>218</v>
      </c>
      <c r="L14" s="184">
        <v>5</v>
      </c>
      <c r="M14" s="142">
        <v>0.25</v>
      </c>
    </row>
    <row r="15" spans="1:13" x14ac:dyDescent="0.2">
      <c r="A15" s="178" t="s">
        <v>1401</v>
      </c>
      <c r="B15" s="140">
        <v>79539</v>
      </c>
      <c r="C15" s="184">
        <v>2</v>
      </c>
      <c r="D15" s="142">
        <v>0.5</v>
      </c>
      <c r="E15" s="140">
        <v>74480</v>
      </c>
      <c r="F15" s="184">
        <v>6</v>
      </c>
      <c r="G15" s="142">
        <v>0.25</v>
      </c>
      <c r="H15" s="140"/>
      <c r="I15" s="184"/>
      <c r="J15" s="142"/>
      <c r="K15" s="140">
        <v>5058</v>
      </c>
      <c r="L15" s="184">
        <v>4</v>
      </c>
      <c r="M15" s="142">
        <v>0.25</v>
      </c>
    </row>
    <row r="16" spans="1:13" x14ac:dyDescent="0.2">
      <c r="A16" s="178" t="s">
        <v>1421</v>
      </c>
      <c r="B16" s="140">
        <v>59508</v>
      </c>
      <c r="C16" s="184">
        <v>4</v>
      </c>
      <c r="D16" s="142"/>
      <c r="E16" s="140">
        <v>51008</v>
      </c>
      <c r="F16" s="184">
        <v>7</v>
      </c>
      <c r="G16" s="142">
        <v>0.75</v>
      </c>
      <c r="H16" s="140"/>
      <c r="I16" s="184"/>
      <c r="J16" s="142"/>
      <c r="K16" s="140">
        <v>8499</v>
      </c>
      <c r="L16" s="184">
        <v>4</v>
      </c>
      <c r="M16" s="142">
        <v>0.25</v>
      </c>
    </row>
    <row r="17" spans="1:13" x14ac:dyDescent="0.2">
      <c r="A17" s="178" t="s">
        <v>1422</v>
      </c>
      <c r="B17" s="140">
        <v>41184</v>
      </c>
      <c r="C17" s="184">
        <v>5</v>
      </c>
      <c r="D17" s="142"/>
      <c r="E17" s="140">
        <v>36978</v>
      </c>
      <c r="F17" s="184">
        <v>6</v>
      </c>
      <c r="G17" s="142">
        <v>0.5</v>
      </c>
      <c r="H17" s="140"/>
      <c r="I17" s="184"/>
      <c r="J17" s="142"/>
      <c r="K17" s="140">
        <v>4205</v>
      </c>
      <c r="L17" s="184">
        <v>6</v>
      </c>
      <c r="M17" s="142">
        <v>0.5</v>
      </c>
    </row>
    <row r="18" spans="1:13" x14ac:dyDescent="0.2">
      <c r="A18" s="178" t="s">
        <v>1400</v>
      </c>
      <c r="B18" s="140">
        <v>6789</v>
      </c>
      <c r="C18" s="184">
        <v>3</v>
      </c>
      <c r="D18" s="142">
        <v>0.25</v>
      </c>
      <c r="E18" s="140">
        <v>280</v>
      </c>
      <c r="F18" s="184">
        <v>2</v>
      </c>
      <c r="G18" s="142">
        <v>0.75</v>
      </c>
      <c r="H18" s="140"/>
      <c r="I18" s="184"/>
      <c r="J18" s="142"/>
      <c r="K18" s="140">
        <v>6509</v>
      </c>
      <c r="L18" s="184">
        <v>6</v>
      </c>
      <c r="M18" s="142">
        <v>0.5</v>
      </c>
    </row>
    <row r="19" spans="1:13" x14ac:dyDescent="0.2">
      <c r="A19" s="178" t="s">
        <v>1423</v>
      </c>
      <c r="B19" s="140">
        <v>25679</v>
      </c>
      <c r="C19" s="184">
        <v>3</v>
      </c>
      <c r="D19" s="142">
        <v>0.25</v>
      </c>
      <c r="E19" s="140">
        <v>10285</v>
      </c>
      <c r="F19" s="184">
        <v>6</v>
      </c>
      <c r="G19" s="142">
        <v>0.75</v>
      </c>
      <c r="H19" s="140"/>
      <c r="I19" s="184"/>
      <c r="J19" s="142"/>
      <c r="K19" s="140">
        <v>15393</v>
      </c>
      <c r="L19" s="184">
        <v>4</v>
      </c>
      <c r="M19" s="142">
        <v>0.5</v>
      </c>
    </row>
    <row r="20" spans="1:13" x14ac:dyDescent="0.2">
      <c r="A20" s="178" t="s">
        <v>1424</v>
      </c>
      <c r="B20" s="140">
        <v>927</v>
      </c>
      <c r="C20" s="184">
        <v>5</v>
      </c>
      <c r="D20" s="142">
        <v>0.5</v>
      </c>
      <c r="E20" s="140"/>
      <c r="F20" s="184"/>
      <c r="G20" s="142"/>
      <c r="H20" s="140"/>
      <c r="I20" s="184"/>
      <c r="J20" s="142"/>
      <c r="K20" s="140">
        <v>927</v>
      </c>
      <c r="L20" s="184">
        <v>5</v>
      </c>
      <c r="M20" s="142">
        <v>0.5</v>
      </c>
    </row>
    <row r="21" spans="1:13" x14ac:dyDescent="0.2">
      <c r="A21" s="178" t="s">
        <v>1425</v>
      </c>
      <c r="B21" s="140">
        <v>887</v>
      </c>
      <c r="C21" s="184">
        <v>6</v>
      </c>
      <c r="D21" s="142"/>
      <c r="E21" s="140">
        <v>616</v>
      </c>
      <c r="F21" s="184">
        <v>4</v>
      </c>
      <c r="G21" s="142">
        <v>0.25</v>
      </c>
      <c r="H21" s="140"/>
      <c r="I21" s="184"/>
      <c r="J21" s="142"/>
      <c r="K21" s="140">
        <v>271</v>
      </c>
      <c r="L21" s="184">
        <v>1</v>
      </c>
      <c r="M21" s="142">
        <v>0.75</v>
      </c>
    </row>
    <row r="22" spans="1:13" ht="16" thickBot="1" x14ac:dyDescent="0.25">
      <c r="A22" s="178" t="s">
        <v>1426</v>
      </c>
      <c r="B22" s="288">
        <v>109738</v>
      </c>
      <c r="C22" s="289">
        <v>5</v>
      </c>
      <c r="D22" s="290">
        <v>0.5</v>
      </c>
      <c r="E22" s="140">
        <v>74828</v>
      </c>
      <c r="F22" s="184">
        <v>7</v>
      </c>
      <c r="G22" s="142">
        <v>0.25</v>
      </c>
      <c r="H22" s="140"/>
      <c r="I22" s="184"/>
      <c r="J22" s="142"/>
      <c r="K22" s="288">
        <v>34909</v>
      </c>
      <c r="L22" s="289">
        <v>6</v>
      </c>
      <c r="M22" s="290">
        <v>0.25</v>
      </c>
    </row>
    <row r="23" spans="1:13" x14ac:dyDescent="0.2">
      <c r="A23" s="178"/>
      <c r="B23" s="140">
        <v>2972549</v>
      </c>
      <c r="C23" s="184">
        <v>1</v>
      </c>
      <c r="D23" s="142">
        <v>0.75</v>
      </c>
      <c r="E23" s="140"/>
      <c r="F23" s="184"/>
      <c r="G23" s="142"/>
      <c r="H23" s="140"/>
      <c r="I23" s="184"/>
      <c r="J23" s="142"/>
      <c r="K23" s="140">
        <v>85755</v>
      </c>
      <c r="L23" s="184">
        <v>5</v>
      </c>
      <c r="M23" s="142"/>
    </row>
    <row r="24" spans="1:13" x14ac:dyDescent="0.2">
      <c r="A24" s="178"/>
      <c r="B24" s="137">
        <f>SUM(B4:B22)</f>
        <v>2972542</v>
      </c>
      <c r="C24" s="192">
        <f>SUM(C4:C22)</f>
        <v>63</v>
      </c>
      <c r="D24" s="139">
        <f>SUM(D4:D22)</f>
        <v>3.75</v>
      </c>
      <c r="E24" s="140"/>
      <c r="F24" s="184"/>
      <c r="G24" s="142"/>
      <c r="H24" s="140"/>
      <c r="I24" s="184"/>
      <c r="J24" s="142"/>
      <c r="K24" s="137">
        <f>SUM(K13:K22)</f>
        <v>85750</v>
      </c>
      <c r="L24" s="192">
        <f>SUM(L13:L22)</f>
        <v>47</v>
      </c>
      <c r="M24" s="139">
        <f>SUM(M13:M22)</f>
        <v>4</v>
      </c>
    </row>
    <row r="25" spans="1:13" ht="29.5" customHeight="1" thickBot="1" x14ac:dyDescent="0.25">
      <c r="A25" s="291" t="s">
        <v>1427</v>
      </c>
      <c r="B25" s="292">
        <v>201</v>
      </c>
      <c r="C25" s="293">
        <v>7</v>
      </c>
      <c r="D25" s="294"/>
      <c r="E25" s="295"/>
      <c r="F25" s="296"/>
      <c r="G25" s="297"/>
      <c r="H25" s="295"/>
      <c r="I25" s="296"/>
      <c r="J25" s="297"/>
      <c r="K25" s="292">
        <v>201</v>
      </c>
      <c r="L25" s="293">
        <v>7</v>
      </c>
      <c r="M25" s="294"/>
    </row>
    <row r="26" spans="1:13" x14ac:dyDescent="0.2">
      <c r="A26" s="298"/>
      <c r="B26" s="299">
        <f>E28-B24</f>
        <v>200</v>
      </c>
      <c r="C26" s="300">
        <f>F28-C24</f>
        <v>10</v>
      </c>
      <c r="D26" s="154">
        <f>G28-D24</f>
        <v>4</v>
      </c>
      <c r="E26" s="301"/>
      <c r="F26" s="302"/>
      <c r="G26" s="303"/>
      <c r="H26" s="301"/>
      <c r="I26" s="302"/>
      <c r="J26" s="303"/>
      <c r="K26" s="299">
        <f>H28-K24</f>
        <v>204</v>
      </c>
      <c r="L26" s="300">
        <f>I28-L24</f>
        <v>-21</v>
      </c>
      <c r="M26" s="154">
        <f>J28-M24</f>
        <v>-2</v>
      </c>
    </row>
    <row r="27" spans="1:13" x14ac:dyDescent="0.2">
      <c r="A27" s="164"/>
      <c r="B27" s="140">
        <v>2972751</v>
      </c>
      <c r="C27" s="184">
        <v>7</v>
      </c>
      <c r="D27" s="142">
        <v>0.75</v>
      </c>
      <c r="E27" s="140">
        <v>2972751</v>
      </c>
      <c r="F27" s="184">
        <v>7</v>
      </c>
      <c r="G27" s="142">
        <v>0.75</v>
      </c>
      <c r="H27" s="140">
        <v>85957</v>
      </c>
      <c r="I27" s="184">
        <v>4</v>
      </c>
      <c r="J27" s="142"/>
      <c r="K27" s="140">
        <v>85957</v>
      </c>
      <c r="L27" s="184">
        <v>4</v>
      </c>
      <c r="M27" s="142"/>
    </row>
    <row r="28" spans="1:13" x14ac:dyDescent="0.2">
      <c r="A28" s="151"/>
      <c r="B28" s="299">
        <f>B24+B26</f>
        <v>2972742</v>
      </c>
      <c r="C28" s="300">
        <f>C24+C26</f>
        <v>73</v>
      </c>
      <c r="D28" s="154">
        <f>D24+D26</f>
        <v>7.75</v>
      </c>
      <c r="E28" s="299">
        <f>SUM(E4:E11)+SUM(E13:E22)</f>
        <v>2972742</v>
      </c>
      <c r="F28" s="300">
        <f>SUM(F4:F11)+SUM(F13:F22)</f>
        <v>73</v>
      </c>
      <c r="G28" s="154">
        <f>SUM(G4:G11)+SUM(G13:G22)</f>
        <v>7.75</v>
      </c>
      <c r="H28" s="299">
        <f>SUM(H4:H11)</f>
        <v>85954</v>
      </c>
      <c r="I28" s="300">
        <f>SUM(I4:I11)</f>
        <v>26</v>
      </c>
      <c r="J28" s="154">
        <f>SUM(J4:J11)</f>
        <v>2</v>
      </c>
      <c r="K28" s="299">
        <f>K24+K26</f>
        <v>85954</v>
      </c>
      <c r="L28" s="300">
        <f>L24+L26</f>
        <v>26</v>
      </c>
      <c r="M28" s="154">
        <f>M24+M26</f>
        <v>2</v>
      </c>
    </row>
    <row r="32" spans="1:13" x14ac:dyDescent="0.2">
      <c r="A32" s="113" t="s">
        <v>1428</v>
      </c>
    </row>
    <row r="33" spans="1:10" ht="39" customHeight="1" x14ac:dyDescent="0.2">
      <c r="A33" s="155" t="s">
        <v>1429</v>
      </c>
      <c r="B33" s="156"/>
      <c r="C33" s="156"/>
      <c r="D33" s="156"/>
      <c r="E33" s="156"/>
      <c r="F33" s="156"/>
      <c r="G33" s="156"/>
      <c r="H33" s="156"/>
      <c r="I33" s="156"/>
      <c r="J33" s="157"/>
    </row>
    <row r="34" spans="1:10" ht="20" customHeight="1" x14ac:dyDescent="0.2">
      <c r="A34" s="274" t="s">
        <v>1430</v>
      </c>
      <c r="B34" s="275"/>
      <c r="C34" s="275"/>
      <c r="D34" s="275"/>
      <c r="E34" s="275"/>
      <c r="F34" s="275"/>
      <c r="G34" s="275"/>
      <c r="H34" s="275"/>
      <c r="I34" s="275"/>
      <c r="J34" s="276"/>
    </row>
    <row r="35" spans="1:10" ht="20" customHeight="1" x14ac:dyDescent="0.2">
      <c r="A35" s="158" t="s">
        <v>1185</v>
      </c>
      <c r="B35" s="159"/>
      <c r="C35" s="159"/>
      <c r="D35" s="159"/>
      <c r="E35" s="159"/>
      <c r="F35" s="159"/>
      <c r="G35" s="159"/>
      <c r="H35" s="159"/>
      <c r="I35" s="159"/>
      <c r="J35" s="160"/>
    </row>
    <row r="36" spans="1:10" ht="27.5" customHeight="1" x14ac:dyDescent="0.2">
      <c r="A36" s="174" t="s">
        <v>1431</v>
      </c>
      <c r="B36" s="304"/>
      <c r="C36" s="304"/>
      <c r="D36" s="304"/>
      <c r="E36" s="134"/>
      <c r="F36" s="134"/>
      <c r="G36" s="180"/>
      <c r="H36" s="134"/>
      <c r="I36" s="134"/>
      <c r="J36" s="185"/>
    </row>
    <row r="37" spans="1:10" ht="21" customHeight="1" x14ac:dyDescent="0.2">
      <c r="A37" s="305" t="s">
        <v>1189</v>
      </c>
      <c r="B37" s="306"/>
      <c r="C37" s="306"/>
      <c r="D37" s="306"/>
      <c r="E37" s="145">
        <v>20000</v>
      </c>
      <c r="F37" s="145"/>
      <c r="G37" s="180"/>
      <c r="H37" s="145"/>
      <c r="I37" s="145"/>
      <c r="J37" s="307"/>
    </row>
    <row r="38" spans="1:10" ht="33.5" customHeight="1" x14ac:dyDescent="0.2">
      <c r="A38" s="305" t="s">
        <v>1432</v>
      </c>
      <c r="B38" s="306"/>
      <c r="C38" s="306"/>
      <c r="D38" s="306"/>
      <c r="E38" s="145">
        <v>2165</v>
      </c>
      <c r="F38" s="145"/>
      <c r="G38" s="180"/>
      <c r="H38" s="145"/>
      <c r="I38" s="145"/>
      <c r="J38" s="307"/>
    </row>
    <row r="39" spans="1:10" ht="33.5" customHeight="1" x14ac:dyDescent="0.2">
      <c r="A39" s="305" t="s">
        <v>1433</v>
      </c>
      <c r="B39" s="306"/>
      <c r="C39" s="306"/>
      <c r="D39" s="306"/>
      <c r="E39" s="145">
        <v>996625</v>
      </c>
      <c r="F39" s="145">
        <v>1</v>
      </c>
      <c r="G39" s="180">
        <v>0.5</v>
      </c>
      <c r="H39" s="145"/>
      <c r="I39" s="145"/>
      <c r="J39" s="307"/>
    </row>
    <row r="40" spans="1:10" ht="21.5" customHeight="1" x14ac:dyDescent="0.2">
      <c r="A40" s="305" t="s">
        <v>1434</v>
      </c>
      <c r="B40" s="306"/>
      <c r="C40" s="306"/>
      <c r="D40" s="306"/>
      <c r="E40" s="145">
        <v>2848</v>
      </c>
      <c r="F40" s="145">
        <v>2</v>
      </c>
      <c r="G40" s="180">
        <v>0.25</v>
      </c>
      <c r="H40" s="145"/>
      <c r="I40" s="145"/>
      <c r="J40" s="307"/>
    </row>
    <row r="41" spans="1:10" ht="33.5" customHeight="1" x14ac:dyDescent="0.2">
      <c r="A41" s="305" t="s">
        <v>1435</v>
      </c>
      <c r="B41" s="306"/>
      <c r="C41" s="306"/>
      <c r="D41" s="306"/>
      <c r="E41" s="145">
        <v>3375</v>
      </c>
      <c r="F41" s="145">
        <v>7</v>
      </c>
      <c r="G41" s="180">
        <v>0.75</v>
      </c>
      <c r="H41" s="145"/>
      <c r="I41" s="145"/>
      <c r="J41" s="307"/>
    </row>
    <row r="42" spans="1:10" ht="33.5" customHeight="1" x14ac:dyDescent="0.2">
      <c r="A42" s="305" t="s">
        <v>1436</v>
      </c>
      <c r="B42" s="306"/>
      <c r="C42" s="306"/>
      <c r="D42" s="306"/>
      <c r="E42" s="145">
        <v>382134</v>
      </c>
      <c r="F42" s="145">
        <v>3</v>
      </c>
      <c r="G42" s="180">
        <v>0.75</v>
      </c>
      <c r="H42" s="145"/>
      <c r="I42" s="145"/>
      <c r="J42" s="307"/>
    </row>
    <row r="43" spans="1:10" ht="21" customHeight="1" x14ac:dyDescent="0.2">
      <c r="A43" s="305" t="s">
        <v>1437</v>
      </c>
      <c r="B43" s="306"/>
      <c r="C43" s="306"/>
      <c r="D43" s="306"/>
      <c r="E43" s="145">
        <v>2345</v>
      </c>
      <c r="F43" s="145">
        <v>7</v>
      </c>
      <c r="G43" s="308">
        <v>0.25</v>
      </c>
      <c r="H43" s="145"/>
      <c r="I43" s="145"/>
      <c r="J43" s="307"/>
    </row>
    <row r="44" spans="1:10" ht="33.5" customHeight="1" x14ac:dyDescent="0.2">
      <c r="A44" s="305" t="s">
        <v>1438</v>
      </c>
      <c r="B44" s="306"/>
      <c r="C44" s="306"/>
      <c r="D44" s="306"/>
      <c r="E44" s="309">
        <v>413944</v>
      </c>
      <c r="F44" s="309">
        <v>7</v>
      </c>
      <c r="G44" s="310">
        <v>0.25</v>
      </c>
      <c r="H44" s="145">
        <v>1823439</v>
      </c>
      <c r="I44" s="145">
        <v>4</v>
      </c>
      <c r="J44" s="133">
        <v>0.75</v>
      </c>
    </row>
    <row r="45" spans="1:10" ht="22.25" customHeight="1" x14ac:dyDescent="0.2">
      <c r="A45" s="178"/>
      <c r="B45" s="134"/>
      <c r="C45" s="134"/>
      <c r="D45" s="134"/>
      <c r="E45" s="145"/>
      <c r="F45" s="145"/>
      <c r="G45" s="180"/>
      <c r="H45" s="138">
        <f>+SUM(E44+E43+E42+E41+E40+E39+E38+E37)+I45</f>
        <v>1823439.375</v>
      </c>
      <c r="I45" s="138">
        <f>+SUM(F44+F43+F42+F41+F40+F39+F38+F37)/8</f>
        <v>3.375</v>
      </c>
      <c r="J45" s="139">
        <f>+SUM(G44+G43+G42+G41+G40+G39+G38+G37)</f>
        <v>2.75</v>
      </c>
    </row>
    <row r="46" spans="1:10" ht="45.5" customHeight="1" x14ac:dyDescent="0.2">
      <c r="A46" s="305" t="s">
        <v>1439</v>
      </c>
      <c r="B46" s="306"/>
      <c r="C46" s="306"/>
      <c r="D46" s="306"/>
      <c r="E46" s="145">
        <v>58897</v>
      </c>
      <c r="F46" s="145">
        <v>3</v>
      </c>
      <c r="G46" s="180">
        <v>0.25</v>
      </c>
      <c r="H46" s="145"/>
      <c r="I46" s="145"/>
      <c r="J46" s="307"/>
    </row>
    <row r="47" spans="1:10" ht="19.25" customHeight="1" x14ac:dyDescent="0.2">
      <c r="A47" s="305" t="s">
        <v>1440</v>
      </c>
      <c r="B47" s="306"/>
      <c r="C47" s="306"/>
      <c r="D47" s="306"/>
      <c r="E47" s="145">
        <v>9548</v>
      </c>
      <c r="F47" s="145">
        <v>3</v>
      </c>
      <c r="G47" s="180">
        <v>0.25</v>
      </c>
      <c r="H47" s="145"/>
      <c r="I47" s="145"/>
      <c r="J47" s="133"/>
    </row>
    <row r="48" spans="1:10" ht="42.5" customHeight="1" x14ac:dyDescent="0.2">
      <c r="A48" s="174" t="s">
        <v>1441</v>
      </c>
      <c r="B48" s="304"/>
      <c r="C48" s="304"/>
      <c r="D48" s="304"/>
      <c r="E48" s="145"/>
      <c r="F48" s="145"/>
      <c r="G48" s="180"/>
      <c r="H48" s="134"/>
      <c r="I48" s="134"/>
      <c r="J48" s="185"/>
    </row>
    <row r="49" spans="1:10" ht="21.5" customHeight="1" x14ac:dyDescent="0.2">
      <c r="A49" s="178" t="s">
        <v>1442</v>
      </c>
      <c r="B49" s="145">
        <v>16062</v>
      </c>
      <c r="C49" s="145">
        <v>6</v>
      </c>
      <c r="D49" s="180">
        <v>0.25</v>
      </c>
      <c r="E49" s="145"/>
      <c r="F49" s="145"/>
      <c r="G49" s="180"/>
      <c r="H49" s="145"/>
      <c r="I49" s="145"/>
      <c r="J49" s="133"/>
    </row>
    <row r="50" spans="1:10" x14ac:dyDescent="0.2">
      <c r="A50" s="178" t="s">
        <v>1443</v>
      </c>
      <c r="B50" s="145">
        <v>14499</v>
      </c>
      <c r="C50" s="145">
        <v>5</v>
      </c>
      <c r="D50" s="180">
        <v>0.25</v>
      </c>
      <c r="E50" s="145"/>
      <c r="F50" s="145"/>
      <c r="G50" s="180"/>
      <c r="H50" s="145"/>
      <c r="I50" s="145"/>
      <c r="J50" s="133"/>
    </row>
    <row r="51" spans="1:10" ht="20.5" customHeight="1" x14ac:dyDescent="0.2">
      <c r="A51" s="178" t="s">
        <v>1444</v>
      </c>
      <c r="B51" s="145">
        <v>8416</v>
      </c>
      <c r="C51" s="145">
        <v>3</v>
      </c>
      <c r="D51" s="180">
        <v>0.25</v>
      </c>
      <c r="E51" s="145"/>
      <c r="F51" s="145"/>
      <c r="G51" s="180"/>
      <c r="H51" s="145"/>
      <c r="I51" s="145"/>
      <c r="J51" s="133"/>
    </row>
    <row r="52" spans="1:10" x14ac:dyDescent="0.2">
      <c r="A52" s="178" t="s">
        <v>1445</v>
      </c>
      <c r="B52" s="145">
        <v>445</v>
      </c>
      <c r="C52" s="145">
        <v>3</v>
      </c>
      <c r="D52" s="180">
        <v>0.25</v>
      </c>
      <c r="E52" s="145"/>
      <c r="F52" s="145"/>
      <c r="G52" s="180"/>
      <c r="H52" s="145"/>
      <c r="I52" s="145"/>
      <c r="J52" s="133"/>
    </row>
    <row r="53" spans="1:10" ht="18" customHeight="1" x14ac:dyDescent="0.2">
      <c r="A53" s="178" t="s">
        <v>1446</v>
      </c>
      <c r="B53" s="145">
        <v>115</v>
      </c>
      <c r="C53" s="145">
        <v>3</v>
      </c>
      <c r="D53" s="180">
        <v>0.25</v>
      </c>
      <c r="E53" s="145"/>
      <c r="F53" s="145"/>
      <c r="G53" s="180"/>
      <c r="H53" s="145"/>
      <c r="I53" s="145"/>
      <c r="J53" s="133"/>
    </row>
    <row r="54" spans="1:10" x14ac:dyDescent="0.2">
      <c r="A54" s="178" t="s">
        <v>1447</v>
      </c>
      <c r="B54" s="145">
        <v>796</v>
      </c>
      <c r="C54" s="145">
        <v>4</v>
      </c>
      <c r="D54" s="311">
        <v>0.5</v>
      </c>
      <c r="E54" s="145"/>
      <c r="F54" s="145"/>
      <c r="G54" s="180"/>
      <c r="H54" s="145"/>
      <c r="I54" s="145"/>
      <c r="J54" s="133"/>
    </row>
    <row r="55" spans="1:10" x14ac:dyDescent="0.2">
      <c r="A55" s="178" t="s">
        <v>1448</v>
      </c>
      <c r="B55" s="145">
        <v>3608</v>
      </c>
      <c r="C55" s="145">
        <v>2</v>
      </c>
      <c r="D55" s="180">
        <v>0.75</v>
      </c>
      <c r="E55" s="145"/>
      <c r="F55" s="145"/>
      <c r="G55" s="180"/>
      <c r="H55" s="145"/>
      <c r="I55" s="145"/>
      <c r="J55" s="133"/>
    </row>
    <row r="56" spans="1:10" x14ac:dyDescent="0.2">
      <c r="A56" s="178" t="s">
        <v>1449</v>
      </c>
      <c r="B56" s="145">
        <v>3200</v>
      </c>
      <c r="C56" s="145">
        <v>2</v>
      </c>
      <c r="D56" s="180">
        <v>0.75</v>
      </c>
      <c r="E56" s="145"/>
      <c r="F56" s="145"/>
      <c r="G56" s="180"/>
      <c r="H56" s="145"/>
      <c r="I56" s="145"/>
      <c r="J56" s="133"/>
    </row>
    <row r="57" spans="1:10" x14ac:dyDescent="0.2">
      <c r="A57" s="178" t="s">
        <v>1450</v>
      </c>
      <c r="B57" s="145">
        <v>137</v>
      </c>
      <c r="C57" s="145">
        <v>6</v>
      </c>
      <c r="D57" s="180">
        <v>0.25</v>
      </c>
      <c r="E57" s="145"/>
      <c r="F57" s="145"/>
      <c r="G57" s="180"/>
      <c r="H57" s="145"/>
      <c r="I57" s="145"/>
      <c r="J57" s="133"/>
    </row>
    <row r="58" spans="1:10" x14ac:dyDescent="0.2">
      <c r="A58" s="178" t="s">
        <v>1451</v>
      </c>
      <c r="B58" s="145">
        <v>1013</v>
      </c>
      <c r="C58" s="145">
        <v>7</v>
      </c>
      <c r="D58" s="180">
        <v>0.25</v>
      </c>
      <c r="E58" s="145"/>
      <c r="F58" s="145"/>
      <c r="G58" s="180"/>
      <c r="H58" s="145"/>
      <c r="I58" s="145"/>
      <c r="J58" s="133"/>
    </row>
    <row r="59" spans="1:10" x14ac:dyDescent="0.2">
      <c r="A59" s="178" t="s">
        <v>1452</v>
      </c>
      <c r="B59" s="145">
        <v>697</v>
      </c>
      <c r="C59" s="145">
        <v>3</v>
      </c>
      <c r="D59" s="180">
        <v>0.25</v>
      </c>
      <c r="E59" s="145"/>
      <c r="F59" s="145"/>
      <c r="G59" s="180"/>
      <c r="H59" s="145"/>
      <c r="I59" s="145"/>
      <c r="J59" s="133"/>
    </row>
    <row r="60" spans="1:10" x14ac:dyDescent="0.2">
      <c r="A60" s="178" t="s">
        <v>1453</v>
      </c>
      <c r="B60" s="145">
        <v>9002</v>
      </c>
      <c r="C60" s="145">
        <v>5</v>
      </c>
      <c r="D60" s="180">
        <v>0.25</v>
      </c>
      <c r="E60" s="145"/>
      <c r="F60" s="145"/>
      <c r="G60" s="180"/>
      <c r="H60" s="145"/>
      <c r="I60" s="145"/>
      <c r="J60" s="133"/>
    </row>
    <row r="61" spans="1:10" x14ac:dyDescent="0.2">
      <c r="A61" s="178" t="s">
        <v>1454</v>
      </c>
      <c r="B61" s="145">
        <v>189</v>
      </c>
      <c r="C61" s="145">
        <v>4</v>
      </c>
      <c r="D61" s="180">
        <v>0.25</v>
      </c>
      <c r="E61" s="145"/>
      <c r="F61" s="145"/>
      <c r="G61" s="180"/>
      <c r="H61" s="145"/>
      <c r="I61" s="145"/>
      <c r="J61" s="133"/>
    </row>
    <row r="62" spans="1:10" x14ac:dyDescent="0.2">
      <c r="A62" s="178" t="s">
        <v>1455</v>
      </c>
      <c r="B62" s="145">
        <v>8</v>
      </c>
      <c r="C62" s="145">
        <v>4</v>
      </c>
      <c r="D62" s="180">
        <v>0.25</v>
      </c>
      <c r="E62" s="145"/>
      <c r="F62" s="145"/>
      <c r="G62" s="180"/>
      <c r="H62" s="145"/>
      <c r="I62" s="145"/>
      <c r="J62" s="133"/>
    </row>
    <row r="63" spans="1:10" x14ac:dyDescent="0.2">
      <c r="A63" s="178" t="s">
        <v>1456</v>
      </c>
      <c r="B63" s="145">
        <v>637</v>
      </c>
      <c r="C63" s="145">
        <v>4</v>
      </c>
      <c r="D63" s="311">
        <v>0.5</v>
      </c>
      <c r="E63" s="145"/>
      <c r="F63" s="145"/>
      <c r="G63" s="180"/>
      <c r="H63" s="145"/>
      <c r="I63" s="145"/>
      <c r="J63" s="133"/>
    </row>
    <row r="64" spans="1:10" x14ac:dyDescent="0.2">
      <c r="A64" s="178" t="s">
        <v>1457</v>
      </c>
      <c r="B64" s="145">
        <v>7686</v>
      </c>
      <c r="C64" s="145">
        <v>2</v>
      </c>
      <c r="D64" s="180">
        <v>0.75</v>
      </c>
      <c r="E64" s="145"/>
      <c r="F64" s="145"/>
      <c r="G64" s="180"/>
      <c r="H64" s="145"/>
      <c r="I64" s="145"/>
      <c r="J64" s="133"/>
    </row>
    <row r="65" spans="1:10" ht="17.5" customHeight="1" x14ac:dyDescent="0.2">
      <c r="A65" s="178" t="s">
        <v>1458</v>
      </c>
      <c r="B65" s="145">
        <v>10062</v>
      </c>
      <c r="C65" s="145">
        <v>1</v>
      </c>
      <c r="D65" s="180">
        <v>0.75</v>
      </c>
      <c r="E65" s="145"/>
      <c r="F65" s="145"/>
      <c r="G65" s="180"/>
      <c r="H65" s="145"/>
      <c r="I65" s="145"/>
      <c r="J65" s="133"/>
    </row>
    <row r="66" spans="1:10" ht="16.25" customHeight="1" x14ac:dyDescent="0.2">
      <c r="A66" s="178" t="s">
        <v>1459</v>
      </c>
      <c r="B66" s="145">
        <v>419</v>
      </c>
      <c r="C66" s="145">
        <v>1</v>
      </c>
      <c r="D66" s="180">
        <v>0.75</v>
      </c>
      <c r="E66" s="145"/>
      <c r="F66" s="145"/>
      <c r="G66" s="180"/>
      <c r="H66" s="145"/>
      <c r="I66" s="145"/>
      <c r="J66" s="133"/>
    </row>
    <row r="67" spans="1:10" x14ac:dyDescent="0.2">
      <c r="A67" s="178" t="s">
        <v>1460</v>
      </c>
      <c r="B67" s="309">
        <v>10625</v>
      </c>
      <c r="C67" s="309">
        <v>1</v>
      </c>
      <c r="D67" s="310">
        <v>0.75</v>
      </c>
      <c r="E67" s="309">
        <v>87623</v>
      </c>
      <c r="F67" s="309">
        <v>6</v>
      </c>
      <c r="G67" s="310">
        <v>0.5</v>
      </c>
      <c r="H67" s="145">
        <v>156069</v>
      </c>
      <c r="I67" s="145">
        <v>4</v>
      </c>
      <c r="J67" s="133">
        <v>0.75</v>
      </c>
    </row>
    <row r="68" spans="1:10" x14ac:dyDescent="0.2">
      <c r="A68" s="178"/>
      <c r="B68" s="145"/>
      <c r="C68" s="145"/>
      <c r="D68" s="180"/>
      <c r="E68" s="138">
        <f>SUM(B49:B67)+F68</f>
        <v>87624.25</v>
      </c>
      <c r="F68" s="138">
        <f>SUM(C49:C67)/8</f>
        <v>8.25</v>
      </c>
      <c r="G68" s="312">
        <f>SUM(D49:D67)</f>
        <v>8.25</v>
      </c>
      <c r="H68" s="138">
        <f>E68+E46+E47+I68</f>
        <v>156071.03125</v>
      </c>
      <c r="I68" s="138">
        <f>(F68+F46+F47)/8</f>
        <v>1.78125</v>
      </c>
      <c r="J68" s="139">
        <f>G68+G46+G47</f>
        <v>8.75</v>
      </c>
    </row>
    <row r="69" spans="1:10" ht="31.25" customHeight="1" x14ac:dyDescent="0.2">
      <c r="A69" s="174" t="s">
        <v>1461</v>
      </c>
      <c r="B69" s="186"/>
      <c r="C69" s="186"/>
      <c r="D69" s="186"/>
      <c r="E69" s="145"/>
      <c r="F69" s="145"/>
      <c r="G69" s="180"/>
      <c r="H69" s="145"/>
      <c r="I69" s="145"/>
      <c r="J69" s="133"/>
    </row>
    <row r="70" spans="1:10" ht="30" x14ac:dyDescent="0.2">
      <c r="A70" s="178" t="s">
        <v>1462</v>
      </c>
      <c r="B70" s="145"/>
      <c r="C70" s="145"/>
      <c r="D70" s="180"/>
      <c r="E70" s="145">
        <v>1124345</v>
      </c>
      <c r="F70" s="145">
        <v>4</v>
      </c>
      <c r="G70" s="180">
        <v>0.75</v>
      </c>
      <c r="H70" s="145"/>
      <c r="I70" s="145"/>
      <c r="J70" s="133"/>
    </row>
    <row r="71" spans="1:10" x14ac:dyDescent="0.2">
      <c r="A71" s="178" t="s">
        <v>1463</v>
      </c>
      <c r="B71" s="145"/>
      <c r="C71" s="145"/>
      <c r="D71" s="180"/>
      <c r="E71" s="145">
        <v>80462</v>
      </c>
      <c r="F71" s="145">
        <v>3</v>
      </c>
      <c r="G71" s="180">
        <v>0.75</v>
      </c>
      <c r="H71" s="145"/>
      <c r="I71" s="145"/>
      <c r="J71" s="133"/>
    </row>
    <row r="72" spans="1:10" x14ac:dyDescent="0.2">
      <c r="A72" s="178" t="s">
        <v>1464</v>
      </c>
      <c r="B72" s="145"/>
      <c r="C72" s="145"/>
      <c r="D72" s="180"/>
      <c r="E72" s="145">
        <v>173883</v>
      </c>
      <c r="F72" s="145">
        <v>6</v>
      </c>
      <c r="G72" s="180">
        <v>0.5</v>
      </c>
      <c r="H72" s="145"/>
      <c r="I72" s="145"/>
      <c r="J72" s="133"/>
    </row>
    <row r="73" spans="1:10" x14ac:dyDescent="0.2">
      <c r="A73" s="178" t="s">
        <v>1465</v>
      </c>
      <c r="B73" s="145"/>
      <c r="C73" s="145"/>
      <c r="D73" s="180"/>
      <c r="E73" s="145">
        <v>820438</v>
      </c>
      <c r="F73" s="145">
        <v>4</v>
      </c>
      <c r="G73" s="180">
        <v>0.5</v>
      </c>
      <c r="H73" s="145"/>
      <c r="I73" s="145"/>
      <c r="J73" s="133"/>
    </row>
    <row r="74" spans="1:10" ht="44" customHeight="1" x14ac:dyDescent="0.2">
      <c r="A74" s="178" t="s">
        <v>1466</v>
      </c>
      <c r="B74" s="145"/>
      <c r="C74" s="145"/>
      <c r="D74" s="180"/>
      <c r="E74" s="145">
        <v>451634</v>
      </c>
      <c r="F74" s="145">
        <v>3</v>
      </c>
      <c r="G74" s="180">
        <v>0.5</v>
      </c>
      <c r="H74" s="145"/>
      <c r="I74" s="145"/>
      <c r="J74" s="133"/>
    </row>
    <row r="75" spans="1:10" ht="30" x14ac:dyDescent="0.2">
      <c r="A75" s="178" t="s">
        <v>1467</v>
      </c>
      <c r="B75" s="145"/>
      <c r="C75" s="145"/>
      <c r="D75" s="180"/>
      <c r="E75" s="309">
        <v>321986</v>
      </c>
      <c r="F75" s="309">
        <v>1</v>
      </c>
      <c r="G75" s="310">
        <v>0.75</v>
      </c>
      <c r="H75" s="145">
        <v>2972751</v>
      </c>
      <c r="I75" s="145">
        <v>4</v>
      </c>
      <c r="J75" s="133">
        <v>0.75</v>
      </c>
    </row>
    <row r="76" spans="1:10" x14ac:dyDescent="0.2">
      <c r="A76" s="178"/>
      <c r="B76" s="145"/>
      <c r="C76" s="145"/>
      <c r="D76" s="180"/>
      <c r="E76" s="145"/>
      <c r="F76" s="145"/>
      <c r="G76" s="180"/>
      <c r="H76" s="138">
        <f>+SUM(E70:E75)+I76</f>
        <v>2972750.625</v>
      </c>
      <c r="I76" s="138">
        <f>+SUM(F70:F75)/8</f>
        <v>2.625</v>
      </c>
      <c r="J76" s="139">
        <f>+SUM(G70:G75)</f>
        <v>3.75</v>
      </c>
    </row>
    <row r="77" spans="1:10" ht="30" x14ac:dyDescent="0.2">
      <c r="A77" s="178" t="s">
        <v>1468</v>
      </c>
      <c r="B77" s="145"/>
      <c r="C77" s="145"/>
      <c r="D77" s="180"/>
      <c r="E77" s="145"/>
      <c r="F77" s="145"/>
      <c r="G77" s="180"/>
      <c r="H77" s="309">
        <v>266847</v>
      </c>
      <c r="I77" s="309">
        <v>3</v>
      </c>
      <c r="J77" s="231">
        <v>0.75</v>
      </c>
    </row>
    <row r="78" spans="1:10" ht="23" customHeight="1" x14ac:dyDescent="0.2">
      <c r="A78" s="178"/>
      <c r="B78" s="145"/>
      <c r="C78" s="145"/>
      <c r="D78" s="180"/>
      <c r="E78" s="145"/>
      <c r="F78" s="145"/>
      <c r="G78" s="180"/>
      <c r="H78" s="145">
        <v>5219107</v>
      </c>
      <c r="I78" s="145">
        <v>6</v>
      </c>
      <c r="J78" s="133">
        <v>0.75</v>
      </c>
    </row>
    <row r="79" spans="1:10" ht="23" customHeight="1" x14ac:dyDescent="0.2">
      <c r="A79" s="178"/>
      <c r="B79" s="145"/>
      <c r="C79" s="145"/>
      <c r="D79" s="180"/>
      <c r="E79" s="145"/>
      <c r="F79" s="145"/>
      <c r="G79" s="180"/>
      <c r="H79" s="138">
        <f>H76+H68+H45+H77+I79</f>
        <v>5219109.37890625</v>
      </c>
      <c r="I79" s="138">
        <f>(I76+I68+I45+I77)/8</f>
        <v>1.34765625</v>
      </c>
      <c r="J79" s="188">
        <f>J76+J68+J45+J77</f>
        <v>16</v>
      </c>
    </row>
    <row r="80" spans="1:10" ht="23.5" customHeight="1" x14ac:dyDescent="0.2">
      <c r="A80" s="158" t="s">
        <v>1205</v>
      </c>
      <c r="B80" s="159"/>
      <c r="C80" s="159"/>
      <c r="D80" s="159"/>
      <c r="E80" s="159"/>
      <c r="F80" s="159"/>
      <c r="G80" s="159"/>
      <c r="H80" s="159"/>
      <c r="I80" s="159"/>
      <c r="J80" s="160"/>
    </row>
    <row r="81" spans="1:10" ht="29" customHeight="1" x14ac:dyDescent="0.2">
      <c r="A81" s="305" t="s">
        <v>1469</v>
      </c>
      <c r="B81" s="306"/>
      <c r="C81" s="306"/>
      <c r="D81" s="306"/>
      <c r="E81" s="145">
        <v>3574742</v>
      </c>
      <c r="F81" s="145">
        <v>5</v>
      </c>
      <c r="G81" s="180">
        <v>0.75</v>
      </c>
      <c r="H81" s="145"/>
      <c r="I81" s="145"/>
      <c r="J81" s="133"/>
    </row>
    <row r="82" spans="1:10" ht="72" customHeight="1" x14ac:dyDescent="0.2">
      <c r="A82" s="305" t="s">
        <v>1470</v>
      </c>
      <c r="B82" s="306"/>
      <c r="C82" s="306"/>
      <c r="D82" s="306"/>
      <c r="E82" s="309">
        <v>51445</v>
      </c>
      <c r="F82" s="309">
        <v>5</v>
      </c>
      <c r="G82" s="310">
        <v>0.75</v>
      </c>
      <c r="H82" s="145"/>
      <c r="I82" s="145"/>
      <c r="J82" s="133"/>
    </row>
    <row r="83" spans="1:10" ht="25.25" customHeight="1" x14ac:dyDescent="0.2">
      <c r="A83" s="313"/>
      <c r="B83" s="314"/>
      <c r="C83" s="314"/>
      <c r="D83" s="314"/>
      <c r="E83" s="145">
        <v>3523297</v>
      </c>
      <c r="F83" s="145">
        <v>5</v>
      </c>
      <c r="G83" s="180">
        <v>0.75</v>
      </c>
      <c r="H83" s="145"/>
      <c r="I83" s="145"/>
      <c r="J83" s="133"/>
    </row>
    <row r="84" spans="1:10" ht="25.25" customHeight="1" x14ac:dyDescent="0.2">
      <c r="A84" s="313"/>
      <c r="B84" s="314"/>
      <c r="C84" s="314"/>
      <c r="D84" s="314"/>
      <c r="E84" s="138">
        <f>+E81-E82</f>
        <v>3523297</v>
      </c>
      <c r="F84" s="138">
        <f>+F81-F82</f>
        <v>0</v>
      </c>
      <c r="G84" s="312">
        <f>+G81-G82</f>
        <v>0</v>
      </c>
      <c r="H84" s="145"/>
      <c r="I84" s="145"/>
      <c r="J84" s="133"/>
    </row>
    <row r="85" spans="1:10" ht="30" customHeight="1" x14ac:dyDescent="0.2">
      <c r="A85" s="305" t="s">
        <v>1471</v>
      </c>
      <c r="B85" s="306"/>
      <c r="C85" s="306"/>
      <c r="D85" s="306"/>
      <c r="E85" s="145">
        <v>8641</v>
      </c>
      <c r="F85" s="145">
        <v>1</v>
      </c>
      <c r="G85" s="180">
        <v>0.25</v>
      </c>
      <c r="H85" s="145"/>
      <c r="I85" s="145"/>
      <c r="J85" s="133"/>
    </row>
    <row r="86" spans="1:10" ht="61.25" customHeight="1" x14ac:dyDescent="0.2">
      <c r="A86" s="305" t="s">
        <v>1472</v>
      </c>
      <c r="B86" s="306"/>
      <c r="C86" s="306"/>
      <c r="D86" s="306"/>
      <c r="E86" s="145">
        <v>20000</v>
      </c>
      <c r="F86" s="145">
        <v>1</v>
      </c>
      <c r="G86" s="180">
        <v>0.25</v>
      </c>
      <c r="H86" s="145"/>
      <c r="I86" s="145"/>
      <c r="J86" s="133"/>
    </row>
    <row r="87" spans="1:10" ht="50.5" customHeight="1" x14ac:dyDescent="0.2">
      <c r="A87" s="305" t="s">
        <v>1473</v>
      </c>
      <c r="B87" s="306"/>
      <c r="C87" s="306"/>
      <c r="D87" s="306"/>
      <c r="E87" s="309">
        <v>5173</v>
      </c>
      <c r="F87" s="309">
        <v>4</v>
      </c>
      <c r="G87" s="310">
        <v>0.75</v>
      </c>
      <c r="H87" s="309">
        <v>3557111</v>
      </c>
      <c r="I87" s="309">
        <v>6</v>
      </c>
      <c r="J87" s="231">
        <v>0.75</v>
      </c>
    </row>
    <row r="88" spans="1:10" ht="26" customHeight="1" x14ac:dyDescent="0.2">
      <c r="A88" s="313"/>
      <c r="B88" s="314"/>
      <c r="C88" s="314"/>
      <c r="D88" s="314"/>
      <c r="E88" s="145"/>
      <c r="F88" s="145"/>
      <c r="G88" s="180"/>
      <c r="H88" s="138">
        <f>+E84+E85+E86+E87</f>
        <v>3557111</v>
      </c>
      <c r="I88" s="138">
        <f>+F84+F85+F86+F87</f>
        <v>6</v>
      </c>
      <c r="J88" s="139">
        <f>+G84+G85+G86+G87</f>
        <v>1.25</v>
      </c>
    </row>
    <row r="89" spans="1:10" ht="26" customHeight="1" x14ac:dyDescent="0.2">
      <c r="A89" s="313"/>
      <c r="B89" s="314"/>
      <c r="C89" s="314"/>
      <c r="D89" s="314"/>
      <c r="E89" s="145"/>
      <c r="F89" s="145"/>
      <c r="G89" s="180"/>
      <c r="H89" s="145">
        <v>1661995</v>
      </c>
      <c r="I89" s="145">
        <v>7</v>
      </c>
      <c r="J89" s="133">
        <v>0.25</v>
      </c>
    </row>
    <row r="90" spans="1:10" ht="26" customHeight="1" x14ac:dyDescent="0.2">
      <c r="A90" s="313"/>
      <c r="B90" s="314"/>
      <c r="C90" s="314"/>
      <c r="D90" s="314"/>
      <c r="E90" s="145"/>
      <c r="F90" s="145"/>
      <c r="G90" s="180"/>
      <c r="H90" s="138">
        <f>H79-H88</f>
        <v>1661998.37890625</v>
      </c>
      <c r="I90" s="138">
        <f>I79-I88</f>
        <v>-4.65234375</v>
      </c>
      <c r="J90" s="139">
        <f>J79-J88</f>
        <v>14.75</v>
      </c>
    </row>
    <row r="91" spans="1:10" ht="19" x14ac:dyDescent="0.2">
      <c r="A91" s="315" t="s">
        <v>1474</v>
      </c>
      <c r="B91" s="316"/>
      <c r="C91" s="316"/>
      <c r="D91" s="316"/>
      <c r="E91" s="316"/>
      <c r="F91" s="316"/>
      <c r="G91" s="316"/>
      <c r="H91" s="316"/>
      <c r="I91" s="316"/>
      <c r="J91" s="317"/>
    </row>
    <row r="92" spans="1:10" ht="23.5" customHeight="1" x14ac:dyDescent="0.2">
      <c r="A92" s="305" t="s">
        <v>1475</v>
      </c>
      <c r="B92" s="306"/>
      <c r="C92" s="306"/>
      <c r="D92" s="306"/>
      <c r="E92" s="145"/>
      <c r="F92" s="145"/>
      <c r="G92" s="180"/>
      <c r="H92" s="145"/>
      <c r="I92" s="145"/>
      <c r="J92" s="133"/>
    </row>
    <row r="93" spans="1:10" ht="33" customHeight="1" x14ac:dyDescent="0.2">
      <c r="A93" s="305" t="s">
        <v>1476</v>
      </c>
      <c r="B93" s="306"/>
      <c r="C93" s="306"/>
      <c r="D93" s="306"/>
      <c r="E93" s="145"/>
      <c r="F93" s="145"/>
      <c r="G93" s="180"/>
      <c r="H93" s="145"/>
      <c r="I93" s="145"/>
      <c r="J93" s="133"/>
    </row>
    <row r="94" spans="1:10" ht="49.25" customHeight="1" x14ac:dyDescent="0.2">
      <c r="A94" s="178" t="s">
        <v>1477</v>
      </c>
      <c r="B94" s="145">
        <v>891628</v>
      </c>
      <c r="C94" s="145">
        <v>1</v>
      </c>
      <c r="D94" s="180">
        <v>0.75</v>
      </c>
      <c r="E94" s="145"/>
      <c r="F94" s="145"/>
      <c r="G94" s="180"/>
      <c r="H94" s="145"/>
      <c r="I94" s="145"/>
      <c r="J94" s="133"/>
    </row>
    <row r="95" spans="1:10" ht="30" x14ac:dyDescent="0.2">
      <c r="A95" s="178" t="s">
        <v>1478</v>
      </c>
      <c r="B95" s="145">
        <v>855116</v>
      </c>
      <c r="C95" s="145">
        <v>2</v>
      </c>
      <c r="D95" s="180">
        <v>0.75</v>
      </c>
      <c r="E95" s="145"/>
      <c r="F95" s="145"/>
      <c r="G95" s="180"/>
      <c r="H95" s="145"/>
      <c r="I95" s="145"/>
      <c r="J95" s="133"/>
    </row>
    <row r="96" spans="1:10" ht="30" x14ac:dyDescent="0.2">
      <c r="A96" s="178" t="s">
        <v>1479</v>
      </c>
      <c r="B96" s="318">
        <v>36511</v>
      </c>
      <c r="C96" s="318">
        <v>7</v>
      </c>
      <c r="D96" s="319">
        <v>0.75</v>
      </c>
      <c r="E96" s="145">
        <v>36511</v>
      </c>
      <c r="F96" s="145">
        <v>7</v>
      </c>
      <c r="G96" s="180">
        <v>0.75</v>
      </c>
      <c r="H96" s="145"/>
      <c r="I96" s="145"/>
      <c r="J96" s="133"/>
    </row>
    <row r="97" spans="1:10" x14ac:dyDescent="0.2">
      <c r="A97" s="178"/>
      <c r="B97" s="138">
        <f>+B94-B95</f>
        <v>36512</v>
      </c>
      <c r="C97" s="138">
        <f>+C94-C95</f>
        <v>-1</v>
      </c>
      <c r="D97" s="138">
        <f>+D94-D95</f>
        <v>0</v>
      </c>
      <c r="E97" s="145"/>
      <c r="F97" s="145"/>
      <c r="G97" s="180"/>
      <c r="H97" s="145"/>
      <c r="I97" s="145"/>
      <c r="J97" s="133"/>
    </row>
    <row r="98" spans="1:10" ht="75.5" customHeight="1" x14ac:dyDescent="0.2">
      <c r="A98" s="178" t="s">
        <v>1480</v>
      </c>
      <c r="B98" s="145"/>
      <c r="C98" s="145"/>
      <c r="D98" s="180"/>
      <c r="E98" s="145">
        <v>7177</v>
      </c>
      <c r="F98" s="145">
        <v>6</v>
      </c>
      <c r="G98" s="180">
        <v>0.75</v>
      </c>
      <c r="H98" s="145"/>
      <c r="I98" s="145"/>
      <c r="J98" s="133"/>
    </row>
    <row r="99" spans="1:10" ht="22.25" customHeight="1" x14ac:dyDescent="0.2">
      <c r="A99" s="305" t="s">
        <v>1481</v>
      </c>
      <c r="B99" s="306"/>
      <c r="C99" s="306"/>
      <c r="D99" s="306"/>
      <c r="E99" s="145">
        <v>103</v>
      </c>
      <c r="F99" s="145">
        <v>7</v>
      </c>
      <c r="G99" s="180">
        <v>0.75</v>
      </c>
      <c r="H99" s="145"/>
      <c r="I99" s="145"/>
      <c r="J99" s="133"/>
    </row>
    <row r="100" spans="1:10" ht="20.5" customHeight="1" x14ac:dyDescent="0.2">
      <c r="A100" s="305" t="s">
        <v>1482</v>
      </c>
      <c r="B100" s="306"/>
      <c r="C100" s="306"/>
      <c r="D100" s="306"/>
      <c r="E100" s="145">
        <v>2345</v>
      </c>
      <c r="F100" s="145">
        <v>7</v>
      </c>
      <c r="G100" s="180">
        <v>0.25</v>
      </c>
      <c r="H100" s="145"/>
      <c r="I100" s="145"/>
      <c r="J100" s="133"/>
    </row>
    <row r="101" spans="1:10" ht="33.5" customHeight="1" x14ac:dyDescent="0.2">
      <c r="A101" s="305" t="s">
        <v>1483</v>
      </c>
      <c r="B101" s="306"/>
      <c r="C101" s="306"/>
      <c r="D101" s="306"/>
      <c r="E101" s="145">
        <v>24915</v>
      </c>
      <c r="F101" s="145">
        <v>4</v>
      </c>
      <c r="G101" s="180">
        <v>0.5</v>
      </c>
      <c r="H101" s="145"/>
      <c r="I101" s="145"/>
      <c r="J101" s="133"/>
    </row>
    <row r="102" spans="1:10" x14ac:dyDescent="0.2">
      <c r="A102" s="305" t="s">
        <v>1484</v>
      </c>
      <c r="B102" s="306"/>
      <c r="C102" s="306"/>
      <c r="D102" s="306"/>
      <c r="E102" s="145">
        <v>788279</v>
      </c>
      <c r="F102" s="145">
        <v>7</v>
      </c>
      <c r="G102" s="180">
        <v>0.75</v>
      </c>
      <c r="H102" s="145"/>
      <c r="I102" s="145"/>
      <c r="J102" s="133"/>
    </row>
    <row r="103" spans="1:10" ht="29" customHeight="1" x14ac:dyDescent="0.2">
      <c r="A103" s="305" t="s">
        <v>1485</v>
      </c>
      <c r="B103" s="306"/>
      <c r="C103" s="306"/>
      <c r="D103" s="306"/>
      <c r="E103" s="145">
        <v>2120</v>
      </c>
      <c r="F103" s="145">
        <v>2</v>
      </c>
      <c r="G103" s="180">
        <v>0.25</v>
      </c>
      <c r="H103" s="145"/>
      <c r="I103" s="145"/>
      <c r="J103" s="133"/>
    </row>
    <row r="104" spans="1:10" x14ac:dyDescent="0.2">
      <c r="A104" s="305" t="s">
        <v>1486</v>
      </c>
      <c r="B104" s="306"/>
      <c r="C104" s="306"/>
      <c r="D104" s="306"/>
      <c r="E104" s="145">
        <v>386509</v>
      </c>
      <c r="F104" s="145">
        <v>1</v>
      </c>
      <c r="G104" s="180">
        <v>0.75</v>
      </c>
      <c r="H104" s="145"/>
      <c r="I104" s="145"/>
      <c r="J104" s="133"/>
    </row>
    <row r="105" spans="1:10" ht="21.5" customHeight="1" x14ac:dyDescent="0.2">
      <c r="A105" s="305" t="s">
        <v>1487</v>
      </c>
      <c r="B105" s="306"/>
      <c r="C105" s="306"/>
      <c r="D105" s="306"/>
      <c r="E105" s="145">
        <v>3494</v>
      </c>
      <c r="F105" s="145">
        <v>6</v>
      </c>
      <c r="G105" s="180">
        <v>0.75</v>
      </c>
      <c r="H105" s="145"/>
      <c r="I105" s="145"/>
      <c r="J105" s="133"/>
    </row>
    <row r="106" spans="1:10" x14ac:dyDescent="0.2">
      <c r="A106" s="305" t="s">
        <v>1488</v>
      </c>
      <c r="B106" s="306"/>
      <c r="C106" s="306"/>
      <c r="D106" s="306"/>
      <c r="E106" s="145"/>
      <c r="F106" s="145"/>
      <c r="G106" s="180"/>
      <c r="H106" s="145"/>
      <c r="I106" s="145"/>
      <c r="J106" s="133"/>
    </row>
    <row r="107" spans="1:10" ht="23.5" customHeight="1" x14ac:dyDescent="0.2">
      <c r="A107" s="178" t="s">
        <v>1489</v>
      </c>
      <c r="B107" s="145">
        <v>153243</v>
      </c>
      <c r="C107" s="145">
        <v>3</v>
      </c>
      <c r="D107" s="180">
        <v>0.5</v>
      </c>
      <c r="E107" s="145"/>
      <c r="F107" s="145"/>
      <c r="G107" s="180"/>
      <c r="H107" s="145"/>
      <c r="I107" s="145"/>
      <c r="J107" s="133"/>
    </row>
    <row r="108" spans="1:10" ht="48.5" customHeight="1" x14ac:dyDescent="0.2">
      <c r="A108" s="178" t="s">
        <v>1490</v>
      </c>
      <c r="B108" s="145">
        <v>171002</v>
      </c>
      <c r="C108" s="145">
        <v>3</v>
      </c>
      <c r="D108" s="180">
        <v>0.75</v>
      </c>
      <c r="E108" s="145"/>
      <c r="F108" s="145"/>
      <c r="G108" s="180"/>
      <c r="H108" s="145"/>
      <c r="I108" s="145"/>
      <c r="J108" s="133"/>
    </row>
    <row r="109" spans="1:10" ht="14.5" customHeight="1" x14ac:dyDescent="0.2">
      <c r="A109" s="178" t="s">
        <v>1491</v>
      </c>
      <c r="B109" s="145">
        <v>48517</v>
      </c>
      <c r="C109" s="145">
        <v>7</v>
      </c>
      <c r="D109" s="180">
        <v>0.25</v>
      </c>
      <c r="E109" s="145"/>
      <c r="F109" s="145"/>
      <c r="G109" s="180"/>
      <c r="H109" s="145"/>
      <c r="I109" s="145"/>
      <c r="J109" s="133"/>
    </row>
    <row r="110" spans="1:10" ht="33" customHeight="1" x14ac:dyDescent="0.2">
      <c r="A110" s="178" t="s">
        <v>1492</v>
      </c>
      <c r="B110" s="145">
        <v>25897</v>
      </c>
      <c r="C110" s="145">
        <v>3</v>
      </c>
      <c r="D110" s="180">
        <v>0.5</v>
      </c>
      <c r="E110" s="145"/>
      <c r="F110" s="145"/>
      <c r="G110" s="180"/>
      <c r="H110" s="145"/>
      <c r="I110" s="145"/>
      <c r="J110" s="133"/>
    </row>
    <row r="111" spans="1:10" ht="23" customHeight="1" x14ac:dyDescent="0.2">
      <c r="A111" s="178" t="s">
        <v>1223</v>
      </c>
      <c r="B111" s="145">
        <v>435</v>
      </c>
      <c r="C111" s="145">
        <v>5</v>
      </c>
      <c r="D111" s="180">
        <v>0.5</v>
      </c>
      <c r="E111" s="145"/>
      <c r="F111" s="145"/>
      <c r="G111" s="180"/>
      <c r="H111" s="145"/>
      <c r="I111" s="145"/>
      <c r="J111" s="133"/>
    </row>
    <row r="112" spans="1:10" ht="21" customHeight="1" x14ac:dyDescent="0.2">
      <c r="A112" s="178" t="s">
        <v>1493</v>
      </c>
      <c r="B112" s="145">
        <v>3439</v>
      </c>
      <c r="C112" s="145">
        <v>4</v>
      </c>
      <c r="D112" s="180">
        <v>0.75</v>
      </c>
      <c r="E112" s="145"/>
      <c r="F112" s="145"/>
      <c r="G112" s="180"/>
      <c r="H112" s="145"/>
      <c r="I112" s="145"/>
      <c r="J112" s="133"/>
    </row>
    <row r="113" spans="1:46" ht="29.5" customHeight="1" x14ac:dyDescent="0.2">
      <c r="A113" s="320" t="s">
        <v>1494</v>
      </c>
      <c r="B113" s="309">
        <v>8000</v>
      </c>
      <c r="C113" s="309">
        <v>4</v>
      </c>
      <c r="D113" s="310">
        <v>0.75</v>
      </c>
      <c r="E113" s="309">
        <v>410536</v>
      </c>
      <c r="F113" s="309">
        <v>4</v>
      </c>
      <c r="G113" s="310">
        <v>0.25</v>
      </c>
      <c r="H113" s="309">
        <v>1661995</v>
      </c>
      <c r="I113" s="309">
        <v>7</v>
      </c>
      <c r="J113" s="231">
        <v>0.25</v>
      </c>
    </row>
    <row r="114" spans="1:46" x14ac:dyDescent="0.2">
      <c r="E114" s="321">
        <f>+SUM(B107:B113)+F114</f>
        <v>410536.625</v>
      </c>
      <c r="F114" s="321">
        <f>+SUM(C107:C113)/8</f>
        <v>3.625</v>
      </c>
      <c r="G114" s="322">
        <f>+SUM(D107:D113)</f>
        <v>4</v>
      </c>
      <c r="H114" s="321">
        <f>E114+E105+E104+E103+E102+E101+E100+E99+E98+E96+I114</f>
        <v>1661995.953125</v>
      </c>
      <c r="I114" s="321">
        <f>(F114+F105+F104+F103+F102+F101+F100+F99+F98+F96)/8</f>
        <v>6.328125</v>
      </c>
      <c r="J114" s="322">
        <f>G114+G105+G104+G103+G102+G101+G100+G99+G98+G96</f>
        <v>9.5</v>
      </c>
    </row>
    <row r="117" spans="1:46" x14ac:dyDescent="0.2">
      <c r="A117" s="113" t="s">
        <v>1182</v>
      </c>
    </row>
    <row r="118" spans="1:46" ht="27.75" customHeight="1" x14ac:dyDescent="0.25">
      <c r="A118" s="196" t="s">
        <v>1227</v>
      </c>
      <c r="B118" s="323"/>
      <c r="C118" s="323"/>
      <c r="D118" s="323"/>
      <c r="E118" s="323"/>
      <c r="F118" s="323"/>
      <c r="G118" s="323"/>
      <c r="H118" s="323"/>
      <c r="I118" s="323"/>
      <c r="J118" s="323"/>
      <c r="K118" s="323"/>
      <c r="L118" s="323"/>
      <c r="M118" s="323"/>
      <c r="N118" s="323"/>
      <c r="O118" s="323"/>
      <c r="P118" s="323"/>
      <c r="Q118" s="323"/>
      <c r="R118" s="323"/>
      <c r="S118" s="323"/>
      <c r="T118" s="323"/>
      <c r="U118" s="323"/>
      <c r="V118" s="323"/>
      <c r="W118" s="323"/>
      <c r="X118" s="323"/>
      <c r="Y118" s="323"/>
      <c r="Z118" s="323"/>
      <c r="AA118" s="323"/>
      <c r="AB118" s="323"/>
      <c r="AC118" s="323"/>
      <c r="AD118" s="323"/>
      <c r="AE118" s="323"/>
      <c r="AF118" s="323"/>
      <c r="AG118" s="323"/>
      <c r="AH118" s="323"/>
      <c r="AI118" s="323"/>
      <c r="AJ118" s="323"/>
      <c r="AK118" s="323"/>
      <c r="AL118" s="323"/>
      <c r="AM118" s="323"/>
      <c r="AN118" s="323"/>
      <c r="AO118" s="323"/>
      <c r="AP118" s="323"/>
      <c r="AQ118" s="323"/>
      <c r="AR118" s="323"/>
      <c r="AS118" s="323"/>
      <c r="AT118" s="324"/>
    </row>
    <row r="119" spans="1:46" ht="27.75" customHeight="1" x14ac:dyDescent="0.2">
      <c r="A119" s="325" t="s">
        <v>1495</v>
      </c>
      <c r="B119" s="326"/>
      <c r="C119" s="326"/>
      <c r="D119" s="326"/>
      <c r="E119" s="326"/>
      <c r="F119" s="326"/>
      <c r="G119" s="326"/>
      <c r="H119" s="326"/>
      <c r="I119" s="326"/>
      <c r="J119" s="326"/>
      <c r="K119" s="326"/>
      <c r="L119" s="326"/>
      <c r="M119" s="326"/>
      <c r="N119" s="326"/>
      <c r="O119" s="326"/>
      <c r="P119" s="326"/>
      <c r="Q119" s="326"/>
      <c r="R119" s="326"/>
      <c r="S119" s="326"/>
      <c r="T119" s="326"/>
      <c r="U119" s="326"/>
      <c r="V119" s="326"/>
      <c r="W119" s="326"/>
      <c r="X119" s="326"/>
      <c r="Y119" s="326"/>
      <c r="Z119" s="326"/>
      <c r="AA119" s="326"/>
      <c r="AB119" s="326"/>
      <c r="AC119" s="326"/>
      <c r="AD119" s="326"/>
      <c r="AE119" s="326"/>
      <c r="AF119" s="326"/>
      <c r="AG119" s="326"/>
      <c r="AH119" s="326"/>
      <c r="AI119" s="326"/>
      <c r="AJ119" s="326"/>
      <c r="AK119" s="326"/>
      <c r="AL119" s="326"/>
      <c r="AM119" s="326"/>
      <c r="AN119" s="326"/>
      <c r="AO119" s="326"/>
      <c r="AP119" s="326"/>
      <c r="AQ119" s="326"/>
      <c r="AR119" s="326"/>
      <c r="AS119" s="326"/>
      <c r="AT119" s="327"/>
    </row>
    <row r="120" spans="1:46" ht="36.75" customHeight="1" x14ac:dyDescent="0.25">
      <c r="A120" s="328"/>
      <c r="B120" s="329"/>
      <c r="C120" s="329"/>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c r="AA120" s="329"/>
      <c r="AB120" s="329"/>
      <c r="AC120" s="329"/>
      <c r="AD120" s="329"/>
      <c r="AE120" s="330"/>
      <c r="AF120" s="331" t="s">
        <v>1496</v>
      </c>
      <c r="AG120" s="332"/>
      <c r="AH120" s="332"/>
      <c r="AI120" s="332"/>
      <c r="AJ120" s="332"/>
      <c r="AK120" s="332"/>
      <c r="AL120" s="332"/>
      <c r="AM120" s="332"/>
      <c r="AN120" s="333"/>
      <c r="AO120" s="331" t="s">
        <v>1497</v>
      </c>
      <c r="AP120" s="332"/>
      <c r="AQ120" s="332"/>
      <c r="AR120" s="332"/>
      <c r="AS120" s="332"/>
      <c r="AT120" s="333"/>
    </row>
    <row r="121" spans="1:46" ht="44.25" customHeight="1" x14ac:dyDescent="0.2">
      <c r="A121" s="334" t="s">
        <v>1498</v>
      </c>
      <c r="B121" s="285" t="s">
        <v>1499</v>
      </c>
      <c r="C121" s="286"/>
      <c r="D121" s="286"/>
      <c r="E121" s="285" t="s">
        <v>1500</v>
      </c>
      <c r="F121" s="286"/>
      <c r="G121" s="287"/>
      <c r="H121" s="286" t="s">
        <v>1501</v>
      </c>
      <c r="I121" s="286"/>
      <c r="J121" s="287"/>
      <c r="K121" s="335" t="s">
        <v>1502</v>
      </c>
      <c r="L121" s="335"/>
      <c r="M121" s="335"/>
      <c r="N121" s="336" t="s">
        <v>1503</v>
      </c>
      <c r="O121" s="335"/>
      <c r="P121" s="335"/>
      <c r="Q121" s="285" t="s">
        <v>1504</v>
      </c>
      <c r="R121" s="286"/>
      <c r="S121" s="287"/>
      <c r="T121" s="286" t="s">
        <v>1505</v>
      </c>
      <c r="U121" s="286"/>
      <c r="V121" s="287"/>
      <c r="W121" s="286" t="s">
        <v>1506</v>
      </c>
      <c r="X121" s="286"/>
      <c r="Y121" s="286"/>
      <c r="Z121" s="285" t="s">
        <v>1507</v>
      </c>
      <c r="AA121" s="286"/>
      <c r="AB121" s="286"/>
      <c r="AC121" s="337" t="s">
        <v>1508</v>
      </c>
      <c r="AD121" s="338"/>
      <c r="AE121" s="339"/>
      <c r="AF121" s="286" t="s">
        <v>1509</v>
      </c>
      <c r="AG121" s="286"/>
      <c r="AH121" s="287"/>
      <c r="AI121" s="286" t="s">
        <v>1510</v>
      </c>
      <c r="AJ121" s="286"/>
      <c r="AK121" s="286"/>
      <c r="AL121" s="337" t="s">
        <v>1511</v>
      </c>
      <c r="AM121" s="338"/>
      <c r="AN121" s="338"/>
      <c r="AO121" s="285" t="s">
        <v>1512</v>
      </c>
      <c r="AP121" s="286"/>
      <c r="AQ121" s="287"/>
      <c r="AR121" s="286" t="s">
        <v>1513</v>
      </c>
      <c r="AS121" s="286"/>
      <c r="AT121" s="287"/>
    </row>
    <row r="122" spans="1:46" ht="21" customHeight="1" x14ac:dyDescent="0.2">
      <c r="A122" s="164" t="s">
        <v>1514</v>
      </c>
      <c r="B122" s="131"/>
      <c r="C122" s="145"/>
      <c r="D122" s="180"/>
      <c r="E122" s="131"/>
      <c r="F122" s="145"/>
      <c r="G122" s="180"/>
      <c r="H122" s="131"/>
      <c r="I122" s="145"/>
      <c r="J122" s="180"/>
      <c r="K122" s="131"/>
      <c r="L122" s="145"/>
      <c r="M122" s="180"/>
      <c r="N122" s="131"/>
      <c r="O122" s="145"/>
      <c r="P122" s="180"/>
      <c r="Q122" s="131"/>
      <c r="R122" s="145"/>
      <c r="S122" s="180"/>
      <c r="T122" s="131"/>
      <c r="U122" s="145"/>
      <c r="V122" s="180"/>
      <c r="W122" s="131"/>
      <c r="X122" s="145"/>
      <c r="Y122" s="180"/>
      <c r="Z122" s="131"/>
      <c r="AA122" s="145"/>
      <c r="AB122" s="180"/>
      <c r="AC122" s="131">
        <v>29</v>
      </c>
      <c r="AD122" s="145">
        <v>5</v>
      </c>
      <c r="AE122" s="180">
        <v>0.75</v>
      </c>
      <c r="AF122" s="131"/>
      <c r="AG122" s="145"/>
      <c r="AH122" s="180"/>
      <c r="AI122" s="131"/>
      <c r="AJ122" s="145"/>
      <c r="AK122" s="180"/>
      <c r="AL122" s="131"/>
      <c r="AM122" s="145"/>
      <c r="AN122" s="180"/>
      <c r="AO122" s="131">
        <v>29</v>
      </c>
      <c r="AP122" s="145">
        <v>5</v>
      </c>
      <c r="AQ122" s="180">
        <v>0.75</v>
      </c>
      <c r="AR122" s="131"/>
      <c r="AS122" s="145"/>
      <c r="AT122" s="133"/>
    </row>
    <row r="123" spans="1:46" x14ac:dyDescent="0.2">
      <c r="A123" s="164" t="s">
        <v>1515</v>
      </c>
      <c r="B123" s="131"/>
      <c r="C123" s="145"/>
      <c r="D123" s="180"/>
      <c r="E123" s="131"/>
      <c r="F123" s="145"/>
      <c r="G123" s="180"/>
      <c r="H123" s="131"/>
      <c r="I123" s="145"/>
      <c r="J123" s="180"/>
      <c r="K123" s="131"/>
      <c r="L123" s="145"/>
      <c r="M123" s="180"/>
      <c r="N123" s="131"/>
      <c r="O123" s="145"/>
      <c r="P123" s="180"/>
      <c r="Q123" s="131"/>
      <c r="R123" s="145"/>
      <c r="S123" s="180"/>
      <c r="T123" s="131"/>
      <c r="U123" s="145"/>
      <c r="V123" s="180"/>
      <c r="W123" s="131"/>
      <c r="X123" s="145"/>
      <c r="Y123" s="180"/>
      <c r="Z123" s="131"/>
      <c r="AA123" s="145"/>
      <c r="AB123" s="180"/>
      <c r="AC123" s="131"/>
      <c r="AD123" s="145"/>
      <c r="AE123" s="180"/>
      <c r="AF123" s="131"/>
      <c r="AG123" s="145"/>
      <c r="AH123" s="180"/>
      <c r="AI123" s="131"/>
      <c r="AJ123" s="145"/>
      <c r="AK123" s="180"/>
      <c r="AL123" s="131"/>
      <c r="AM123" s="145"/>
      <c r="AN123" s="180"/>
      <c r="AO123" s="131"/>
      <c r="AP123" s="145"/>
      <c r="AQ123" s="180"/>
      <c r="AR123" s="131"/>
      <c r="AS123" s="145"/>
      <c r="AT123" s="133"/>
    </row>
    <row r="124" spans="1:46" x14ac:dyDescent="0.2">
      <c r="A124" s="164" t="s">
        <v>1516</v>
      </c>
      <c r="B124" s="131"/>
      <c r="C124" s="145"/>
      <c r="D124" s="180"/>
      <c r="E124" s="131"/>
      <c r="F124" s="145"/>
      <c r="G124" s="180"/>
      <c r="H124" s="131"/>
      <c r="I124" s="145"/>
      <c r="J124" s="180"/>
      <c r="K124" s="131"/>
      <c r="L124" s="145"/>
      <c r="M124" s="180"/>
      <c r="N124" s="131"/>
      <c r="O124" s="145"/>
      <c r="P124" s="180"/>
      <c r="Q124" s="131"/>
      <c r="R124" s="141"/>
      <c r="S124" s="340"/>
      <c r="T124" s="131"/>
      <c r="U124" s="145"/>
      <c r="V124" s="180"/>
      <c r="W124" s="131"/>
      <c r="X124" s="145"/>
      <c r="Y124" s="180"/>
      <c r="Z124" s="131"/>
      <c r="AA124" s="145"/>
      <c r="AB124" s="180"/>
      <c r="AC124" s="131">
        <v>99</v>
      </c>
      <c r="AD124" s="145">
        <v>5</v>
      </c>
      <c r="AE124" s="180"/>
      <c r="AF124" s="131">
        <v>35</v>
      </c>
      <c r="AG124" s="145">
        <v>6</v>
      </c>
      <c r="AH124" s="180"/>
      <c r="AI124" s="131"/>
      <c r="AJ124" s="145"/>
      <c r="AK124" s="180"/>
      <c r="AL124" s="131">
        <v>35</v>
      </c>
      <c r="AM124" s="145">
        <v>6</v>
      </c>
      <c r="AN124" s="180"/>
      <c r="AO124" s="131">
        <v>63</v>
      </c>
      <c r="AP124" s="145">
        <v>2</v>
      </c>
      <c r="AQ124" s="180"/>
      <c r="AR124" s="131"/>
      <c r="AS124" s="145"/>
      <c r="AT124" s="133"/>
    </row>
    <row r="125" spans="1:46" x14ac:dyDescent="0.2">
      <c r="A125" s="164" t="s">
        <v>1517</v>
      </c>
      <c r="B125" s="131">
        <v>44613</v>
      </c>
      <c r="C125" s="145">
        <v>7</v>
      </c>
      <c r="D125" s="180">
        <v>0.25</v>
      </c>
      <c r="E125" s="131">
        <v>20813</v>
      </c>
      <c r="F125" s="145">
        <v>3</v>
      </c>
      <c r="G125" s="180">
        <v>0.5</v>
      </c>
      <c r="H125" s="131">
        <v>5943</v>
      </c>
      <c r="I125" s="145">
        <v>2</v>
      </c>
      <c r="J125" s="180">
        <v>0.75</v>
      </c>
      <c r="K125" s="131">
        <v>2972</v>
      </c>
      <c r="L125" s="341"/>
      <c r="M125" s="180">
        <v>0.25</v>
      </c>
      <c r="N125" s="131"/>
      <c r="O125" s="145"/>
      <c r="P125" s="180"/>
      <c r="Q125" s="131"/>
      <c r="R125" s="141"/>
      <c r="S125" s="340"/>
      <c r="T125" s="131"/>
      <c r="U125" s="145"/>
      <c r="V125" s="180"/>
      <c r="W125" s="131">
        <v>256</v>
      </c>
      <c r="X125" s="145">
        <v>2</v>
      </c>
      <c r="Y125" s="180"/>
      <c r="Z125" s="131"/>
      <c r="AA125" s="145"/>
      <c r="AB125" s="180"/>
      <c r="AC125" s="131">
        <v>74598</v>
      </c>
      <c r="AD125" s="145">
        <v>7</v>
      </c>
      <c r="AE125" s="180">
        <v>0.75</v>
      </c>
      <c r="AF125" s="131">
        <v>5222</v>
      </c>
      <c r="AG125" s="145">
        <v>2</v>
      </c>
      <c r="AH125" s="180">
        <v>0.25</v>
      </c>
      <c r="AI125" s="131">
        <v>18</v>
      </c>
      <c r="AJ125" s="145">
        <v>6</v>
      </c>
      <c r="AK125" s="180"/>
      <c r="AL125" s="131">
        <v>5241</v>
      </c>
      <c r="AM125" s="145">
        <v>6</v>
      </c>
      <c r="AN125" s="180">
        <v>0.25</v>
      </c>
      <c r="AO125" s="131">
        <v>69357</v>
      </c>
      <c r="AP125" s="145">
        <v>7</v>
      </c>
      <c r="AQ125" s="180">
        <v>0.5</v>
      </c>
      <c r="AR125" s="131"/>
      <c r="AS125" s="145"/>
      <c r="AT125" s="133"/>
    </row>
    <row r="126" spans="1:46" x14ac:dyDescent="0.2">
      <c r="A126" s="164" t="s">
        <v>1369</v>
      </c>
      <c r="B126" s="131">
        <v>94321</v>
      </c>
      <c r="C126" s="145">
        <v>7</v>
      </c>
      <c r="D126" s="180">
        <v>0.25</v>
      </c>
      <c r="E126" s="131">
        <v>36867</v>
      </c>
      <c r="F126" s="145">
        <v>5</v>
      </c>
      <c r="G126" s="180">
        <v>0.5</v>
      </c>
      <c r="H126" s="131">
        <v>10797</v>
      </c>
      <c r="I126" s="145">
        <v>5</v>
      </c>
      <c r="J126" s="180">
        <v>0.25</v>
      </c>
      <c r="K126" s="131">
        <v>5395</v>
      </c>
      <c r="L126" s="145">
        <v>2</v>
      </c>
      <c r="M126" s="180">
        <v>0.75</v>
      </c>
      <c r="N126" s="131">
        <v>329</v>
      </c>
      <c r="O126" s="145">
        <v>2</v>
      </c>
      <c r="P126" s="180">
        <v>0.25</v>
      </c>
      <c r="Q126" s="131"/>
      <c r="R126" s="141"/>
      <c r="S126" s="340"/>
      <c r="T126" s="131"/>
      <c r="U126" s="145"/>
      <c r="V126" s="180"/>
      <c r="W126" s="131"/>
      <c r="X126" s="145"/>
      <c r="Y126" s="180"/>
      <c r="Z126" s="131">
        <v>1570</v>
      </c>
      <c r="AA126" s="145">
        <v>2</v>
      </c>
      <c r="AB126" s="180"/>
      <c r="AC126" s="131">
        <v>149859</v>
      </c>
      <c r="AD126" s="145">
        <v>4</v>
      </c>
      <c r="AE126" s="180">
        <v>0.75</v>
      </c>
      <c r="AF126" s="131">
        <v>20008</v>
      </c>
      <c r="AG126" s="145">
        <v>1</v>
      </c>
      <c r="AH126" s="180">
        <v>0.75</v>
      </c>
      <c r="AI126" s="131">
        <v>192</v>
      </c>
      <c r="AJ126" s="145">
        <v>6</v>
      </c>
      <c r="AK126" s="180"/>
      <c r="AL126" s="131">
        <v>20200</v>
      </c>
      <c r="AM126" s="145">
        <v>7</v>
      </c>
      <c r="AN126" s="180">
        <v>0.75</v>
      </c>
      <c r="AO126" s="131">
        <v>129658</v>
      </c>
      <c r="AP126" s="145">
        <v>5</v>
      </c>
      <c r="AQ126" s="180"/>
      <c r="AR126" s="131"/>
      <c r="AS126" s="145"/>
      <c r="AT126" s="133"/>
    </row>
    <row r="127" spans="1:46" x14ac:dyDescent="0.2">
      <c r="A127" s="164" t="s">
        <v>1518</v>
      </c>
      <c r="B127" s="131">
        <v>1023</v>
      </c>
      <c r="C127" s="145">
        <v>5</v>
      </c>
      <c r="D127" s="180">
        <v>0.25</v>
      </c>
      <c r="E127" s="131">
        <v>339</v>
      </c>
      <c r="F127" s="145">
        <v>6</v>
      </c>
      <c r="G127" s="180"/>
      <c r="H127" s="131">
        <v>96</v>
      </c>
      <c r="I127" s="145">
        <v>1</v>
      </c>
      <c r="J127" s="180">
        <v>0.5</v>
      </c>
      <c r="K127" s="131">
        <v>41</v>
      </c>
      <c r="L127" s="145">
        <v>7</v>
      </c>
      <c r="M127" s="180">
        <v>0.75</v>
      </c>
      <c r="N127" s="131"/>
      <c r="O127" s="145"/>
      <c r="P127" s="180"/>
      <c r="Q127" s="131">
        <v>64</v>
      </c>
      <c r="R127" s="144"/>
      <c r="S127" s="340"/>
      <c r="T127" s="131"/>
      <c r="U127" s="145"/>
      <c r="V127" s="180"/>
      <c r="W127" s="131">
        <v>155</v>
      </c>
      <c r="X127" s="145">
        <v>5</v>
      </c>
      <c r="Y127" s="180">
        <v>0.75</v>
      </c>
      <c r="Z127" s="131">
        <v>184</v>
      </c>
      <c r="AA127" s="145">
        <v>2</v>
      </c>
      <c r="AB127" s="180"/>
      <c r="AC127" s="131">
        <v>2364</v>
      </c>
      <c r="AD127" s="145">
        <v>2</v>
      </c>
      <c r="AE127" s="180">
        <v>0.25</v>
      </c>
      <c r="AF127" s="131">
        <v>2907</v>
      </c>
      <c r="AG127" s="145">
        <v>6</v>
      </c>
      <c r="AH127" s="180">
        <v>0.25</v>
      </c>
      <c r="AI127" s="131">
        <v>70</v>
      </c>
      <c r="AJ127" s="145">
        <v>3</v>
      </c>
      <c r="AK127" s="180">
        <v>0.25</v>
      </c>
      <c r="AL127" s="131">
        <v>2978</v>
      </c>
      <c r="AM127" s="145">
        <v>1</v>
      </c>
      <c r="AN127" s="180">
        <v>0.5</v>
      </c>
      <c r="AO127" s="131"/>
      <c r="AP127" s="145"/>
      <c r="AQ127" s="180"/>
      <c r="AR127" s="131">
        <v>613</v>
      </c>
      <c r="AS127" s="145">
        <v>7</v>
      </c>
      <c r="AT127" s="133">
        <v>0.25</v>
      </c>
    </row>
    <row r="128" spans="1:46" x14ac:dyDescent="0.2">
      <c r="A128" s="164" t="s">
        <v>1519</v>
      </c>
      <c r="B128" s="131">
        <v>56083</v>
      </c>
      <c r="C128" s="145">
        <v>6</v>
      </c>
      <c r="D128" s="180"/>
      <c r="E128" s="131">
        <v>24842</v>
      </c>
      <c r="F128" s="145">
        <v>7</v>
      </c>
      <c r="G128" s="180">
        <v>0.5</v>
      </c>
      <c r="H128" s="131">
        <v>7007</v>
      </c>
      <c r="I128" s="145">
        <v>6</v>
      </c>
      <c r="J128" s="180">
        <v>0.25</v>
      </c>
      <c r="K128" s="131">
        <v>3503</v>
      </c>
      <c r="L128" s="145">
        <v>7</v>
      </c>
      <c r="M128" s="180">
        <v>0.5</v>
      </c>
      <c r="N128" s="131"/>
      <c r="O128" s="145"/>
      <c r="P128" s="180"/>
      <c r="Q128" s="131"/>
      <c r="R128" s="141"/>
      <c r="S128" s="340"/>
      <c r="T128" s="131"/>
      <c r="U128" s="145"/>
      <c r="V128" s="180"/>
      <c r="W128" s="131">
        <v>18</v>
      </c>
      <c r="X128" s="145">
        <v>4</v>
      </c>
      <c r="Y128" s="180"/>
      <c r="Z128" s="131"/>
      <c r="AA128" s="145"/>
      <c r="AB128" s="180"/>
      <c r="AC128" s="131">
        <v>91909</v>
      </c>
      <c r="AD128" s="145">
        <v>1</v>
      </c>
      <c r="AE128" s="180">
        <v>0.25</v>
      </c>
      <c r="AF128" s="131">
        <v>6399</v>
      </c>
      <c r="AG128" s="145">
        <v>5</v>
      </c>
      <c r="AH128" s="180">
        <v>0.5</v>
      </c>
      <c r="AI128" s="131">
        <v>421</v>
      </c>
      <c r="AJ128" s="145">
        <v>3</v>
      </c>
      <c r="AK128" s="180"/>
      <c r="AL128" s="131">
        <v>6820</v>
      </c>
      <c r="AM128" s="145">
        <v>5</v>
      </c>
      <c r="AN128" s="180">
        <v>0.5</v>
      </c>
      <c r="AO128" s="131">
        <v>85088</v>
      </c>
      <c r="AP128" s="145">
        <v>3</v>
      </c>
      <c r="AQ128" s="180">
        <v>0.75</v>
      </c>
      <c r="AR128" s="131"/>
      <c r="AS128" s="145"/>
      <c r="AT128" s="133"/>
    </row>
    <row r="129" spans="1:46" x14ac:dyDescent="0.2">
      <c r="A129" s="164" t="s">
        <v>1520</v>
      </c>
      <c r="B129" s="131">
        <v>907</v>
      </c>
      <c r="C129" s="145">
        <v>6</v>
      </c>
      <c r="D129" s="180"/>
      <c r="E129" s="131">
        <v>349</v>
      </c>
      <c r="F129" s="145">
        <v>3</v>
      </c>
      <c r="G129" s="180">
        <v>0.5</v>
      </c>
      <c r="H129" s="131">
        <v>95</v>
      </c>
      <c r="I129" s="145">
        <v>7</v>
      </c>
      <c r="J129" s="180"/>
      <c r="K129" s="131">
        <v>50</v>
      </c>
      <c r="L129" s="145">
        <v>7</v>
      </c>
      <c r="M129" s="180">
        <v>0.5</v>
      </c>
      <c r="N129" s="131"/>
      <c r="O129" s="145"/>
      <c r="P129" s="180"/>
      <c r="Q129" s="131">
        <v>36</v>
      </c>
      <c r="R129" s="144"/>
      <c r="S129" s="340"/>
      <c r="T129" s="131">
        <v>7</v>
      </c>
      <c r="U129" s="145">
        <v>4</v>
      </c>
      <c r="V129" s="180"/>
      <c r="W129" s="131"/>
      <c r="X129" s="145"/>
      <c r="Y129" s="180"/>
      <c r="Z129" s="131">
        <v>100</v>
      </c>
      <c r="AA129" s="145">
        <v>2</v>
      </c>
      <c r="AB129" s="180"/>
      <c r="AC129" s="131">
        <v>1601</v>
      </c>
      <c r="AD129" s="145">
        <v>1</v>
      </c>
      <c r="AE129" s="180">
        <v>0.75</v>
      </c>
      <c r="AF129" s="131">
        <v>1461</v>
      </c>
      <c r="AG129" s="145">
        <v>4</v>
      </c>
      <c r="AH129" s="180">
        <v>0.5</v>
      </c>
      <c r="AI129" s="131"/>
      <c r="AJ129" s="145"/>
      <c r="AK129" s="180"/>
      <c r="AL129" s="131">
        <v>1461</v>
      </c>
      <c r="AM129" s="145">
        <v>4</v>
      </c>
      <c r="AN129" s="180">
        <v>0.5</v>
      </c>
      <c r="AO129" s="131">
        <v>139</v>
      </c>
      <c r="AP129" s="145">
        <v>5</v>
      </c>
      <c r="AQ129" s="180">
        <v>0.25</v>
      </c>
      <c r="AR129" s="131"/>
      <c r="AS129" s="145"/>
      <c r="AT129" s="133"/>
    </row>
    <row r="130" spans="1:46" x14ac:dyDescent="0.2">
      <c r="A130" s="164" t="s">
        <v>1521</v>
      </c>
      <c r="B130" s="131"/>
      <c r="C130" s="145"/>
      <c r="D130" s="180"/>
      <c r="E130" s="131"/>
      <c r="F130" s="145"/>
      <c r="G130" s="180"/>
      <c r="H130" s="131"/>
      <c r="I130" s="145"/>
      <c r="J130" s="180"/>
      <c r="K130" s="131"/>
      <c r="L130" s="145"/>
      <c r="M130" s="180"/>
      <c r="N130" s="131"/>
      <c r="O130" s="145"/>
      <c r="P130" s="180"/>
      <c r="Q130" s="131"/>
      <c r="R130" s="141"/>
      <c r="S130" s="340"/>
      <c r="T130" s="131"/>
      <c r="U130" s="145"/>
      <c r="V130" s="180"/>
      <c r="W130" s="131"/>
      <c r="X130" s="145"/>
      <c r="Y130" s="180"/>
      <c r="Z130" s="131"/>
      <c r="AA130" s="145"/>
      <c r="AB130" s="180"/>
      <c r="AC130" s="131">
        <v>2102</v>
      </c>
      <c r="AD130" s="145">
        <v>6</v>
      </c>
      <c r="AE130" s="180">
        <v>0.25</v>
      </c>
      <c r="AF130" s="131">
        <v>96</v>
      </c>
      <c r="AG130" s="145">
        <v>4</v>
      </c>
      <c r="AH130" s="180"/>
      <c r="AI130" s="131"/>
      <c r="AJ130" s="145"/>
      <c r="AK130" s="180"/>
      <c r="AL130" s="131">
        <v>96</v>
      </c>
      <c r="AM130" s="145">
        <v>4</v>
      </c>
      <c r="AN130" s="180"/>
      <c r="AO130" s="131">
        <v>2006</v>
      </c>
      <c r="AP130" s="145">
        <v>6</v>
      </c>
      <c r="AQ130" s="180">
        <v>0.25</v>
      </c>
      <c r="AR130" s="131"/>
      <c r="AS130" s="145"/>
      <c r="AT130" s="133"/>
    </row>
    <row r="131" spans="1:46" x14ac:dyDescent="0.2">
      <c r="A131" s="164" t="s">
        <v>1522</v>
      </c>
      <c r="B131" s="131"/>
      <c r="C131" s="145"/>
      <c r="D131" s="180"/>
      <c r="E131" s="131"/>
      <c r="F131" s="145"/>
      <c r="G131" s="180"/>
      <c r="H131" s="131"/>
      <c r="I131" s="145"/>
      <c r="J131" s="180"/>
      <c r="K131" s="131"/>
      <c r="L131" s="145"/>
      <c r="M131" s="180"/>
      <c r="N131" s="131"/>
      <c r="O131" s="145"/>
      <c r="P131" s="180"/>
      <c r="Q131" s="131"/>
      <c r="R131" s="141"/>
      <c r="S131" s="340"/>
      <c r="T131" s="131"/>
      <c r="U131" s="145"/>
      <c r="V131" s="180"/>
      <c r="W131" s="131"/>
      <c r="X131" s="145"/>
      <c r="Y131" s="180"/>
      <c r="Z131" s="131"/>
      <c r="AA131" s="145"/>
      <c r="AB131" s="180"/>
      <c r="AC131" s="131"/>
      <c r="AD131" s="145"/>
      <c r="AE131" s="180"/>
      <c r="AF131" s="131"/>
      <c r="AG131" s="145"/>
      <c r="AH131" s="180"/>
      <c r="AI131" s="131"/>
      <c r="AJ131" s="145"/>
      <c r="AK131" s="180"/>
      <c r="AL131" s="131"/>
      <c r="AM131" s="145"/>
      <c r="AN131" s="180"/>
      <c r="AO131" s="131"/>
      <c r="AP131" s="145"/>
      <c r="AQ131" s="180"/>
      <c r="AR131" s="131"/>
      <c r="AS131" s="145"/>
      <c r="AT131" s="133"/>
    </row>
    <row r="132" spans="1:46" x14ac:dyDescent="0.2">
      <c r="A132" s="164" t="s">
        <v>1523</v>
      </c>
      <c r="B132" s="131"/>
      <c r="C132" s="145"/>
      <c r="D132" s="180"/>
      <c r="E132" s="131"/>
      <c r="F132" s="145"/>
      <c r="G132" s="180"/>
      <c r="H132" s="131"/>
      <c r="I132" s="145"/>
      <c r="J132" s="180"/>
      <c r="K132" s="131"/>
      <c r="L132" s="145"/>
      <c r="M132" s="180"/>
      <c r="N132" s="131"/>
      <c r="O132" s="145"/>
      <c r="P132" s="180"/>
      <c r="Q132" s="131"/>
      <c r="R132" s="145"/>
      <c r="S132" s="180"/>
      <c r="T132" s="131"/>
      <c r="U132" s="145"/>
      <c r="V132" s="180"/>
      <c r="W132" s="131"/>
      <c r="X132" s="145"/>
      <c r="Y132" s="180"/>
      <c r="Z132" s="131"/>
      <c r="AA132" s="145"/>
      <c r="AB132" s="180"/>
      <c r="AC132" s="131"/>
      <c r="AD132" s="145"/>
      <c r="AE132" s="180"/>
      <c r="AF132" s="131">
        <v>874</v>
      </c>
      <c r="AG132" s="145">
        <v>4</v>
      </c>
      <c r="AH132" s="180">
        <v>0.25</v>
      </c>
      <c r="AI132" s="131">
        <v>105</v>
      </c>
      <c r="AJ132" s="145">
        <v>2</v>
      </c>
      <c r="AK132" s="180"/>
      <c r="AL132" s="131">
        <v>979</v>
      </c>
      <c r="AM132" s="145">
        <v>6</v>
      </c>
      <c r="AN132" s="180">
        <v>0.25</v>
      </c>
      <c r="AO132" s="131"/>
      <c r="AP132" s="145"/>
      <c r="AQ132" s="180"/>
      <c r="AR132" s="131">
        <v>979</v>
      </c>
      <c r="AS132" s="145">
        <v>6</v>
      </c>
      <c r="AT132" s="133">
        <v>0.25</v>
      </c>
    </row>
    <row r="133" spans="1:46" x14ac:dyDescent="0.2">
      <c r="A133" s="164" t="s">
        <v>1524</v>
      </c>
      <c r="B133" s="131">
        <v>1619</v>
      </c>
      <c r="C133" s="144">
        <v>6</v>
      </c>
      <c r="D133" s="180">
        <v>0.5</v>
      </c>
      <c r="E133" s="131">
        <v>733</v>
      </c>
      <c r="F133" s="145">
        <v>1</v>
      </c>
      <c r="G133" s="180">
        <v>0.5</v>
      </c>
      <c r="H133" s="131">
        <v>209</v>
      </c>
      <c r="I133" s="145">
        <v>5</v>
      </c>
      <c r="J133" s="180"/>
      <c r="K133" s="131">
        <v>104</v>
      </c>
      <c r="L133" s="145">
        <v>6</v>
      </c>
      <c r="M133" s="180">
        <v>0.5</v>
      </c>
      <c r="N133" s="131"/>
      <c r="O133" s="145"/>
      <c r="P133" s="180"/>
      <c r="Q133" s="131"/>
      <c r="R133" s="145"/>
      <c r="S133" s="180"/>
      <c r="T133" s="131"/>
      <c r="U133" s="145"/>
      <c r="V133" s="180"/>
      <c r="W133" s="131"/>
      <c r="X133" s="145"/>
      <c r="Y133" s="180"/>
      <c r="Z133" s="131"/>
      <c r="AA133" s="145"/>
      <c r="AB133" s="180"/>
      <c r="AC133" s="131">
        <v>2666</v>
      </c>
      <c r="AD133" s="145">
        <v>5</v>
      </c>
      <c r="AE133" s="180">
        <v>0.5</v>
      </c>
      <c r="AF133" s="131">
        <v>1656</v>
      </c>
      <c r="AG133" s="145">
        <v>7</v>
      </c>
      <c r="AH133" s="180"/>
      <c r="AI133" s="131">
        <v>44</v>
      </c>
      <c r="AJ133" s="145">
        <v>4</v>
      </c>
      <c r="AK133" s="180"/>
      <c r="AL133" s="131">
        <v>1701</v>
      </c>
      <c r="AM133" s="145">
        <v>3</v>
      </c>
      <c r="AN133" s="180"/>
      <c r="AO133" s="131">
        <v>965</v>
      </c>
      <c r="AP133" s="145">
        <v>2</v>
      </c>
      <c r="AQ133" s="180">
        <v>0.25</v>
      </c>
      <c r="AR133" s="131"/>
      <c r="AS133" s="145"/>
      <c r="AT133" s="133"/>
    </row>
    <row r="134" spans="1:46" x14ac:dyDescent="0.2">
      <c r="A134" s="164" t="s">
        <v>1371</v>
      </c>
      <c r="B134" s="131">
        <v>40406</v>
      </c>
      <c r="C134" s="145">
        <v>2</v>
      </c>
      <c r="D134" s="180"/>
      <c r="E134" s="131">
        <v>14299</v>
      </c>
      <c r="F134" s="145">
        <v>3</v>
      </c>
      <c r="G134" s="180">
        <v>0.25</v>
      </c>
      <c r="H134" s="131">
        <v>4058</v>
      </c>
      <c r="I134" s="145">
        <v>5</v>
      </c>
      <c r="J134" s="180"/>
      <c r="K134" s="131">
        <v>2028</v>
      </c>
      <c r="L134" s="145">
        <v>4</v>
      </c>
      <c r="M134" s="180">
        <v>0.25</v>
      </c>
      <c r="N134" s="131">
        <v>168</v>
      </c>
      <c r="O134" s="145">
        <v>4</v>
      </c>
      <c r="P134" s="180">
        <v>0.25</v>
      </c>
      <c r="Q134" s="131">
        <v>160</v>
      </c>
      <c r="R134" s="144"/>
      <c r="S134" s="180"/>
      <c r="T134" s="131">
        <v>10</v>
      </c>
      <c r="U134" s="145">
        <v>4</v>
      </c>
      <c r="V134" s="180"/>
      <c r="W134" s="131">
        <v>10</v>
      </c>
      <c r="X134" s="145">
        <v>6</v>
      </c>
      <c r="Y134" s="180">
        <v>0.25</v>
      </c>
      <c r="Z134" s="131">
        <v>444</v>
      </c>
      <c r="AA134" s="145">
        <v>2</v>
      </c>
      <c r="AB134" s="180"/>
      <c r="AC134" s="131">
        <v>63321</v>
      </c>
      <c r="AD134" s="145">
        <v>5</v>
      </c>
      <c r="AE134" s="180"/>
      <c r="AF134" s="131">
        <v>7457</v>
      </c>
      <c r="AG134" s="145">
        <v>7</v>
      </c>
      <c r="AH134" s="180">
        <v>0.75</v>
      </c>
      <c r="AI134" s="131">
        <v>205</v>
      </c>
      <c r="AJ134" s="145">
        <v>4</v>
      </c>
      <c r="AK134" s="180">
        <v>0.5</v>
      </c>
      <c r="AL134" s="131">
        <v>7663</v>
      </c>
      <c r="AM134" s="145">
        <v>4</v>
      </c>
      <c r="AN134" s="180">
        <v>0.25</v>
      </c>
      <c r="AO134" s="131">
        <v>55657</v>
      </c>
      <c r="AP134" s="145">
        <v>3</v>
      </c>
      <c r="AQ134" s="180">
        <v>0.75</v>
      </c>
      <c r="AR134" s="131"/>
      <c r="AS134" s="145"/>
      <c r="AT134" s="133"/>
    </row>
    <row r="135" spans="1:46" x14ac:dyDescent="0.2">
      <c r="A135" s="164" t="s">
        <v>1525</v>
      </c>
      <c r="B135" s="131">
        <v>500</v>
      </c>
      <c r="C135" s="145">
        <v>3</v>
      </c>
      <c r="D135" s="180">
        <v>0.75</v>
      </c>
      <c r="E135" s="131">
        <v>229</v>
      </c>
      <c r="F135" s="145">
        <v>4</v>
      </c>
      <c r="G135" s="180"/>
      <c r="H135" s="131">
        <v>67</v>
      </c>
      <c r="I135" s="145">
        <v>2</v>
      </c>
      <c r="J135" s="180">
        <v>0.5</v>
      </c>
      <c r="K135" s="131">
        <v>33</v>
      </c>
      <c r="L135" s="145">
        <v>2</v>
      </c>
      <c r="M135" s="180">
        <v>0.5</v>
      </c>
      <c r="N135" s="131"/>
      <c r="O135" s="145"/>
      <c r="P135" s="180"/>
      <c r="Q135" s="131">
        <v>52</v>
      </c>
      <c r="R135" s="144"/>
      <c r="S135" s="180"/>
      <c r="T135" s="131">
        <v>1</v>
      </c>
      <c r="U135" s="145">
        <v>2</v>
      </c>
      <c r="V135" s="180"/>
      <c r="W135" s="131">
        <v>1</v>
      </c>
      <c r="X135" s="145">
        <v>6</v>
      </c>
      <c r="Y135" s="180"/>
      <c r="Z135" s="131">
        <v>152</v>
      </c>
      <c r="AA135" s="145">
        <v>2</v>
      </c>
      <c r="AB135" s="180"/>
      <c r="AC135" s="131">
        <v>1306</v>
      </c>
      <c r="AD135" s="145">
        <v>3</v>
      </c>
      <c r="AE135" s="180">
        <v>0.25</v>
      </c>
      <c r="AF135" s="131">
        <v>1692</v>
      </c>
      <c r="AG135" s="145">
        <v>2</v>
      </c>
      <c r="AH135" s="180">
        <v>0.5</v>
      </c>
      <c r="AI135" s="131"/>
      <c r="AJ135" s="145"/>
      <c r="AK135" s="180"/>
      <c r="AL135" s="131">
        <v>1692</v>
      </c>
      <c r="AM135" s="145">
        <v>2</v>
      </c>
      <c r="AN135" s="180">
        <v>0.5</v>
      </c>
      <c r="AO135" s="131"/>
      <c r="AP135" s="145"/>
      <c r="AQ135" s="180"/>
      <c r="AR135" s="131">
        <v>385</v>
      </c>
      <c r="AS135" s="145">
        <v>7</v>
      </c>
      <c r="AT135" s="133"/>
    </row>
    <row r="136" spans="1:46" x14ac:dyDescent="0.2">
      <c r="A136" s="164" t="s">
        <v>1526</v>
      </c>
      <c r="B136" s="131">
        <v>29723</v>
      </c>
      <c r="C136" s="145">
        <v>6</v>
      </c>
      <c r="D136" s="180">
        <v>0.5</v>
      </c>
      <c r="E136" s="131">
        <v>11445</v>
      </c>
      <c r="F136" s="145">
        <v>5</v>
      </c>
      <c r="G136" s="180"/>
      <c r="H136" s="131">
        <v>3216</v>
      </c>
      <c r="I136" s="145">
        <v>6</v>
      </c>
      <c r="J136" s="180">
        <v>0.25</v>
      </c>
      <c r="K136" s="131">
        <v>1609</v>
      </c>
      <c r="L136" s="145">
        <v>5</v>
      </c>
      <c r="M136" s="180">
        <v>0.75</v>
      </c>
      <c r="N136" s="131">
        <v>28</v>
      </c>
      <c r="O136" s="145">
        <v>4</v>
      </c>
      <c r="P136" s="180">
        <v>0.25</v>
      </c>
      <c r="Q136" s="131">
        <v>296</v>
      </c>
      <c r="R136" s="144"/>
      <c r="S136" s="180"/>
      <c r="T136" s="131">
        <v>27</v>
      </c>
      <c r="U136" s="145">
        <v>4</v>
      </c>
      <c r="V136" s="180"/>
      <c r="W136" s="131">
        <v>15</v>
      </c>
      <c r="X136" s="145">
        <v>1</v>
      </c>
      <c r="Y136" s="180">
        <v>0.75</v>
      </c>
      <c r="Z136" s="131">
        <v>918</v>
      </c>
      <c r="AA136" s="145">
        <v>4</v>
      </c>
      <c r="AB136" s="180"/>
      <c r="AC136" s="131">
        <v>50612</v>
      </c>
      <c r="AD136" s="145">
        <v>5</v>
      </c>
      <c r="AE136" s="180">
        <v>0.25</v>
      </c>
      <c r="AF136" s="131">
        <v>6512</v>
      </c>
      <c r="AG136" s="145">
        <v>2</v>
      </c>
      <c r="AH136" s="180"/>
      <c r="AI136" s="131">
        <v>563</v>
      </c>
      <c r="AJ136" s="145">
        <v>3</v>
      </c>
      <c r="AK136" s="180"/>
      <c r="AL136" s="131">
        <v>7075</v>
      </c>
      <c r="AM136" s="145">
        <v>3</v>
      </c>
      <c r="AN136" s="180"/>
      <c r="AO136" s="131">
        <v>43537</v>
      </c>
      <c r="AP136" s="145">
        <v>2</v>
      </c>
      <c r="AQ136" s="180">
        <v>0.25</v>
      </c>
      <c r="AR136" s="131"/>
      <c r="AS136" s="145"/>
      <c r="AT136" s="133"/>
    </row>
    <row r="137" spans="1:46" x14ac:dyDescent="0.2">
      <c r="A137" s="164" t="s">
        <v>1373</v>
      </c>
      <c r="B137" s="131">
        <v>404635</v>
      </c>
      <c r="C137" s="145">
        <v>7</v>
      </c>
      <c r="D137" s="180">
        <v>0.5</v>
      </c>
      <c r="E137" s="131">
        <v>169312</v>
      </c>
      <c r="F137" s="145">
        <v>1</v>
      </c>
      <c r="G137" s="180">
        <v>0.75</v>
      </c>
      <c r="H137" s="131">
        <v>48256</v>
      </c>
      <c r="I137" s="145">
        <v>6</v>
      </c>
      <c r="J137" s="180"/>
      <c r="K137" s="131">
        <v>24127</v>
      </c>
      <c r="L137" s="145">
        <v>1</v>
      </c>
      <c r="M137" s="180">
        <v>0.75</v>
      </c>
      <c r="N137" s="131">
        <v>454</v>
      </c>
      <c r="O137" s="145">
        <v>1</v>
      </c>
      <c r="P137" s="180">
        <v>0.25</v>
      </c>
      <c r="Q137" s="131">
        <v>392</v>
      </c>
      <c r="R137" s="144"/>
      <c r="S137" s="180"/>
      <c r="T137" s="131">
        <v>22</v>
      </c>
      <c r="U137" s="145">
        <v>4</v>
      </c>
      <c r="V137" s="180"/>
      <c r="W137" s="131">
        <v>5461</v>
      </c>
      <c r="X137" s="145">
        <v>6</v>
      </c>
      <c r="Y137" s="180"/>
      <c r="Z137" s="131">
        <v>6484</v>
      </c>
      <c r="AA137" s="145">
        <v>5</v>
      </c>
      <c r="AB137" s="180">
        <v>0.5</v>
      </c>
      <c r="AC137" s="131">
        <v>664532</v>
      </c>
      <c r="AD137" s="145">
        <v>3</v>
      </c>
      <c r="AE137" s="180">
        <v>0.75</v>
      </c>
      <c r="AF137" s="131">
        <v>12007</v>
      </c>
      <c r="AG137" s="145">
        <v>2</v>
      </c>
      <c r="AH137" s="180"/>
      <c r="AI137" s="131">
        <v>374</v>
      </c>
      <c r="AJ137" s="145">
        <v>5</v>
      </c>
      <c r="AK137" s="180">
        <v>0.75</v>
      </c>
      <c r="AL137" s="131">
        <v>12381</v>
      </c>
      <c r="AM137" s="145">
        <v>5</v>
      </c>
      <c r="AN137" s="180">
        <v>0.75</v>
      </c>
      <c r="AO137" s="131">
        <v>652150</v>
      </c>
      <c r="AP137" s="145">
        <v>6</v>
      </c>
      <c r="AQ137" s="180"/>
      <c r="AR137" s="131"/>
      <c r="AS137" s="145"/>
      <c r="AT137" s="133"/>
    </row>
    <row r="138" spans="1:46" x14ac:dyDescent="0.2">
      <c r="A138" s="164" t="s">
        <v>1527</v>
      </c>
      <c r="B138" s="131">
        <v>12407</v>
      </c>
      <c r="C138" s="145">
        <v>3</v>
      </c>
      <c r="D138" s="180">
        <v>0.25</v>
      </c>
      <c r="E138" s="131">
        <v>4286</v>
      </c>
      <c r="F138" s="145">
        <v>5</v>
      </c>
      <c r="G138" s="180">
        <v>0.5</v>
      </c>
      <c r="H138" s="131">
        <v>1208</v>
      </c>
      <c r="I138" s="145">
        <v>6</v>
      </c>
      <c r="J138" s="180">
        <v>0.5</v>
      </c>
      <c r="K138" s="131">
        <v>605</v>
      </c>
      <c r="L138" s="145">
        <v>7</v>
      </c>
      <c r="M138" s="180">
        <v>0.75</v>
      </c>
      <c r="N138" s="131"/>
      <c r="O138" s="145"/>
      <c r="P138" s="180"/>
      <c r="Q138" s="131"/>
      <c r="R138" s="145"/>
      <c r="S138" s="180"/>
      <c r="T138" s="131">
        <v>10</v>
      </c>
      <c r="U138" s="145">
        <v>4</v>
      </c>
      <c r="V138" s="180"/>
      <c r="W138" s="131">
        <v>10</v>
      </c>
      <c r="X138" s="145">
        <v>2</v>
      </c>
      <c r="Y138" s="180">
        <v>0.5</v>
      </c>
      <c r="Z138" s="131"/>
      <c r="AA138" s="145"/>
      <c r="AB138" s="180"/>
      <c r="AC138" s="131">
        <v>18529</v>
      </c>
      <c r="AD138" s="145">
        <v>1</v>
      </c>
      <c r="AE138" s="180">
        <v>0.5</v>
      </c>
      <c r="AF138" s="131">
        <v>1568</v>
      </c>
      <c r="AG138" s="145">
        <v>7</v>
      </c>
      <c r="AH138" s="180"/>
      <c r="AI138" s="131">
        <v>36</v>
      </c>
      <c r="AJ138" s="145">
        <v>5</v>
      </c>
      <c r="AK138" s="180"/>
      <c r="AL138" s="131">
        <v>1604</v>
      </c>
      <c r="AM138" s="145">
        <v>7</v>
      </c>
      <c r="AN138" s="180"/>
      <c r="AO138" s="131">
        <v>16924</v>
      </c>
      <c r="AP138" s="145">
        <v>2</v>
      </c>
      <c r="AQ138" s="180">
        <v>0.5</v>
      </c>
      <c r="AR138" s="131"/>
      <c r="AS138" s="145"/>
      <c r="AT138" s="133"/>
    </row>
    <row r="139" spans="1:46" x14ac:dyDescent="0.2">
      <c r="A139" s="164" t="s">
        <v>1528</v>
      </c>
      <c r="B139" s="131">
        <v>486</v>
      </c>
      <c r="C139" s="145">
        <v>1</v>
      </c>
      <c r="D139" s="180">
        <v>0.5</v>
      </c>
      <c r="E139" s="131">
        <v>254</v>
      </c>
      <c r="F139" s="145">
        <v>6</v>
      </c>
      <c r="G139" s="180">
        <v>0.75</v>
      </c>
      <c r="H139" s="131">
        <v>45</v>
      </c>
      <c r="I139" s="145">
        <v>7</v>
      </c>
      <c r="J139" s="180">
        <v>0.25</v>
      </c>
      <c r="K139" s="131">
        <v>25</v>
      </c>
      <c r="L139" s="145">
        <v>4</v>
      </c>
      <c r="M139" s="180">
        <v>0.25</v>
      </c>
      <c r="N139" s="131"/>
      <c r="O139" s="145"/>
      <c r="P139" s="180"/>
      <c r="Q139" s="131"/>
      <c r="R139" s="145"/>
      <c r="S139" s="180"/>
      <c r="T139" s="131"/>
      <c r="U139" s="145"/>
      <c r="V139" s="180"/>
      <c r="W139" s="131"/>
      <c r="X139" s="145"/>
      <c r="Y139" s="180"/>
      <c r="Z139" s="131"/>
      <c r="AA139" s="145"/>
      <c r="AB139" s="180"/>
      <c r="AC139" s="131">
        <v>812</v>
      </c>
      <c r="AD139" s="145">
        <v>3</v>
      </c>
      <c r="AE139" s="180">
        <v>0.75</v>
      </c>
      <c r="AF139" s="131">
        <v>78</v>
      </c>
      <c r="AG139" s="145">
        <v>5</v>
      </c>
      <c r="AH139" s="180"/>
      <c r="AI139" s="131"/>
      <c r="AJ139" s="145"/>
      <c r="AK139" s="180"/>
      <c r="AL139" s="131"/>
      <c r="AM139" s="145">
        <v>78</v>
      </c>
      <c r="AN139" s="180">
        <v>5</v>
      </c>
      <c r="AO139" s="131">
        <v>733</v>
      </c>
      <c r="AP139" s="145">
        <v>6</v>
      </c>
      <c r="AQ139" s="180">
        <v>0.75</v>
      </c>
      <c r="AR139" s="131"/>
      <c r="AS139" s="145"/>
      <c r="AT139" s="133"/>
    </row>
    <row r="140" spans="1:46" x14ac:dyDescent="0.2">
      <c r="A140" s="273"/>
      <c r="B140" s="240">
        <v>686729</v>
      </c>
      <c r="C140" s="318">
        <v>2</v>
      </c>
      <c r="D140" s="319">
        <v>0.75</v>
      </c>
      <c r="E140" s="240">
        <v>283774</v>
      </c>
      <c r="F140" s="318">
        <v>5</v>
      </c>
      <c r="G140" s="319">
        <v>0.75</v>
      </c>
      <c r="H140" s="240">
        <v>81003</v>
      </c>
      <c r="I140" s="318">
        <v>2</v>
      </c>
      <c r="J140" s="319">
        <v>0.25</v>
      </c>
      <c r="K140" s="240">
        <v>40498</v>
      </c>
      <c r="L140" s="318">
        <v>3</v>
      </c>
      <c r="M140" s="319">
        <v>0.75</v>
      </c>
      <c r="N140" s="240">
        <v>980</v>
      </c>
      <c r="O140" s="318">
        <v>4</v>
      </c>
      <c r="P140" s="319"/>
      <c r="Q140" s="240">
        <v>1000</v>
      </c>
      <c r="R140" s="318"/>
      <c r="S140" s="319"/>
      <c r="T140" s="240">
        <v>78</v>
      </c>
      <c r="U140" s="318">
        <v>6</v>
      </c>
      <c r="V140" s="319"/>
      <c r="W140" s="240">
        <v>5929</v>
      </c>
      <c r="X140" s="318">
        <v>4</v>
      </c>
      <c r="Y140" s="319">
        <v>0.25</v>
      </c>
      <c r="Z140" s="240">
        <v>9853</v>
      </c>
      <c r="AA140" s="318">
        <v>3</v>
      </c>
      <c r="AB140" s="319">
        <v>0.5</v>
      </c>
      <c r="AC140" s="240">
        <v>1124345</v>
      </c>
      <c r="AD140" s="318">
        <v>4</v>
      </c>
      <c r="AE140" s="319">
        <v>0.75</v>
      </c>
      <c r="AF140" s="240">
        <v>67979</v>
      </c>
      <c r="AG140" s="318">
        <v>3</v>
      </c>
      <c r="AH140" s="319">
        <v>0.75</v>
      </c>
      <c r="AI140" s="240">
        <v>2032</v>
      </c>
      <c r="AJ140" s="318">
        <v>2</v>
      </c>
      <c r="AK140" s="319">
        <v>0.5</v>
      </c>
      <c r="AL140" s="240">
        <v>70011</v>
      </c>
      <c r="AM140" s="318">
        <v>6</v>
      </c>
      <c r="AN140" s="319">
        <v>0.25</v>
      </c>
      <c r="AO140" s="240">
        <v>1056313</v>
      </c>
      <c r="AP140" s="318">
        <v>3</v>
      </c>
      <c r="AQ140" s="319"/>
      <c r="AR140" s="240">
        <v>1979</v>
      </c>
      <c r="AS140" s="318">
        <v>4</v>
      </c>
      <c r="AT140" s="241">
        <v>0.5</v>
      </c>
    </row>
    <row r="141" spans="1:46" x14ac:dyDescent="0.2">
      <c r="A141" s="342"/>
      <c r="B141" s="343">
        <f>+SUM(B122:B139)+C141</f>
        <v>686730.375</v>
      </c>
      <c r="C141" s="343">
        <f>+SUM(C122:C139)/8</f>
        <v>7.375</v>
      </c>
      <c r="D141" s="344">
        <f t="shared" ref="D141:P141" si="0">+SUM(D122:D139)</f>
        <v>3.75</v>
      </c>
      <c r="E141" s="343">
        <f>+SUM(E122:E139)+F141</f>
        <v>283774.125</v>
      </c>
      <c r="F141" s="343">
        <f>+SUM(F122:F139)/8</f>
        <v>6.125</v>
      </c>
      <c r="G141" s="344">
        <f t="shared" si="0"/>
        <v>4.75</v>
      </c>
      <c r="H141" s="343">
        <f>+SUM(H122:H139)+I141</f>
        <v>81004.25</v>
      </c>
      <c r="I141" s="343">
        <f>+SUM(I122:I139)/8</f>
        <v>7.25</v>
      </c>
      <c r="J141" s="344">
        <f t="shared" si="0"/>
        <v>3.25</v>
      </c>
      <c r="K141" s="343">
        <f>+SUM(K122:K139)+L141</f>
        <v>40498.5</v>
      </c>
      <c r="L141" s="343">
        <f>+SUM(L122:L139)/8</f>
        <v>6.5</v>
      </c>
      <c r="M141" s="344">
        <f t="shared" si="0"/>
        <v>6.5</v>
      </c>
      <c r="N141" s="343">
        <f>+SUM(N122:N139)+O141</f>
        <v>980.375</v>
      </c>
      <c r="O141" s="343">
        <f>+SUM(O122:O139)/8</f>
        <v>1.375</v>
      </c>
      <c r="P141" s="344">
        <f t="shared" si="0"/>
        <v>1</v>
      </c>
      <c r="Q141" s="343">
        <f>+SUM(Q122:Q139)</f>
        <v>1000</v>
      </c>
      <c r="R141" s="345"/>
      <c r="S141" s="346"/>
      <c r="T141" s="343">
        <f>+SUM(T122:T139)+U141</f>
        <v>79.75</v>
      </c>
      <c r="U141" s="343">
        <f>+SUM(U122:U139)/8</f>
        <v>2.75</v>
      </c>
      <c r="V141" s="344">
        <f t="shared" ref="V141:AT141" si="1">+SUM(V122:V139)</f>
        <v>0</v>
      </c>
      <c r="W141" s="343">
        <f>+SUM(W122:W139)+X141</f>
        <v>5930</v>
      </c>
      <c r="X141" s="343">
        <f>+SUM(X122:X139)/8</f>
        <v>4</v>
      </c>
      <c r="Y141" s="344">
        <f t="shared" si="1"/>
        <v>2.25</v>
      </c>
      <c r="Z141" s="343">
        <f>+SUM(Z122:Z139)+AA141</f>
        <v>9854.375</v>
      </c>
      <c r="AA141" s="343">
        <f>+SUM(AA122:AA139)/8</f>
        <v>2.375</v>
      </c>
      <c r="AB141" s="344">
        <f t="shared" si="1"/>
        <v>0.5</v>
      </c>
      <c r="AC141" s="343">
        <f>+SUM(AC122:AC139)+AD141</f>
        <v>1124346</v>
      </c>
      <c r="AD141" s="343">
        <f>+SUM(AD122:AD139)/8</f>
        <v>7</v>
      </c>
      <c r="AE141" s="344">
        <f t="shared" si="1"/>
        <v>6.75</v>
      </c>
      <c r="AF141" s="343">
        <f>+SUM(AF122:AF139)+AG141</f>
        <v>67980</v>
      </c>
      <c r="AG141" s="343">
        <f>+SUM(AG122:AG139)/8</f>
        <v>8</v>
      </c>
      <c r="AH141" s="344">
        <f t="shared" si="1"/>
        <v>3.75</v>
      </c>
      <c r="AI141" s="343">
        <f>+SUM(AI122:AI139)+AJ141</f>
        <v>2033.125</v>
      </c>
      <c r="AJ141" s="343">
        <f>+SUM(AJ122:AJ139)/8</f>
        <v>5.125</v>
      </c>
      <c r="AK141" s="344">
        <f t="shared" si="1"/>
        <v>1.5</v>
      </c>
      <c r="AL141" s="347">
        <f>+SUM(AL122:AL139)+AM141</f>
        <v>69943.625</v>
      </c>
      <c r="AM141" s="347">
        <f>+SUM(AM122:AM139)/8</f>
        <v>17.625</v>
      </c>
      <c r="AN141" s="348">
        <f t="shared" si="1"/>
        <v>9.25</v>
      </c>
      <c r="AO141" s="343">
        <f>+SUM(AO122:AO139)</f>
        <v>1056306</v>
      </c>
      <c r="AP141" s="343">
        <f t="shared" si="1"/>
        <v>54</v>
      </c>
      <c r="AQ141" s="344">
        <f t="shared" si="1"/>
        <v>5</v>
      </c>
      <c r="AR141" s="343">
        <f>+SUM(AR122:AR139)</f>
        <v>1977</v>
      </c>
      <c r="AS141" s="343">
        <f t="shared" si="1"/>
        <v>20</v>
      </c>
      <c r="AT141" s="344">
        <f t="shared" si="1"/>
        <v>0.5</v>
      </c>
    </row>
    <row r="142" spans="1:46" x14ac:dyDescent="0.2">
      <c r="A142" s="151"/>
      <c r="B142" s="230"/>
      <c r="C142" s="309"/>
      <c r="D142" s="310"/>
      <c r="E142" s="230"/>
      <c r="F142" s="309"/>
      <c r="G142" s="310"/>
      <c r="H142" s="230"/>
      <c r="I142" s="309"/>
      <c r="J142" s="310"/>
      <c r="K142" s="230"/>
      <c r="L142" s="309"/>
      <c r="M142" s="310"/>
      <c r="N142" s="230"/>
      <c r="O142" s="309"/>
      <c r="P142" s="310"/>
      <c r="Q142" s="230"/>
      <c r="R142" s="309"/>
      <c r="S142" s="310"/>
      <c r="T142" s="230"/>
      <c r="U142" s="309"/>
      <c r="V142" s="310"/>
      <c r="W142" s="230"/>
      <c r="X142" s="309"/>
      <c r="Y142" s="310"/>
      <c r="Z142" s="230"/>
      <c r="AA142" s="309"/>
      <c r="AB142" s="310"/>
      <c r="AC142" s="349"/>
      <c r="AD142" s="350"/>
      <c r="AE142" s="351"/>
      <c r="AF142" s="349"/>
      <c r="AG142" s="350"/>
      <c r="AH142" s="352"/>
      <c r="AI142" s="349"/>
      <c r="AJ142" s="350"/>
      <c r="AK142" s="352"/>
      <c r="AL142" s="349"/>
      <c r="AM142" s="350"/>
      <c r="AN142" s="351"/>
      <c r="AO142" s="349"/>
      <c r="AP142" s="350"/>
      <c r="AQ142" s="351"/>
      <c r="AR142" s="349"/>
      <c r="AS142" s="350"/>
      <c r="AT142" s="352"/>
    </row>
    <row r="143" spans="1:46" x14ac:dyDescent="0.2">
      <c r="A143" s="151"/>
      <c r="B143" s="353"/>
      <c r="C143" s="354"/>
      <c r="D143" s="354"/>
      <c r="E143" s="354"/>
      <c r="F143" s="354"/>
      <c r="G143" s="354"/>
      <c r="H143" s="354"/>
      <c r="I143" s="354"/>
      <c r="J143" s="354"/>
      <c r="K143" s="354"/>
      <c r="L143" s="354"/>
      <c r="M143" s="354"/>
      <c r="N143" s="354"/>
      <c r="O143" s="354"/>
      <c r="P143" s="354"/>
      <c r="Q143" s="354"/>
      <c r="R143" s="354"/>
      <c r="S143" s="354"/>
      <c r="T143" s="354"/>
      <c r="U143" s="354"/>
      <c r="V143" s="354"/>
      <c r="W143" s="354"/>
      <c r="X143" s="354"/>
      <c r="Y143" s="354"/>
      <c r="Z143" s="354"/>
      <c r="AA143" s="354"/>
      <c r="AB143" s="354"/>
      <c r="AC143" s="230"/>
      <c r="AD143" s="309"/>
      <c r="AE143" s="310"/>
      <c r="AF143" s="131"/>
      <c r="AG143" s="145"/>
      <c r="AH143" s="133"/>
      <c r="AI143" s="131"/>
      <c r="AJ143" s="145"/>
      <c r="AK143" s="133"/>
      <c r="AL143" s="230">
        <v>1054333</v>
      </c>
      <c r="AM143" s="309">
        <v>6</v>
      </c>
      <c r="AN143" s="310">
        <v>0.5</v>
      </c>
      <c r="AO143" s="230"/>
      <c r="AP143" s="309"/>
      <c r="AQ143" s="310"/>
      <c r="AR143" s="230">
        <v>1054333</v>
      </c>
      <c r="AS143" s="309">
        <v>6</v>
      </c>
      <c r="AT143" s="231">
        <v>0.5</v>
      </c>
    </row>
    <row r="144" spans="1:46" x14ac:dyDescent="0.2">
      <c r="A144" s="151"/>
      <c r="B144" s="355"/>
      <c r="C144" s="356"/>
      <c r="D144" s="356"/>
      <c r="E144" s="356"/>
      <c r="F144" s="356"/>
      <c r="G144" s="356"/>
      <c r="H144" s="356"/>
      <c r="I144" s="356"/>
      <c r="J144" s="356"/>
      <c r="K144" s="356"/>
      <c r="L144" s="356"/>
      <c r="M144" s="356"/>
      <c r="N144" s="356"/>
      <c r="O144" s="356"/>
      <c r="P144" s="356"/>
      <c r="Q144" s="356"/>
      <c r="R144" s="356"/>
      <c r="S144" s="356"/>
      <c r="T144" s="356"/>
      <c r="U144" s="356"/>
      <c r="V144" s="356"/>
      <c r="W144" s="356"/>
      <c r="X144" s="356"/>
      <c r="Y144" s="356"/>
      <c r="Z144" s="356"/>
      <c r="AA144" s="356"/>
      <c r="AB144" s="357"/>
      <c r="AC144" s="230">
        <v>1124345</v>
      </c>
      <c r="AD144" s="309">
        <v>4</v>
      </c>
      <c r="AE144" s="310">
        <v>0.75</v>
      </c>
      <c r="AF144" s="230"/>
      <c r="AG144" s="309"/>
      <c r="AH144" s="231"/>
      <c r="AI144" s="230"/>
      <c r="AJ144" s="309"/>
      <c r="AK144" s="231"/>
      <c r="AL144" s="230">
        <v>1124345</v>
      </c>
      <c r="AM144" s="309">
        <v>4</v>
      </c>
      <c r="AN144" s="310">
        <v>0.75</v>
      </c>
      <c r="AO144" s="230">
        <v>1056313</v>
      </c>
      <c r="AP144" s="309">
        <v>3</v>
      </c>
      <c r="AQ144" s="310"/>
      <c r="AR144" s="230">
        <v>1056313</v>
      </c>
      <c r="AS144" s="309">
        <v>3</v>
      </c>
      <c r="AT144" s="231"/>
    </row>
    <row r="145" spans="1:46" x14ac:dyDescent="0.2">
      <c r="A145" s="134"/>
      <c r="B145" s="145"/>
      <c r="C145" s="145"/>
      <c r="D145" s="180"/>
      <c r="E145" s="145"/>
      <c r="F145" s="145"/>
      <c r="G145" s="180"/>
      <c r="H145" s="145"/>
      <c r="I145" s="145"/>
      <c r="J145" s="180"/>
      <c r="K145" s="145"/>
      <c r="L145" s="145"/>
      <c r="M145" s="180"/>
      <c r="N145" s="145"/>
      <c r="O145" s="145"/>
      <c r="P145" s="180"/>
      <c r="Q145" s="145"/>
      <c r="R145" s="145"/>
      <c r="S145" s="180"/>
      <c r="T145" s="145"/>
      <c r="U145" s="145"/>
      <c r="V145" s="180"/>
      <c r="W145" s="145"/>
      <c r="X145" s="145"/>
      <c r="Y145" s="180"/>
      <c r="Z145" s="145"/>
      <c r="AA145" s="145"/>
      <c r="AB145" s="180"/>
      <c r="AC145" s="145"/>
      <c r="AD145" s="145"/>
      <c r="AE145" s="180"/>
      <c r="AF145" s="145"/>
      <c r="AG145" s="145"/>
      <c r="AH145" s="180"/>
      <c r="AI145" s="145"/>
      <c r="AJ145" s="145"/>
      <c r="AK145" s="180"/>
      <c r="AL145" s="145"/>
      <c r="AM145" s="145"/>
      <c r="AN145" s="180"/>
      <c r="AO145" s="145"/>
      <c r="AP145" s="145"/>
      <c r="AQ145" s="180"/>
      <c r="AR145" s="145"/>
      <c r="AS145" s="145"/>
      <c r="AT145" s="180"/>
    </row>
    <row r="164" spans="2:118" x14ac:dyDescent="0.2">
      <c r="B164" s="143"/>
      <c r="C164" s="143"/>
      <c r="D164" s="143"/>
      <c r="E164" s="143"/>
      <c r="F164" s="143"/>
      <c r="G164" s="143"/>
      <c r="H164" s="143"/>
      <c r="I164" s="143"/>
      <c r="J164" s="143"/>
      <c r="K164" s="143"/>
      <c r="L164" s="143"/>
      <c r="M164" s="143"/>
    </row>
    <row r="165" spans="2:118" x14ac:dyDescent="0.2">
      <c r="B165" s="143"/>
      <c r="C165" s="143"/>
      <c r="D165" s="143"/>
      <c r="E165" s="143"/>
      <c r="F165" s="143"/>
      <c r="G165" s="143"/>
      <c r="H165" s="143"/>
      <c r="I165" s="143"/>
      <c r="J165" s="143"/>
      <c r="K165" s="143"/>
      <c r="L165" s="143"/>
      <c r="M165" s="143"/>
      <c r="N165" s="143"/>
      <c r="O165" s="143"/>
      <c r="P165" s="143"/>
      <c r="Q165" s="143"/>
      <c r="R165" s="143"/>
      <c r="S165" s="143"/>
      <c r="T165" s="143"/>
      <c r="U165" s="143"/>
      <c r="V165" s="143"/>
      <c r="W165" s="143"/>
      <c r="X165" s="143"/>
      <c r="Y165" s="143"/>
      <c r="Z165" s="143"/>
      <c r="AA165" s="143"/>
      <c r="AB165" s="143"/>
      <c r="AC165" s="143"/>
      <c r="AD165" s="143"/>
      <c r="AE165" s="143"/>
      <c r="AF165" s="143"/>
      <c r="AG165" s="143"/>
      <c r="AH165" s="143"/>
      <c r="AI165" s="143"/>
      <c r="AJ165" s="143"/>
      <c r="AK165" s="143"/>
      <c r="AL165" s="143"/>
      <c r="AM165" s="143"/>
      <c r="AN165" s="143"/>
      <c r="AO165" s="143"/>
      <c r="AP165" s="143"/>
      <c r="AQ165" s="143"/>
      <c r="AR165" s="143"/>
      <c r="AS165" s="143"/>
      <c r="AT165" s="143"/>
      <c r="AU165" s="143"/>
      <c r="AV165" s="143"/>
      <c r="AW165" s="143"/>
      <c r="AX165" s="143"/>
      <c r="AY165" s="143"/>
      <c r="AZ165" s="143"/>
      <c r="BA165" s="143"/>
      <c r="BB165" s="143"/>
      <c r="BC165" s="143"/>
      <c r="BD165" s="143"/>
      <c r="BE165" s="143"/>
      <c r="BF165" s="143"/>
      <c r="BG165" s="143"/>
      <c r="BH165" s="143"/>
      <c r="BI165" s="143"/>
      <c r="BJ165" s="143"/>
      <c r="BK165" s="143"/>
      <c r="BL165" s="143"/>
      <c r="BM165" s="143"/>
      <c r="BN165" s="143"/>
      <c r="BO165" s="143"/>
      <c r="BP165" s="143"/>
      <c r="BQ165" s="143"/>
      <c r="BR165" s="143"/>
      <c r="BS165" s="143"/>
      <c r="BT165" s="143"/>
      <c r="BU165" s="143"/>
      <c r="BV165" s="143"/>
      <c r="BW165" s="143"/>
      <c r="BX165" s="143"/>
      <c r="BY165" s="143"/>
      <c r="BZ165" s="143"/>
      <c r="CA165" s="143"/>
      <c r="CB165" s="143"/>
      <c r="CC165" s="143"/>
      <c r="CD165" s="143"/>
      <c r="CE165" s="143"/>
      <c r="CF165" s="143"/>
      <c r="CG165" s="143"/>
      <c r="CH165" s="143"/>
      <c r="CI165" s="143"/>
      <c r="CJ165" s="143"/>
      <c r="CK165" s="143"/>
      <c r="CL165" s="143"/>
      <c r="CM165" s="143"/>
      <c r="CN165" s="143"/>
      <c r="CO165" s="143"/>
      <c r="CP165" s="143"/>
      <c r="CQ165" s="143"/>
      <c r="CR165" s="143"/>
      <c r="CS165" s="143"/>
      <c r="CT165" s="143"/>
      <c r="CU165" s="143"/>
      <c r="CV165" s="143"/>
      <c r="CW165" s="143"/>
      <c r="CX165" s="143"/>
      <c r="CY165" s="143"/>
      <c r="CZ165" s="143"/>
      <c r="DA165" s="143"/>
      <c r="DB165" s="143"/>
      <c r="DC165" s="143"/>
      <c r="DD165" s="143"/>
      <c r="DE165" s="143"/>
      <c r="DF165" s="143"/>
      <c r="DG165" s="143"/>
      <c r="DH165" s="143"/>
      <c r="DI165" s="143"/>
      <c r="DJ165" s="143"/>
      <c r="DK165" s="143"/>
      <c r="DL165" s="143"/>
      <c r="DM165" s="143"/>
      <c r="DN165" s="143"/>
    </row>
    <row r="166" spans="2:118" x14ac:dyDescent="0.2">
      <c r="N166" s="143"/>
      <c r="O166" s="143"/>
      <c r="P166" s="143"/>
      <c r="Q166" s="143"/>
      <c r="R166" s="143"/>
      <c r="S166" s="143"/>
      <c r="T166" s="143"/>
      <c r="U166" s="143"/>
      <c r="V166" s="143"/>
      <c r="W166" s="143"/>
      <c r="X166" s="143"/>
      <c r="Y166" s="143"/>
      <c r="Z166" s="143"/>
      <c r="AA166" s="143"/>
      <c r="AB166" s="143"/>
      <c r="AC166" s="143"/>
      <c r="AD166" s="143"/>
      <c r="AE166" s="143"/>
      <c r="AF166" s="143"/>
      <c r="AG166" s="143"/>
      <c r="AH166" s="143"/>
      <c r="AI166" s="143"/>
      <c r="AJ166" s="143"/>
      <c r="AK166" s="143"/>
      <c r="AL166" s="143"/>
      <c r="AM166" s="143"/>
      <c r="AN166" s="143"/>
      <c r="AO166" s="143"/>
      <c r="AP166" s="143"/>
      <c r="AQ166" s="143"/>
      <c r="AR166" s="143"/>
      <c r="AS166" s="143"/>
      <c r="AT166" s="143"/>
      <c r="AU166" s="143"/>
      <c r="AV166" s="143"/>
      <c r="AW166" s="143"/>
      <c r="AX166" s="143"/>
      <c r="AY166" s="143"/>
      <c r="AZ166" s="143"/>
      <c r="BA166" s="143"/>
      <c r="BB166" s="143"/>
      <c r="BC166" s="143"/>
      <c r="BD166" s="143"/>
      <c r="BE166" s="143"/>
      <c r="BF166" s="143"/>
      <c r="BG166" s="143"/>
      <c r="BH166" s="143"/>
      <c r="BI166" s="143"/>
      <c r="BJ166" s="143"/>
      <c r="BK166" s="143"/>
      <c r="BL166" s="143"/>
      <c r="BM166" s="143"/>
      <c r="BN166" s="143"/>
      <c r="BO166" s="143"/>
      <c r="BP166" s="143"/>
      <c r="BQ166" s="143"/>
      <c r="BR166" s="143"/>
      <c r="BS166" s="143"/>
      <c r="BT166" s="143"/>
      <c r="BU166" s="143"/>
      <c r="BV166" s="143"/>
      <c r="BW166" s="143"/>
      <c r="BX166" s="143"/>
      <c r="BY166" s="143"/>
      <c r="BZ166" s="143"/>
      <c r="CA166" s="143"/>
      <c r="CB166" s="143"/>
      <c r="CC166" s="143"/>
      <c r="CD166" s="143"/>
      <c r="CE166" s="143"/>
      <c r="CF166" s="143"/>
      <c r="CG166" s="143"/>
      <c r="CH166" s="143"/>
      <c r="CI166" s="143"/>
      <c r="CJ166" s="143"/>
      <c r="CK166" s="143"/>
      <c r="CL166" s="143"/>
      <c r="CM166" s="143"/>
      <c r="CN166" s="143"/>
      <c r="CO166" s="143"/>
      <c r="CP166" s="143"/>
      <c r="CQ166" s="143"/>
      <c r="CR166" s="143"/>
      <c r="CS166" s="143"/>
      <c r="CT166" s="143"/>
      <c r="CU166" s="143"/>
      <c r="CV166" s="143"/>
      <c r="CW166" s="143"/>
      <c r="CX166" s="143"/>
      <c r="CY166" s="143"/>
      <c r="CZ166" s="143"/>
      <c r="DA166" s="143"/>
      <c r="DB166" s="143"/>
      <c r="DC166" s="143"/>
      <c r="DD166" s="143"/>
      <c r="DE166" s="143"/>
      <c r="DF166" s="143"/>
      <c r="DG166" s="143"/>
      <c r="DH166" s="143"/>
      <c r="DI166" s="143"/>
      <c r="DJ166" s="143"/>
      <c r="DK166" s="143"/>
      <c r="DL166" s="143"/>
      <c r="DM166" s="143"/>
      <c r="DN166" s="143"/>
    </row>
    <row r="167" spans="2:118" x14ac:dyDescent="0.2">
      <c r="B167" s="143"/>
      <c r="C167" s="143"/>
      <c r="D167" s="143"/>
      <c r="E167" s="143"/>
      <c r="F167" s="143"/>
      <c r="G167" s="143"/>
      <c r="H167" s="143"/>
      <c r="I167" s="143"/>
      <c r="J167" s="143"/>
      <c r="K167" s="143"/>
      <c r="L167" s="143"/>
      <c r="M167" s="143"/>
    </row>
    <row r="168" spans="2:118" x14ac:dyDescent="0.2">
      <c r="N168" s="143"/>
      <c r="O168" s="143"/>
      <c r="P168" s="143"/>
      <c r="Q168" s="143"/>
      <c r="R168" s="143"/>
      <c r="S168" s="143"/>
      <c r="T168" s="143"/>
      <c r="U168" s="143"/>
      <c r="V168" s="143"/>
      <c r="W168" s="143"/>
      <c r="X168" s="143"/>
      <c r="Y168" s="143"/>
      <c r="Z168" s="143"/>
      <c r="AA168" s="143"/>
      <c r="AB168" s="143"/>
      <c r="AC168" s="143"/>
      <c r="AD168" s="143"/>
      <c r="AE168" s="143"/>
      <c r="AF168" s="143"/>
      <c r="AG168" s="143"/>
      <c r="AH168" s="143"/>
      <c r="AI168" s="143"/>
      <c r="AJ168" s="143"/>
      <c r="AK168" s="143"/>
      <c r="AL168" s="143"/>
      <c r="AM168" s="143"/>
      <c r="AN168" s="143"/>
      <c r="AO168" s="143"/>
      <c r="AP168" s="143"/>
      <c r="AQ168" s="143"/>
      <c r="AR168" s="143"/>
      <c r="AS168" s="143"/>
      <c r="AT168" s="143"/>
      <c r="AU168" s="143"/>
      <c r="AV168" s="143"/>
      <c r="AW168" s="143"/>
      <c r="AX168" s="143"/>
      <c r="AY168" s="143"/>
      <c r="AZ168" s="143"/>
      <c r="BA168" s="143"/>
      <c r="BB168" s="143"/>
      <c r="BC168" s="143"/>
      <c r="BD168" s="143"/>
      <c r="BE168" s="143"/>
      <c r="BF168" s="143"/>
      <c r="BG168" s="143"/>
      <c r="BH168" s="143"/>
      <c r="BI168" s="143"/>
      <c r="BJ168" s="143"/>
      <c r="BK168" s="143"/>
      <c r="BL168" s="143"/>
      <c r="BM168" s="143"/>
      <c r="BN168" s="143"/>
      <c r="BO168" s="143"/>
      <c r="BP168" s="143"/>
      <c r="BQ168" s="143"/>
      <c r="BR168" s="143"/>
      <c r="BS168" s="143"/>
      <c r="BT168" s="143"/>
      <c r="BU168" s="143"/>
      <c r="BV168" s="143"/>
      <c r="BW168" s="143"/>
      <c r="BX168" s="143"/>
      <c r="BY168" s="143"/>
      <c r="BZ168" s="143"/>
      <c r="CA168" s="143"/>
      <c r="CB168" s="143"/>
      <c r="CC168" s="143"/>
      <c r="CD168" s="143"/>
      <c r="CE168" s="143"/>
      <c r="CF168" s="143"/>
      <c r="CG168" s="143"/>
      <c r="CH168" s="143"/>
      <c r="CI168" s="143"/>
      <c r="CJ168" s="143"/>
      <c r="CK168" s="143"/>
      <c r="CL168" s="143"/>
      <c r="CM168" s="143"/>
      <c r="CN168" s="143"/>
      <c r="CO168" s="143"/>
      <c r="CP168" s="143"/>
      <c r="CQ168" s="143"/>
      <c r="CR168" s="143"/>
      <c r="CS168" s="143"/>
      <c r="CT168" s="143"/>
      <c r="CU168" s="143"/>
      <c r="CV168" s="143"/>
      <c r="CW168" s="143"/>
      <c r="CX168" s="143"/>
      <c r="CY168" s="143"/>
      <c r="CZ168" s="143"/>
      <c r="DA168" s="143"/>
      <c r="DB168" s="143"/>
      <c r="DC168" s="143"/>
      <c r="DD168" s="143"/>
      <c r="DE168" s="143"/>
      <c r="DF168" s="143"/>
      <c r="DG168" s="143"/>
      <c r="DH168" s="143"/>
      <c r="DI168" s="143"/>
      <c r="DJ168" s="143"/>
      <c r="DK168" s="143"/>
      <c r="DL168" s="143"/>
      <c r="DM168" s="143"/>
      <c r="DN168" s="143"/>
    </row>
    <row r="169" spans="2:118" x14ac:dyDescent="0.2">
      <c r="B169" s="143"/>
      <c r="C169" s="143"/>
      <c r="D169" s="143"/>
      <c r="E169" s="143"/>
      <c r="F169" s="143"/>
      <c r="G169" s="143"/>
      <c r="H169" s="143"/>
      <c r="I169" s="143"/>
      <c r="J169" s="143"/>
      <c r="K169" s="143"/>
      <c r="L169" s="143"/>
      <c r="M169" s="143"/>
    </row>
    <row r="170" spans="2:118" x14ac:dyDescent="0.2">
      <c r="N170" s="143"/>
      <c r="O170" s="143"/>
      <c r="P170" s="143"/>
      <c r="Q170" s="143"/>
      <c r="R170" s="143"/>
      <c r="S170" s="143"/>
      <c r="T170" s="143"/>
      <c r="U170" s="143"/>
      <c r="V170" s="143"/>
      <c r="W170" s="143"/>
      <c r="X170" s="143"/>
      <c r="Y170" s="143"/>
      <c r="Z170" s="143"/>
      <c r="AA170" s="143"/>
      <c r="AB170" s="143"/>
      <c r="AC170" s="143"/>
      <c r="AD170" s="143"/>
      <c r="AE170" s="143"/>
      <c r="AF170" s="143"/>
      <c r="AG170" s="143"/>
      <c r="AH170" s="143"/>
      <c r="AI170" s="143"/>
      <c r="AJ170" s="143"/>
      <c r="AK170" s="143"/>
      <c r="AL170" s="143"/>
      <c r="AM170" s="143"/>
      <c r="AN170" s="143"/>
      <c r="AO170" s="143"/>
      <c r="AP170" s="143"/>
      <c r="AQ170" s="143"/>
      <c r="AR170" s="143"/>
      <c r="AS170" s="143"/>
      <c r="AT170" s="143"/>
      <c r="AU170" s="143"/>
      <c r="AV170" s="143"/>
      <c r="AW170" s="143"/>
      <c r="AX170" s="143"/>
      <c r="AY170" s="143"/>
      <c r="AZ170" s="143"/>
      <c r="BA170" s="143"/>
      <c r="BB170" s="143"/>
      <c r="BC170" s="143"/>
      <c r="BD170" s="143"/>
      <c r="BE170" s="143"/>
      <c r="BF170" s="143"/>
      <c r="BG170" s="143"/>
      <c r="BH170" s="143"/>
      <c r="BI170" s="143"/>
      <c r="BJ170" s="143"/>
      <c r="BK170" s="143"/>
      <c r="BL170" s="143"/>
      <c r="BM170" s="143"/>
      <c r="BN170" s="143"/>
      <c r="BO170" s="143"/>
      <c r="BP170" s="143"/>
      <c r="BQ170" s="143"/>
      <c r="BR170" s="143"/>
      <c r="BS170" s="143"/>
      <c r="BT170" s="143"/>
      <c r="BU170" s="143"/>
      <c r="BV170" s="143"/>
      <c r="BW170" s="143"/>
      <c r="BX170" s="143"/>
      <c r="BY170" s="143"/>
      <c r="BZ170" s="143"/>
      <c r="CA170" s="143"/>
      <c r="CB170" s="143"/>
      <c r="CC170" s="143"/>
      <c r="CD170" s="143"/>
      <c r="CE170" s="143"/>
      <c r="CF170" s="143"/>
      <c r="CG170" s="143"/>
      <c r="CH170" s="143"/>
      <c r="CI170" s="143"/>
      <c r="CJ170" s="143"/>
      <c r="CK170" s="143"/>
      <c r="CL170" s="143"/>
      <c r="CM170" s="143"/>
      <c r="CN170" s="143"/>
      <c r="CO170" s="143"/>
      <c r="CP170" s="143"/>
      <c r="CQ170" s="143"/>
      <c r="CR170" s="143"/>
      <c r="CS170" s="143"/>
      <c r="CT170" s="143"/>
      <c r="CU170" s="143"/>
      <c r="CV170" s="143"/>
      <c r="CW170" s="143"/>
      <c r="CX170" s="143"/>
      <c r="CY170" s="143"/>
      <c r="CZ170" s="143"/>
      <c r="DA170" s="143"/>
      <c r="DB170" s="143"/>
      <c r="DC170" s="143"/>
      <c r="DD170" s="143"/>
      <c r="DE170" s="143"/>
      <c r="DF170" s="143"/>
      <c r="DG170" s="143"/>
      <c r="DH170" s="143"/>
      <c r="DI170" s="143"/>
      <c r="DJ170" s="143"/>
      <c r="DK170" s="143"/>
      <c r="DL170" s="143"/>
      <c r="DM170" s="143"/>
      <c r="DN170" s="143"/>
    </row>
    <row r="171" spans="2:118" x14ac:dyDescent="0.2">
      <c r="B171" s="143"/>
      <c r="C171" s="143"/>
      <c r="D171" s="143"/>
      <c r="E171" s="143"/>
      <c r="F171" s="143"/>
      <c r="G171" s="143"/>
      <c r="H171" s="143"/>
      <c r="I171" s="143"/>
      <c r="J171" s="143"/>
      <c r="K171" s="143"/>
      <c r="L171" s="143"/>
      <c r="M171" s="143"/>
    </row>
    <row r="172" spans="2:118" x14ac:dyDescent="0.2">
      <c r="N172" s="143"/>
      <c r="O172" s="143"/>
      <c r="P172" s="143"/>
      <c r="Q172" s="143"/>
      <c r="R172" s="143"/>
      <c r="S172" s="143"/>
      <c r="T172" s="143"/>
      <c r="U172" s="143"/>
      <c r="V172" s="143"/>
      <c r="W172" s="143"/>
      <c r="X172" s="143"/>
      <c r="Y172" s="143"/>
      <c r="Z172" s="143"/>
      <c r="AA172" s="143"/>
      <c r="AB172" s="143"/>
      <c r="AC172" s="143"/>
      <c r="AD172" s="143"/>
      <c r="AE172" s="143"/>
      <c r="AF172" s="143"/>
      <c r="AG172" s="143"/>
      <c r="AH172" s="143"/>
      <c r="AI172" s="143"/>
      <c r="AJ172" s="143"/>
      <c r="AK172" s="143"/>
      <c r="AL172" s="143"/>
      <c r="AM172" s="143"/>
      <c r="AN172" s="143"/>
      <c r="AO172" s="143"/>
      <c r="AP172" s="143"/>
      <c r="AQ172" s="143"/>
      <c r="AR172" s="143"/>
      <c r="AS172" s="143"/>
      <c r="AT172" s="143"/>
      <c r="AU172" s="143"/>
      <c r="AV172" s="143"/>
      <c r="AW172" s="143"/>
      <c r="AX172" s="143"/>
      <c r="AY172" s="143"/>
      <c r="AZ172" s="143"/>
      <c r="BA172" s="143"/>
      <c r="BB172" s="143"/>
      <c r="BC172" s="143"/>
      <c r="BD172" s="143"/>
      <c r="BE172" s="143"/>
      <c r="BF172" s="143"/>
      <c r="BG172" s="143"/>
      <c r="BH172" s="143"/>
      <c r="BI172" s="143"/>
      <c r="BJ172" s="143"/>
      <c r="BK172" s="143"/>
      <c r="BL172" s="143"/>
      <c r="BM172" s="143"/>
      <c r="BN172" s="143"/>
      <c r="BO172" s="143"/>
      <c r="BP172" s="143"/>
      <c r="BQ172" s="143"/>
      <c r="BR172" s="143"/>
      <c r="BS172" s="143"/>
      <c r="BT172" s="143"/>
      <c r="BU172" s="143"/>
      <c r="BV172" s="143"/>
      <c r="BW172" s="143"/>
      <c r="BX172" s="143"/>
      <c r="BY172" s="143"/>
      <c r="BZ172" s="143"/>
      <c r="CA172" s="143"/>
      <c r="CB172" s="143"/>
      <c r="CC172" s="143"/>
      <c r="CD172" s="143"/>
      <c r="CE172" s="143"/>
      <c r="CF172" s="143"/>
      <c r="CG172" s="143"/>
      <c r="CH172" s="143"/>
      <c r="CI172" s="143"/>
      <c r="CJ172" s="143"/>
      <c r="CK172" s="143"/>
      <c r="CL172" s="143"/>
      <c r="CM172" s="143"/>
      <c r="CN172" s="143"/>
      <c r="CO172" s="143"/>
      <c r="CP172" s="143"/>
      <c r="CQ172" s="143"/>
      <c r="CR172" s="143"/>
      <c r="CS172" s="143"/>
      <c r="CT172" s="143"/>
      <c r="CU172" s="143"/>
      <c r="CV172" s="143"/>
      <c r="CW172" s="143"/>
      <c r="CX172" s="143"/>
      <c r="CY172" s="143"/>
      <c r="CZ172" s="143"/>
      <c r="DA172" s="143"/>
      <c r="DB172" s="143"/>
      <c r="DC172" s="143"/>
      <c r="DD172" s="143"/>
      <c r="DE172" s="143"/>
      <c r="DF172" s="143"/>
      <c r="DG172" s="143"/>
      <c r="DH172" s="143"/>
      <c r="DI172" s="143"/>
      <c r="DJ172" s="143"/>
      <c r="DK172" s="143"/>
      <c r="DL172" s="143"/>
      <c r="DM172" s="143"/>
      <c r="DN172" s="143"/>
    </row>
    <row r="173" spans="2:118" x14ac:dyDescent="0.2">
      <c r="B173" s="143"/>
      <c r="C173" s="143"/>
      <c r="D173" s="143"/>
      <c r="E173" s="143"/>
      <c r="F173" s="143"/>
      <c r="G173" s="143"/>
      <c r="H173" s="143"/>
      <c r="I173" s="143"/>
      <c r="J173" s="143"/>
      <c r="K173" s="143"/>
      <c r="L173" s="143"/>
      <c r="M173" s="143"/>
    </row>
    <row r="174" spans="2:118" x14ac:dyDescent="0.2">
      <c r="N174" s="143"/>
      <c r="O174" s="143"/>
      <c r="P174" s="143"/>
      <c r="Q174" s="143"/>
      <c r="R174" s="143"/>
      <c r="S174" s="143"/>
      <c r="T174" s="143"/>
      <c r="U174" s="143"/>
      <c r="V174" s="143"/>
      <c r="W174" s="143"/>
      <c r="X174" s="143"/>
      <c r="Y174" s="143"/>
      <c r="Z174" s="143"/>
      <c r="AA174" s="143"/>
      <c r="AB174" s="143"/>
      <c r="AC174" s="143"/>
      <c r="AD174" s="143"/>
      <c r="AE174" s="143"/>
      <c r="AF174" s="143"/>
      <c r="AG174" s="143"/>
      <c r="AH174" s="143"/>
      <c r="AI174" s="143"/>
      <c r="AJ174" s="143"/>
      <c r="AK174" s="143"/>
      <c r="AL174" s="143"/>
      <c r="AM174" s="143"/>
      <c r="AN174" s="143"/>
      <c r="AO174" s="143"/>
      <c r="AP174" s="143"/>
      <c r="AQ174" s="143"/>
      <c r="AR174" s="143"/>
      <c r="AS174" s="143"/>
      <c r="AT174" s="143"/>
      <c r="AU174" s="143"/>
      <c r="AV174" s="143"/>
      <c r="AW174" s="143"/>
      <c r="AX174" s="143"/>
      <c r="AY174" s="143"/>
      <c r="AZ174" s="143"/>
      <c r="BA174" s="143"/>
      <c r="BB174" s="143"/>
      <c r="BC174" s="143"/>
      <c r="BD174" s="143"/>
      <c r="BE174" s="143"/>
      <c r="BF174" s="143"/>
      <c r="BG174" s="143"/>
      <c r="BH174" s="143"/>
      <c r="BI174" s="143"/>
      <c r="BJ174" s="143"/>
      <c r="BK174" s="143"/>
      <c r="BL174" s="143"/>
      <c r="BM174" s="143"/>
      <c r="BN174" s="143"/>
      <c r="BO174" s="143"/>
      <c r="BP174" s="143"/>
      <c r="BQ174" s="143"/>
      <c r="BR174" s="143"/>
      <c r="BS174" s="143"/>
      <c r="BT174" s="143"/>
      <c r="BU174" s="143"/>
      <c r="BV174" s="143"/>
      <c r="BW174" s="143"/>
      <c r="BX174" s="143"/>
      <c r="BY174" s="143"/>
      <c r="BZ174" s="143"/>
      <c r="CA174" s="143"/>
      <c r="CB174" s="143"/>
      <c r="CC174" s="143"/>
      <c r="CD174" s="143"/>
      <c r="CE174" s="143"/>
      <c r="CF174" s="143"/>
      <c r="CG174" s="143"/>
      <c r="CH174" s="143"/>
      <c r="CI174" s="143"/>
      <c r="CJ174" s="143"/>
      <c r="CK174" s="143"/>
      <c r="CL174" s="143"/>
      <c r="CM174" s="143"/>
      <c r="CN174" s="143"/>
      <c r="CO174" s="143"/>
      <c r="CP174" s="143"/>
      <c r="CQ174" s="143"/>
      <c r="CR174" s="143"/>
      <c r="CS174" s="143"/>
      <c r="CT174" s="143"/>
      <c r="CU174" s="143"/>
      <c r="CV174" s="143"/>
      <c r="CW174" s="143"/>
      <c r="CX174" s="143"/>
      <c r="CY174" s="143"/>
      <c r="CZ174" s="143"/>
      <c r="DA174" s="143"/>
      <c r="DB174" s="143"/>
      <c r="DC174" s="143"/>
      <c r="DD174" s="143"/>
      <c r="DE174" s="143"/>
      <c r="DF174" s="143"/>
      <c r="DG174" s="143"/>
      <c r="DH174" s="143"/>
      <c r="DI174" s="143"/>
      <c r="DJ174" s="143"/>
      <c r="DK174" s="143"/>
      <c r="DL174" s="143"/>
      <c r="DM174" s="143"/>
      <c r="DN174" s="143"/>
    </row>
  </sheetData>
  <mergeCells count="66">
    <mergeCell ref="AI121:AK121"/>
    <mergeCell ref="AL121:AN121"/>
    <mergeCell ref="AO121:AQ121"/>
    <mergeCell ref="AR121:AT121"/>
    <mergeCell ref="B143:AB144"/>
    <mergeCell ref="Q121:S121"/>
    <mergeCell ref="T121:V121"/>
    <mergeCell ref="W121:Y121"/>
    <mergeCell ref="Z121:AB121"/>
    <mergeCell ref="AC121:AE121"/>
    <mergeCell ref="AF121:AH121"/>
    <mergeCell ref="A118:AT118"/>
    <mergeCell ref="A119:AT119"/>
    <mergeCell ref="B120:AE120"/>
    <mergeCell ref="AF120:AN120"/>
    <mergeCell ref="AO120:AT120"/>
    <mergeCell ref="B121:D121"/>
    <mergeCell ref="E121:G121"/>
    <mergeCell ref="H121:J121"/>
    <mergeCell ref="K121:M121"/>
    <mergeCell ref="N121:P121"/>
    <mergeCell ref="A101:D101"/>
    <mergeCell ref="A102:D102"/>
    <mergeCell ref="A103:D103"/>
    <mergeCell ref="A104:D104"/>
    <mergeCell ref="A105:D105"/>
    <mergeCell ref="A106:D106"/>
    <mergeCell ref="A87:D87"/>
    <mergeCell ref="A91:J91"/>
    <mergeCell ref="A92:D92"/>
    <mergeCell ref="A93:D93"/>
    <mergeCell ref="A99:D99"/>
    <mergeCell ref="A100:D100"/>
    <mergeCell ref="A69:D69"/>
    <mergeCell ref="A80:J80"/>
    <mergeCell ref="A81:D81"/>
    <mergeCell ref="A82:D82"/>
    <mergeCell ref="A85:D85"/>
    <mergeCell ref="A86:D86"/>
    <mergeCell ref="A42:D42"/>
    <mergeCell ref="A43:D43"/>
    <mergeCell ref="A44:D44"/>
    <mergeCell ref="A46:D46"/>
    <mergeCell ref="A47:D47"/>
    <mergeCell ref="A48:D48"/>
    <mergeCell ref="A36:D36"/>
    <mergeCell ref="A37:D37"/>
    <mergeCell ref="A38:D38"/>
    <mergeCell ref="A39:D39"/>
    <mergeCell ref="A40:D40"/>
    <mergeCell ref="A41:D41"/>
    <mergeCell ref="A25:A26"/>
    <mergeCell ref="E25:G26"/>
    <mergeCell ref="H25:J26"/>
    <mergeCell ref="A33:J33"/>
    <mergeCell ref="A34:J34"/>
    <mergeCell ref="A35:J35"/>
    <mergeCell ref="A2:M2"/>
    <mergeCell ref="B3:D3"/>
    <mergeCell ref="E3:G3"/>
    <mergeCell ref="H3:J3"/>
    <mergeCell ref="K3:M3"/>
    <mergeCell ref="B12:D12"/>
    <mergeCell ref="E12:G12"/>
    <mergeCell ref="H12:J12"/>
    <mergeCell ref="K12:M12"/>
  </mergeCells>
  <pageMargins left="0.7" right="0.7" top="0.75" bottom="0.75" header="0.3" footer="0.3"/>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G202"/>
  <sheetViews>
    <sheetView topLeftCell="A28" workbookViewId="0">
      <selection activeCell="B1" sqref="B1"/>
    </sheetView>
  </sheetViews>
  <sheetFormatPr baseColWidth="10" defaultRowHeight="15" x14ac:dyDescent="0.2"/>
  <cols>
    <col min="1" max="1" width="28.6640625" style="106" customWidth="1"/>
    <col min="2" max="2" width="10.83203125" style="106"/>
    <col min="3" max="4" width="6.1640625" style="106" customWidth="1"/>
    <col min="5" max="5" width="10.83203125" style="106"/>
    <col min="6" max="7" width="6.1640625" style="106" customWidth="1"/>
    <col min="8" max="8" width="10.83203125" style="106"/>
    <col min="9" max="10" width="6.1640625" style="106" customWidth="1"/>
    <col min="11" max="11" width="10.83203125" style="106"/>
    <col min="12" max="13" width="6.1640625" style="106" customWidth="1"/>
    <col min="14" max="14" width="10.83203125" style="106"/>
    <col min="15" max="16" width="6.1640625" style="106" customWidth="1"/>
    <col min="17" max="17" width="10.83203125" style="106"/>
    <col min="18" max="19" width="6.1640625" style="106" customWidth="1"/>
    <col min="20" max="20" width="10.83203125" style="106"/>
    <col min="21" max="22" width="6.1640625" style="106" customWidth="1"/>
    <col min="23" max="23" width="10.83203125" style="106"/>
    <col min="24" max="25" width="6.1640625" style="106" customWidth="1"/>
    <col min="26" max="26" width="10.83203125" style="106"/>
    <col min="27" max="28" width="6.1640625" style="106" customWidth="1"/>
    <col min="29" max="29" width="10.83203125" style="106"/>
    <col min="30" max="31" width="6.1640625" style="106" customWidth="1"/>
    <col min="32" max="32" width="10.83203125" style="106"/>
    <col min="33" max="34" width="6.1640625" style="106" customWidth="1"/>
    <col min="35" max="35" width="9.6640625" style="106" customWidth="1"/>
    <col min="36" max="37" width="6.1640625" style="106" customWidth="1"/>
    <col min="38" max="38" width="10.83203125" style="106"/>
    <col min="39" max="40" width="6.1640625" style="106" customWidth="1"/>
    <col min="41" max="41" width="10.83203125" style="106"/>
    <col min="42" max="43" width="6.1640625" style="106" customWidth="1"/>
    <col min="44" max="44" width="10.83203125" style="106"/>
    <col min="45" max="46" width="6.1640625" style="106" customWidth="1"/>
    <col min="47" max="47" width="9.6640625" style="106" customWidth="1"/>
    <col min="48" max="49" width="6.1640625" style="106" customWidth="1"/>
    <col min="50" max="50" width="10.83203125" style="106"/>
    <col min="51" max="52" width="6.1640625" style="106" customWidth="1"/>
    <col min="53" max="53" width="10.1640625" style="106" customWidth="1"/>
    <col min="54" max="55" width="6.1640625" style="106" customWidth="1"/>
    <col min="56" max="56" width="10.83203125" style="106"/>
    <col min="57" max="58" width="6.1640625" style="106" customWidth="1"/>
    <col min="59" max="59" width="10.83203125" style="106"/>
    <col min="60" max="61" width="6.1640625" style="106" customWidth="1"/>
    <col min="62" max="62" width="10.83203125" style="106"/>
    <col min="63" max="64" width="6.1640625" style="106" customWidth="1"/>
    <col min="65" max="65" width="10.83203125" style="106"/>
    <col min="66" max="67" width="6.1640625" style="106" customWidth="1"/>
    <col min="68" max="68" width="10.83203125" style="106"/>
    <col min="69" max="70" width="6.1640625" style="106" customWidth="1"/>
    <col min="71" max="71" width="10.83203125" style="106"/>
    <col min="72" max="73" width="6.1640625" style="106" customWidth="1"/>
    <col min="74" max="74" width="10.83203125" style="106"/>
    <col min="75" max="76" width="6.1640625" style="106" customWidth="1"/>
    <col min="77" max="77" width="10.83203125" style="106"/>
    <col min="78" max="79" width="6.1640625" style="106" customWidth="1"/>
    <col min="80" max="80" width="10.83203125" style="106"/>
    <col min="81" max="82" width="6.1640625" style="106" customWidth="1"/>
    <col min="83" max="83" width="10.83203125" style="106"/>
    <col min="84" max="85" width="6.1640625" style="106" customWidth="1"/>
    <col min="86" max="86" width="10.83203125" style="106"/>
    <col min="87" max="88" width="6.1640625" style="106" customWidth="1"/>
    <col min="89" max="89" width="10.83203125" style="106"/>
    <col min="90" max="91" width="6.1640625" style="106" customWidth="1"/>
    <col min="92" max="92" width="10.83203125" style="106"/>
    <col min="93" max="94" width="6.1640625" style="106" customWidth="1"/>
    <col min="95" max="95" width="10.83203125" style="106"/>
    <col min="96" max="97" width="6.1640625" style="106" customWidth="1"/>
    <col min="98" max="98" width="10.83203125" style="106"/>
    <col min="99" max="100" width="6.1640625" style="106" customWidth="1"/>
    <col min="101" max="101" width="10.83203125" style="106"/>
    <col min="102" max="103" width="6.1640625" style="106" customWidth="1"/>
    <col min="104" max="104" width="10.83203125" style="106"/>
    <col min="105" max="106" width="6.1640625" style="106" customWidth="1"/>
    <col min="107" max="107" width="10.83203125" style="106"/>
    <col min="108" max="109" width="6.1640625" style="106" customWidth="1"/>
    <col min="110" max="110" width="10.83203125" style="106"/>
    <col min="111" max="112" width="6.1640625" style="106" customWidth="1"/>
    <col min="113" max="113" width="10.83203125" style="106"/>
    <col min="114" max="115" width="6.1640625" style="106" customWidth="1"/>
    <col min="116" max="116" width="10.83203125" style="106"/>
    <col min="117" max="118" width="6.1640625" style="106" customWidth="1"/>
    <col min="119" max="119" width="10.83203125" style="106"/>
    <col min="120" max="121" width="6.1640625" style="106" customWidth="1"/>
    <col min="122" max="122" width="10.83203125" style="106"/>
    <col min="123" max="124" width="6.1640625" style="106" customWidth="1"/>
    <col min="125" max="125" width="10.83203125" style="106"/>
    <col min="126" max="127" width="6.1640625" style="106" customWidth="1"/>
    <col min="128" max="128" width="10.83203125" style="106"/>
    <col min="129" max="130" width="6.1640625" style="106" customWidth="1"/>
    <col min="131" max="131" width="10.83203125" style="106"/>
    <col min="132" max="133" width="6.1640625" style="106" customWidth="1"/>
    <col min="134" max="134" width="10.83203125" style="106"/>
    <col min="135" max="136" width="6.1640625" style="106" customWidth="1"/>
    <col min="137" max="137" width="10.83203125" style="106"/>
    <col min="138" max="139" width="6.1640625" style="106" customWidth="1"/>
    <col min="140" max="140" width="10.83203125" style="106"/>
    <col min="141" max="142" width="6.1640625" style="106" customWidth="1"/>
    <col min="143" max="143" width="10.83203125" style="106"/>
    <col min="144" max="145" width="6.1640625" style="106" customWidth="1"/>
    <col min="146" max="146" width="10.83203125" style="106"/>
    <col min="147" max="148" width="6.1640625" style="106" customWidth="1"/>
    <col min="149" max="149" width="10.83203125" style="106"/>
    <col min="150" max="151" width="6.1640625" style="106" customWidth="1"/>
    <col min="152" max="152" width="10.83203125" style="106"/>
    <col min="153" max="154" width="6.1640625" style="106" customWidth="1"/>
    <col min="155" max="155" width="10.83203125" style="106"/>
    <col min="156" max="157" width="6.1640625" style="106" customWidth="1"/>
    <col min="158" max="158" width="10.83203125" style="106"/>
    <col min="159" max="160" width="6.1640625" style="106" customWidth="1"/>
    <col min="161" max="161" width="10.83203125" style="106"/>
    <col min="162" max="163" width="6.1640625" style="106" customWidth="1"/>
    <col min="164" max="164" width="10.83203125" style="106"/>
    <col min="165" max="166" width="6.1640625" style="106" customWidth="1"/>
    <col min="167" max="167" width="10.83203125" style="106"/>
    <col min="168" max="169" width="6.1640625" style="106" customWidth="1"/>
    <col min="170" max="170" width="10.83203125" style="106"/>
    <col min="171" max="172" width="6.1640625" style="106" customWidth="1"/>
    <col min="173" max="173" width="10.83203125" style="106"/>
    <col min="174" max="175" width="6.1640625" style="106" customWidth="1"/>
    <col min="176" max="176" width="10.83203125" style="106"/>
    <col min="177" max="178" width="6.1640625" style="106" customWidth="1"/>
    <col min="179" max="179" width="10.83203125" style="106"/>
    <col min="180" max="181" width="6.1640625" style="106" customWidth="1"/>
    <col min="182" max="182" width="10.83203125" style="106"/>
    <col min="183" max="184" width="6.1640625" style="106" customWidth="1"/>
    <col min="185" max="185" width="10.83203125" style="106"/>
    <col min="186" max="187" width="6.1640625" style="106" customWidth="1"/>
    <col min="188" max="188" width="10.83203125" style="106"/>
    <col min="189" max="190" width="6.1640625" style="106" customWidth="1"/>
    <col min="191" max="191" width="10.83203125" style="106"/>
    <col min="192" max="193" width="6.1640625" style="106" customWidth="1"/>
    <col min="194" max="194" width="10.83203125" style="106"/>
    <col min="195" max="196" width="6.1640625" style="106" customWidth="1"/>
    <col min="197" max="197" width="10.83203125" style="106"/>
    <col min="198" max="199" width="6.1640625" style="106" customWidth="1"/>
    <col min="200" max="200" width="10.83203125" style="106"/>
    <col min="201" max="202" width="6.1640625" style="106" customWidth="1"/>
    <col min="203" max="203" width="10.83203125" style="106"/>
    <col min="204" max="205" width="6.1640625" style="106" customWidth="1"/>
    <col min="206" max="206" width="10.83203125" style="106"/>
    <col min="207" max="208" width="6.1640625" style="106" customWidth="1"/>
    <col min="209" max="209" width="10.83203125" style="106"/>
    <col min="210" max="211" width="6.1640625" style="106" customWidth="1"/>
    <col min="212" max="212" width="10.83203125" style="106"/>
    <col min="213" max="214" width="6.1640625" style="106" customWidth="1"/>
    <col min="215" max="215" width="10.83203125" style="106"/>
    <col min="216" max="217" width="6.1640625" style="106" customWidth="1"/>
    <col min="218" max="218" width="10.83203125" style="106"/>
    <col min="219" max="220" width="6.1640625" style="106" customWidth="1"/>
    <col min="221" max="221" width="10.83203125" style="106"/>
    <col min="222" max="223" width="6.1640625" style="106" customWidth="1"/>
    <col min="224" max="224" width="10.83203125" style="106"/>
    <col min="225" max="226" width="6.1640625" style="106" customWidth="1"/>
    <col min="227" max="227" width="10.83203125" style="106"/>
    <col min="228" max="229" width="6.1640625" style="106" customWidth="1"/>
    <col min="230" max="230" width="10.83203125" style="106"/>
    <col min="231" max="232" width="6.1640625" style="106" customWidth="1"/>
    <col min="233" max="233" width="10.83203125" style="106"/>
    <col min="234" max="235" width="6.1640625" style="106" customWidth="1"/>
    <col min="236" max="236" width="10.83203125" style="106"/>
    <col min="237" max="238" width="6.1640625" style="106" customWidth="1"/>
    <col min="239" max="239" width="10.83203125" style="106"/>
    <col min="240" max="241" width="6.1640625" style="106" customWidth="1"/>
    <col min="242" max="16384" width="10.83203125" style="106"/>
  </cols>
  <sheetData>
    <row r="1" spans="1:7" x14ac:dyDescent="0.2">
      <c r="A1" s="113" t="s">
        <v>1111</v>
      </c>
    </row>
    <row r="2" spans="1:7" ht="32.25" customHeight="1" x14ac:dyDescent="0.2">
      <c r="A2" s="358" t="s">
        <v>1529</v>
      </c>
      <c r="B2" s="359"/>
      <c r="C2" s="359"/>
      <c r="D2" s="359"/>
      <c r="E2" s="359"/>
      <c r="F2" s="359"/>
      <c r="G2" s="360"/>
    </row>
    <row r="3" spans="1:7" ht="25.5" customHeight="1" x14ac:dyDescent="0.2">
      <c r="A3" s="161" t="s">
        <v>1530</v>
      </c>
      <c r="B3" s="172"/>
      <c r="C3" s="172"/>
      <c r="D3" s="172"/>
      <c r="E3" s="172"/>
      <c r="F3" s="172"/>
      <c r="G3" s="173"/>
    </row>
    <row r="4" spans="1:7" ht="30" x14ac:dyDescent="0.2">
      <c r="A4" s="178" t="s">
        <v>1531</v>
      </c>
      <c r="B4" s="361" t="s">
        <v>1532</v>
      </c>
      <c r="C4" s="134"/>
      <c r="D4" s="145"/>
      <c r="E4" s="145">
        <v>281288</v>
      </c>
      <c r="F4" s="145">
        <v>1</v>
      </c>
      <c r="G4" s="307">
        <v>3</v>
      </c>
    </row>
    <row r="5" spans="1:7" ht="30" x14ac:dyDescent="0.2">
      <c r="A5" s="178" t="s">
        <v>1533</v>
      </c>
      <c r="B5" s="134"/>
      <c r="C5" s="134"/>
      <c r="D5" s="145"/>
      <c r="E5" s="145">
        <v>1017485</v>
      </c>
      <c r="F5" s="145">
        <v>3</v>
      </c>
      <c r="G5" s="307">
        <v>2</v>
      </c>
    </row>
    <row r="6" spans="1:7" ht="30" x14ac:dyDescent="0.2">
      <c r="A6" s="178" t="s">
        <v>1534</v>
      </c>
      <c r="B6" s="134"/>
      <c r="C6" s="134"/>
      <c r="D6" s="145"/>
      <c r="E6" s="145">
        <v>141842</v>
      </c>
      <c r="F6" s="145">
        <v>1</v>
      </c>
      <c r="G6" s="307">
        <v>3</v>
      </c>
    </row>
    <row r="7" spans="1:7" x14ac:dyDescent="0.2">
      <c r="A7" s="178" t="s">
        <v>1535</v>
      </c>
      <c r="B7" s="134"/>
      <c r="C7" s="134"/>
      <c r="D7" s="145"/>
      <c r="E7" s="145">
        <v>827893</v>
      </c>
      <c r="F7" s="145">
        <v>6</v>
      </c>
      <c r="G7" s="307">
        <v>3</v>
      </c>
    </row>
    <row r="8" spans="1:7" ht="30" x14ac:dyDescent="0.2">
      <c r="A8" s="178" t="s">
        <v>1536</v>
      </c>
      <c r="B8" s="134"/>
      <c r="C8" s="134"/>
      <c r="D8" s="145"/>
      <c r="E8" s="145">
        <v>35099</v>
      </c>
      <c r="F8" s="145">
        <v>5</v>
      </c>
      <c r="G8" s="307">
        <v>1</v>
      </c>
    </row>
    <row r="9" spans="1:7" ht="30" x14ac:dyDescent="0.2">
      <c r="A9" s="178" t="s">
        <v>1534</v>
      </c>
      <c r="B9" s="134"/>
      <c r="C9" s="134"/>
      <c r="D9" s="145"/>
      <c r="E9" s="145">
        <v>73</v>
      </c>
      <c r="F9" s="145">
        <v>6</v>
      </c>
      <c r="G9" s="307">
        <v>2</v>
      </c>
    </row>
    <row r="10" spans="1:7" ht="45" x14ac:dyDescent="0.2">
      <c r="A10" s="178" t="s">
        <v>1537</v>
      </c>
      <c r="B10" s="134"/>
      <c r="C10" s="134"/>
      <c r="D10" s="145"/>
      <c r="E10" s="145">
        <v>393179</v>
      </c>
      <c r="F10" s="145">
        <v>6</v>
      </c>
      <c r="G10" s="307">
        <v>2</v>
      </c>
    </row>
    <row r="11" spans="1:7" ht="30" x14ac:dyDescent="0.2">
      <c r="A11" s="178" t="s">
        <v>1534</v>
      </c>
      <c r="B11" s="134"/>
      <c r="C11" s="134"/>
      <c r="D11" s="145"/>
      <c r="E11" s="145">
        <v>12893</v>
      </c>
      <c r="F11" s="145">
        <v>1</v>
      </c>
      <c r="G11" s="307">
        <v>3</v>
      </c>
    </row>
    <row r="12" spans="1:7" ht="45" x14ac:dyDescent="0.2">
      <c r="A12" s="178" t="s">
        <v>1538</v>
      </c>
      <c r="B12" s="134"/>
      <c r="C12" s="134"/>
      <c r="D12" s="145"/>
      <c r="E12" s="145">
        <v>628890</v>
      </c>
      <c r="F12" s="145">
        <v>1</v>
      </c>
      <c r="G12" s="307">
        <v>1</v>
      </c>
    </row>
    <row r="13" spans="1:7" ht="30" x14ac:dyDescent="0.2">
      <c r="A13" s="178" t="s">
        <v>1534</v>
      </c>
      <c r="B13" s="134"/>
      <c r="C13" s="134"/>
      <c r="D13" s="145"/>
      <c r="E13" s="145">
        <v>79</v>
      </c>
      <c r="F13" s="145">
        <v>2</v>
      </c>
      <c r="G13" s="307">
        <v>2</v>
      </c>
    </row>
    <row r="14" spans="1:7" ht="16" thickBot="1" x14ac:dyDescent="0.25">
      <c r="A14" s="164"/>
      <c r="B14" s="134"/>
      <c r="C14" s="134"/>
      <c r="D14" s="145"/>
      <c r="E14" s="362">
        <v>3338725</v>
      </c>
      <c r="F14" s="362">
        <v>3</v>
      </c>
      <c r="G14" s="363">
        <v>1</v>
      </c>
    </row>
    <row r="15" spans="1:7" ht="16" thickTop="1" x14ac:dyDescent="0.2">
      <c r="A15" s="164"/>
      <c r="B15" s="134"/>
      <c r="C15" s="134"/>
      <c r="D15" s="145"/>
      <c r="E15" s="138">
        <f>SUM(E4:E13)</f>
        <v>3338721</v>
      </c>
      <c r="F15" s="138">
        <f>SUM(F4:F13)</f>
        <v>32</v>
      </c>
      <c r="G15" s="138">
        <f>SUM(G4:G13)</f>
        <v>22</v>
      </c>
    </row>
    <row r="16" spans="1:7" ht="24" customHeight="1" x14ac:dyDescent="0.2">
      <c r="A16" s="161" t="s">
        <v>1539</v>
      </c>
      <c r="B16" s="172"/>
      <c r="C16" s="172"/>
      <c r="D16" s="172"/>
      <c r="E16" s="172"/>
      <c r="F16" s="172"/>
      <c r="G16" s="173"/>
    </row>
    <row r="17" spans="1:7" x14ac:dyDescent="0.2">
      <c r="A17" s="178" t="s">
        <v>1540</v>
      </c>
      <c r="B17" s="145"/>
      <c r="C17" s="145"/>
      <c r="D17" s="145"/>
      <c r="E17" s="145">
        <v>61070</v>
      </c>
      <c r="F17" s="145">
        <v>5</v>
      </c>
      <c r="G17" s="307">
        <v>1</v>
      </c>
    </row>
    <row r="18" spans="1:7" x14ac:dyDescent="0.2">
      <c r="A18" s="178" t="s">
        <v>1541</v>
      </c>
      <c r="B18" s="145"/>
      <c r="C18" s="145"/>
      <c r="D18" s="145"/>
      <c r="E18" s="145">
        <v>16199</v>
      </c>
      <c r="F18" s="145">
        <v>5</v>
      </c>
      <c r="G18" s="307">
        <v>1</v>
      </c>
    </row>
    <row r="19" spans="1:7" ht="30" x14ac:dyDescent="0.2">
      <c r="A19" s="178" t="s">
        <v>1542</v>
      </c>
      <c r="B19" s="145"/>
      <c r="C19" s="145"/>
      <c r="D19" s="145"/>
      <c r="E19" s="145">
        <v>39872</v>
      </c>
      <c r="F19" s="145">
        <v>4</v>
      </c>
      <c r="G19" s="307">
        <v>3</v>
      </c>
    </row>
    <row r="20" spans="1:7" ht="28.25" customHeight="1" x14ac:dyDescent="0.2">
      <c r="A20" s="178" t="s">
        <v>1543</v>
      </c>
      <c r="B20" s="145"/>
      <c r="C20" s="145"/>
      <c r="D20" s="145"/>
      <c r="E20" s="145">
        <v>322908</v>
      </c>
      <c r="F20" s="145">
        <v>3</v>
      </c>
      <c r="G20" s="307">
        <v>2</v>
      </c>
    </row>
    <row r="21" spans="1:7" ht="28.25" customHeight="1" x14ac:dyDescent="0.2">
      <c r="A21" s="178" t="s">
        <v>1544</v>
      </c>
      <c r="B21" s="145"/>
      <c r="C21" s="145"/>
      <c r="D21" s="145"/>
      <c r="E21" s="145">
        <v>549330</v>
      </c>
      <c r="F21" s="145">
        <v>4</v>
      </c>
      <c r="G21" s="307">
        <v>1</v>
      </c>
    </row>
    <row r="22" spans="1:7" x14ac:dyDescent="0.2">
      <c r="A22" s="178" t="s">
        <v>1545</v>
      </c>
      <c r="B22" s="145"/>
      <c r="C22" s="145"/>
      <c r="D22" s="145"/>
      <c r="E22" s="145">
        <v>878074</v>
      </c>
      <c r="F22" s="145">
        <v>2</v>
      </c>
      <c r="G22" s="307">
        <v>1</v>
      </c>
    </row>
    <row r="23" spans="1:7" ht="30" x14ac:dyDescent="0.2">
      <c r="A23" s="178" t="s">
        <v>1546</v>
      </c>
      <c r="B23" s="145"/>
      <c r="C23" s="145"/>
      <c r="D23" s="145"/>
      <c r="E23" s="145">
        <v>178749</v>
      </c>
      <c r="F23" s="145">
        <v>7</v>
      </c>
      <c r="G23" s="307">
        <v>1</v>
      </c>
    </row>
    <row r="24" spans="1:7" x14ac:dyDescent="0.2">
      <c r="A24" s="178" t="s">
        <v>1547</v>
      </c>
      <c r="B24" s="145"/>
      <c r="C24" s="145"/>
      <c r="D24" s="145"/>
      <c r="E24" s="145">
        <v>51363</v>
      </c>
      <c r="F24" s="145">
        <v>4</v>
      </c>
      <c r="G24" s="307">
        <v>2</v>
      </c>
    </row>
    <row r="25" spans="1:7" x14ac:dyDescent="0.2">
      <c r="A25" s="178" t="s">
        <v>1548</v>
      </c>
      <c r="B25" s="145"/>
      <c r="C25" s="145"/>
      <c r="D25" s="145"/>
      <c r="E25" s="145"/>
      <c r="F25" s="145"/>
      <c r="G25" s="307"/>
    </row>
    <row r="26" spans="1:7" x14ac:dyDescent="0.2">
      <c r="A26" s="178" t="s">
        <v>1549</v>
      </c>
      <c r="B26" s="145">
        <v>61834</v>
      </c>
      <c r="C26" s="144">
        <v>5</v>
      </c>
      <c r="D26" s="144">
        <v>2</v>
      </c>
      <c r="E26" s="145"/>
      <c r="F26" s="145"/>
      <c r="G26" s="307"/>
    </row>
    <row r="27" spans="1:7" ht="45" x14ac:dyDescent="0.2">
      <c r="A27" s="178" t="s">
        <v>1550</v>
      </c>
      <c r="B27" s="145">
        <v>81831</v>
      </c>
      <c r="C27" s="145">
        <v>5</v>
      </c>
      <c r="D27" s="145">
        <v>1</v>
      </c>
      <c r="E27" s="145"/>
      <c r="F27" s="145"/>
      <c r="G27" s="307"/>
    </row>
    <row r="28" spans="1:7" x14ac:dyDescent="0.2">
      <c r="A28" s="178" t="s">
        <v>1551</v>
      </c>
      <c r="B28" s="145">
        <v>74766</v>
      </c>
      <c r="C28" s="145">
        <v>4</v>
      </c>
      <c r="D28" s="145">
        <v>1</v>
      </c>
      <c r="E28" s="145"/>
      <c r="F28" s="145"/>
      <c r="G28" s="307"/>
    </row>
    <row r="29" spans="1:7" ht="30.75" customHeight="1" x14ac:dyDescent="0.2">
      <c r="A29" s="178" t="s">
        <v>1552</v>
      </c>
      <c r="B29" s="145">
        <v>66122</v>
      </c>
      <c r="C29" s="145">
        <v>2</v>
      </c>
      <c r="D29" s="145">
        <v>1</v>
      </c>
      <c r="E29" s="145"/>
      <c r="F29" s="145"/>
      <c r="G29" s="307"/>
    </row>
    <row r="30" spans="1:7" ht="33.75" customHeight="1" x14ac:dyDescent="0.2">
      <c r="A30" s="178" t="s">
        <v>1553</v>
      </c>
      <c r="B30" s="145">
        <v>59641</v>
      </c>
      <c r="C30" s="145">
        <v>5</v>
      </c>
      <c r="D30" s="145">
        <v>3</v>
      </c>
      <c r="E30" s="145"/>
      <c r="F30" s="145"/>
      <c r="G30" s="307"/>
    </row>
    <row r="31" spans="1:7" x14ac:dyDescent="0.2">
      <c r="A31" s="178" t="s">
        <v>1554</v>
      </c>
      <c r="B31" s="145">
        <v>374464</v>
      </c>
      <c r="C31" s="145">
        <v>2</v>
      </c>
      <c r="D31" s="145">
        <v>2</v>
      </c>
      <c r="E31" s="145"/>
      <c r="F31" s="145"/>
      <c r="G31" s="307"/>
    </row>
    <row r="32" spans="1:7" ht="60" x14ac:dyDescent="0.2">
      <c r="A32" s="178" t="s">
        <v>1555</v>
      </c>
      <c r="B32" s="145">
        <v>125340</v>
      </c>
      <c r="C32" s="145">
        <v>2</v>
      </c>
      <c r="D32" s="145">
        <v>2</v>
      </c>
      <c r="E32" s="145"/>
      <c r="F32" s="145"/>
      <c r="G32" s="307"/>
    </row>
    <row r="33" spans="1:14" ht="45" customHeight="1" x14ac:dyDescent="0.2">
      <c r="A33" s="178" t="s">
        <v>1556</v>
      </c>
      <c r="B33" s="145">
        <v>74197</v>
      </c>
      <c r="C33" s="145">
        <v>1</v>
      </c>
      <c r="D33" s="145">
        <v>1</v>
      </c>
      <c r="E33" s="145"/>
      <c r="F33" s="145"/>
      <c r="G33" s="307"/>
    </row>
    <row r="34" spans="1:14" x14ac:dyDescent="0.2">
      <c r="A34" s="178" t="s">
        <v>1557</v>
      </c>
      <c r="B34" s="309">
        <v>2129</v>
      </c>
      <c r="C34" s="309">
        <v>1</v>
      </c>
      <c r="D34" s="309">
        <v>1</v>
      </c>
      <c r="E34" s="309">
        <v>920327</v>
      </c>
      <c r="F34" s="309">
        <v>4</v>
      </c>
      <c r="G34" s="364">
        <v>2</v>
      </c>
    </row>
    <row r="35" spans="1:14" x14ac:dyDescent="0.2">
      <c r="A35" s="178"/>
      <c r="B35" s="145"/>
      <c r="C35" s="145"/>
      <c r="D35" s="145"/>
      <c r="E35" s="138">
        <f>+SUM(B26:B34)</f>
        <v>920324</v>
      </c>
      <c r="F35" s="138">
        <f>+SUM(C26:C34)</f>
        <v>27</v>
      </c>
      <c r="G35" s="138">
        <f>+SUM(D26:D34)</f>
        <v>14</v>
      </c>
    </row>
    <row r="36" spans="1:14" ht="16" thickBot="1" x14ac:dyDescent="0.25">
      <c r="A36" s="164"/>
      <c r="B36" s="145"/>
      <c r="C36" s="145"/>
      <c r="D36" s="145"/>
      <c r="E36" s="362">
        <v>3017897</v>
      </c>
      <c r="F36" s="362">
        <v>4</v>
      </c>
      <c r="G36" s="363">
        <v>1</v>
      </c>
    </row>
    <row r="37" spans="1:14" ht="16" thickTop="1" x14ac:dyDescent="0.2">
      <c r="A37" s="164"/>
      <c r="B37" s="145"/>
      <c r="C37" s="145"/>
      <c r="D37" s="145"/>
      <c r="E37" s="138">
        <f>E17+E18+E19+E20+E21+E22+E23+E24+B26+B27+B28+B29+B30+B31+B32+B33+B34</f>
        <v>3017889</v>
      </c>
      <c r="F37" s="138">
        <f>F17+F18+F19+F20+F21+F22+F23+F24+C26+C27+C28+C29+C30+C31+C32+C33+C34</f>
        <v>61</v>
      </c>
      <c r="G37" s="138">
        <f>G17+G18+G19+G20+G21+G22+G23+G24+D26+D27+D28+D29+D30+D31+D32+D33+D34</f>
        <v>26</v>
      </c>
    </row>
    <row r="38" spans="1:14" x14ac:dyDescent="0.2">
      <c r="A38" s="178" t="s">
        <v>1558</v>
      </c>
      <c r="B38" s="145"/>
      <c r="C38" s="145"/>
      <c r="D38" s="145"/>
      <c r="E38" s="145">
        <v>3338725</v>
      </c>
      <c r="F38" s="145">
        <v>3</v>
      </c>
      <c r="G38" s="307">
        <v>1</v>
      </c>
    </row>
    <row r="39" spans="1:14" x14ac:dyDescent="0.2">
      <c r="A39" s="178" t="s">
        <v>1559</v>
      </c>
      <c r="B39" s="145"/>
      <c r="C39" s="145"/>
      <c r="D39" s="145"/>
      <c r="E39" s="145">
        <v>3017897</v>
      </c>
      <c r="F39" s="145">
        <v>3</v>
      </c>
      <c r="G39" s="307">
        <v>1</v>
      </c>
    </row>
    <row r="40" spans="1:14" ht="22.5" customHeight="1" x14ac:dyDescent="0.2">
      <c r="A40" s="178" t="s">
        <v>1560</v>
      </c>
      <c r="B40" s="145"/>
      <c r="C40" s="145"/>
      <c r="D40" s="145"/>
      <c r="E40" s="145">
        <v>320828</v>
      </c>
      <c r="F40" s="145">
        <v>3</v>
      </c>
      <c r="G40" s="307">
        <v>1</v>
      </c>
      <c r="H40" s="107"/>
    </row>
    <row r="41" spans="1:14" ht="22.5" customHeight="1" x14ac:dyDescent="0.2">
      <c r="A41" s="178"/>
      <c r="B41" s="145"/>
      <c r="C41" s="145"/>
      <c r="D41" s="145"/>
      <c r="E41" s="138">
        <f>E15-E37</f>
        <v>320832</v>
      </c>
      <c r="F41" s="138">
        <f>F15-F37</f>
        <v>-29</v>
      </c>
      <c r="G41" s="138">
        <f>G15-G37</f>
        <v>-4</v>
      </c>
    </row>
    <row r="42" spans="1:14" ht="45" x14ac:dyDescent="0.2">
      <c r="A42" s="178" t="s">
        <v>1561</v>
      </c>
      <c r="B42" s="145"/>
      <c r="C42" s="145"/>
      <c r="D42" s="145"/>
      <c r="E42" s="309">
        <v>319922</v>
      </c>
      <c r="F42" s="309">
        <v>1</v>
      </c>
      <c r="G42" s="364">
        <v>3</v>
      </c>
    </row>
    <row r="43" spans="1:14" ht="36.75" customHeight="1" x14ac:dyDescent="0.2">
      <c r="A43" s="320" t="s">
        <v>1562</v>
      </c>
      <c r="B43" s="309"/>
      <c r="C43" s="309"/>
      <c r="D43" s="309"/>
      <c r="E43" s="309">
        <v>906</v>
      </c>
      <c r="F43" s="309">
        <v>1</v>
      </c>
      <c r="G43" s="364">
        <v>1</v>
      </c>
    </row>
    <row r="44" spans="1:14" x14ac:dyDescent="0.2">
      <c r="E44" s="321">
        <f>E41-E42</f>
        <v>910</v>
      </c>
      <c r="F44" s="321">
        <f>F41-F42</f>
        <v>-30</v>
      </c>
      <c r="G44" s="321">
        <f>G41-G42</f>
        <v>-7</v>
      </c>
    </row>
    <row r="47" spans="1:14" x14ac:dyDescent="0.2">
      <c r="A47" s="113" t="s">
        <v>1171</v>
      </c>
    </row>
    <row r="48" spans="1:14" ht="16" x14ac:dyDescent="0.2">
      <c r="A48" s="365" t="s">
        <v>1563</v>
      </c>
      <c r="B48" s="366"/>
      <c r="C48" s="366"/>
      <c r="D48" s="366"/>
      <c r="E48" s="366"/>
      <c r="F48" s="366"/>
      <c r="G48" s="366"/>
      <c r="H48" s="366"/>
      <c r="I48" s="366"/>
      <c r="J48" s="367"/>
      <c r="K48" s="110"/>
      <c r="L48" s="110"/>
      <c r="M48" s="110"/>
      <c r="N48" s="110"/>
    </row>
    <row r="49" spans="1:13" ht="28.5" customHeight="1" x14ac:dyDescent="0.2">
      <c r="A49" s="368" t="s">
        <v>1564</v>
      </c>
      <c r="B49" s="285" t="s">
        <v>1410</v>
      </c>
      <c r="C49" s="286"/>
      <c r="D49" s="287"/>
      <c r="E49" s="285" t="s">
        <v>1565</v>
      </c>
      <c r="F49" s="286"/>
      <c r="G49" s="286"/>
      <c r="H49" s="285" t="s">
        <v>1566</v>
      </c>
      <c r="I49" s="286"/>
      <c r="J49" s="287"/>
    </row>
    <row r="50" spans="1:13" x14ac:dyDescent="0.2">
      <c r="A50" s="164" t="s">
        <v>1567</v>
      </c>
      <c r="B50" s="131">
        <v>842</v>
      </c>
      <c r="C50" s="145">
        <v>4</v>
      </c>
      <c r="D50" s="133">
        <v>0.25</v>
      </c>
      <c r="E50" s="131">
        <v>3058</v>
      </c>
      <c r="F50" s="144"/>
      <c r="G50" s="369"/>
      <c r="H50" s="131">
        <v>2215</v>
      </c>
      <c r="I50" s="145">
        <v>3</v>
      </c>
      <c r="J50" s="370">
        <v>0.75</v>
      </c>
      <c r="K50" s="321">
        <f>E50-B50</f>
        <v>2216</v>
      </c>
      <c r="L50" s="321">
        <f t="shared" ref="L50:M57" si="0">F50-C50</f>
        <v>-4</v>
      </c>
      <c r="M50" s="371">
        <f t="shared" si="0"/>
        <v>-0.25</v>
      </c>
    </row>
    <row r="51" spans="1:13" x14ac:dyDescent="0.2">
      <c r="A51" s="178" t="s">
        <v>1392</v>
      </c>
      <c r="B51" s="131">
        <v>640</v>
      </c>
      <c r="C51" s="145">
        <v>4</v>
      </c>
      <c r="D51" s="370">
        <v>0.5</v>
      </c>
      <c r="E51" s="131">
        <v>712</v>
      </c>
      <c r="F51" s="145">
        <v>6</v>
      </c>
      <c r="G51" s="370"/>
      <c r="H51" s="131">
        <v>72</v>
      </c>
      <c r="I51" s="145">
        <v>5</v>
      </c>
      <c r="J51" s="370">
        <v>0.5</v>
      </c>
      <c r="K51" s="321">
        <f t="shared" ref="K51:K57" si="1">E51-B51</f>
        <v>72</v>
      </c>
      <c r="L51" s="321">
        <f t="shared" si="0"/>
        <v>2</v>
      </c>
      <c r="M51" s="371">
        <f t="shared" si="0"/>
        <v>-0.5</v>
      </c>
    </row>
    <row r="52" spans="1:13" x14ac:dyDescent="0.2">
      <c r="A52" s="164" t="s">
        <v>1568</v>
      </c>
      <c r="B52" s="131">
        <v>14661</v>
      </c>
      <c r="C52" s="145">
        <v>4</v>
      </c>
      <c r="D52" s="370">
        <v>0.5</v>
      </c>
      <c r="E52" s="131">
        <v>18746</v>
      </c>
      <c r="F52" s="145">
        <v>7</v>
      </c>
      <c r="G52" s="370">
        <v>0.5</v>
      </c>
      <c r="H52" s="131">
        <v>4085</v>
      </c>
      <c r="I52" s="145">
        <v>3</v>
      </c>
      <c r="J52" s="370">
        <v>0.5</v>
      </c>
      <c r="K52" s="321">
        <f t="shared" si="1"/>
        <v>4085</v>
      </c>
      <c r="L52" s="321">
        <f t="shared" si="0"/>
        <v>3</v>
      </c>
      <c r="M52" s="371">
        <f t="shared" si="0"/>
        <v>0</v>
      </c>
    </row>
    <row r="53" spans="1:13" x14ac:dyDescent="0.2">
      <c r="A53" s="164" t="s">
        <v>1400</v>
      </c>
      <c r="B53" s="131">
        <v>280</v>
      </c>
      <c r="C53" s="145">
        <v>2</v>
      </c>
      <c r="D53" s="370">
        <v>0.75</v>
      </c>
      <c r="E53" s="131">
        <v>1031</v>
      </c>
      <c r="F53" s="145">
        <v>2</v>
      </c>
      <c r="G53" s="370">
        <v>0.5</v>
      </c>
      <c r="H53" s="131">
        <v>750</v>
      </c>
      <c r="I53" s="145">
        <v>7</v>
      </c>
      <c r="J53" s="370">
        <v>0.25</v>
      </c>
      <c r="K53" s="321">
        <f t="shared" si="1"/>
        <v>751</v>
      </c>
      <c r="L53" s="321">
        <f t="shared" si="0"/>
        <v>0</v>
      </c>
      <c r="M53" s="371">
        <f t="shared" si="0"/>
        <v>-0.25</v>
      </c>
    </row>
    <row r="54" spans="1:13" x14ac:dyDescent="0.2">
      <c r="A54" s="164" t="s">
        <v>1401</v>
      </c>
      <c r="B54" s="131">
        <v>74480</v>
      </c>
      <c r="C54" s="145">
        <v>6</v>
      </c>
      <c r="D54" s="370">
        <v>0.25</v>
      </c>
      <c r="E54" s="131">
        <v>79813</v>
      </c>
      <c r="F54" s="145">
        <v>4</v>
      </c>
      <c r="G54" s="370">
        <v>0.75</v>
      </c>
      <c r="H54" s="131">
        <v>5332</v>
      </c>
      <c r="I54" s="145">
        <v>6</v>
      </c>
      <c r="J54" s="370">
        <v>0.5</v>
      </c>
      <c r="K54" s="321">
        <f t="shared" si="1"/>
        <v>5333</v>
      </c>
      <c r="L54" s="321">
        <f t="shared" si="0"/>
        <v>-2</v>
      </c>
      <c r="M54" s="371">
        <f t="shared" si="0"/>
        <v>0.5</v>
      </c>
    </row>
    <row r="55" spans="1:13" x14ac:dyDescent="0.2">
      <c r="A55" s="164" t="s">
        <v>1569</v>
      </c>
      <c r="B55" s="131">
        <v>535547</v>
      </c>
      <c r="C55" s="145">
        <v>6</v>
      </c>
      <c r="D55" s="370">
        <v>0.75</v>
      </c>
      <c r="E55" s="131">
        <v>548036</v>
      </c>
      <c r="F55" s="145">
        <v>5</v>
      </c>
      <c r="G55" s="370">
        <v>0.75</v>
      </c>
      <c r="H55" s="131">
        <v>12488</v>
      </c>
      <c r="I55" s="145">
        <v>6</v>
      </c>
      <c r="J55" s="370">
        <v>0.25</v>
      </c>
      <c r="K55" s="321">
        <f t="shared" si="1"/>
        <v>12489</v>
      </c>
      <c r="L55" s="321">
        <f t="shared" si="0"/>
        <v>-1</v>
      </c>
      <c r="M55" s="371">
        <f t="shared" si="0"/>
        <v>0</v>
      </c>
    </row>
    <row r="56" spans="1:13" x14ac:dyDescent="0.2">
      <c r="A56" s="164" t="s">
        <v>1570</v>
      </c>
      <c r="B56" s="131">
        <v>820438</v>
      </c>
      <c r="C56" s="145">
        <v>4</v>
      </c>
      <c r="D56" s="370">
        <v>0.5</v>
      </c>
      <c r="E56" s="131">
        <v>890264</v>
      </c>
      <c r="F56" s="145">
        <v>3</v>
      </c>
      <c r="G56" s="370">
        <v>0.75</v>
      </c>
      <c r="H56" s="131">
        <v>69825</v>
      </c>
      <c r="I56" s="145">
        <v>6</v>
      </c>
      <c r="J56" s="370">
        <v>0.5</v>
      </c>
      <c r="K56" s="321">
        <f t="shared" si="1"/>
        <v>69826</v>
      </c>
      <c r="L56" s="321">
        <f t="shared" si="0"/>
        <v>-1</v>
      </c>
      <c r="M56" s="371">
        <f t="shared" si="0"/>
        <v>0.25</v>
      </c>
    </row>
    <row r="57" spans="1:13" x14ac:dyDescent="0.2">
      <c r="A57" s="164" t="s">
        <v>1425</v>
      </c>
      <c r="B57" s="131">
        <v>616</v>
      </c>
      <c r="C57" s="145">
        <v>4</v>
      </c>
      <c r="D57" s="370">
        <v>0.25</v>
      </c>
      <c r="E57" s="131">
        <v>623</v>
      </c>
      <c r="F57" s="145">
        <v>2</v>
      </c>
      <c r="G57" s="370"/>
      <c r="H57" s="131">
        <v>6</v>
      </c>
      <c r="I57" s="145">
        <v>5</v>
      </c>
      <c r="J57" s="370">
        <v>0.75</v>
      </c>
      <c r="K57" s="321">
        <f t="shared" si="1"/>
        <v>7</v>
      </c>
      <c r="L57" s="321">
        <f t="shared" si="0"/>
        <v>-2</v>
      </c>
      <c r="M57" s="371">
        <f t="shared" si="0"/>
        <v>-0.25</v>
      </c>
    </row>
    <row r="58" spans="1:13" x14ac:dyDescent="0.2">
      <c r="A58" s="164"/>
      <c r="B58" s="349">
        <v>1447508</v>
      </c>
      <c r="C58" s="350">
        <v>1</v>
      </c>
      <c r="D58" s="352">
        <v>0.25</v>
      </c>
      <c r="E58" s="349">
        <v>1542286</v>
      </c>
      <c r="F58" s="350">
        <v>6</v>
      </c>
      <c r="G58" s="352">
        <v>0.25</v>
      </c>
      <c r="H58" s="349">
        <v>94778</v>
      </c>
      <c r="I58" s="350">
        <v>5</v>
      </c>
      <c r="J58" s="352">
        <v>0.75</v>
      </c>
      <c r="K58" s="321">
        <f>E58-B58</f>
        <v>94778</v>
      </c>
      <c r="L58" s="321">
        <f>F58-C58</f>
        <v>5</v>
      </c>
      <c r="M58" s="371">
        <f>G58-D58</f>
        <v>0</v>
      </c>
    </row>
    <row r="59" spans="1:13" x14ac:dyDescent="0.2">
      <c r="A59" s="164"/>
      <c r="B59" s="343">
        <f>SUM(B50:B57)</f>
        <v>1447504</v>
      </c>
      <c r="C59" s="343">
        <f>SUM(C50:C57)</f>
        <v>34</v>
      </c>
      <c r="D59" s="344">
        <f>SUM(D50:D57)</f>
        <v>3.75</v>
      </c>
      <c r="E59" s="343">
        <f t="shared" ref="E59:J59" si="2">+SUM(E50:E57)</f>
        <v>1542283</v>
      </c>
      <c r="F59" s="343">
        <f t="shared" si="2"/>
        <v>29</v>
      </c>
      <c r="G59" s="344">
        <f t="shared" si="2"/>
        <v>3.25</v>
      </c>
      <c r="H59" s="343">
        <f t="shared" si="2"/>
        <v>94773</v>
      </c>
      <c r="I59" s="343">
        <f t="shared" si="2"/>
        <v>41</v>
      </c>
      <c r="J59" s="344">
        <f t="shared" si="2"/>
        <v>4</v>
      </c>
    </row>
    <row r="60" spans="1:13" ht="31.5" customHeight="1" x14ac:dyDescent="0.2">
      <c r="A60" s="368" t="s">
        <v>1571</v>
      </c>
      <c r="B60" s="285" t="s">
        <v>1410</v>
      </c>
      <c r="C60" s="286"/>
      <c r="D60" s="287"/>
      <c r="E60" s="285" t="s">
        <v>1565</v>
      </c>
      <c r="F60" s="286"/>
      <c r="G60" s="286"/>
      <c r="H60" s="285" t="s">
        <v>1572</v>
      </c>
      <c r="I60" s="286"/>
      <c r="J60" s="287"/>
    </row>
    <row r="61" spans="1:13" x14ac:dyDescent="0.2">
      <c r="A61" s="164" t="s">
        <v>1174</v>
      </c>
      <c r="B61" s="131">
        <v>1124345</v>
      </c>
      <c r="C61" s="145">
        <v>4</v>
      </c>
      <c r="D61" s="370">
        <v>0.75</v>
      </c>
      <c r="E61" s="131">
        <v>851165</v>
      </c>
      <c r="F61" s="145">
        <v>6</v>
      </c>
      <c r="G61" s="370">
        <v>0.75</v>
      </c>
      <c r="H61" s="131">
        <v>273179</v>
      </c>
      <c r="I61" s="145">
        <v>6</v>
      </c>
      <c r="J61" s="369"/>
    </row>
    <row r="62" spans="1:13" x14ac:dyDescent="0.2">
      <c r="A62" s="164" t="s">
        <v>1377</v>
      </c>
      <c r="B62" s="131">
        <v>180359</v>
      </c>
      <c r="C62" s="145">
        <v>1</v>
      </c>
      <c r="D62" s="370">
        <v>0.25</v>
      </c>
      <c r="E62" s="131">
        <v>174323</v>
      </c>
      <c r="F62" s="145">
        <v>6</v>
      </c>
      <c r="G62" s="370">
        <v>0.5</v>
      </c>
      <c r="H62" s="131">
        <v>6035</v>
      </c>
      <c r="I62" s="145">
        <v>2</v>
      </c>
      <c r="J62" s="370">
        <v>0.75</v>
      </c>
    </row>
    <row r="63" spans="1:13" x14ac:dyDescent="0.2">
      <c r="A63" s="164" t="s">
        <v>1573</v>
      </c>
      <c r="B63" s="131">
        <v>2102134</v>
      </c>
      <c r="C63" s="145">
        <v>4</v>
      </c>
      <c r="D63" s="370">
        <v>0.5</v>
      </c>
      <c r="E63" s="131">
        <v>1926698</v>
      </c>
      <c r="F63" s="145">
        <v>3</v>
      </c>
      <c r="G63" s="370">
        <v>0.75</v>
      </c>
      <c r="H63" s="131">
        <v>175436</v>
      </c>
      <c r="I63" s="145">
        <v>2</v>
      </c>
      <c r="J63" s="370">
        <v>0.75</v>
      </c>
    </row>
    <row r="64" spans="1:13" x14ac:dyDescent="0.2">
      <c r="A64" s="164" t="s">
        <v>1175</v>
      </c>
      <c r="B64" s="131">
        <v>80462</v>
      </c>
      <c r="C64" s="145">
        <v>3</v>
      </c>
      <c r="D64" s="370">
        <v>0.75</v>
      </c>
      <c r="E64" s="131">
        <v>76418</v>
      </c>
      <c r="F64" s="145">
        <v>2</v>
      </c>
      <c r="G64" s="370">
        <v>0.75</v>
      </c>
      <c r="H64" s="131">
        <v>4044</v>
      </c>
      <c r="I64" s="145">
        <v>1</v>
      </c>
      <c r="J64" s="370">
        <v>0.75</v>
      </c>
    </row>
    <row r="65" spans="1:10" x14ac:dyDescent="0.2">
      <c r="A65" s="164" t="s">
        <v>1422</v>
      </c>
      <c r="B65" s="131">
        <v>36978</v>
      </c>
      <c r="C65" s="145">
        <v>6</v>
      </c>
      <c r="D65" s="370">
        <v>0.5</v>
      </c>
      <c r="E65" s="131">
        <v>23592</v>
      </c>
      <c r="F65" s="145">
        <v>5</v>
      </c>
      <c r="G65" s="370">
        <v>0.25</v>
      </c>
      <c r="H65" s="131">
        <v>13386</v>
      </c>
      <c r="I65" s="145">
        <v>1</v>
      </c>
      <c r="J65" s="370">
        <v>0.25</v>
      </c>
    </row>
    <row r="66" spans="1:10" x14ac:dyDescent="0.2">
      <c r="A66" s="164" t="s">
        <v>1574</v>
      </c>
      <c r="B66" s="131">
        <v>6651</v>
      </c>
      <c r="C66" s="145">
        <v>6</v>
      </c>
      <c r="D66" s="370">
        <v>0.5</v>
      </c>
      <c r="E66" s="131">
        <v>5121</v>
      </c>
      <c r="F66" s="145">
        <v>3</v>
      </c>
      <c r="G66" s="370">
        <v>0.25</v>
      </c>
      <c r="H66" s="131">
        <v>1529</v>
      </c>
      <c r="I66" s="145">
        <v>5</v>
      </c>
      <c r="J66" s="370">
        <v>0.25</v>
      </c>
    </row>
    <row r="67" spans="1:10" x14ac:dyDescent="0.2">
      <c r="A67" s="164" t="s">
        <v>1575</v>
      </c>
      <c r="B67" s="131">
        <v>51008</v>
      </c>
      <c r="C67" s="145">
        <v>7</v>
      </c>
      <c r="D67" s="370">
        <v>0.75</v>
      </c>
      <c r="E67" s="131">
        <v>48308</v>
      </c>
      <c r="F67" s="145">
        <v>1</v>
      </c>
      <c r="G67" s="370">
        <v>0.5</v>
      </c>
      <c r="H67" s="131">
        <v>2700</v>
      </c>
      <c r="I67" s="145">
        <v>6</v>
      </c>
      <c r="J67" s="370">
        <v>0.25</v>
      </c>
    </row>
    <row r="68" spans="1:10" x14ac:dyDescent="0.2">
      <c r="A68" s="164" t="s">
        <v>1426</v>
      </c>
      <c r="B68" s="131">
        <v>85114</v>
      </c>
      <c r="C68" s="145">
        <v>6</v>
      </c>
      <c r="D68" s="370">
        <v>0.75</v>
      </c>
      <c r="E68" s="131">
        <v>68262</v>
      </c>
      <c r="F68" s="145">
        <v>3</v>
      </c>
      <c r="G68" s="370">
        <v>0.5</v>
      </c>
      <c r="H68" s="131">
        <v>16852</v>
      </c>
      <c r="I68" s="145">
        <v>3</v>
      </c>
      <c r="J68" s="370">
        <v>0.25</v>
      </c>
    </row>
    <row r="69" spans="1:10" ht="16" thickBot="1" x14ac:dyDescent="0.25">
      <c r="A69" s="164"/>
      <c r="B69" s="372">
        <v>5114563</v>
      </c>
      <c r="C69" s="362">
        <v>3</v>
      </c>
      <c r="D69" s="373">
        <v>0.75</v>
      </c>
      <c r="E69" s="372">
        <v>4716177</v>
      </c>
      <c r="F69" s="362">
        <v>6</v>
      </c>
      <c r="G69" s="373">
        <v>0.75</v>
      </c>
      <c r="H69" s="372">
        <v>493164</v>
      </c>
      <c r="I69" s="362">
        <v>2</v>
      </c>
      <c r="J69" s="373">
        <v>0.25</v>
      </c>
    </row>
    <row r="70" spans="1:10" ht="16" thickTop="1" x14ac:dyDescent="0.2">
      <c r="A70" s="164"/>
      <c r="B70" s="138">
        <f t="shared" ref="B70:G70" si="3">SUM(B61:B68)+B59</f>
        <v>5114555</v>
      </c>
      <c r="C70" s="138">
        <f t="shared" si="3"/>
        <v>71</v>
      </c>
      <c r="D70" s="312">
        <f t="shared" si="3"/>
        <v>8.5</v>
      </c>
      <c r="E70" s="138">
        <f t="shared" si="3"/>
        <v>4716170</v>
      </c>
      <c r="F70" s="138">
        <f t="shared" si="3"/>
        <v>58</v>
      </c>
      <c r="G70" s="312">
        <f t="shared" si="3"/>
        <v>7.5</v>
      </c>
      <c r="H70" s="138">
        <f>+SUM(H61:H68)</f>
        <v>493161</v>
      </c>
      <c r="I70" s="138">
        <f>+SUM(I61:I68)</f>
        <v>26</v>
      </c>
      <c r="J70" s="312">
        <f>+SUM(J61:J68)</f>
        <v>3.25</v>
      </c>
    </row>
    <row r="71" spans="1:10" x14ac:dyDescent="0.2">
      <c r="A71" s="374" t="s">
        <v>1576</v>
      </c>
      <c r="B71" s="375"/>
      <c r="C71" s="375"/>
      <c r="D71" s="375"/>
      <c r="E71" s="375"/>
      <c r="F71" s="375"/>
      <c r="G71" s="375"/>
      <c r="H71" s="131">
        <v>493164</v>
      </c>
      <c r="I71" s="145">
        <v>2</v>
      </c>
      <c r="J71" s="133">
        <v>0.25</v>
      </c>
    </row>
    <row r="72" spans="1:10" x14ac:dyDescent="0.2">
      <c r="A72" s="374" t="s">
        <v>1577</v>
      </c>
      <c r="B72" s="375"/>
      <c r="C72" s="375"/>
      <c r="D72" s="375"/>
      <c r="E72" s="375"/>
      <c r="F72" s="375"/>
      <c r="G72" s="375"/>
      <c r="H72" s="131">
        <v>94778</v>
      </c>
      <c r="I72" s="145">
        <v>5</v>
      </c>
      <c r="J72" s="146">
        <v>0.25</v>
      </c>
    </row>
    <row r="73" spans="1:10" ht="16" thickBot="1" x14ac:dyDescent="0.25">
      <c r="A73" s="376" t="s">
        <v>1578</v>
      </c>
      <c r="B73" s="377"/>
      <c r="C73" s="377"/>
      <c r="D73" s="377"/>
      <c r="E73" s="377"/>
      <c r="F73" s="377"/>
      <c r="G73" s="377"/>
      <c r="H73" s="372">
        <v>398385</v>
      </c>
      <c r="I73" s="362">
        <v>5</v>
      </c>
      <c r="J73" s="373">
        <v>0.25</v>
      </c>
    </row>
    <row r="74" spans="1:10" ht="16" thickTop="1" x14ac:dyDescent="0.2">
      <c r="H74" s="321">
        <f>H70-H59</f>
        <v>398388</v>
      </c>
      <c r="I74" s="321">
        <f>I70-I59</f>
        <v>-15</v>
      </c>
      <c r="J74" s="322">
        <f>J70-J59</f>
        <v>-0.75</v>
      </c>
    </row>
    <row r="77" spans="1:10" x14ac:dyDescent="0.2">
      <c r="A77" s="113" t="s">
        <v>1182</v>
      </c>
    </row>
    <row r="78" spans="1:10" ht="23.25" customHeight="1" x14ac:dyDescent="0.2">
      <c r="A78" s="378" t="s">
        <v>1579</v>
      </c>
      <c r="B78" s="379"/>
      <c r="C78" s="379"/>
      <c r="D78" s="380"/>
    </row>
    <row r="79" spans="1:10" x14ac:dyDescent="0.2">
      <c r="A79" s="164" t="s">
        <v>1580</v>
      </c>
      <c r="B79" s="145">
        <v>35763</v>
      </c>
      <c r="C79" s="134">
        <v>7</v>
      </c>
      <c r="D79" s="185">
        <v>1</v>
      </c>
    </row>
    <row r="80" spans="1:10" x14ac:dyDescent="0.2">
      <c r="A80" s="164" t="s">
        <v>1581</v>
      </c>
      <c r="B80" s="145">
        <v>133681</v>
      </c>
      <c r="C80" s="134">
        <v>1</v>
      </c>
      <c r="D80" s="185">
        <v>1</v>
      </c>
    </row>
    <row r="81" spans="1:4" x14ac:dyDescent="0.2">
      <c r="A81" s="164" t="s">
        <v>1582</v>
      </c>
      <c r="B81" s="145">
        <v>2992</v>
      </c>
      <c r="C81" s="134">
        <v>5</v>
      </c>
      <c r="D81" s="185">
        <v>1</v>
      </c>
    </row>
    <row r="82" spans="1:4" x14ac:dyDescent="0.2">
      <c r="A82" s="164" t="s">
        <v>1583</v>
      </c>
      <c r="B82" s="145">
        <v>86430</v>
      </c>
      <c r="C82" s="134">
        <v>1</v>
      </c>
      <c r="D82" s="185">
        <v>3</v>
      </c>
    </row>
    <row r="83" spans="1:4" x14ac:dyDescent="0.2">
      <c r="A83" s="164" t="s">
        <v>1584</v>
      </c>
      <c r="B83" s="145">
        <v>40945</v>
      </c>
      <c r="C83" s="134">
        <v>7</v>
      </c>
      <c r="D83" s="185">
        <v>3</v>
      </c>
    </row>
    <row r="84" spans="1:4" x14ac:dyDescent="0.2">
      <c r="A84" s="164" t="s">
        <v>1585</v>
      </c>
      <c r="B84" s="145">
        <v>299813</v>
      </c>
      <c r="C84" s="134">
        <v>6</v>
      </c>
      <c r="D84" s="185">
        <v>1</v>
      </c>
    </row>
    <row r="85" spans="1:4" x14ac:dyDescent="0.2">
      <c r="A85" s="151"/>
      <c r="B85" s="299">
        <f>SUM(B79:B83)</f>
        <v>299811</v>
      </c>
      <c r="C85" s="300">
        <f>SUM(C79:C83)</f>
        <v>21</v>
      </c>
      <c r="D85" s="154">
        <f>SUM(D79:D83)</f>
        <v>9</v>
      </c>
    </row>
    <row r="86" spans="1:4" x14ac:dyDescent="0.2">
      <c r="A86" s="219" t="s">
        <v>1586</v>
      </c>
      <c r="B86" s="141">
        <v>98571</v>
      </c>
      <c r="C86" s="184">
        <v>6</v>
      </c>
      <c r="D86" s="381">
        <v>3</v>
      </c>
    </row>
    <row r="87" spans="1:4" x14ac:dyDescent="0.2">
      <c r="B87" s="321">
        <f>H74-B85</f>
        <v>98577</v>
      </c>
      <c r="C87" s="321">
        <f>I74-C85</f>
        <v>-36</v>
      </c>
      <c r="D87" s="321">
        <f>J74-D85</f>
        <v>-9.75</v>
      </c>
    </row>
    <row r="90" spans="1:4" x14ac:dyDescent="0.2">
      <c r="A90" s="113" t="s">
        <v>1587</v>
      </c>
    </row>
    <row r="91" spans="1:4" ht="24" customHeight="1" x14ac:dyDescent="0.2">
      <c r="A91" s="155" t="s">
        <v>1588</v>
      </c>
      <c r="B91" s="156"/>
      <c r="C91" s="156"/>
      <c r="D91" s="157"/>
    </row>
    <row r="92" spans="1:4" x14ac:dyDescent="0.2">
      <c r="A92" s="382" t="s">
        <v>1589</v>
      </c>
      <c r="B92" s="277"/>
      <c r="C92" s="277"/>
      <c r="D92" s="278"/>
    </row>
    <row r="93" spans="1:4" ht="30" x14ac:dyDescent="0.2">
      <c r="A93" s="178" t="s">
        <v>1590</v>
      </c>
      <c r="B93" s="145">
        <v>571239</v>
      </c>
      <c r="C93" s="145">
        <v>5</v>
      </c>
      <c r="D93" s="370">
        <f>2/4</f>
        <v>0.5</v>
      </c>
    </row>
    <row r="94" spans="1:4" ht="30" x14ac:dyDescent="0.2">
      <c r="A94" s="178" t="s">
        <v>1591</v>
      </c>
      <c r="B94" s="145">
        <v>328085</v>
      </c>
      <c r="C94" s="145">
        <v>1</v>
      </c>
      <c r="D94" s="370">
        <v>0.25</v>
      </c>
    </row>
    <row r="95" spans="1:4" x14ac:dyDescent="0.2">
      <c r="A95" s="178" t="s">
        <v>1592</v>
      </c>
      <c r="B95" s="145">
        <v>945425</v>
      </c>
      <c r="C95" s="145">
        <v>1</v>
      </c>
      <c r="D95" s="370">
        <v>0.25</v>
      </c>
    </row>
    <row r="96" spans="1:4" ht="60" x14ac:dyDescent="0.2">
      <c r="A96" s="178" t="s">
        <v>1593</v>
      </c>
      <c r="B96" s="145">
        <v>833736</v>
      </c>
      <c r="C96" s="145">
        <v>7</v>
      </c>
      <c r="D96" s="370">
        <v>0.75</v>
      </c>
    </row>
    <row r="97" spans="1:4" ht="16" thickBot="1" x14ac:dyDescent="0.25">
      <c r="A97" s="151" t="s">
        <v>1406</v>
      </c>
      <c r="B97" s="362">
        <v>2678486</v>
      </c>
      <c r="C97" s="362">
        <v>6</v>
      </c>
      <c r="D97" s="383">
        <v>0.5</v>
      </c>
    </row>
    <row r="98" spans="1:4" ht="16" thickTop="1" x14ac:dyDescent="0.2">
      <c r="A98" s="134"/>
      <c r="B98" s="138">
        <f>SUM(B93:B96)</f>
        <v>2678485</v>
      </c>
      <c r="C98" s="138">
        <f>SUM(C93:C96)</f>
        <v>14</v>
      </c>
      <c r="D98" s="138">
        <f>SUM(D93:D96)</f>
        <v>1.75</v>
      </c>
    </row>
    <row r="100" spans="1:4" x14ac:dyDescent="0.2">
      <c r="A100" s="384" t="s">
        <v>1594</v>
      </c>
      <c r="B100" s="145">
        <v>3007604</v>
      </c>
      <c r="C100" s="145">
        <v>1</v>
      </c>
      <c r="D100" s="370">
        <f>3/4</f>
        <v>0.75</v>
      </c>
    </row>
    <row r="101" spans="1:4" x14ac:dyDescent="0.2">
      <c r="A101" s="384" t="s">
        <v>1595</v>
      </c>
      <c r="B101" s="145">
        <v>329117</v>
      </c>
      <c r="C101" s="145">
        <v>3</v>
      </c>
      <c r="D101" s="370">
        <f>1/4</f>
        <v>0.25</v>
      </c>
    </row>
    <row r="102" spans="1:4" x14ac:dyDescent="0.2">
      <c r="B102" s="321">
        <f>B98-B100</f>
        <v>-329119</v>
      </c>
      <c r="C102" s="321">
        <f>C98-C100</f>
        <v>13</v>
      </c>
      <c r="D102" s="321">
        <f>D98-D100</f>
        <v>1</v>
      </c>
    </row>
    <row r="105" spans="1:4" x14ac:dyDescent="0.2">
      <c r="A105" s="113" t="s">
        <v>1272</v>
      </c>
    </row>
    <row r="106" spans="1:4" ht="42" customHeight="1" x14ac:dyDescent="0.2">
      <c r="A106" s="385" t="s">
        <v>1596</v>
      </c>
      <c r="B106" s="386"/>
      <c r="C106" s="386"/>
      <c r="D106" s="387"/>
    </row>
    <row r="107" spans="1:4" x14ac:dyDescent="0.2">
      <c r="A107" s="178" t="s">
        <v>1597</v>
      </c>
      <c r="B107" s="145">
        <v>22230</v>
      </c>
      <c r="C107" s="144"/>
      <c r="D107" s="369"/>
    </row>
    <row r="108" spans="1:4" x14ac:dyDescent="0.2">
      <c r="A108" s="178" t="s">
        <v>1598</v>
      </c>
      <c r="B108" s="145">
        <v>3476</v>
      </c>
      <c r="C108" s="144"/>
      <c r="D108" s="369"/>
    </row>
    <row r="109" spans="1:4" x14ac:dyDescent="0.2">
      <c r="A109" s="178" t="s">
        <v>1599</v>
      </c>
      <c r="B109" s="145">
        <v>64917</v>
      </c>
      <c r="C109" s="144"/>
      <c r="D109" s="369"/>
    </row>
    <row r="110" spans="1:4" x14ac:dyDescent="0.2">
      <c r="A110" s="178" t="s">
        <v>1174</v>
      </c>
      <c r="B110" s="145">
        <v>32965</v>
      </c>
      <c r="C110" s="144"/>
      <c r="D110" s="369"/>
    </row>
    <row r="111" spans="1:4" ht="30" x14ac:dyDescent="0.2">
      <c r="A111" s="178" t="s">
        <v>1600</v>
      </c>
      <c r="B111" s="145">
        <v>4365</v>
      </c>
      <c r="C111" s="144"/>
      <c r="D111" s="369"/>
    </row>
    <row r="112" spans="1:4" ht="45" x14ac:dyDescent="0.2">
      <c r="A112" s="178" t="s">
        <v>1601</v>
      </c>
      <c r="B112" s="145">
        <v>56308</v>
      </c>
      <c r="C112" s="144"/>
      <c r="D112" s="369"/>
    </row>
    <row r="113" spans="1:10" ht="45" x14ac:dyDescent="0.2">
      <c r="A113" s="178" t="s">
        <v>1602</v>
      </c>
      <c r="B113" s="145">
        <v>67196</v>
      </c>
      <c r="C113" s="144"/>
      <c r="D113" s="369"/>
    </row>
    <row r="114" spans="1:10" x14ac:dyDescent="0.2">
      <c r="A114" s="178" t="s">
        <v>1603</v>
      </c>
      <c r="B114" s="145">
        <v>4761</v>
      </c>
      <c r="C114" s="144"/>
      <c r="D114" s="369"/>
    </row>
    <row r="115" spans="1:10" ht="45" x14ac:dyDescent="0.2">
      <c r="A115" s="178" t="s">
        <v>1604</v>
      </c>
      <c r="B115" s="145">
        <v>89820</v>
      </c>
      <c r="C115" s="145">
        <v>5</v>
      </c>
      <c r="D115" s="370"/>
    </row>
    <row r="116" spans="1:10" x14ac:dyDescent="0.2">
      <c r="A116" s="178" t="s">
        <v>1605</v>
      </c>
      <c r="B116" s="145">
        <v>76354</v>
      </c>
      <c r="C116" s="145">
        <v>5</v>
      </c>
      <c r="D116" s="370"/>
    </row>
    <row r="117" spans="1:10" ht="60" x14ac:dyDescent="0.2">
      <c r="A117" s="178" t="s">
        <v>1606</v>
      </c>
      <c r="B117" s="145">
        <v>3647</v>
      </c>
      <c r="C117" s="145">
        <v>3</v>
      </c>
      <c r="D117" s="370"/>
    </row>
    <row r="118" spans="1:10" x14ac:dyDescent="0.2">
      <c r="A118" s="178" t="s">
        <v>1401</v>
      </c>
      <c r="B118" s="145">
        <v>5000</v>
      </c>
      <c r="C118" s="145">
        <v>3</v>
      </c>
      <c r="D118" s="370"/>
    </row>
    <row r="119" spans="1:10" ht="30" x14ac:dyDescent="0.2">
      <c r="A119" s="178" t="s">
        <v>1607</v>
      </c>
      <c r="B119" s="145">
        <v>1500</v>
      </c>
      <c r="C119" s="145">
        <v>3</v>
      </c>
      <c r="D119" s="370"/>
    </row>
    <row r="120" spans="1:10" ht="30" x14ac:dyDescent="0.2">
      <c r="A120" s="178" t="s">
        <v>1608</v>
      </c>
      <c r="B120" s="145">
        <v>4000</v>
      </c>
      <c r="C120" s="145">
        <v>3</v>
      </c>
      <c r="D120" s="146">
        <v>1.3333333333333333</v>
      </c>
    </row>
    <row r="121" spans="1:10" ht="30" x14ac:dyDescent="0.2">
      <c r="A121" s="178" t="s">
        <v>1609</v>
      </c>
      <c r="B121" s="145">
        <v>297196</v>
      </c>
      <c r="C121" s="145">
        <v>1</v>
      </c>
      <c r="D121" s="370">
        <v>0.75</v>
      </c>
    </row>
    <row r="122" spans="1:10" ht="16" thickBot="1" x14ac:dyDescent="0.25">
      <c r="A122" s="151"/>
      <c r="B122" s="362">
        <v>733736</v>
      </c>
      <c r="C122" s="362">
        <v>7</v>
      </c>
      <c r="D122" s="383">
        <v>0.75</v>
      </c>
    </row>
    <row r="123" spans="1:10" ht="16" thickTop="1" x14ac:dyDescent="0.2">
      <c r="B123" s="321">
        <f>SUM(B107:B121)</f>
        <v>733735</v>
      </c>
      <c r="C123" s="321">
        <f>SUM(C107:C121)</f>
        <v>23</v>
      </c>
      <c r="D123" s="388">
        <f>SUM(D107:D121)</f>
        <v>2.083333333333333</v>
      </c>
    </row>
    <row r="126" spans="1:10" x14ac:dyDescent="0.2">
      <c r="A126" s="113" t="s">
        <v>1342</v>
      </c>
    </row>
    <row r="127" spans="1:10" ht="57" customHeight="1" x14ac:dyDescent="0.2">
      <c r="A127" s="389" t="s">
        <v>1610</v>
      </c>
      <c r="B127" s="390"/>
      <c r="C127" s="390"/>
      <c r="D127" s="390"/>
      <c r="E127" s="390"/>
      <c r="F127" s="390"/>
      <c r="G127" s="390"/>
      <c r="H127" s="390"/>
      <c r="I127" s="390"/>
      <c r="J127" s="391"/>
    </row>
    <row r="128" spans="1:10" ht="51" customHeight="1" x14ac:dyDescent="0.2">
      <c r="A128" s="279" t="s">
        <v>1611</v>
      </c>
      <c r="B128" s="285" t="s">
        <v>1612</v>
      </c>
      <c r="C128" s="286"/>
      <c r="D128" s="287"/>
      <c r="E128" s="285" t="s">
        <v>1613</v>
      </c>
      <c r="F128" s="286"/>
      <c r="G128" s="287"/>
      <c r="H128" s="286" t="s">
        <v>1614</v>
      </c>
      <c r="I128" s="286"/>
      <c r="J128" s="287"/>
    </row>
    <row r="129" spans="1:12" x14ac:dyDescent="0.2">
      <c r="A129" s="178" t="s">
        <v>1377</v>
      </c>
      <c r="B129" s="131">
        <v>157161</v>
      </c>
      <c r="C129" s="145">
        <v>5</v>
      </c>
      <c r="D129" s="392"/>
      <c r="E129" s="131">
        <v>9445</v>
      </c>
      <c r="F129" s="145">
        <v>5</v>
      </c>
      <c r="G129" s="307"/>
      <c r="H129" s="145">
        <v>166687</v>
      </c>
      <c r="I129" s="145">
        <v>2</v>
      </c>
      <c r="J129" s="392"/>
      <c r="K129" s="393">
        <f>B129+E129+L129</f>
        <v>166607.25</v>
      </c>
      <c r="L129" s="393">
        <f>(C129+F129)/8</f>
        <v>1.25</v>
      </c>
    </row>
    <row r="130" spans="1:12" x14ac:dyDescent="0.2">
      <c r="A130" s="178" t="s">
        <v>1378</v>
      </c>
      <c r="B130" s="131">
        <v>3</v>
      </c>
      <c r="C130" s="144"/>
      <c r="D130" s="392"/>
      <c r="E130" s="131"/>
      <c r="F130" s="145"/>
      <c r="G130" s="307"/>
      <c r="H130" s="145">
        <v>3</v>
      </c>
      <c r="I130" s="145">
        <v>2</v>
      </c>
      <c r="J130" s="392"/>
      <c r="K130" s="393">
        <f t="shared" ref="K130:K170" si="4">B130+E130+L130</f>
        <v>3</v>
      </c>
      <c r="L130" s="393">
        <f t="shared" ref="L130:L170" si="5">(C130+F130)/8</f>
        <v>0</v>
      </c>
    </row>
    <row r="131" spans="1:12" x14ac:dyDescent="0.2">
      <c r="A131" s="178" t="s">
        <v>1379</v>
      </c>
      <c r="B131" s="131">
        <v>902</v>
      </c>
      <c r="C131" s="145">
        <v>4</v>
      </c>
      <c r="D131" s="307">
        <v>3</v>
      </c>
      <c r="E131" s="131">
        <v>3230</v>
      </c>
      <c r="F131" s="145">
        <v>1</v>
      </c>
      <c r="G131" s="307">
        <v>2</v>
      </c>
      <c r="H131" s="145">
        <v>4132</v>
      </c>
      <c r="I131" s="145">
        <v>6</v>
      </c>
      <c r="J131" s="307">
        <v>1</v>
      </c>
      <c r="K131" s="393">
        <f t="shared" si="4"/>
        <v>4132.625</v>
      </c>
      <c r="L131" s="393">
        <f t="shared" si="5"/>
        <v>0.625</v>
      </c>
    </row>
    <row r="132" spans="1:12" x14ac:dyDescent="0.2">
      <c r="A132" s="178" t="s">
        <v>1615</v>
      </c>
      <c r="B132" s="131">
        <v>50</v>
      </c>
      <c r="C132" s="145">
        <v>6</v>
      </c>
      <c r="D132" s="307">
        <v>1</v>
      </c>
      <c r="E132" s="131">
        <v>1531</v>
      </c>
      <c r="F132" s="145">
        <v>1</v>
      </c>
      <c r="G132" s="307">
        <v>1</v>
      </c>
      <c r="H132" s="145">
        <v>1581</v>
      </c>
      <c r="I132" s="145">
        <v>7</v>
      </c>
      <c r="J132" s="307">
        <v>2</v>
      </c>
      <c r="K132" s="393">
        <f t="shared" si="4"/>
        <v>1581.875</v>
      </c>
      <c r="L132" s="393">
        <f t="shared" si="5"/>
        <v>0.875</v>
      </c>
    </row>
    <row r="133" spans="1:12" ht="30" x14ac:dyDescent="0.2">
      <c r="A133" s="178" t="s">
        <v>1381</v>
      </c>
      <c r="B133" s="131">
        <v>34848</v>
      </c>
      <c r="C133" s="145">
        <v>4</v>
      </c>
      <c r="D133" s="307">
        <v>1</v>
      </c>
      <c r="E133" s="131">
        <v>302</v>
      </c>
      <c r="F133" s="145">
        <v>3</v>
      </c>
      <c r="G133" s="307">
        <v>1</v>
      </c>
      <c r="H133" s="145">
        <v>35150</v>
      </c>
      <c r="I133" s="145">
        <v>7</v>
      </c>
      <c r="J133" s="307">
        <v>2</v>
      </c>
      <c r="K133" s="393">
        <f t="shared" si="4"/>
        <v>35150.875</v>
      </c>
      <c r="L133" s="393">
        <f t="shared" si="5"/>
        <v>0.875</v>
      </c>
    </row>
    <row r="134" spans="1:12" ht="45" x14ac:dyDescent="0.2">
      <c r="A134" s="178" t="s">
        <v>1616</v>
      </c>
      <c r="B134" s="131">
        <v>5810</v>
      </c>
      <c r="C134" s="145">
        <v>5</v>
      </c>
      <c r="D134" s="307">
        <v>1</v>
      </c>
      <c r="E134" s="131">
        <v>366</v>
      </c>
      <c r="F134" s="145">
        <v>3</v>
      </c>
      <c r="G134" s="307">
        <v>2</v>
      </c>
      <c r="H134" s="145">
        <v>6176</v>
      </c>
      <c r="I134" s="145">
        <v>5</v>
      </c>
      <c r="J134" s="307">
        <v>2</v>
      </c>
      <c r="K134" s="393">
        <f t="shared" si="4"/>
        <v>6177</v>
      </c>
      <c r="L134" s="393">
        <f t="shared" si="5"/>
        <v>1</v>
      </c>
    </row>
    <row r="135" spans="1:12" x14ac:dyDescent="0.2">
      <c r="A135" s="178" t="s">
        <v>1383</v>
      </c>
      <c r="B135" s="131">
        <v>58</v>
      </c>
      <c r="C135" s="145">
        <v>5</v>
      </c>
      <c r="D135" s="307">
        <v>1</v>
      </c>
      <c r="E135" s="131">
        <v>567</v>
      </c>
      <c r="F135" s="145"/>
      <c r="G135" s="307">
        <v>2</v>
      </c>
      <c r="H135" s="145">
        <v>625</v>
      </c>
      <c r="I135" s="145">
        <v>5</v>
      </c>
      <c r="J135" s="307">
        <v>2</v>
      </c>
      <c r="K135" s="393">
        <f t="shared" si="4"/>
        <v>625.625</v>
      </c>
      <c r="L135" s="393">
        <f t="shared" si="5"/>
        <v>0.625</v>
      </c>
    </row>
    <row r="136" spans="1:12" x14ac:dyDescent="0.2">
      <c r="A136" s="178" t="s">
        <v>1384</v>
      </c>
      <c r="B136" s="131">
        <v>895</v>
      </c>
      <c r="C136" s="145">
        <v>4</v>
      </c>
      <c r="D136" s="307">
        <v>1</v>
      </c>
      <c r="E136" s="131"/>
      <c r="F136" s="145"/>
      <c r="G136" s="307">
        <v>2</v>
      </c>
      <c r="H136" s="145">
        <v>895</v>
      </c>
      <c r="I136" s="145">
        <v>4</v>
      </c>
      <c r="J136" s="307">
        <v>2</v>
      </c>
      <c r="K136" s="393">
        <f t="shared" si="4"/>
        <v>895.5</v>
      </c>
      <c r="L136" s="393">
        <f t="shared" si="5"/>
        <v>0.5</v>
      </c>
    </row>
    <row r="137" spans="1:12" x14ac:dyDescent="0.2">
      <c r="A137" s="394" t="s">
        <v>1202</v>
      </c>
      <c r="B137" s="131">
        <v>4335</v>
      </c>
      <c r="C137" s="145">
        <v>4</v>
      </c>
      <c r="D137" s="307">
        <v>2</v>
      </c>
      <c r="E137" s="131">
        <v>42</v>
      </c>
      <c r="F137" s="145">
        <v>7</v>
      </c>
      <c r="G137" s="307">
        <v>2</v>
      </c>
      <c r="H137" s="145">
        <v>4377</v>
      </c>
      <c r="I137" s="145">
        <v>7</v>
      </c>
      <c r="J137" s="307">
        <v>2</v>
      </c>
      <c r="K137" s="393">
        <f t="shared" si="4"/>
        <v>4378.375</v>
      </c>
      <c r="L137" s="393">
        <f t="shared" si="5"/>
        <v>1.375</v>
      </c>
    </row>
    <row r="138" spans="1:12" x14ac:dyDescent="0.2">
      <c r="A138" s="178" t="s">
        <v>1385</v>
      </c>
      <c r="B138" s="131">
        <v>38</v>
      </c>
      <c r="C138" s="145">
        <v>4</v>
      </c>
      <c r="D138" s="307">
        <v>2</v>
      </c>
      <c r="E138" s="131"/>
      <c r="F138" s="145">
        <v>7</v>
      </c>
      <c r="G138" s="307">
        <v>2</v>
      </c>
      <c r="H138" s="145">
        <v>38</v>
      </c>
      <c r="I138" s="145">
        <v>4</v>
      </c>
      <c r="J138" s="307">
        <v>2</v>
      </c>
      <c r="K138" s="393">
        <f t="shared" si="4"/>
        <v>39.375</v>
      </c>
      <c r="L138" s="393">
        <f t="shared" si="5"/>
        <v>1.375</v>
      </c>
    </row>
    <row r="139" spans="1:12" x14ac:dyDescent="0.2">
      <c r="A139" s="178" t="s">
        <v>1297</v>
      </c>
      <c r="B139" s="131">
        <v>16479</v>
      </c>
      <c r="C139" s="145">
        <v>5</v>
      </c>
      <c r="D139" s="307">
        <v>2</v>
      </c>
      <c r="E139" s="131">
        <v>7034</v>
      </c>
      <c r="F139" s="145">
        <v>6</v>
      </c>
      <c r="G139" s="307">
        <v>2</v>
      </c>
      <c r="H139" s="145">
        <v>23514</v>
      </c>
      <c r="I139" s="145">
        <v>3</v>
      </c>
      <c r="J139" s="307">
        <v>2</v>
      </c>
      <c r="K139" s="393">
        <f t="shared" si="4"/>
        <v>23514.375</v>
      </c>
      <c r="L139" s="393">
        <f t="shared" si="5"/>
        <v>1.375</v>
      </c>
    </row>
    <row r="140" spans="1:12" x14ac:dyDescent="0.2">
      <c r="A140" s="178" t="s">
        <v>1617</v>
      </c>
      <c r="B140" s="131">
        <v>6109</v>
      </c>
      <c r="C140" s="145">
        <v>7</v>
      </c>
      <c r="D140" s="307">
        <v>3</v>
      </c>
      <c r="E140" s="131">
        <v>1115</v>
      </c>
      <c r="F140" s="145">
        <v>2</v>
      </c>
      <c r="G140" s="307">
        <v>2</v>
      </c>
      <c r="H140" s="145">
        <v>7225</v>
      </c>
      <c r="I140" s="145">
        <v>2</v>
      </c>
      <c r="J140" s="307">
        <v>1</v>
      </c>
      <c r="K140" s="393">
        <f t="shared" si="4"/>
        <v>7225.125</v>
      </c>
      <c r="L140" s="393">
        <f t="shared" si="5"/>
        <v>1.125</v>
      </c>
    </row>
    <row r="141" spans="1:12" x14ac:dyDescent="0.2">
      <c r="A141" s="178" t="s">
        <v>1386</v>
      </c>
      <c r="B141" s="131">
        <v>5</v>
      </c>
      <c r="C141" s="145">
        <v>3</v>
      </c>
      <c r="D141" s="307">
        <v>3</v>
      </c>
      <c r="E141" s="131">
        <v>2</v>
      </c>
      <c r="F141" s="145">
        <v>2</v>
      </c>
      <c r="G141" s="307">
        <v>3</v>
      </c>
      <c r="H141" s="145">
        <v>7</v>
      </c>
      <c r="I141" s="145">
        <v>5</v>
      </c>
      <c r="J141" s="307">
        <v>3</v>
      </c>
      <c r="K141" s="393">
        <f t="shared" si="4"/>
        <v>7.625</v>
      </c>
      <c r="L141" s="393">
        <f t="shared" si="5"/>
        <v>0.625</v>
      </c>
    </row>
    <row r="142" spans="1:12" x14ac:dyDescent="0.2">
      <c r="A142" s="178" t="s">
        <v>1618</v>
      </c>
      <c r="B142" s="131">
        <v>4210</v>
      </c>
      <c r="C142" s="145">
        <v>3</v>
      </c>
      <c r="D142" s="307">
        <v>3</v>
      </c>
      <c r="E142" s="131">
        <v>153</v>
      </c>
      <c r="F142" s="145">
        <v>3</v>
      </c>
      <c r="G142" s="307">
        <v>3</v>
      </c>
      <c r="H142" s="145">
        <v>4363</v>
      </c>
      <c r="I142" s="145">
        <v>4</v>
      </c>
      <c r="J142" s="307">
        <v>2</v>
      </c>
      <c r="K142" s="393">
        <f t="shared" si="4"/>
        <v>4363.75</v>
      </c>
      <c r="L142" s="393">
        <f t="shared" si="5"/>
        <v>0.75</v>
      </c>
    </row>
    <row r="143" spans="1:12" ht="30" x14ac:dyDescent="0.2">
      <c r="A143" s="178" t="s">
        <v>1619</v>
      </c>
      <c r="B143" s="131">
        <v>5121</v>
      </c>
      <c r="C143" s="145">
        <v>3</v>
      </c>
      <c r="D143" s="307">
        <v>3</v>
      </c>
      <c r="E143" s="131"/>
      <c r="F143" s="145">
        <v>3</v>
      </c>
      <c r="G143" s="307">
        <v>3</v>
      </c>
      <c r="H143" s="145">
        <v>5121</v>
      </c>
      <c r="I143" s="145">
        <v>3</v>
      </c>
      <c r="J143" s="307">
        <v>2</v>
      </c>
      <c r="K143" s="393">
        <f t="shared" si="4"/>
        <v>5121.75</v>
      </c>
      <c r="L143" s="393">
        <f t="shared" si="5"/>
        <v>0.75</v>
      </c>
    </row>
    <row r="144" spans="1:12" x14ac:dyDescent="0.2">
      <c r="A144" s="178" t="s">
        <v>1389</v>
      </c>
      <c r="B144" s="131">
        <v>300</v>
      </c>
      <c r="C144" s="145">
        <v>3</v>
      </c>
      <c r="D144" s="307">
        <v>3</v>
      </c>
      <c r="E144" s="131"/>
      <c r="F144" s="145">
        <v>3</v>
      </c>
      <c r="G144" s="307">
        <v>3</v>
      </c>
      <c r="H144" s="145">
        <v>300</v>
      </c>
      <c r="I144" s="145">
        <v>3</v>
      </c>
      <c r="J144" s="307">
        <v>2</v>
      </c>
      <c r="K144" s="393">
        <f t="shared" si="4"/>
        <v>300.75</v>
      </c>
      <c r="L144" s="393">
        <f t="shared" si="5"/>
        <v>0.75</v>
      </c>
    </row>
    <row r="145" spans="1:241" x14ac:dyDescent="0.2">
      <c r="A145" s="178" t="s">
        <v>1390</v>
      </c>
      <c r="B145" s="131">
        <v>1360</v>
      </c>
      <c r="C145" s="145">
        <v>2</v>
      </c>
      <c r="D145" s="307">
        <v>3</v>
      </c>
      <c r="E145" s="131"/>
      <c r="F145" s="145">
        <v>3</v>
      </c>
      <c r="G145" s="307">
        <v>3</v>
      </c>
      <c r="H145" s="145">
        <v>1360</v>
      </c>
      <c r="I145" s="145">
        <v>2</v>
      </c>
      <c r="J145" s="307">
        <v>3</v>
      </c>
      <c r="K145" s="393">
        <f t="shared" si="4"/>
        <v>1360.625</v>
      </c>
      <c r="L145" s="393">
        <f t="shared" si="5"/>
        <v>0.625</v>
      </c>
    </row>
    <row r="146" spans="1:241" x14ac:dyDescent="0.2">
      <c r="A146" s="178" t="s">
        <v>1620</v>
      </c>
      <c r="B146" s="131">
        <v>1673</v>
      </c>
      <c r="C146" s="145">
        <v>5</v>
      </c>
      <c r="D146" s="307">
        <v>1</v>
      </c>
      <c r="E146" s="131"/>
      <c r="F146" s="145">
        <v>3</v>
      </c>
      <c r="G146" s="307">
        <v>3</v>
      </c>
      <c r="H146" s="145">
        <v>1673</v>
      </c>
      <c r="I146" s="145">
        <v>5</v>
      </c>
      <c r="J146" s="307">
        <v>1</v>
      </c>
      <c r="K146" s="393">
        <f t="shared" si="4"/>
        <v>1674</v>
      </c>
      <c r="L146" s="393">
        <f t="shared" si="5"/>
        <v>1</v>
      </c>
    </row>
    <row r="147" spans="1:241" x14ac:dyDescent="0.2">
      <c r="A147" s="178" t="s">
        <v>1392</v>
      </c>
      <c r="B147" s="131">
        <v>712</v>
      </c>
      <c r="C147" s="145">
        <v>6</v>
      </c>
      <c r="D147" s="307">
        <v>1</v>
      </c>
      <c r="E147" s="131"/>
      <c r="F147" s="145">
        <v>3</v>
      </c>
      <c r="G147" s="307">
        <v>3</v>
      </c>
      <c r="H147" s="145">
        <v>712</v>
      </c>
      <c r="I147" s="145">
        <v>6</v>
      </c>
      <c r="J147" s="307">
        <v>1</v>
      </c>
      <c r="K147" s="393">
        <f t="shared" si="4"/>
        <v>713.125</v>
      </c>
      <c r="L147" s="393">
        <f t="shared" si="5"/>
        <v>1.125</v>
      </c>
    </row>
    <row r="148" spans="1:241" ht="30" x14ac:dyDescent="0.2">
      <c r="A148" s="178" t="s">
        <v>1621</v>
      </c>
      <c r="B148" s="131"/>
      <c r="C148" s="145">
        <v>6</v>
      </c>
      <c r="D148" s="307">
        <v>1</v>
      </c>
      <c r="E148" s="131">
        <v>61982</v>
      </c>
      <c r="F148" s="145">
        <v>3</v>
      </c>
      <c r="G148" s="307">
        <v>2</v>
      </c>
      <c r="H148" s="145">
        <v>61982</v>
      </c>
      <c r="I148" s="145">
        <v>3</v>
      </c>
      <c r="J148" s="307">
        <v>2</v>
      </c>
      <c r="K148" s="393">
        <f t="shared" si="4"/>
        <v>61983.125</v>
      </c>
      <c r="L148" s="393">
        <f t="shared" si="5"/>
        <v>1.125</v>
      </c>
    </row>
    <row r="149" spans="1:241" ht="30" x14ac:dyDescent="0.2">
      <c r="A149" s="178" t="s">
        <v>1393</v>
      </c>
      <c r="B149" s="131">
        <v>429</v>
      </c>
      <c r="C149" s="145">
        <v>6</v>
      </c>
      <c r="D149" s="307">
        <v>1</v>
      </c>
      <c r="E149" s="131"/>
      <c r="F149" s="145">
        <v>3</v>
      </c>
      <c r="G149" s="307">
        <v>2</v>
      </c>
      <c r="H149" s="145">
        <v>429</v>
      </c>
      <c r="I149" s="145">
        <v>3</v>
      </c>
      <c r="J149" s="307">
        <v>2</v>
      </c>
      <c r="K149" s="393">
        <f t="shared" si="4"/>
        <v>430.125</v>
      </c>
      <c r="L149" s="393">
        <f t="shared" si="5"/>
        <v>1.125</v>
      </c>
    </row>
    <row r="150" spans="1:241" x14ac:dyDescent="0.2">
      <c r="A150" s="178" t="s">
        <v>1394</v>
      </c>
      <c r="B150" s="131">
        <v>6680</v>
      </c>
      <c r="C150" s="145">
        <v>3</v>
      </c>
      <c r="D150" s="307">
        <v>1</v>
      </c>
      <c r="E150" s="131">
        <v>198558</v>
      </c>
      <c r="F150" s="145">
        <v>5</v>
      </c>
      <c r="G150" s="307">
        <v>2</v>
      </c>
      <c r="H150" s="145">
        <v>205239</v>
      </c>
      <c r="I150" s="145">
        <v>3</v>
      </c>
      <c r="J150" s="307">
        <v>3</v>
      </c>
      <c r="K150" s="393">
        <f t="shared" si="4"/>
        <v>205239</v>
      </c>
      <c r="L150" s="393">
        <f t="shared" si="5"/>
        <v>1</v>
      </c>
    </row>
    <row r="151" spans="1:241" x14ac:dyDescent="0.2">
      <c r="A151" s="178" t="s">
        <v>1622</v>
      </c>
      <c r="B151" s="131">
        <v>18746</v>
      </c>
      <c r="C151" s="145">
        <v>7</v>
      </c>
      <c r="D151" s="307">
        <v>2</v>
      </c>
      <c r="E151" s="131">
        <v>1086</v>
      </c>
      <c r="F151" s="145">
        <v>6</v>
      </c>
      <c r="G151" s="307">
        <v>2</v>
      </c>
      <c r="H151" s="145">
        <v>19833</v>
      </c>
      <c r="I151" s="145">
        <v>5</v>
      </c>
      <c r="J151" s="307">
        <v>2</v>
      </c>
      <c r="K151" s="393">
        <f t="shared" si="4"/>
        <v>19833.625</v>
      </c>
      <c r="L151" s="393">
        <f t="shared" si="5"/>
        <v>1.625</v>
      </c>
    </row>
    <row r="152" spans="1:241" x14ac:dyDescent="0.2">
      <c r="A152" s="178" t="s">
        <v>1396</v>
      </c>
      <c r="B152" s="131">
        <v>1954</v>
      </c>
      <c r="C152" s="145">
        <v>4</v>
      </c>
      <c r="D152" s="307">
        <v>2</v>
      </c>
      <c r="E152" s="131">
        <v>3704</v>
      </c>
      <c r="F152" s="145">
        <v>3</v>
      </c>
      <c r="G152" s="307">
        <v>1</v>
      </c>
      <c r="H152" s="145">
        <v>5658</v>
      </c>
      <c r="I152" s="145">
        <v>7</v>
      </c>
      <c r="J152" s="307">
        <v>3</v>
      </c>
      <c r="K152" s="393">
        <f t="shared" si="4"/>
        <v>5658.875</v>
      </c>
      <c r="L152" s="393">
        <f t="shared" si="5"/>
        <v>0.875</v>
      </c>
    </row>
    <row r="153" spans="1:241" x14ac:dyDescent="0.2">
      <c r="A153" s="178" t="s">
        <v>1397</v>
      </c>
      <c r="B153" s="131">
        <v>4431</v>
      </c>
      <c r="C153" s="145">
        <v>4</v>
      </c>
      <c r="D153" s="307">
        <v>1</v>
      </c>
      <c r="E153" s="131">
        <v>2248</v>
      </c>
      <c r="F153" s="145">
        <v>4</v>
      </c>
      <c r="G153" s="307">
        <v>1</v>
      </c>
      <c r="H153" s="145">
        <v>6679</v>
      </c>
      <c r="I153" s="145">
        <v>4</v>
      </c>
      <c r="J153" s="307">
        <v>1</v>
      </c>
      <c r="K153" s="393">
        <f t="shared" si="4"/>
        <v>6680</v>
      </c>
      <c r="L153" s="393">
        <f t="shared" si="5"/>
        <v>1</v>
      </c>
    </row>
    <row r="154" spans="1:241" x14ac:dyDescent="0.2">
      <c r="A154" s="178" t="s">
        <v>1623</v>
      </c>
      <c r="B154" s="131">
        <v>6633</v>
      </c>
      <c r="C154" s="145">
        <v>2</v>
      </c>
      <c r="D154" s="307">
        <v>1</v>
      </c>
      <c r="E154" s="131"/>
      <c r="F154" s="145">
        <v>4</v>
      </c>
      <c r="G154" s="307">
        <v>1</v>
      </c>
      <c r="H154" s="145">
        <v>6633</v>
      </c>
      <c r="I154" s="145">
        <v>2</v>
      </c>
      <c r="J154" s="307">
        <v>1</v>
      </c>
      <c r="K154" s="393">
        <f t="shared" si="4"/>
        <v>6633.75</v>
      </c>
      <c r="L154" s="393">
        <f t="shared" si="5"/>
        <v>0.75</v>
      </c>
    </row>
    <row r="155" spans="1:241" x14ac:dyDescent="0.2">
      <c r="A155" s="178" t="s">
        <v>1624</v>
      </c>
      <c r="B155" s="131"/>
      <c r="C155" s="145">
        <v>2</v>
      </c>
      <c r="D155" s="307">
        <v>1</v>
      </c>
      <c r="E155" s="131">
        <v>1602</v>
      </c>
      <c r="F155" s="145">
        <v>5</v>
      </c>
      <c r="G155" s="307">
        <v>2</v>
      </c>
      <c r="H155" s="145">
        <v>1602</v>
      </c>
      <c r="I155" s="145">
        <v>5</v>
      </c>
      <c r="J155" s="307">
        <v>2</v>
      </c>
      <c r="K155" s="393">
        <f t="shared" si="4"/>
        <v>1602.875</v>
      </c>
      <c r="L155" s="393">
        <f t="shared" si="5"/>
        <v>0.875</v>
      </c>
    </row>
    <row r="156" spans="1:241" ht="30" x14ac:dyDescent="0.2">
      <c r="A156" s="178" t="s">
        <v>1625</v>
      </c>
      <c r="B156" s="131">
        <v>111</v>
      </c>
      <c r="C156" s="145">
        <v>2</v>
      </c>
      <c r="D156" s="307">
        <v>1</v>
      </c>
      <c r="E156" s="131"/>
      <c r="F156" s="145">
        <v>5</v>
      </c>
      <c r="G156" s="307">
        <v>2</v>
      </c>
      <c r="H156" s="145">
        <v>111</v>
      </c>
      <c r="I156" s="145">
        <v>5</v>
      </c>
      <c r="J156" s="307">
        <v>2</v>
      </c>
      <c r="K156" s="393">
        <f t="shared" si="4"/>
        <v>111.875</v>
      </c>
      <c r="L156" s="393">
        <f t="shared" si="5"/>
        <v>0.875</v>
      </c>
    </row>
    <row r="157" spans="1:241" x14ac:dyDescent="0.2">
      <c r="A157" s="178" t="s">
        <v>1400</v>
      </c>
      <c r="B157" s="131">
        <v>1031</v>
      </c>
      <c r="C157" s="145">
        <v>2</v>
      </c>
      <c r="D157" s="307">
        <v>2</v>
      </c>
      <c r="E157" s="131">
        <v>68</v>
      </c>
      <c r="F157" s="145">
        <v>5</v>
      </c>
      <c r="G157" s="307">
        <v>2</v>
      </c>
      <c r="H157" s="145">
        <v>1099</v>
      </c>
      <c r="I157" s="145">
        <v>5</v>
      </c>
      <c r="J157" s="307">
        <v>2</v>
      </c>
      <c r="K157" s="393">
        <f t="shared" si="4"/>
        <v>1099.875</v>
      </c>
      <c r="L157" s="393">
        <f t="shared" si="5"/>
        <v>0.875</v>
      </c>
    </row>
    <row r="158" spans="1:241" x14ac:dyDescent="0.2">
      <c r="A158" s="178" t="s">
        <v>1401</v>
      </c>
      <c r="B158" s="140">
        <v>73333</v>
      </c>
      <c r="C158" s="141">
        <v>2</v>
      </c>
      <c r="D158" s="395">
        <v>2</v>
      </c>
      <c r="E158" s="140">
        <v>11482</v>
      </c>
      <c r="F158" s="141">
        <v>4</v>
      </c>
      <c r="G158" s="395">
        <v>2</v>
      </c>
      <c r="H158" s="141">
        <v>84815</v>
      </c>
      <c r="I158" s="141">
        <v>7</v>
      </c>
      <c r="J158" s="395">
        <v>2</v>
      </c>
      <c r="K158" s="393">
        <f t="shared" si="4"/>
        <v>84815.75</v>
      </c>
      <c r="L158" s="393">
        <f t="shared" si="5"/>
        <v>0.75</v>
      </c>
      <c r="M158" s="143"/>
      <c r="N158" s="143"/>
      <c r="O158" s="143"/>
      <c r="P158" s="143"/>
      <c r="Q158" s="143"/>
      <c r="R158" s="143"/>
      <c r="S158" s="143"/>
      <c r="T158" s="143"/>
      <c r="U158" s="143"/>
      <c r="V158" s="143"/>
      <c r="W158" s="143"/>
      <c r="X158" s="143"/>
      <c r="Y158" s="143"/>
      <c r="Z158" s="143"/>
      <c r="AA158" s="143"/>
      <c r="AB158" s="143"/>
      <c r="AC158" s="143"/>
      <c r="AD158" s="143"/>
      <c r="AE158" s="143"/>
      <c r="AF158" s="143"/>
      <c r="AG158" s="143"/>
      <c r="AH158" s="143"/>
      <c r="AI158" s="143"/>
      <c r="AJ158" s="143"/>
      <c r="AK158" s="143"/>
      <c r="AL158" s="143"/>
      <c r="AM158" s="143"/>
      <c r="AN158" s="143"/>
      <c r="AO158" s="143"/>
      <c r="AP158" s="143"/>
      <c r="AQ158" s="143"/>
      <c r="AR158" s="143"/>
      <c r="AS158" s="143"/>
      <c r="AT158" s="143"/>
      <c r="AU158" s="143"/>
      <c r="AV158" s="143"/>
      <c r="AW158" s="143"/>
      <c r="AX158" s="143"/>
      <c r="AY158" s="143"/>
      <c r="AZ158" s="143"/>
      <c r="BA158" s="143"/>
      <c r="BB158" s="143"/>
      <c r="BC158" s="143"/>
      <c r="BD158" s="143"/>
      <c r="BE158" s="143"/>
      <c r="BF158" s="143"/>
      <c r="BG158" s="143"/>
      <c r="BH158" s="143"/>
      <c r="BI158" s="143"/>
      <c r="BJ158" s="143"/>
      <c r="BK158" s="143"/>
      <c r="BL158" s="143"/>
      <c r="BM158" s="143"/>
      <c r="BN158" s="143"/>
      <c r="BO158" s="143"/>
      <c r="BP158" s="143"/>
      <c r="BQ158" s="143"/>
      <c r="BR158" s="143"/>
      <c r="BS158" s="143"/>
      <c r="BT158" s="143"/>
      <c r="BU158" s="143"/>
      <c r="BV158" s="143"/>
      <c r="BW158" s="143"/>
      <c r="BX158" s="143"/>
      <c r="BY158" s="143"/>
      <c r="BZ158" s="143"/>
      <c r="CA158" s="143"/>
      <c r="CB158" s="143"/>
      <c r="CC158" s="143"/>
      <c r="CD158" s="143"/>
      <c r="CE158" s="143"/>
      <c r="CF158" s="143"/>
      <c r="CG158" s="143"/>
      <c r="CH158" s="143"/>
      <c r="CI158" s="143"/>
      <c r="CJ158" s="143"/>
      <c r="CK158" s="143"/>
      <c r="CL158" s="143"/>
      <c r="CM158" s="143"/>
      <c r="CN158" s="143"/>
      <c r="CO158" s="143"/>
      <c r="CP158" s="143"/>
      <c r="CQ158" s="143"/>
      <c r="CR158" s="143"/>
      <c r="CS158" s="143"/>
      <c r="CT158" s="143"/>
      <c r="CU158" s="143"/>
      <c r="CV158" s="143"/>
      <c r="CW158" s="143"/>
      <c r="CX158" s="143"/>
      <c r="CY158" s="143"/>
      <c r="CZ158" s="143"/>
      <c r="DA158" s="143"/>
      <c r="DB158" s="143"/>
      <c r="DC158" s="143"/>
      <c r="DD158" s="143"/>
      <c r="DE158" s="143"/>
      <c r="DF158" s="143"/>
      <c r="DG158" s="143"/>
      <c r="DH158" s="143"/>
      <c r="DI158" s="143"/>
      <c r="DJ158" s="143"/>
      <c r="DK158" s="143"/>
      <c r="DL158" s="143"/>
      <c r="DM158" s="143"/>
      <c r="DN158" s="143"/>
      <c r="DO158" s="143"/>
      <c r="DP158" s="143"/>
      <c r="DQ158" s="143"/>
      <c r="DR158" s="143"/>
      <c r="DS158" s="143"/>
      <c r="DT158" s="143"/>
      <c r="DU158" s="143"/>
      <c r="DV158" s="143"/>
      <c r="DW158" s="143"/>
      <c r="DX158" s="143"/>
      <c r="DY158" s="143"/>
      <c r="DZ158" s="143"/>
      <c r="EA158" s="143"/>
      <c r="EB158" s="143"/>
      <c r="EC158" s="143"/>
      <c r="ED158" s="143"/>
      <c r="EE158" s="143"/>
      <c r="EF158" s="143"/>
      <c r="EG158" s="143"/>
      <c r="EH158" s="143"/>
      <c r="EI158" s="143"/>
      <c r="EJ158" s="143"/>
      <c r="EK158" s="143"/>
      <c r="EL158" s="143"/>
      <c r="EM158" s="143"/>
      <c r="EN158" s="143"/>
      <c r="EO158" s="143"/>
      <c r="EP158" s="143"/>
      <c r="EQ158" s="143"/>
      <c r="ER158" s="143"/>
      <c r="ES158" s="143"/>
      <c r="ET158" s="143"/>
      <c r="EU158" s="143"/>
      <c r="EV158" s="143"/>
      <c r="EW158" s="143"/>
      <c r="EX158" s="143"/>
      <c r="EY158" s="143"/>
      <c r="EZ158" s="143"/>
      <c r="FA158" s="143"/>
      <c r="FB158" s="143"/>
      <c r="FC158" s="143"/>
      <c r="FD158" s="143"/>
      <c r="FE158" s="143"/>
      <c r="FF158" s="143"/>
      <c r="FG158" s="143"/>
      <c r="FH158" s="143"/>
      <c r="FI158" s="143"/>
      <c r="FJ158" s="143"/>
      <c r="FK158" s="143"/>
      <c r="FL158" s="143"/>
      <c r="FM158" s="143"/>
      <c r="FN158" s="143"/>
      <c r="FO158" s="143"/>
      <c r="FP158" s="143"/>
      <c r="FQ158" s="143"/>
      <c r="FR158" s="143"/>
      <c r="FS158" s="143"/>
      <c r="FT158" s="143"/>
      <c r="FU158" s="143"/>
      <c r="FV158" s="143"/>
      <c r="FW158" s="143"/>
      <c r="FX158" s="143"/>
      <c r="FY158" s="143"/>
      <c r="FZ158" s="143"/>
      <c r="GA158" s="143"/>
      <c r="GB158" s="143"/>
      <c r="GC158" s="143"/>
      <c r="GD158" s="143"/>
      <c r="GE158" s="143"/>
      <c r="GF158" s="143"/>
      <c r="GG158" s="143"/>
      <c r="GH158" s="143"/>
      <c r="GI158" s="143"/>
      <c r="GJ158" s="143"/>
      <c r="GK158" s="143"/>
      <c r="GL158" s="143"/>
      <c r="GM158" s="143"/>
      <c r="GN158" s="143"/>
      <c r="GO158" s="143"/>
      <c r="GP158" s="143"/>
      <c r="GQ158" s="143"/>
      <c r="GR158" s="143"/>
      <c r="GS158" s="143"/>
      <c r="GT158" s="143"/>
      <c r="GU158" s="143"/>
      <c r="GV158" s="143"/>
      <c r="GW158" s="143"/>
      <c r="GX158" s="143"/>
      <c r="GY158" s="143"/>
      <c r="GZ158" s="143"/>
      <c r="HA158" s="143"/>
      <c r="HB158" s="143"/>
      <c r="HC158" s="143"/>
      <c r="HD158" s="143"/>
      <c r="HE158" s="143"/>
      <c r="HF158" s="143"/>
      <c r="HG158" s="143"/>
      <c r="HH158" s="143"/>
      <c r="HI158" s="143"/>
      <c r="HJ158" s="143"/>
      <c r="HK158" s="143"/>
      <c r="HL158" s="143"/>
      <c r="HM158" s="143"/>
      <c r="HN158" s="143"/>
      <c r="HO158" s="143"/>
      <c r="HP158" s="143"/>
      <c r="HQ158" s="143"/>
      <c r="HR158" s="143"/>
      <c r="HS158" s="143"/>
      <c r="HT158" s="143"/>
      <c r="HU158" s="143"/>
      <c r="HV158" s="143"/>
      <c r="HW158" s="143"/>
      <c r="HX158" s="143"/>
      <c r="HY158" s="143"/>
      <c r="HZ158" s="143"/>
      <c r="IA158" s="143"/>
      <c r="IB158" s="143"/>
      <c r="IC158" s="143"/>
      <c r="ID158" s="143"/>
      <c r="IE158" s="143"/>
      <c r="IF158" s="143"/>
      <c r="IG158" s="143"/>
    </row>
    <row r="159" spans="1:241" x14ac:dyDescent="0.2">
      <c r="A159" s="178" t="s">
        <v>1626</v>
      </c>
      <c r="B159" s="140"/>
      <c r="C159" s="141">
        <v>2</v>
      </c>
      <c r="D159" s="395">
        <v>2</v>
      </c>
      <c r="E159" s="140">
        <v>19</v>
      </c>
      <c r="F159" s="141">
        <v>2</v>
      </c>
      <c r="G159" s="395">
        <v>2</v>
      </c>
      <c r="H159" s="141">
        <v>19</v>
      </c>
      <c r="I159" s="141">
        <v>2</v>
      </c>
      <c r="J159" s="395">
        <v>2</v>
      </c>
      <c r="K159" s="393">
        <f t="shared" si="4"/>
        <v>19.5</v>
      </c>
      <c r="L159" s="393">
        <f t="shared" si="5"/>
        <v>0.5</v>
      </c>
      <c r="M159" s="143"/>
      <c r="N159" s="143"/>
      <c r="O159" s="143"/>
      <c r="P159" s="143"/>
      <c r="Q159" s="143"/>
      <c r="R159" s="143"/>
      <c r="S159" s="143"/>
      <c r="T159" s="143"/>
      <c r="U159" s="143"/>
      <c r="V159" s="143"/>
      <c r="W159" s="143"/>
      <c r="X159" s="143"/>
      <c r="Y159" s="143"/>
      <c r="Z159" s="143"/>
      <c r="AA159" s="143"/>
      <c r="AB159" s="143"/>
      <c r="AC159" s="143"/>
      <c r="AD159" s="143"/>
      <c r="AE159" s="143"/>
      <c r="AF159" s="143"/>
      <c r="AG159" s="143"/>
      <c r="AH159" s="143"/>
      <c r="AI159" s="143"/>
      <c r="AJ159" s="143"/>
      <c r="AK159" s="143"/>
      <c r="AL159" s="143"/>
      <c r="AM159" s="143"/>
      <c r="AN159" s="143"/>
      <c r="AO159" s="143"/>
      <c r="AP159" s="143"/>
      <c r="AQ159" s="143"/>
      <c r="AR159" s="143"/>
      <c r="AS159" s="143"/>
      <c r="AT159" s="143"/>
      <c r="AU159" s="143"/>
      <c r="AV159" s="143"/>
      <c r="AW159" s="143"/>
      <c r="AX159" s="143"/>
      <c r="AY159" s="143"/>
      <c r="AZ159" s="143"/>
      <c r="BA159" s="143"/>
      <c r="BB159" s="143"/>
      <c r="BC159" s="143"/>
      <c r="BD159" s="143"/>
      <c r="BE159" s="143"/>
      <c r="BF159" s="143"/>
      <c r="BG159" s="143"/>
      <c r="BH159" s="143"/>
      <c r="BI159" s="143"/>
      <c r="BJ159" s="143"/>
      <c r="BK159" s="143"/>
      <c r="BL159" s="143"/>
      <c r="BM159" s="143"/>
      <c r="BN159" s="143"/>
      <c r="BO159" s="143"/>
      <c r="BP159" s="143"/>
      <c r="BQ159" s="143"/>
      <c r="BR159" s="143"/>
      <c r="BS159" s="143"/>
      <c r="BT159" s="143"/>
      <c r="BU159" s="143"/>
      <c r="BV159" s="143"/>
      <c r="BW159" s="143"/>
      <c r="BX159" s="143"/>
      <c r="BY159" s="143"/>
      <c r="BZ159" s="143"/>
      <c r="CA159" s="143"/>
      <c r="CB159" s="143"/>
      <c r="CC159" s="143"/>
      <c r="CD159" s="143"/>
      <c r="CE159" s="143"/>
      <c r="CF159" s="143"/>
      <c r="CG159" s="143"/>
      <c r="CH159" s="143"/>
      <c r="CI159" s="143"/>
      <c r="CJ159" s="143"/>
      <c r="CK159" s="143"/>
      <c r="CL159" s="143"/>
      <c r="CM159" s="143"/>
      <c r="CN159" s="143"/>
      <c r="CO159" s="143"/>
      <c r="CP159" s="143"/>
      <c r="CQ159" s="143"/>
      <c r="CR159" s="143"/>
      <c r="CS159" s="143"/>
      <c r="CT159" s="143"/>
      <c r="CU159" s="143"/>
      <c r="CV159" s="143"/>
      <c r="CW159" s="143"/>
      <c r="CX159" s="143"/>
      <c r="CY159" s="143"/>
      <c r="CZ159" s="143"/>
      <c r="DA159" s="143"/>
      <c r="DB159" s="143"/>
      <c r="DC159" s="143"/>
      <c r="DD159" s="143"/>
      <c r="DE159" s="143"/>
      <c r="DF159" s="143"/>
      <c r="DG159" s="143"/>
      <c r="DH159" s="143"/>
      <c r="DI159" s="143"/>
      <c r="DJ159" s="143"/>
      <c r="DK159" s="143"/>
      <c r="DL159" s="143"/>
      <c r="DM159" s="143"/>
      <c r="DN159" s="143"/>
      <c r="DO159" s="143"/>
      <c r="DP159" s="143"/>
      <c r="DQ159" s="143"/>
      <c r="DR159" s="143"/>
      <c r="DS159" s="143"/>
      <c r="DT159" s="143"/>
      <c r="DU159" s="143"/>
      <c r="DV159" s="143"/>
      <c r="DW159" s="143"/>
      <c r="DX159" s="143"/>
      <c r="DY159" s="143"/>
      <c r="DZ159" s="143"/>
      <c r="EA159" s="143"/>
      <c r="EB159" s="143"/>
      <c r="EC159" s="143"/>
      <c r="ED159" s="143"/>
      <c r="EE159" s="143"/>
      <c r="EF159" s="143"/>
      <c r="EG159" s="143"/>
      <c r="EH159" s="143"/>
      <c r="EI159" s="143"/>
      <c r="EJ159" s="143"/>
      <c r="EK159" s="143"/>
      <c r="EL159" s="143"/>
      <c r="EM159" s="143"/>
      <c r="EN159" s="143"/>
      <c r="EO159" s="143"/>
      <c r="EP159" s="143"/>
      <c r="EQ159" s="143"/>
      <c r="ER159" s="143"/>
      <c r="ES159" s="143"/>
      <c r="ET159" s="143"/>
      <c r="EU159" s="143"/>
      <c r="EV159" s="143"/>
      <c r="EW159" s="143"/>
      <c r="EX159" s="143"/>
      <c r="EY159" s="143"/>
      <c r="EZ159" s="143"/>
      <c r="FA159" s="143"/>
      <c r="FB159" s="143"/>
      <c r="FC159" s="143"/>
      <c r="FD159" s="143"/>
      <c r="FE159" s="143"/>
      <c r="FF159" s="143"/>
      <c r="FG159" s="143"/>
      <c r="FH159" s="143"/>
      <c r="FI159" s="143"/>
      <c r="FJ159" s="143"/>
      <c r="FK159" s="143"/>
      <c r="FL159" s="143"/>
      <c r="FM159" s="143"/>
      <c r="FN159" s="143"/>
      <c r="FO159" s="143"/>
      <c r="FP159" s="143"/>
      <c r="FQ159" s="143"/>
      <c r="FR159" s="143"/>
      <c r="FS159" s="143"/>
      <c r="FT159" s="143"/>
      <c r="FU159" s="143"/>
      <c r="FV159" s="143"/>
      <c r="FW159" s="143"/>
      <c r="FX159" s="143"/>
      <c r="FY159" s="143"/>
      <c r="FZ159" s="143"/>
      <c r="GA159" s="143"/>
      <c r="GB159" s="143"/>
      <c r="GC159" s="143"/>
      <c r="GD159" s="143"/>
      <c r="GE159" s="143"/>
      <c r="GF159" s="143"/>
      <c r="GG159" s="143"/>
      <c r="GH159" s="143"/>
      <c r="GI159" s="143"/>
      <c r="GJ159" s="143"/>
      <c r="GK159" s="143"/>
      <c r="GL159" s="143"/>
      <c r="GM159" s="143"/>
      <c r="GN159" s="143"/>
      <c r="GO159" s="143"/>
      <c r="GP159" s="143"/>
      <c r="GQ159" s="143"/>
      <c r="GR159" s="143"/>
      <c r="GS159" s="143"/>
      <c r="GT159" s="143"/>
      <c r="GU159" s="143"/>
      <c r="GV159" s="143"/>
      <c r="GW159" s="143"/>
      <c r="GX159" s="143"/>
      <c r="GY159" s="143"/>
      <c r="GZ159" s="143"/>
      <c r="HA159" s="143"/>
      <c r="HB159" s="143"/>
      <c r="HC159" s="143"/>
      <c r="HD159" s="143"/>
      <c r="HE159" s="143"/>
      <c r="HF159" s="143"/>
      <c r="HG159" s="143"/>
      <c r="HH159" s="143"/>
      <c r="HI159" s="143"/>
      <c r="HJ159" s="143"/>
      <c r="HK159" s="143"/>
      <c r="HL159" s="143"/>
      <c r="HM159" s="143"/>
      <c r="HN159" s="143"/>
      <c r="HO159" s="143"/>
      <c r="HP159" s="143"/>
      <c r="HQ159" s="143"/>
      <c r="HR159" s="143"/>
      <c r="HS159" s="143"/>
      <c r="HT159" s="143"/>
      <c r="HU159" s="143"/>
      <c r="HV159" s="143"/>
      <c r="HW159" s="143"/>
      <c r="HX159" s="143"/>
      <c r="HY159" s="143"/>
      <c r="HZ159" s="143"/>
      <c r="IA159" s="143"/>
      <c r="IB159" s="143"/>
      <c r="IC159" s="143"/>
      <c r="ID159" s="143"/>
      <c r="IE159" s="143"/>
      <c r="IF159" s="143"/>
      <c r="IG159" s="143"/>
    </row>
    <row r="160" spans="1:241" x14ac:dyDescent="0.2">
      <c r="A160" s="178" t="s">
        <v>1284</v>
      </c>
      <c r="B160" s="131">
        <v>44098</v>
      </c>
      <c r="C160" s="145">
        <v>2</v>
      </c>
      <c r="D160" s="307">
        <v>3</v>
      </c>
      <c r="E160" s="131">
        <v>672</v>
      </c>
      <c r="F160" s="145">
        <v>1</v>
      </c>
      <c r="G160" s="307">
        <v>3</v>
      </c>
      <c r="H160" s="145">
        <v>44770</v>
      </c>
      <c r="I160" s="145">
        <v>2</v>
      </c>
      <c r="J160" s="307">
        <v>2</v>
      </c>
      <c r="K160" s="393">
        <f t="shared" si="4"/>
        <v>44770.375</v>
      </c>
      <c r="L160" s="393">
        <f t="shared" si="5"/>
        <v>0.375</v>
      </c>
    </row>
    <row r="161" spans="1:241" ht="30" x14ac:dyDescent="0.2">
      <c r="A161" s="178" t="s">
        <v>1402</v>
      </c>
      <c r="B161" s="140">
        <v>3238</v>
      </c>
      <c r="C161" s="141">
        <v>3</v>
      </c>
      <c r="D161" s="395">
        <v>1</v>
      </c>
      <c r="E161" s="140"/>
      <c r="F161" s="141">
        <v>1</v>
      </c>
      <c r="G161" s="395">
        <v>3</v>
      </c>
      <c r="H161" s="141">
        <v>3238</v>
      </c>
      <c r="I161" s="141">
        <v>3</v>
      </c>
      <c r="J161" s="395">
        <v>1</v>
      </c>
      <c r="K161" s="393">
        <f t="shared" si="4"/>
        <v>3238.5</v>
      </c>
      <c r="L161" s="393">
        <f t="shared" si="5"/>
        <v>0.5</v>
      </c>
      <c r="M161" s="143"/>
      <c r="N161" s="143"/>
      <c r="O161" s="143"/>
      <c r="P161" s="143"/>
      <c r="Q161" s="143"/>
      <c r="R161" s="143"/>
      <c r="S161" s="143"/>
      <c r="T161" s="143"/>
      <c r="U161" s="143"/>
      <c r="V161" s="143"/>
      <c r="W161" s="143"/>
      <c r="X161" s="143"/>
      <c r="Y161" s="143"/>
      <c r="Z161" s="143"/>
      <c r="AA161" s="143"/>
      <c r="AB161" s="143"/>
      <c r="AC161" s="143"/>
      <c r="AD161" s="143"/>
      <c r="AE161" s="143"/>
      <c r="AF161" s="143"/>
      <c r="AG161" s="143"/>
      <c r="AH161" s="143"/>
      <c r="AI161" s="143"/>
      <c r="AJ161" s="143"/>
      <c r="AK161" s="143"/>
      <c r="AL161" s="143"/>
      <c r="AM161" s="143"/>
      <c r="AN161" s="143"/>
      <c r="AO161" s="143"/>
      <c r="AP161" s="143"/>
      <c r="AQ161" s="143"/>
      <c r="AR161" s="143"/>
      <c r="AS161" s="143"/>
      <c r="AT161" s="143"/>
      <c r="AU161" s="143"/>
      <c r="AV161" s="143"/>
      <c r="AW161" s="143"/>
      <c r="AX161" s="143"/>
      <c r="AY161" s="143"/>
      <c r="AZ161" s="143"/>
      <c r="BA161" s="143"/>
      <c r="BB161" s="143"/>
      <c r="BC161" s="143"/>
      <c r="BD161" s="143"/>
      <c r="BE161" s="143"/>
      <c r="BF161" s="143"/>
      <c r="BG161" s="143"/>
      <c r="BH161" s="143"/>
      <c r="BI161" s="143"/>
      <c r="BJ161" s="143"/>
      <c r="BK161" s="143"/>
      <c r="BL161" s="143"/>
      <c r="BM161" s="143"/>
      <c r="BN161" s="143"/>
      <c r="BO161" s="143"/>
      <c r="BP161" s="143"/>
      <c r="BQ161" s="143"/>
      <c r="BR161" s="143"/>
      <c r="BS161" s="143"/>
      <c r="BT161" s="143"/>
      <c r="BU161" s="143"/>
      <c r="BV161" s="143"/>
      <c r="BW161" s="143"/>
      <c r="BX161" s="143"/>
      <c r="BY161" s="143"/>
      <c r="BZ161" s="143"/>
      <c r="CA161" s="143"/>
      <c r="CB161" s="143"/>
      <c r="CC161" s="143"/>
      <c r="CD161" s="143"/>
      <c r="CE161" s="143"/>
      <c r="CF161" s="143"/>
      <c r="CG161" s="143"/>
      <c r="CH161" s="143"/>
      <c r="CI161" s="143"/>
      <c r="CJ161" s="143"/>
      <c r="CK161" s="143"/>
      <c r="CL161" s="143"/>
      <c r="CM161" s="143"/>
      <c r="CN161" s="143"/>
      <c r="CO161" s="143"/>
      <c r="CP161" s="143"/>
      <c r="CQ161" s="143"/>
      <c r="CR161" s="143"/>
      <c r="CS161" s="143"/>
      <c r="CT161" s="143"/>
      <c r="CU161" s="143"/>
      <c r="CV161" s="143"/>
      <c r="CW161" s="143"/>
      <c r="CX161" s="143"/>
      <c r="CY161" s="143"/>
      <c r="CZ161" s="143"/>
      <c r="DA161" s="143"/>
      <c r="DB161" s="143"/>
      <c r="DC161" s="143"/>
      <c r="DD161" s="143"/>
      <c r="DE161" s="143"/>
      <c r="DF161" s="143"/>
      <c r="DG161" s="143"/>
      <c r="DH161" s="143"/>
      <c r="DI161" s="143"/>
      <c r="DJ161" s="143"/>
      <c r="DK161" s="143"/>
      <c r="DL161" s="143"/>
      <c r="DM161" s="143"/>
      <c r="DN161" s="143"/>
      <c r="DO161" s="143"/>
      <c r="DP161" s="143"/>
      <c r="DQ161" s="143"/>
      <c r="DR161" s="143"/>
      <c r="DS161" s="143"/>
      <c r="DT161" s="143"/>
      <c r="DU161" s="143"/>
      <c r="DV161" s="143"/>
      <c r="DW161" s="143"/>
      <c r="DX161" s="143"/>
      <c r="DY161" s="143"/>
      <c r="DZ161" s="143"/>
      <c r="EA161" s="143"/>
      <c r="EB161" s="143"/>
      <c r="EC161" s="143"/>
      <c r="ED161" s="143"/>
      <c r="EE161" s="143"/>
      <c r="EF161" s="143"/>
      <c r="EG161" s="143"/>
      <c r="EH161" s="143"/>
      <c r="EI161" s="143"/>
      <c r="EJ161" s="143"/>
      <c r="EK161" s="143"/>
      <c r="EL161" s="143"/>
      <c r="EM161" s="143"/>
      <c r="EN161" s="143"/>
      <c r="EO161" s="143"/>
      <c r="EP161" s="143"/>
      <c r="EQ161" s="143"/>
      <c r="ER161" s="143"/>
      <c r="ES161" s="143"/>
      <c r="ET161" s="143"/>
      <c r="EU161" s="143"/>
      <c r="EV161" s="143"/>
      <c r="EW161" s="143"/>
      <c r="EX161" s="143"/>
      <c r="EY161" s="143"/>
      <c r="EZ161" s="143"/>
      <c r="FA161" s="143"/>
      <c r="FB161" s="143"/>
      <c r="FC161" s="143"/>
      <c r="FD161" s="143"/>
      <c r="FE161" s="143"/>
      <c r="FF161" s="143"/>
      <c r="FG161" s="143"/>
      <c r="FH161" s="143"/>
      <c r="FI161" s="143"/>
      <c r="FJ161" s="143"/>
      <c r="FK161" s="143"/>
      <c r="FL161" s="143"/>
      <c r="FM161" s="143"/>
      <c r="FN161" s="143"/>
      <c r="FO161" s="143"/>
      <c r="FP161" s="143"/>
      <c r="FQ161" s="143"/>
      <c r="FR161" s="143"/>
      <c r="FS161" s="143"/>
      <c r="FT161" s="143"/>
      <c r="FU161" s="143"/>
      <c r="FV161" s="143"/>
      <c r="FW161" s="143"/>
      <c r="FX161" s="143"/>
      <c r="FY161" s="143"/>
      <c r="FZ161" s="143"/>
      <c r="GA161" s="143"/>
      <c r="GB161" s="143"/>
      <c r="GC161" s="143"/>
      <c r="GD161" s="143"/>
      <c r="GE161" s="143"/>
      <c r="GF161" s="143"/>
      <c r="GG161" s="143"/>
      <c r="GH161" s="143"/>
      <c r="GI161" s="143"/>
      <c r="GJ161" s="143"/>
      <c r="GK161" s="143"/>
      <c r="GL161" s="143"/>
      <c r="GM161" s="143"/>
      <c r="GN161" s="143"/>
      <c r="GO161" s="143"/>
      <c r="GP161" s="143"/>
      <c r="GQ161" s="143"/>
      <c r="GR161" s="143"/>
      <c r="GS161" s="143"/>
      <c r="GT161" s="143"/>
      <c r="GU161" s="143"/>
      <c r="GV161" s="143"/>
      <c r="GW161" s="143"/>
      <c r="GX161" s="143"/>
      <c r="GY161" s="143"/>
      <c r="GZ161" s="143"/>
      <c r="HA161" s="143"/>
      <c r="HB161" s="143"/>
      <c r="HC161" s="143"/>
      <c r="HD161" s="143"/>
      <c r="HE161" s="143"/>
      <c r="HF161" s="143"/>
      <c r="HG161" s="143"/>
      <c r="HH161" s="143"/>
      <c r="HI161" s="143"/>
      <c r="HJ161" s="143"/>
      <c r="HK161" s="143"/>
      <c r="HL161" s="143"/>
      <c r="HM161" s="143"/>
      <c r="HN161" s="143"/>
      <c r="HO161" s="143"/>
      <c r="HP161" s="143"/>
      <c r="HQ161" s="143"/>
      <c r="HR161" s="143"/>
      <c r="HS161" s="143"/>
      <c r="HT161" s="143"/>
      <c r="HU161" s="143"/>
      <c r="HV161" s="143"/>
      <c r="HW161" s="143"/>
      <c r="HX161" s="143"/>
      <c r="HY161" s="143"/>
      <c r="HZ161" s="143"/>
      <c r="IA161" s="143"/>
      <c r="IB161" s="143"/>
      <c r="IC161" s="143"/>
      <c r="ID161" s="143"/>
      <c r="IE161" s="143"/>
      <c r="IF161" s="143"/>
      <c r="IG161" s="143"/>
    </row>
    <row r="162" spans="1:241" x14ac:dyDescent="0.2">
      <c r="A162" s="178" t="s">
        <v>1403</v>
      </c>
      <c r="B162" s="131">
        <v>2545</v>
      </c>
      <c r="C162" s="145">
        <v>1</v>
      </c>
      <c r="D162" s="307">
        <v>1</v>
      </c>
      <c r="E162" s="131">
        <v>1368</v>
      </c>
      <c r="F162" s="145">
        <v>4</v>
      </c>
      <c r="G162" s="307">
        <v>1</v>
      </c>
      <c r="H162" s="145">
        <v>3913</v>
      </c>
      <c r="I162" s="145">
        <v>5</v>
      </c>
      <c r="J162" s="307">
        <v>2</v>
      </c>
      <c r="K162" s="393">
        <f t="shared" si="4"/>
        <v>3913.625</v>
      </c>
      <c r="L162" s="393">
        <f t="shared" si="5"/>
        <v>0.625</v>
      </c>
    </row>
    <row r="163" spans="1:241" x14ac:dyDescent="0.2">
      <c r="A163" s="178" t="s">
        <v>1404</v>
      </c>
      <c r="B163" s="140">
        <v>24</v>
      </c>
      <c r="C163" s="141">
        <v>1</v>
      </c>
      <c r="D163" s="395">
        <v>1</v>
      </c>
      <c r="E163" s="140"/>
      <c r="F163" s="141">
        <v>4</v>
      </c>
      <c r="G163" s="395">
        <v>1</v>
      </c>
      <c r="H163" s="141">
        <v>24</v>
      </c>
      <c r="I163" s="141">
        <v>5</v>
      </c>
      <c r="J163" s="395">
        <v>2</v>
      </c>
      <c r="K163" s="393">
        <f t="shared" si="4"/>
        <v>24.625</v>
      </c>
      <c r="L163" s="393">
        <f t="shared" si="5"/>
        <v>0.625</v>
      </c>
      <c r="M163" s="143"/>
      <c r="N163" s="143"/>
      <c r="O163" s="143"/>
      <c r="P163" s="143"/>
      <c r="Q163" s="143"/>
      <c r="R163" s="143"/>
      <c r="S163" s="143"/>
      <c r="T163" s="143"/>
      <c r="U163" s="143"/>
      <c r="V163" s="143"/>
      <c r="W163" s="143"/>
      <c r="X163" s="143"/>
      <c r="Y163" s="143"/>
      <c r="Z163" s="143"/>
      <c r="AA163" s="143"/>
      <c r="AB163" s="143"/>
      <c r="AC163" s="143"/>
      <c r="AD163" s="143"/>
      <c r="AE163" s="143"/>
      <c r="AF163" s="143"/>
      <c r="AG163" s="143"/>
      <c r="AH163" s="143"/>
      <c r="AI163" s="143"/>
      <c r="AJ163" s="143"/>
      <c r="AK163" s="143"/>
      <c r="AL163" s="143"/>
      <c r="AM163" s="143"/>
      <c r="AN163" s="143"/>
      <c r="AO163" s="143"/>
      <c r="AP163" s="143"/>
      <c r="AQ163" s="143"/>
      <c r="AR163" s="143"/>
      <c r="AS163" s="143"/>
      <c r="AT163" s="143"/>
      <c r="AU163" s="143"/>
      <c r="AV163" s="143"/>
      <c r="AW163" s="143"/>
      <c r="AX163" s="143"/>
      <c r="AY163" s="143"/>
      <c r="AZ163" s="143"/>
      <c r="BA163" s="143"/>
      <c r="BB163" s="143"/>
      <c r="BC163" s="143"/>
      <c r="BD163" s="143"/>
      <c r="BE163" s="143"/>
      <c r="BF163" s="143"/>
      <c r="BG163" s="143"/>
      <c r="BH163" s="143"/>
      <c r="BI163" s="143"/>
      <c r="BJ163" s="143"/>
      <c r="BK163" s="143"/>
      <c r="BL163" s="143"/>
      <c r="BM163" s="143"/>
      <c r="BN163" s="143"/>
      <c r="BO163" s="143"/>
      <c r="BP163" s="143"/>
      <c r="BQ163" s="143"/>
      <c r="BR163" s="143"/>
      <c r="BS163" s="143"/>
      <c r="BT163" s="143"/>
      <c r="BU163" s="143"/>
      <c r="BV163" s="143"/>
      <c r="BW163" s="143"/>
      <c r="BX163" s="143"/>
      <c r="BY163" s="143"/>
      <c r="BZ163" s="143"/>
      <c r="CA163" s="143"/>
      <c r="CB163" s="143"/>
      <c r="CC163" s="143"/>
      <c r="CD163" s="143"/>
      <c r="CE163" s="143"/>
      <c r="CF163" s="143"/>
      <c r="CG163" s="143"/>
      <c r="CH163" s="143"/>
      <c r="CI163" s="143"/>
      <c r="CJ163" s="143"/>
      <c r="CK163" s="143"/>
      <c r="CL163" s="143"/>
      <c r="CM163" s="143"/>
      <c r="CN163" s="143"/>
      <c r="CO163" s="143"/>
      <c r="CP163" s="143"/>
      <c r="CQ163" s="143"/>
      <c r="CR163" s="143"/>
      <c r="CS163" s="143"/>
      <c r="CT163" s="143"/>
      <c r="CU163" s="143"/>
      <c r="CV163" s="143"/>
      <c r="CW163" s="143"/>
      <c r="CX163" s="143"/>
      <c r="CY163" s="143"/>
      <c r="CZ163" s="143"/>
      <c r="DA163" s="143"/>
      <c r="DB163" s="143"/>
      <c r="DC163" s="143"/>
      <c r="DD163" s="143"/>
      <c r="DE163" s="143"/>
      <c r="DF163" s="143"/>
      <c r="DG163" s="143"/>
      <c r="DH163" s="143"/>
      <c r="DI163" s="143"/>
      <c r="DJ163" s="143"/>
      <c r="DK163" s="143"/>
      <c r="DL163" s="143"/>
      <c r="DM163" s="143"/>
      <c r="DN163" s="143"/>
      <c r="DO163" s="143"/>
      <c r="DP163" s="143"/>
      <c r="DQ163" s="143"/>
      <c r="DR163" s="143"/>
      <c r="DS163" s="143"/>
      <c r="DT163" s="143"/>
      <c r="DU163" s="143"/>
      <c r="DV163" s="143"/>
      <c r="DW163" s="143"/>
      <c r="DX163" s="143"/>
      <c r="DY163" s="143"/>
      <c r="DZ163" s="143"/>
      <c r="EA163" s="143"/>
      <c r="EB163" s="143"/>
      <c r="EC163" s="143"/>
      <c r="ED163" s="143"/>
      <c r="EE163" s="143"/>
      <c r="EF163" s="143"/>
      <c r="EG163" s="143"/>
      <c r="EH163" s="143"/>
      <c r="EI163" s="143"/>
      <c r="EJ163" s="143"/>
      <c r="EK163" s="143"/>
      <c r="EL163" s="143"/>
      <c r="EM163" s="143"/>
      <c r="EN163" s="143"/>
      <c r="EO163" s="143"/>
      <c r="EP163" s="143"/>
      <c r="EQ163" s="143"/>
      <c r="ER163" s="143"/>
      <c r="ES163" s="143"/>
      <c r="ET163" s="143"/>
      <c r="EU163" s="143"/>
      <c r="EV163" s="143"/>
      <c r="EW163" s="143"/>
      <c r="EX163" s="143"/>
      <c r="EY163" s="143"/>
      <c r="EZ163" s="143"/>
      <c r="FA163" s="143"/>
      <c r="FB163" s="143"/>
      <c r="FC163" s="143"/>
      <c r="FD163" s="143"/>
      <c r="FE163" s="143"/>
      <c r="FF163" s="143"/>
      <c r="FG163" s="143"/>
      <c r="FH163" s="143"/>
      <c r="FI163" s="143"/>
      <c r="FJ163" s="143"/>
      <c r="FK163" s="143"/>
      <c r="FL163" s="143"/>
      <c r="FM163" s="143"/>
      <c r="FN163" s="143"/>
      <c r="FO163" s="143"/>
      <c r="FP163" s="143"/>
      <c r="FQ163" s="143"/>
      <c r="FR163" s="143"/>
      <c r="FS163" s="143"/>
      <c r="FT163" s="143"/>
      <c r="FU163" s="143"/>
      <c r="FV163" s="143"/>
      <c r="FW163" s="143"/>
      <c r="FX163" s="143"/>
      <c r="FY163" s="143"/>
      <c r="FZ163" s="143"/>
      <c r="GA163" s="143"/>
      <c r="GB163" s="143"/>
      <c r="GC163" s="143"/>
      <c r="GD163" s="143"/>
      <c r="GE163" s="143"/>
      <c r="GF163" s="143"/>
      <c r="GG163" s="143"/>
      <c r="GH163" s="143"/>
      <c r="GI163" s="143"/>
      <c r="GJ163" s="143"/>
      <c r="GK163" s="143"/>
      <c r="GL163" s="143"/>
      <c r="GM163" s="143"/>
      <c r="GN163" s="143"/>
      <c r="GO163" s="143"/>
      <c r="GP163" s="143"/>
      <c r="GQ163" s="143"/>
      <c r="GR163" s="143"/>
      <c r="GS163" s="143"/>
      <c r="GT163" s="143"/>
      <c r="GU163" s="143"/>
      <c r="GV163" s="143"/>
      <c r="GW163" s="143"/>
      <c r="GX163" s="143"/>
      <c r="GY163" s="143"/>
      <c r="GZ163" s="143"/>
      <c r="HA163" s="143"/>
      <c r="HB163" s="143"/>
      <c r="HC163" s="143"/>
      <c r="HD163" s="143"/>
      <c r="HE163" s="143"/>
      <c r="HF163" s="143"/>
      <c r="HG163" s="143"/>
      <c r="HH163" s="143"/>
      <c r="HI163" s="143"/>
      <c r="HJ163" s="143"/>
      <c r="HK163" s="143"/>
      <c r="HL163" s="143"/>
      <c r="HM163" s="143"/>
      <c r="HN163" s="143"/>
      <c r="HO163" s="143"/>
      <c r="HP163" s="143"/>
      <c r="HQ163" s="143"/>
      <c r="HR163" s="143"/>
      <c r="HS163" s="143"/>
      <c r="HT163" s="143"/>
      <c r="HU163" s="143"/>
      <c r="HV163" s="143"/>
      <c r="HW163" s="143"/>
      <c r="HX163" s="143"/>
      <c r="HY163" s="143"/>
      <c r="HZ163" s="143"/>
      <c r="IA163" s="143"/>
      <c r="IB163" s="143"/>
      <c r="IC163" s="143"/>
      <c r="ID163" s="143"/>
      <c r="IE163" s="143"/>
      <c r="IF163" s="143"/>
      <c r="IG163" s="143"/>
    </row>
    <row r="164" spans="1:241" x14ac:dyDescent="0.2">
      <c r="A164" s="178" t="s">
        <v>1627</v>
      </c>
      <c r="B164" s="131"/>
      <c r="C164" s="145">
        <v>1</v>
      </c>
      <c r="D164" s="307">
        <v>1</v>
      </c>
      <c r="E164" s="131">
        <v>262</v>
      </c>
      <c r="F164" s="145">
        <v>3</v>
      </c>
      <c r="G164" s="307">
        <v>3</v>
      </c>
      <c r="H164" s="145">
        <v>262</v>
      </c>
      <c r="I164" s="145">
        <v>3</v>
      </c>
      <c r="J164" s="307">
        <v>3</v>
      </c>
      <c r="K164" s="393">
        <f t="shared" si="4"/>
        <v>262.5</v>
      </c>
      <c r="L164" s="393">
        <f t="shared" si="5"/>
        <v>0.5</v>
      </c>
    </row>
    <row r="165" spans="1:241" x14ac:dyDescent="0.2">
      <c r="A165" s="178" t="s">
        <v>1628</v>
      </c>
      <c r="B165" s="140">
        <v>289932</v>
      </c>
      <c r="C165" s="141">
        <v>1</v>
      </c>
      <c r="D165" s="395">
        <v>1</v>
      </c>
      <c r="E165" s="140">
        <v>32902</v>
      </c>
      <c r="F165" s="141">
        <v>6</v>
      </c>
      <c r="G165" s="395">
        <v>2</v>
      </c>
      <c r="H165" s="141">
        <v>322834</v>
      </c>
      <c r="I165" s="141">
        <v>6</v>
      </c>
      <c r="J165" s="395">
        <v>3</v>
      </c>
      <c r="K165" s="393">
        <f t="shared" si="4"/>
        <v>322834.875</v>
      </c>
      <c r="L165" s="393">
        <f t="shared" si="5"/>
        <v>0.875</v>
      </c>
      <c r="M165" s="143"/>
      <c r="N165" s="143"/>
      <c r="O165" s="143"/>
      <c r="P165" s="143"/>
      <c r="Q165" s="143"/>
      <c r="R165" s="143"/>
      <c r="S165" s="143"/>
      <c r="T165" s="143"/>
      <c r="U165" s="143"/>
      <c r="V165" s="143"/>
      <c r="W165" s="143"/>
      <c r="X165" s="143"/>
      <c r="Y165" s="143"/>
      <c r="Z165" s="143"/>
      <c r="AA165" s="143"/>
      <c r="AB165" s="143"/>
      <c r="AC165" s="143"/>
      <c r="AD165" s="143"/>
      <c r="AE165" s="143"/>
      <c r="AF165" s="143"/>
      <c r="AG165" s="143"/>
      <c r="AH165" s="143"/>
      <c r="AI165" s="143"/>
      <c r="AJ165" s="143"/>
      <c r="AK165" s="143"/>
      <c r="AL165" s="143"/>
      <c r="AM165" s="143"/>
      <c r="AN165" s="143"/>
      <c r="AO165" s="143"/>
      <c r="AP165" s="143"/>
      <c r="AQ165" s="143"/>
      <c r="AR165" s="143"/>
      <c r="AS165" s="143"/>
      <c r="AT165" s="143"/>
      <c r="AU165" s="143"/>
      <c r="AV165" s="143"/>
      <c r="AW165" s="143"/>
      <c r="AX165" s="143"/>
      <c r="AY165" s="143"/>
      <c r="AZ165" s="143"/>
      <c r="BA165" s="143"/>
      <c r="BB165" s="143"/>
      <c r="BC165" s="143"/>
      <c r="BD165" s="143"/>
      <c r="BE165" s="143"/>
      <c r="BF165" s="143"/>
      <c r="BG165" s="143"/>
      <c r="BH165" s="143"/>
      <c r="BI165" s="143"/>
      <c r="BJ165" s="143"/>
      <c r="BK165" s="143"/>
      <c r="BL165" s="143"/>
      <c r="BM165" s="143"/>
      <c r="BN165" s="143"/>
      <c r="BO165" s="143"/>
      <c r="BP165" s="143"/>
      <c r="BQ165" s="143"/>
      <c r="BR165" s="143"/>
      <c r="BS165" s="143"/>
      <c r="BT165" s="143"/>
      <c r="BU165" s="143"/>
      <c r="BV165" s="143"/>
      <c r="BW165" s="143"/>
      <c r="BX165" s="143"/>
      <c r="BY165" s="143"/>
      <c r="BZ165" s="143"/>
      <c r="CA165" s="143"/>
      <c r="CB165" s="143"/>
      <c r="CC165" s="143"/>
      <c r="CD165" s="143"/>
      <c r="CE165" s="143"/>
      <c r="CF165" s="143"/>
      <c r="CG165" s="143"/>
      <c r="CH165" s="143"/>
      <c r="CI165" s="143"/>
      <c r="CJ165" s="143"/>
      <c r="CK165" s="143"/>
      <c r="CL165" s="143"/>
      <c r="CM165" s="143"/>
      <c r="CN165" s="143"/>
      <c r="CO165" s="143"/>
      <c r="CP165" s="143"/>
      <c r="CQ165" s="143"/>
      <c r="CR165" s="143"/>
      <c r="CS165" s="143"/>
      <c r="CT165" s="143"/>
      <c r="CU165" s="143"/>
      <c r="CV165" s="143"/>
      <c r="CW165" s="143"/>
      <c r="CX165" s="143"/>
      <c r="CY165" s="143"/>
      <c r="CZ165" s="143"/>
      <c r="DA165" s="143"/>
      <c r="DB165" s="143"/>
      <c r="DC165" s="143"/>
      <c r="DD165" s="143"/>
      <c r="DE165" s="143"/>
      <c r="DF165" s="143"/>
      <c r="DG165" s="143"/>
      <c r="DH165" s="143"/>
      <c r="DI165" s="143"/>
      <c r="DJ165" s="143"/>
      <c r="DK165" s="143"/>
      <c r="DL165" s="143"/>
      <c r="DM165" s="143"/>
      <c r="DN165" s="143"/>
      <c r="DO165" s="143"/>
      <c r="DP165" s="143"/>
      <c r="DQ165" s="143"/>
      <c r="DR165" s="143"/>
      <c r="DS165" s="143"/>
      <c r="DT165" s="143"/>
      <c r="DU165" s="143"/>
      <c r="DV165" s="143"/>
      <c r="DW165" s="143"/>
      <c r="DX165" s="143"/>
      <c r="DY165" s="143"/>
      <c r="DZ165" s="143"/>
      <c r="EA165" s="143"/>
      <c r="EB165" s="143"/>
      <c r="EC165" s="143"/>
      <c r="ED165" s="143"/>
      <c r="EE165" s="143"/>
      <c r="EF165" s="143"/>
      <c r="EG165" s="143"/>
      <c r="EH165" s="143"/>
      <c r="EI165" s="143"/>
      <c r="EJ165" s="143"/>
      <c r="EK165" s="143"/>
      <c r="EL165" s="143"/>
      <c r="EM165" s="143"/>
      <c r="EN165" s="143"/>
      <c r="EO165" s="143"/>
      <c r="EP165" s="143"/>
      <c r="EQ165" s="143"/>
      <c r="ER165" s="143"/>
      <c r="ES165" s="143"/>
      <c r="ET165" s="143"/>
      <c r="EU165" s="143"/>
      <c r="EV165" s="143"/>
      <c r="EW165" s="143"/>
      <c r="EX165" s="143"/>
      <c r="EY165" s="143"/>
      <c r="EZ165" s="143"/>
      <c r="FA165" s="143"/>
      <c r="FB165" s="143"/>
      <c r="FC165" s="143"/>
      <c r="FD165" s="143"/>
      <c r="FE165" s="143"/>
      <c r="FF165" s="143"/>
      <c r="FG165" s="143"/>
      <c r="FH165" s="143"/>
      <c r="FI165" s="143"/>
      <c r="FJ165" s="143"/>
      <c r="FK165" s="143"/>
      <c r="FL165" s="143"/>
      <c r="FM165" s="143"/>
      <c r="FN165" s="143"/>
      <c r="FO165" s="143"/>
      <c r="FP165" s="143"/>
      <c r="FQ165" s="143"/>
      <c r="FR165" s="143"/>
      <c r="FS165" s="143"/>
      <c r="FT165" s="143"/>
      <c r="FU165" s="143"/>
      <c r="FV165" s="143"/>
      <c r="FW165" s="143"/>
      <c r="FX165" s="143"/>
      <c r="FY165" s="143"/>
      <c r="FZ165" s="143"/>
      <c r="GA165" s="143"/>
      <c r="GB165" s="143"/>
      <c r="GC165" s="143"/>
      <c r="GD165" s="143"/>
      <c r="GE165" s="143"/>
      <c r="GF165" s="143"/>
      <c r="GG165" s="143"/>
      <c r="GH165" s="143"/>
      <c r="GI165" s="143"/>
      <c r="GJ165" s="143"/>
      <c r="GK165" s="143"/>
      <c r="GL165" s="143"/>
      <c r="GM165" s="143"/>
      <c r="GN165" s="143"/>
      <c r="GO165" s="143"/>
      <c r="GP165" s="143"/>
      <c r="GQ165" s="143"/>
      <c r="GR165" s="143"/>
      <c r="GS165" s="143"/>
      <c r="GT165" s="143"/>
      <c r="GU165" s="143"/>
      <c r="GV165" s="143"/>
      <c r="GW165" s="143"/>
      <c r="GX165" s="143"/>
      <c r="GY165" s="143"/>
      <c r="GZ165" s="143"/>
      <c r="HA165" s="143"/>
      <c r="HB165" s="143"/>
      <c r="HC165" s="143"/>
      <c r="HD165" s="143"/>
      <c r="HE165" s="143"/>
      <c r="HF165" s="143"/>
      <c r="HG165" s="143"/>
      <c r="HH165" s="143"/>
      <c r="HI165" s="143"/>
      <c r="HJ165" s="143"/>
      <c r="HK165" s="143"/>
      <c r="HL165" s="143"/>
      <c r="HM165" s="143"/>
      <c r="HN165" s="143"/>
      <c r="HO165" s="143"/>
      <c r="HP165" s="143"/>
      <c r="HQ165" s="143"/>
      <c r="HR165" s="143"/>
      <c r="HS165" s="143"/>
      <c r="HT165" s="143"/>
      <c r="HU165" s="143"/>
      <c r="HV165" s="143"/>
      <c r="HW165" s="143"/>
      <c r="HX165" s="143"/>
      <c r="HY165" s="143"/>
      <c r="HZ165" s="143"/>
      <c r="IA165" s="143"/>
      <c r="IB165" s="143"/>
      <c r="IC165" s="143"/>
      <c r="ID165" s="143"/>
      <c r="IE165" s="143"/>
      <c r="IF165" s="143"/>
      <c r="IG165" s="143"/>
    </row>
    <row r="166" spans="1:241" ht="45" x14ac:dyDescent="0.2">
      <c r="A166" s="178" t="s">
        <v>1629</v>
      </c>
      <c r="B166" s="131">
        <v>125900</v>
      </c>
      <c r="C166" s="145">
        <v>7</v>
      </c>
      <c r="D166" s="307">
        <v>2</v>
      </c>
      <c r="E166" s="131">
        <v>401</v>
      </c>
      <c r="F166" s="145">
        <v>4</v>
      </c>
      <c r="G166" s="307">
        <v>2</v>
      </c>
      <c r="H166" s="145">
        <v>126311</v>
      </c>
      <c r="I166" s="145">
        <v>3</v>
      </c>
      <c r="J166" s="307">
        <v>2</v>
      </c>
      <c r="K166" s="393">
        <f t="shared" si="4"/>
        <v>126302.375</v>
      </c>
      <c r="L166" s="393">
        <f t="shared" si="5"/>
        <v>1.375</v>
      </c>
    </row>
    <row r="167" spans="1:241" x14ac:dyDescent="0.2">
      <c r="A167" s="178" t="s">
        <v>1630</v>
      </c>
      <c r="B167" s="140"/>
      <c r="C167" s="141">
        <v>7</v>
      </c>
      <c r="D167" s="395">
        <v>2</v>
      </c>
      <c r="E167" s="140"/>
      <c r="F167" s="141">
        <v>4</v>
      </c>
      <c r="G167" s="395">
        <v>2</v>
      </c>
      <c r="H167" s="141">
        <v>827893</v>
      </c>
      <c r="I167" s="141">
        <v>6</v>
      </c>
      <c r="J167" s="395">
        <v>2</v>
      </c>
      <c r="K167" s="393">
        <f t="shared" si="4"/>
        <v>1.375</v>
      </c>
      <c r="L167" s="393">
        <f t="shared" si="5"/>
        <v>1.375</v>
      </c>
      <c r="M167" s="143"/>
      <c r="N167" s="143"/>
      <c r="O167" s="143"/>
      <c r="P167" s="143"/>
      <c r="Q167" s="143"/>
      <c r="R167" s="143"/>
      <c r="S167" s="143"/>
      <c r="T167" s="143"/>
      <c r="U167" s="143"/>
      <c r="V167" s="143"/>
      <c r="W167" s="143"/>
      <c r="X167" s="143"/>
      <c r="Y167" s="143"/>
      <c r="Z167" s="143"/>
      <c r="AA167" s="143"/>
      <c r="AB167" s="143"/>
      <c r="AC167" s="143"/>
      <c r="AD167" s="143"/>
      <c r="AE167" s="143"/>
      <c r="AF167" s="143"/>
      <c r="AG167" s="143"/>
      <c r="AH167" s="143"/>
      <c r="AI167" s="143"/>
      <c r="AJ167" s="143"/>
      <c r="AK167" s="143"/>
      <c r="AL167" s="143"/>
      <c r="AM167" s="143"/>
      <c r="AN167" s="143"/>
      <c r="AO167" s="143"/>
      <c r="AP167" s="143"/>
      <c r="AQ167" s="143"/>
      <c r="AR167" s="143"/>
      <c r="AS167" s="143"/>
      <c r="AT167" s="143"/>
      <c r="AU167" s="143"/>
      <c r="AV167" s="143"/>
      <c r="AW167" s="143"/>
      <c r="AX167" s="143"/>
      <c r="AY167" s="143"/>
      <c r="AZ167" s="143"/>
      <c r="BA167" s="143"/>
      <c r="BB167" s="143"/>
      <c r="BC167" s="143"/>
      <c r="BD167" s="143"/>
      <c r="BE167" s="143"/>
      <c r="BF167" s="143"/>
      <c r="BG167" s="143"/>
      <c r="BH167" s="143"/>
      <c r="BI167" s="143"/>
      <c r="BJ167" s="143"/>
      <c r="BK167" s="143"/>
      <c r="BL167" s="143"/>
      <c r="BM167" s="143"/>
      <c r="BN167" s="143"/>
      <c r="BO167" s="143"/>
      <c r="BP167" s="143"/>
      <c r="BQ167" s="143"/>
      <c r="BR167" s="143"/>
      <c r="BS167" s="143"/>
      <c r="BT167" s="143"/>
      <c r="BU167" s="143"/>
      <c r="BV167" s="143"/>
      <c r="BW167" s="143"/>
      <c r="BX167" s="143"/>
      <c r="BY167" s="143"/>
      <c r="BZ167" s="143"/>
      <c r="CA167" s="143"/>
      <c r="CB167" s="143"/>
      <c r="CC167" s="143"/>
      <c r="CD167" s="143"/>
      <c r="CE167" s="143"/>
      <c r="CF167" s="143"/>
      <c r="CG167" s="143"/>
      <c r="CH167" s="143"/>
      <c r="CI167" s="143"/>
      <c r="CJ167" s="143"/>
      <c r="CK167" s="143"/>
      <c r="CL167" s="143"/>
      <c r="CM167" s="143"/>
      <c r="CN167" s="143"/>
      <c r="CO167" s="143"/>
      <c r="CP167" s="143"/>
      <c r="CQ167" s="143"/>
      <c r="CR167" s="143"/>
      <c r="CS167" s="143"/>
      <c r="CT167" s="143"/>
      <c r="CU167" s="143"/>
      <c r="CV167" s="143"/>
      <c r="CW167" s="143"/>
      <c r="CX167" s="143"/>
      <c r="CY167" s="143"/>
      <c r="CZ167" s="143"/>
      <c r="DA167" s="143"/>
      <c r="DB167" s="143"/>
      <c r="DC167" s="143"/>
      <c r="DD167" s="143"/>
      <c r="DE167" s="143"/>
      <c r="DF167" s="143"/>
      <c r="DG167" s="143"/>
      <c r="DH167" s="143"/>
      <c r="DI167" s="143"/>
      <c r="DJ167" s="143"/>
      <c r="DK167" s="143"/>
      <c r="DL167" s="143"/>
      <c r="DM167" s="143"/>
      <c r="DN167" s="143"/>
      <c r="DO167" s="143"/>
      <c r="DP167" s="143"/>
      <c r="DQ167" s="143"/>
      <c r="DR167" s="143"/>
      <c r="DS167" s="143"/>
      <c r="DT167" s="143"/>
      <c r="DU167" s="143"/>
      <c r="DV167" s="143"/>
      <c r="DW167" s="143"/>
      <c r="DX167" s="143"/>
      <c r="DY167" s="143"/>
      <c r="DZ167" s="143"/>
      <c r="EA167" s="143"/>
      <c r="EB167" s="143"/>
      <c r="EC167" s="143"/>
      <c r="ED167" s="143"/>
      <c r="EE167" s="143"/>
      <c r="EF167" s="143"/>
      <c r="EG167" s="143"/>
      <c r="EH167" s="143"/>
      <c r="EI167" s="143"/>
      <c r="EJ167" s="143"/>
      <c r="EK167" s="143"/>
      <c r="EL167" s="143"/>
      <c r="EM167" s="143"/>
      <c r="EN167" s="143"/>
      <c r="EO167" s="143"/>
      <c r="EP167" s="143"/>
      <c r="EQ167" s="143"/>
      <c r="ER167" s="143"/>
      <c r="ES167" s="143"/>
      <c r="ET167" s="143"/>
      <c r="EU167" s="143"/>
      <c r="EV167" s="143"/>
      <c r="EW167" s="143"/>
      <c r="EX167" s="143"/>
      <c r="EY167" s="143"/>
      <c r="EZ167" s="143"/>
      <c r="FA167" s="143"/>
      <c r="FB167" s="143"/>
      <c r="FC167" s="143"/>
      <c r="FD167" s="143"/>
      <c r="FE167" s="143"/>
      <c r="FF167" s="143"/>
      <c r="FG167" s="143"/>
      <c r="FH167" s="143"/>
      <c r="FI167" s="143"/>
      <c r="FJ167" s="143"/>
      <c r="FK167" s="143"/>
      <c r="FL167" s="143"/>
      <c r="FM167" s="143"/>
      <c r="FN167" s="143"/>
      <c r="FO167" s="143"/>
      <c r="FP167" s="143"/>
      <c r="FQ167" s="143"/>
      <c r="FR167" s="143"/>
      <c r="FS167" s="143"/>
      <c r="FT167" s="143"/>
      <c r="FU167" s="143"/>
      <c r="FV167" s="143"/>
      <c r="FW167" s="143"/>
      <c r="FX167" s="143"/>
      <c r="FY167" s="143"/>
      <c r="FZ167" s="143"/>
      <c r="GA167" s="143"/>
      <c r="GB167" s="143"/>
      <c r="GC167" s="143"/>
      <c r="GD167" s="143"/>
      <c r="GE167" s="143"/>
      <c r="GF167" s="143"/>
      <c r="GG167" s="143"/>
      <c r="GH167" s="143"/>
      <c r="GI167" s="143"/>
      <c r="GJ167" s="143"/>
      <c r="GK167" s="143"/>
      <c r="GL167" s="143"/>
      <c r="GM167" s="143"/>
      <c r="GN167" s="143"/>
      <c r="GO167" s="143"/>
      <c r="GP167" s="143"/>
      <c r="GQ167" s="143"/>
      <c r="GR167" s="143"/>
      <c r="GS167" s="143"/>
      <c r="GT167" s="143"/>
      <c r="GU167" s="143"/>
      <c r="GV167" s="143"/>
      <c r="GW167" s="143"/>
      <c r="GX167" s="143"/>
      <c r="GY167" s="143"/>
      <c r="GZ167" s="143"/>
      <c r="HA167" s="143"/>
      <c r="HB167" s="143"/>
      <c r="HC167" s="143"/>
      <c r="HD167" s="143"/>
      <c r="HE167" s="143"/>
      <c r="HF167" s="143"/>
      <c r="HG167" s="143"/>
      <c r="HH167" s="143"/>
      <c r="HI167" s="143"/>
      <c r="HJ167" s="143"/>
      <c r="HK167" s="143"/>
      <c r="HL167" s="143"/>
      <c r="HM167" s="143"/>
      <c r="HN167" s="143"/>
      <c r="HO167" s="143"/>
      <c r="HP167" s="143"/>
      <c r="HQ167" s="143"/>
      <c r="HR167" s="143"/>
      <c r="HS167" s="143"/>
      <c r="HT167" s="143"/>
      <c r="HU167" s="143"/>
      <c r="HV167" s="143"/>
      <c r="HW167" s="143"/>
      <c r="HX167" s="143"/>
      <c r="HY167" s="143"/>
      <c r="HZ167" s="143"/>
      <c r="IA167" s="143"/>
      <c r="IB167" s="143"/>
      <c r="IC167" s="143"/>
      <c r="ID167" s="143"/>
      <c r="IE167" s="143"/>
      <c r="IF167" s="143"/>
      <c r="IG167" s="143"/>
    </row>
    <row r="168" spans="1:241" x14ac:dyDescent="0.2">
      <c r="A168" s="178" t="s">
        <v>1454</v>
      </c>
      <c r="B168" s="140">
        <v>35099</v>
      </c>
      <c r="C168" s="141">
        <v>5</v>
      </c>
      <c r="D168" s="395">
        <v>1</v>
      </c>
      <c r="E168" s="131">
        <v>73</v>
      </c>
      <c r="F168" s="145">
        <v>6</v>
      </c>
      <c r="G168" s="307">
        <v>2</v>
      </c>
      <c r="H168" s="145">
        <v>35173</v>
      </c>
      <c r="I168" s="145">
        <v>3</v>
      </c>
      <c r="J168" s="307">
        <v>3</v>
      </c>
      <c r="K168" s="393">
        <f t="shared" si="4"/>
        <v>35173.375</v>
      </c>
      <c r="L168" s="393">
        <f t="shared" si="5"/>
        <v>1.375</v>
      </c>
    </row>
    <row r="169" spans="1:241" ht="45" x14ac:dyDescent="0.2">
      <c r="A169" s="178" t="s">
        <v>1631</v>
      </c>
      <c r="B169" s="131">
        <v>393179</v>
      </c>
      <c r="C169" s="145">
        <v>6</v>
      </c>
      <c r="D169" s="307">
        <v>1</v>
      </c>
      <c r="E169" s="131">
        <v>12893</v>
      </c>
      <c r="F169" s="145">
        <v>1</v>
      </c>
      <c r="G169" s="307">
        <v>3</v>
      </c>
      <c r="H169" s="145">
        <v>406072</v>
      </c>
      <c r="I169" s="145">
        <v>7</v>
      </c>
      <c r="J169" s="307">
        <v>2</v>
      </c>
      <c r="K169" s="393">
        <f t="shared" si="4"/>
        <v>406072.875</v>
      </c>
      <c r="L169" s="393">
        <f t="shared" si="5"/>
        <v>0.875</v>
      </c>
    </row>
    <row r="170" spans="1:241" x14ac:dyDescent="0.2">
      <c r="A170" s="178" t="s">
        <v>1632</v>
      </c>
      <c r="B170" s="131">
        <v>628890</v>
      </c>
      <c r="C170" s="145">
        <v>6</v>
      </c>
      <c r="D170" s="307">
        <v>1</v>
      </c>
      <c r="E170" s="131">
        <v>79</v>
      </c>
      <c r="F170" s="145">
        <v>2</v>
      </c>
      <c r="G170" s="307">
        <v>2</v>
      </c>
      <c r="H170" s="145">
        <v>628969</v>
      </c>
      <c r="I170" s="145">
        <v>2</v>
      </c>
      <c r="J170" s="307">
        <v>3</v>
      </c>
      <c r="K170" s="393">
        <f t="shared" si="4"/>
        <v>628970</v>
      </c>
      <c r="L170" s="393">
        <f t="shared" si="5"/>
        <v>1</v>
      </c>
    </row>
    <row r="171" spans="1:241" ht="16" thickBot="1" x14ac:dyDescent="0.25">
      <c r="A171" s="273"/>
      <c r="B171" s="372">
        <v>1876345</v>
      </c>
      <c r="C171" s="362">
        <v>6</v>
      </c>
      <c r="D171" s="363">
        <v>1</v>
      </c>
      <c r="E171" s="372">
        <v>353198</v>
      </c>
      <c r="F171" s="362">
        <v>3</v>
      </c>
      <c r="G171" s="363">
        <v>2</v>
      </c>
      <c r="H171" s="362">
        <v>3057437</v>
      </c>
      <c r="I171" s="362">
        <v>1</v>
      </c>
      <c r="J171" s="363">
        <v>2</v>
      </c>
    </row>
    <row r="172" spans="1:241" ht="16" thickTop="1" x14ac:dyDescent="0.2">
      <c r="B172" s="321">
        <f>+SUM(B129:B170)+C172</f>
        <v>1876342</v>
      </c>
      <c r="C172" s="321">
        <f>+SUM(C129:C170)/8</f>
        <v>20</v>
      </c>
      <c r="D172" s="321">
        <f t="shared" ref="D172:J172" si="6">+SUM(D129:D170)</f>
        <v>66</v>
      </c>
      <c r="E172" s="321">
        <f>+SUM(E129:E170)+F172</f>
        <v>353203.5</v>
      </c>
      <c r="F172" s="321">
        <f>+SUM(F129:F170)/8</f>
        <v>17.5</v>
      </c>
      <c r="G172" s="321">
        <f t="shared" si="6"/>
        <v>84</v>
      </c>
      <c r="H172" s="321">
        <f>+SUM(H129:H170)+I172</f>
        <v>3057519.25</v>
      </c>
      <c r="I172" s="321">
        <f>+SUM(I129:I170)/8</f>
        <v>22.25</v>
      </c>
      <c r="J172" s="321">
        <f t="shared" si="6"/>
        <v>81</v>
      </c>
      <c r="K172" s="393">
        <v>3057437</v>
      </c>
    </row>
    <row r="173" spans="1:241" x14ac:dyDescent="0.2">
      <c r="E173" s="107">
        <f>E6</f>
        <v>141842</v>
      </c>
      <c r="H173" s="107">
        <f>B172+E172</f>
        <v>2229545.5</v>
      </c>
    </row>
    <row r="176" spans="1:241" x14ac:dyDescent="0.2">
      <c r="A176" s="113" t="s">
        <v>1342</v>
      </c>
    </row>
    <row r="177" spans="1:58" ht="35.5" customHeight="1" x14ac:dyDescent="0.25">
      <c r="A177" s="196" t="s">
        <v>1633</v>
      </c>
      <c r="B177" s="197"/>
      <c r="C177" s="197"/>
      <c r="D177" s="197"/>
      <c r="E177" s="197"/>
      <c r="F177" s="197"/>
      <c r="G177" s="197"/>
      <c r="H177" s="197"/>
      <c r="I177" s="197"/>
      <c r="J177" s="197"/>
      <c r="K177" s="197"/>
      <c r="L177" s="197"/>
      <c r="M177" s="197"/>
      <c r="N177" s="197"/>
      <c r="O177" s="197"/>
      <c r="P177" s="197"/>
      <c r="Q177" s="197"/>
      <c r="R177" s="197"/>
      <c r="S177" s="197"/>
      <c r="T177" s="197"/>
      <c r="U177" s="197"/>
      <c r="V177" s="197"/>
      <c r="W177" s="197"/>
      <c r="X177" s="197"/>
      <c r="Y177" s="197"/>
      <c r="Z177" s="197"/>
      <c r="AA177" s="197"/>
      <c r="AB177" s="197"/>
      <c r="AC177" s="197"/>
      <c r="AD177" s="197"/>
      <c r="AE177" s="197"/>
      <c r="AF177" s="197"/>
      <c r="AG177" s="197"/>
      <c r="AH177" s="197"/>
      <c r="AI177" s="197"/>
      <c r="AJ177" s="197"/>
      <c r="AK177" s="197"/>
      <c r="AL177" s="197"/>
      <c r="AM177" s="197"/>
      <c r="AN177" s="197"/>
      <c r="AO177" s="197"/>
      <c r="AP177" s="197"/>
      <c r="AQ177" s="197"/>
      <c r="AR177" s="197"/>
      <c r="AS177" s="197"/>
      <c r="AT177" s="197"/>
      <c r="AU177" s="197"/>
      <c r="AV177" s="197"/>
      <c r="AW177" s="197"/>
      <c r="AX177" s="197"/>
      <c r="AY177" s="197"/>
      <c r="AZ177" s="197"/>
      <c r="BA177" s="197"/>
      <c r="BB177" s="197"/>
      <c r="BC177" s="197"/>
      <c r="BD177" s="197"/>
      <c r="BE177" s="197"/>
      <c r="BF177" s="396"/>
    </row>
    <row r="178" spans="1:58" ht="22.25" customHeight="1" x14ac:dyDescent="0.2">
      <c r="A178" s="374" t="s">
        <v>1634</v>
      </c>
      <c r="B178" s="375"/>
      <c r="C178" s="375"/>
      <c r="D178" s="375"/>
      <c r="E178" s="375"/>
      <c r="F178" s="375"/>
      <c r="G178" s="375"/>
      <c r="H178" s="375"/>
      <c r="I178" s="375"/>
      <c r="J178" s="375"/>
      <c r="K178" s="375"/>
      <c r="L178" s="375"/>
      <c r="M178" s="375"/>
      <c r="N178" s="375"/>
      <c r="O178" s="375"/>
      <c r="P178" s="375"/>
      <c r="Q178" s="375"/>
      <c r="R178" s="375"/>
      <c r="S178" s="375"/>
      <c r="T178" s="375"/>
      <c r="U178" s="375"/>
      <c r="V178" s="375"/>
      <c r="W178" s="375"/>
      <c r="X178" s="375"/>
      <c r="Y178" s="375"/>
      <c r="Z178" s="375"/>
      <c r="AA178" s="375"/>
      <c r="AB178" s="375"/>
      <c r="AC178" s="375"/>
      <c r="AD178" s="375"/>
      <c r="AE178" s="375"/>
      <c r="AF178" s="375"/>
      <c r="AG178" s="375"/>
      <c r="AH178" s="375"/>
      <c r="AI178" s="375"/>
      <c r="AJ178" s="375"/>
      <c r="AK178" s="375"/>
      <c r="AL178" s="375"/>
      <c r="AM178" s="375"/>
      <c r="AN178" s="375"/>
      <c r="AO178" s="375"/>
      <c r="AP178" s="375"/>
      <c r="AQ178" s="375"/>
      <c r="AR178" s="375"/>
      <c r="AS178" s="375"/>
      <c r="AT178" s="375"/>
      <c r="AU178" s="375"/>
      <c r="AV178" s="375"/>
      <c r="AW178" s="375"/>
      <c r="AX178" s="375"/>
      <c r="AY178" s="375"/>
      <c r="AZ178" s="375"/>
      <c r="BA178" s="375"/>
      <c r="BB178" s="375"/>
      <c r="BC178" s="375"/>
      <c r="BD178" s="375"/>
      <c r="BE178" s="375"/>
      <c r="BF178" s="397"/>
    </row>
    <row r="179" spans="1:58" ht="31.5" customHeight="1" x14ac:dyDescent="0.2">
      <c r="A179" s="398" t="s">
        <v>1227</v>
      </c>
      <c r="B179" s="212" t="s">
        <v>1363</v>
      </c>
      <c r="C179" s="255"/>
      <c r="D179" s="255"/>
      <c r="E179" s="255"/>
      <c r="F179" s="255"/>
      <c r="G179" s="255"/>
      <c r="H179" s="255"/>
      <c r="I179" s="255"/>
      <c r="J179" s="255"/>
      <c r="K179" s="255"/>
      <c r="L179" s="255"/>
      <c r="M179" s="255"/>
      <c r="N179" s="255"/>
      <c r="O179" s="255"/>
      <c r="P179" s="255"/>
      <c r="Q179" s="255"/>
      <c r="R179" s="255"/>
      <c r="S179" s="255"/>
      <c r="T179" s="255"/>
      <c r="U179" s="255"/>
      <c r="V179" s="255"/>
      <c r="W179" s="255"/>
      <c r="X179" s="255"/>
      <c r="Y179" s="255"/>
      <c r="Z179" s="255"/>
      <c r="AA179" s="255"/>
      <c r="AB179" s="255"/>
      <c r="AC179" s="255"/>
      <c r="AD179" s="255"/>
      <c r="AE179" s="255"/>
      <c r="AF179" s="255"/>
      <c r="AG179" s="255"/>
      <c r="AH179" s="210"/>
      <c r="AI179" s="399"/>
      <c r="AJ179" s="399"/>
      <c r="AK179" s="399"/>
      <c r="AL179" s="212" t="s">
        <v>1364</v>
      </c>
      <c r="AM179" s="255"/>
      <c r="AN179" s="255"/>
      <c r="AO179" s="255"/>
      <c r="AP179" s="255"/>
      <c r="AQ179" s="255"/>
      <c r="AR179" s="255"/>
      <c r="AS179" s="255"/>
      <c r="AT179" s="210"/>
      <c r="AU179" s="399"/>
      <c r="AV179" s="399"/>
      <c r="AW179" s="399"/>
      <c r="AX179" s="212" t="s">
        <v>1635</v>
      </c>
      <c r="AY179" s="255"/>
      <c r="AZ179" s="255"/>
      <c r="BA179" s="255"/>
      <c r="BB179" s="255"/>
      <c r="BC179" s="255"/>
      <c r="BD179" s="255"/>
      <c r="BE179" s="255"/>
      <c r="BF179" s="210"/>
    </row>
    <row r="180" spans="1:58" ht="47" customHeight="1" x14ac:dyDescent="0.2">
      <c r="A180" s="400"/>
      <c r="B180" s="285" t="s">
        <v>1499</v>
      </c>
      <c r="C180" s="286"/>
      <c r="D180" s="286"/>
      <c r="E180" s="285" t="s">
        <v>1636</v>
      </c>
      <c r="F180" s="286"/>
      <c r="G180" s="286"/>
      <c r="H180" s="285" t="s">
        <v>1637</v>
      </c>
      <c r="I180" s="286"/>
      <c r="J180" s="286"/>
      <c r="K180" s="285" t="s">
        <v>1638</v>
      </c>
      <c r="L180" s="286"/>
      <c r="M180" s="286"/>
      <c r="N180" s="285" t="s">
        <v>1639</v>
      </c>
      <c r="O180" s="286"/>
      <c r="P180" s="286"/>
      <c r="Q180" s="285" t="s">
        <v>1640</v>
      </c>
      <c r="R180" s="286"/>
      <c r="S180" s="286"/>
      <c r="T180" s="285" t="s">
        <v>1308</v>
      </c>
      <c r="U180" s="286"/>
      <c r="V180" s="286"/>
      <c r="W180" s="285" t="s">
        <v>1641</v>
      </c>
      <c r="X180" s="286"/>
      <c r="Y180" s="286"/>
      <c r="Z180" s="285" t="s">
        <v>1642</v>
      </c>
      <c r="AA180" s="286"/>
      <c r="AB180" s="286"/>
      <c r="AC180" s="285" t="s">
        <v>1643</v>
      </c>
      <c r="AD180" s="286"/>
      <c r="AE180" s="286"/>
      <c r="AF180" s="285" t="s">
        <v>1644</v>
      </c>
      <c r="AG180" s="286"/>
      <c r="AH180" s="287"/>
      <c r="AI180" s="401"/>
      <c r="AJ180" s="402"/>
      <c r="AK180" s="403"/>
      <c r="AL180" s="286" t="s">
        <v>1645</v>
      </c>
      <c r="AM180" s="286"/>
      <c r="AN180" s="286"/>
      <c r="AO180" s="285" t="s">
        <v>1510</v>
      </c>
      <c r="AP180" s="286"/>
      <c r="AQ180" s="286"/>
      <c r="AR180" s="285" t="s">
        <v>1646</v>
      </c>
      <c r="AS180" s="286"/>
      <c r="AT180" s="286"/>
      <c r="AU180" s="401"/>
      <c r="AV180" s="402"/>
      <c r="AW180" s="403"/>
      <c r="AX180" s="285" t="s">
        <v>1647</v>
      </c>
      <c r="AY180" s="286"/>
      <c r="AZ180" s="287"/>
      <c r="BA180" s="402"/>
      <c r="BB180" s="402"/>
      <c r="BC180" s="402"/>
      <c r="BD180" s="285" t="s">
        <v>1648</v>
      </c>
      <c r="BE180" s="286"/>
      <c r="BF180" s="287"/>
    </row>
    <row r="181" spans="1:58" x14ac:dyDescent="0.2">
      <c r="A181" s="164" t="s">
        <v>1514</v>
      </c>
      <c r="B181" s="164"/>
      <c r="C181" s="134"/>
      <c r="D181" s="134"/>
      <c r="E181" s="164"/>
      <c r="F181" s="134"/>
      <c r="G181" s="134"/>
      <c r="H181" s="164"/>
      <c r="I181" s="134"/>
      <c r="J181" s="134"/>
      <c r="K181" s="164"/>
      <c r="L181" s="134"/>
      <c r="M181" s="134"/>
      <c r="N181" s="164"/>
      <c r="O181" s="134"/>
      <c r="P181" s="134"/>
      <c r="Q181" s="164"/>
      <c r="R181" s="134"/>
      <c r="S181" s="134"/>
      <c r="T181" s="164"/>
      <c r="U181" s="134"/>
      <c r="V181" s="134"/>
      <c r="W181" s="164"/>
      <c r="X181" s="134"/>
      <c r="Y181" s="134"/>
      <c r="Z181" s="164"/>
      <c r="AA181" s="134"/>
      <c r="AB181" s="134"/>
      <c r="AC181" s="164"/>
      <c r="AD181" s="134"/>
      <c r="AE181" s="134"/>
      <c r="AF181" s="164"/>
      <c r="AG181" s="134"/>
      <c r="AH181" s="185"/>
      <c r="AI181" s="404"/>
      <c r="AJ181" s="192"/>
      <c r="AK181" s="405"/>
      <c r="AL181" s="134"/>
      <c r="AM181" s="134"/>
      <c r="AN181" s="134"/>
      <c r="AO181" s="164"/>
      <c r="AP181" s="134"/>
      <c r="AQ181" s="134"/>
      <c r="AR181" s="164"/>
      <c r="AS181" s="134"/>
      <c r="AT181" s="134"/>
      <c r="AU181" s="404">
        <f>AL181+AO181</f>
        <v>0</v>
      </c>
      <c r="AV181" s="192">
        <f t="shared" ref="AV181:AW196" si="7">AM181+AP181</f>
        <v>0</v>
      </c>
      <c r="AW181" s="192">
        <f t="shared" si="7"/>
        <v>0</v>
      </c>
      <c r="AX181" s="164"/>
      <c r="AY181" s="134"/>
      <c r="AZ181" s="185"/>
      <c r="BA181" s="404"/>
      <c r="BB181" s="192"/>
      <c r="BC181" s="405"/>
      <c r="BD181" s="164"/>
      <c r="BE181" s="134"/>
      <c r="BF181" s="185"/>
    </row>
    <row r="182" spans="1:58" x14ac:dyDescent="0.2">
      <c r="A182" s="164" t="s">
        <v>1649</v>
      </c>
      <c r="B182" s="131">
        <v>9749</v>
      </c>
      <c r="C182" s="145">
        <v>40</v>
      </c>
      <c r="D182" s="406">
        <f>2/8</f>
        <v>0.25</v>
      </c>
      <c r="E182" s="131"/>
      <c r="F182" s="145"/>
      <c r="G182" s="406"/>
      <c r="H182" s="131"/>
      <c r="I182" s="145"/>
      <c r="J182" s="406"/>
      <c r="K182" s="131"/>
      <c r="L182" s="145"/>
      <c r="M182" s="406"/>
      <c r="N182" s="164">
        <v>133</v>
      </c>
      <c r="O182" s="134">
        <v>36</v>
      </c>
      <c r="P182" s="134">
        <f>2/8</f>
        <v>0.25</v>
      </c>
      <c r="Q182" s="131"/>
      <c r="R182" s="145"/>
      <c r="S182" s="406"/>
      <c r="T182" s="131"/>
      <c r="U182" s="145"/>
      <c r="V182" s="406"/>
      <c r="W182" s="131"/>
      <c r="X182" s="145"/>
      <c r="Y182" s="406"/>
      <c r="Z182" s="131"/>
      <c r="AA182" s="145"/>
      <c r="AB182" s="406"/>
      <c r="AC182" s="131"/>
      <c r="AD182" s="145"/>
      <c r="AE182" s="406"/>
      <c r="AF182" s="131">
        <v>9882</v>
      </c>
      <c r="AG182" s="145">
        <v>76</v>
      </c>
      <c r="AH182" s="407">
        <v>0.5</v>
      </c>
      <c r="AI182" s="137">
        <f>B182+E182+H182+K182+N182+Q182+T182+W182+Z182+AC182</f>
        <v>9882</v>
      </c>
      <c r="AJ182" s="138">
        <f>C182+F182+I182+L182+O182+R182+U182+X182+AA182+AD182</f>
        <v>76</v>
      </c>
      <c r="AK182" s="408">
        <f>D182+G182+J182+M182+P182+S182+V182+Y182+AB182+AE182</f>
        <v>0.5</v>
      </c>
      <c r="AL182" s="145">
        <v>1186</v>
      </c>
      <c r="AM182" s="145">
        <v>25</v>
      </c>
      <c r="AN182" s="406"/>
      <c r="AO182" s="131"/>
      <c r="AP182" s="145"/>
      <c r="AQ182" s="406"/>
      <c r="AR182" s="131">
        <v>1186</v>
      </c>
      <c r="AS182" s="145">
        <v>25</v>
      </c>
      <c r="AT182" s="406"/>
      <c r="AU182" s="137">
        <f t="shared" ref="AU182:AU196" si="8">AL182+AO182</f>
        <v>1186</v>
      </c>
      <c r="AV182" s="138">
        <f t="shared" si="7"/>
        <v>25</v>
      </c>
      <c r="AW182" s="409">
        <f t="shared" si="7"/>
        <v>0</v>
      </c>
      <c r="AX182" s="131">
        <v>8696</v>
      </c>
      <c r="AY182" s="145">
        <v>51</v>
      </c>
      <c r="AZ182" s="407">
        <v>0.5</v>
      </c>
      <c r="BA182" s="137">
        <f>AI182-AU182</f>
        <v>8696</v>
      </c>
      <c r="BB182" s="138">
        <f>AJ182-AV182</f>
        <v>51</v>
      </c>
      <c r="BC182" s="408">
        <f>AK182-AW182</f>
        <v>0.5</v>
      </c>
      <c r="BD182" s="131"/>
      <c r="BE182" s="145"/>
      <c r="BF182" s="407"/>
    </row>
    <row r="183" spans="1:58" x14ac:dyDescent="0.2">
      <c r="A183" s="164" t="s">
        <v>1516</v>
      </c>
      <c r="B183" s="131"/>
      <c r="C183" s="145"/>
      <c r="D183" s="406"/>
      <c r="E183" s="131"/>
      <c r="F183" s="145"/>
      <c r="G183" s="406"/>
      <c r="H183" s="131"/>
      <c r="I183" s="145"/>
      <c r="J183" s="406"/>
      <c r="K183" s="131"/>
      <c r="L183" s="145"/>
      <c r="M183" s="406"/>
      <c r="N183" s="131"/>
      <c r="O183" s="145"/>
      <c r="P183" s="406"/>
      <c r="Q183" s="131"/>
      <c r="R183" s="145"/>
      <c r="S183" s="406"/>
      <c r="T183" s="131"/>
      <c r="U183" s="145"/>
      <c r="V183" s="406"/>
      <c r="W183" s="131"/>
      <c r="X183" s="145"/>
      <c r="Y183" s="406"/>
      <c r="Z183" s="131"/>
      <c r="AA183" s="145"/>
      <c r="AB183" s="406"/>
      <c r="AC183" s="131"/>
      <c r="AD183" s="145"/>
      <c r="AE183" s="406"/>
      <c r="AF183" s="131"/>
      <c r="AG183" s="145"/>
      <c r="AH183" s="407"/>
      <c r="AI183" s="137">
        <f t="shared" ref="AI183:AK196" si="9">B183+E183+H183+K183+N183+Q183+T183+W183+Z183+AC183</f>
        <v>0</v>
      </c>
      <c r="AJ183" s="138">
        <f t="shared" si="9"/>
        <v>0</v>
      </c>
      <c r="AK183" s="408">
        <f t="shared" si="9"/>
        <v>0</v>
      </c>
      <c r="AL183" s="145"/>
      <c r="AM183" s="145"/>
      <c r="AN183" s="406"/>
      <c r="AO183" s="131"/>
      <c r="AP183" s="145"/>
      <c r="AQ183" s="406"/>
      <c r="AR183" s="131"/>
      <c r="AS183" s="145"/>
      <c r="AT183" s="406"/>
      <c r="AU183" s="137">
        <f t="shared" si="8"/>
        <v>0</v>
      </c>
      <c r="AV183" s="138">
        <f t="shared" si="7"/>
        <v>0</v>
      </c>
      <c r="AW183" s="409">
        <f t="shared" si="7"/>
        <v>0</v>
      </c>
      <c r="AX183" s="131"/>
      <c r="AY183" s="145"/>
      <c r="AZ183" s="407"/>
      <c r="BA183" s="137">
        <f t="shared" ref="BA183:BC196" si="10">AI183-AU183</f>
        <v>0</v>
      </c>
      <c r="BB183" s="138">
        <f t="shared" si="10"/>
        <v>0</v>
      </c>
      <c r="BC183" s="408">
        <f t="shared" si="10"/>
        <v>0</v>
      </c>
      <c r="BD183" s="131"/>
      <c r="BE183" s="145"/>
      <c r="BF183" s="407"/>
    </row>
    <row r="184" spans="1:58" x14ac:dyDescent="0.2">
      <c r="A184" s="164" t="s">
        <v>1517</v>
      </c>
      <c r="B184" s="131">
        <v>54957</v>
      </c>
      <c r="C184" s="145">
        <v>11</v>
      </c>
      <c r="D184" s="410"/>
      <c r="E184" s="131"/>
      <c r="F184" s="145"/>
      <c r="G184" s="406"/>
      <c r="H184" s="131"/>
      <c r="I184" s="145"/>
      <c r="J184" s="406"/>
      <c r="K184" s="131"/>
      <c r="L184" s="145"/>
      <c r="M184" s="406"/>
      <c r="N184" s="131">
        <v>51</v>
      </c>
      <c r="O184" s="145">
        <v>87</v>
      </c>
      <c r="P184" s="406"/>
      <c r="Q184" s="131"/>
      <c r="R184" s="145"/>
      <c r="S184" s="406"/>
      <c r="T184" s="131">
        <v>7</v>
      </c>
      <c r="U184" s="145">
        <v>56</v>
      </c>
      <c r="V184" s="406"/>
      <c r="W184" s="131"/>
      <c r="X184" s="145"/>
      <c r="Y184" s="406"/>
      <c r="Z184" s="131"/>
      <c r="AA184" s="145"/>
      <c r="AB184" s="406"/>
      <c r="AC184" s="131"/>
      <c r="AD184" s="145"/>
      <c r="AE184" s="406"/>
      <c r="AF184" s="131">
        <v>55016</v>
      </c>
      <c r="AG184" s="145">
        <v>54</v>
      </c>
      <c r="AH184" s="407"/>
      <c r="AI184" s="137">
        <f t="shared" si="9"/>
        <v>55015</v>
      </c>
      <c r="AJ184" s="138">
        <f t="shared" si="9"/>
        <v>154</v>
      </c>
      <c r="AK184" s="408">
        <f t="shared" si="9"/>
        <v>0</v>
      </c>
      <c r="AL184" s="145">
        <v>2205</v>
      </c>
      <c r="AM184" s="145">
        <v>46</v>
      </c>
      <c r="AN184" s="406">
        <v>0.875</v>
      </c>
      <c r="AO184" s="131">
        <v>3</v>
      </c>
      <c r="AP184" s="145"/>
      <c r="AQ184" s="406"/>
      <c r="AR184" s="131">
        <v>2208</v>
      </c>
      <c r="AS184" s="145">
        <v>46</v>
      </c>
      <c r="AT184" s="406">
        <v>0.875</v>
      </c>
      <c r="AU184" s="137">
        <f t="shared" si="8"/>
        <v>2208</v>
      </c>
      <c r="AV184" s="138">
        <f t="shared" si="7"/>
        <v>46</v>
      </c>
      <c r="AW184" s="409">
        <f t="shared" si="7"/>
        <v>0.875</v>
      </c>
      <c r="AX184" s="131">
        <v>52808</v>
      </c>
      <c r="AY184" s="145">
        <v>7</v>
      </c>
      <c r="AZ184" s="407">
        <v>0.125</v>
      </c>
      <c r="BA184" s="137">
        <f t="shared" si="10"/>
        <v>52807</v>
      </c>
      <c r="BB184" s="138">
        <f t="shared" si="10"/>
        <v>108</v>
      </c>
      <c r="BC184" s="408">
        <f t="shared" si="10"/>
        <v>-0.875</v>
      </c>
      <c r="BD184" s="131"/>
      <c r="BE184" s="145"/>
      <c r="BF184" s="407"/>
    </row>
    <row r="185" spans="1:58" x14ac:dyDescent="0.2">
      <c r="A185" s="164" t="s">
        <v>1369</v>
      </c>
      <c r="B185" s="131">
        <v>120781</v>
      </c>
      <c r="C185" s="145">
        <v>49</v>
      </c>
      <c r="D185" s="406">
        <v>0.75</v>
      </c>
      <c r="E185" s="131">
        <v>350</v>
      </c>
      <c r="F185" s="145"/>
      <c r="G185" s="406"/>
      <c r="H185" s="131">
        <v>1914</v>
      </c>
      <c r="I185" s="145">
        <v>52</v>
      </c>
      <c r="J185" s="406">
        <v>0.75</v>
      </c>
      <c r="K185" s="131"/>
      <c r="L185" s="145"/>
      <c r="M185" s="406"/>
      <c r="N185" s="131">
        <v>548</v>
      </c>
      <c r="O185" s="145">
        <v>61</v>
      </c>
      <c r="P185" s="406"/>
      <c r="Q185" s="131">
        <v>138</v>
      </c>
      <c r="R185" s="145">
        <v>43</v>
      </c>
      <c r="S185" s="406">
        <v>0.75</v>
      </c>
      <c r="T185" s="131">
        <v>12</v>
      </c>
      <c r="U185" s="145">
        <v>37</v>
      </c>
      <c r="V185" s="406">
        <v>0.5</v>
      </c>
      <c r="W185" s="131">
        <v>488</v>
      </c>
      <c r="X185" s="145">
        <v>46</v>
      </c>
      <c r="Y185" s="406">
        <v>0.875</v>
      </c>
      <c r="Z185" s="131"/>
      <c r="AA185" s="145"/>
      <c r="AB185" s="406"/>
      <c r="AC185" s="131"/>
      <c r="AD185" s="145"/>
      <c r="AE185" s="406"/>
      <c r="AF185" s="131">
        <v>124233</v>
      </c>
      <c r="AG185" s="145">
        <v>91</v>
      </c>
      <c r="AH185" s="407">
        <v>0.625</v>
      </c>
      <c r="AI185" s="137">
        <f t="shared" si="9"/>
        <v>124231</v>
      </c>
      <c r="AJ185" s="138">
        <f t="shared" si="9"/>
        <v>288</v>
      </c>
      <c r="AK185" s="408">
        <f t="shared" si="9"/>
        <v>3.625</v>
      </c>
      <c r="AL185" s="145">
        <v>4776</v>
      </c>
      <c r="AM185" s="145">
        <v>18</v>
      </c>
      <c r="AN185" s="406">
        <v>0.75</v>
      </c>
      <c r="AO185" s="131"/>
      <c r="AP185" s="145"/>
      <c r="AQ185" s="406"/>
      <c r="AR185" s="131">
        <v>4776</v>
      </c>
      <c r="AS185" s="145">
        <v>18</v>
      </c>
      <c r="AT185" s="406">
        <v>0.75</v>
      </c>
      <c r="AU185" s="137">
        <f t="shared" si="8"/>
        <v>4776</v>
      </c>
      <c r="AV185" s="138">
        <f t="shared" si="7"/>
        <v>18</v>
      </c>
      <c r="AW185" s="409">
        <f t="shared" si="7"/>
        <v>0.75</v>
      </c>
      <c r="AX185" s="131">
        <v>119457</v>
      </c>
      <c r="AY185" s="145">
        <v>72</v>
      </c>
      <c r="AZ185" s="407">
        <v>0.875</v>
      </c>
      <c r="BA185" s="137">
        <f t="shared" si="10"/>
        <v>119455</v>
      </c>
      <c r="BB185" s="138">
        <f t="shared" si="10"/>
        <v>270</v>
      </c>
      <c r="BC185" s="408">
        <f t="shared" si="10"/>
        <v>2.875</v>
      </c>
      <c r="BD185" s="131"/>
      <c r="BE185" s="145"/>
      <c r="BF185" s="407"/>
    </row>
    <row r="186" spans="1:58" x14ac:dyDescent="0.2">
      <c r="A186" s="164" t="s">
        <v>1518</v>
      </c>
      <c r="B186" s="131">
        <v>2925</v>
      </c>
      <c r="C186" s="145">
        <v>91</v>
      </c>
      <c r="D186" s="406">
        <v>0.25</v>
      </c>
      <c r="E186" s="131">
        <v>825</v>
      </c>
      <c r="F186" s="145">
        <v>89</v>
      </c>
      <c r="G186" s="406">
        <v>0.625</v>
      </c>
      <c r="H186" s="131">
        <v>103</v>
      </c>
      <c r="I186" s="145">
        <v>42</v>
      </c>
      <c r="J186" s="411"/>
      <c r="K186" s="131"/>
      <c r="L186" s="145"/>
      <c r="M186" s="406"/>
      <c r="N186" s="131">
        <v>70</v>
      </c>
      <c r="O186" s="145">
        <v>81</v>
      </c>
      <c r="P186" s="406">
        <v>0.375</v>
      </c>
      <c r="Q186" s="131"/>
      <c r="R186" s="145"/>
      <c r="S186" s="406"/>
      <c r="T186" s="131"/>
      <c r="U186" s="145"/>
      <c r="V186" s="406"/>
      <c r="W186" s="131"/>
      <c r="X186" s="145"/>
      <c r="Y186" s="406"/>
      <c r="Z186" s="131">
        <v>10</v>
      </c>
      <c r="AA186" s="145"/>
      <c r="AB186" s="406"/>
      <c r="AC186" s="131"/>
      <c r="AD186" s="145"/>
      <c r="AE186" s="406"/>
      <c r="AF186" s="131">
        <v>3936</v>
      </c>
      <c r="AG186" s="145">
        <v>4</v>
      </c>
      <c r="AH186" s="407">
        <v>0.25</v>
      </c>
      <c r="AI186" s="137">
        <f t="shared" si="9"/>
        <v>3933</v>
      </c>
      <c r="AJ186" s="138">
        <f t="shared" si="9"/>
        <v>303</v>
      </c>
      <c r="AK186" s="408">
        <f t="shared" si="9"/>
        <v>1.25</v>
      </c>
      <c r="AL186" s="145">
        <v>1699</v>
      </c>
      <c r="AM186" s="145"/>
      <c r="AN186" s="406"/>
      <c r="AO186" s="131">
        <v>99</v>
      </c>
      <c r="AP186" s="145"/>
      <c r="AQ186" s="406"/>
      <c r="AR186" s="131">
        <v>1798</v>
      </c>
      <c r="AS186" s="145"/>
      <c r="AT186" s="406"/>
      <c r="AU186" s="137">
        <f t="shared" si="8"/>
        <v>1798</v>
      </c>
      <c r="AV186" s="138">
        <f t="shared" si="7"/>
        <v>0</v>
      </c>
      <c r="AW186" s="409">
        <f t="shared" si="7"/>
        <v>0</v>
      </c>
      <c r="AX186" s="131">
        <v>2138</v>
      </c>
      <c r="AY186" s="145">
        <v>4</v>
      </c>
      <c r="AZ186" s="407">
        <v>0.25</v>
      </c>
      <c r="BA186" s="137">
        <f t="shared" si="10"/>
        <v>2135</v>
      </c>
      <c r="BB186" s="138">
        <f t="shared" si="10"/>
        <v>303</v>
      </c>
      <c r="BC186" s="408">
        <f t="shared" si="10"/>
        <v>1.25</v>
      </c>
      <c r="BD186" s="131"/>
      <c r="BE186" s="145"/>
      <c r="BF186" s="407"/>
    </row>
    <row r="187" spans="1:58" x14ac:dyDescent="0.2">
      <c r="A187" s="164" t="s">
        <v>1519</v>
      </c>
      <c r="B187" s="131">
        <v>45615</v>
      </c>
      <c r="C187" s="145">
        <v>58</v>
      </c>
      <c r="D187" s="406">
        <v>0.125</v>
      </c>
      <c r="E187" s="131"/>
      <c r="F187" s="145"/>
      <c r="G187" s="406"/>
      <c r="H187" s="131"/>
      <c r="I187" s="145"/>
      <c r="J187" s="406"/>
      <c r="K187" s="131"/>
      <c r="L187" s="145"/>
      <c r="M187" s="406"/>
      <c r="N187" s="131">
        <v>145</v>
      </c>
      <c r="O187" s="145">
        <v>46</v>
      </c>
      <c r="P187" s="406">
        <v>0.75</v>
      </c>
      <c r="Q187" s="131"/>
      <c r="R187" s="145"/>
      <c r="S187" s="406"/>
      <c r="T187" s="131">
        <v>98</v>
      </c>
      <c r="U187" s="145">
        <v>54</v>
      </c>
      <c r="V187" s="406">
        <v>0.75</v>
      </c>
      <c r="W187" s="131"/>
      <c r="X187" s="145"/>
      <c r="Y187" s="406"/>
      <c r="Z187" s="131"/>
      <c r="AA187" s="145"/>
      <c r="AB187" s="406"/>
      <c r="AC187" s="131"/>
      <c r="AD187" s="145"/>
      <c r="AE187" s="406"/>
      <c r="AF187" s="131">
        <v>45859</v>
      </c>
      <c r="AG187" s="145">
        <v>59</v>
      </c>
      <c r="AH187" s="407">
        <v>0.625</v>
      </c>
      <c r="AI187" s="137">
        <f t="shared" si="9"/>
        <v>45858</v>
      </c>
      <c r="AJ187" s="138">
        <f t="shared" si="9"/>
        <v>158</v>
      </c>
      <c r="AK187" s="408">
        <f t="shared" si="9"/>
        <v>1.625</v>
      </c>
      <c r="AL187" s="145">
        <v>3126</v>
      </c>
      <c r="AM187" s="145">
        <v>28</v>
      </c>
      <c r="AN187" s="406">
        <v>0.125</v>
      </c>
      <c r="AO187" s="131"/>
      <c r="AP187" s="145"/>
      <c r="AQ187" s="406"/>
      <c r="AR187" s="131">
        <v>3126</v>
      </c>
      <c r="AS187" s="145">
        <v>28</v>
      </c>
      <c r="AT187" s="406">
        <v>0.125</v>
      </c>
      <c r="AU187" s="137">
        <f t="shared" si="8"/>
        <v>3126</v>
      </c>
      <c r="AV187" s="138">
        <f t="shared" si="7"/>
        <v>28</v>
      </c>
      <c r="AW187" s="409">
        <f t="shared" si="7"/>
        <v>0.125</v>
      </c>
      <c r="AX187" s="131">
        <v>42733</v>
      </c>
      <c r="AY187" s="145">
        <v>31</v>
      </c>
      <c r="AZ187" s="407">
        <v>0.125</v>
      </c>
      <c r="BA187" s="137">
        <f t="shared" si="10"/>
        <v>42732</v>
      </c>
      <c r="BB187" s="138">
        <f t="shared" si="10"/>
        <v>130</v>
      </c>
      <c r="BC187" s="412">
        <f t="shared" si="10"/>
        <v>1.5</v>
      </c>
      <c r="BD187" s="131"/>
      <c r="BE187" s="145"/>
      <c r="BF187" s="407"/>
    </row>
    <row r="188" spans="1:58" x14ac:dyDescent="0.2">
      <c r="A188" s="164" t="s">
        <v>1520</v>
      </c>
      <c r="B188" s="131">
        <v>1423</v>
      </c>
      <c r="C188" s="145">
        <v>81</v>
      </c>
      <c r="D188" s="406">
        <v>0.25</v>
      </c>
      <c r="E188" s="131">
        <v>164</v>
      </c>
      <c r="F188" s="145">
        <v>62</v>
      </c>
      <c r="G188" s="406">
        <v>0.5</v>
      </c>
      <c r="H188" s="131"/>
      <c r="I188" s="145"/>
      <c r="J188" s="406"/>
      <c r="K188" s="131">
        <v>2</v>
      </c>
      <c r="L188" s="145">
        <v>50</v>
      </c>
      <c r="M188" s="406"/>
      <c r="N188" s="131">
        <v>3</v>
      </c>
      <c r="O188" s="145"/>
      <c r="P188" s="406"/>
      <c r="Q188" s="131"/>
      <c r="R188" s="145"/>
      <c r="S188" s="406"/>
      <c r="T188" s="131"/>
      <c r="U188" s="145"/>
      <c r="V188" s="406"/>
      <c r="W188" s="131"/>
      <c r="X188" s="145"/>
      <c r="Y188" s="406"/>
      <c r="Z188" s="131">
        <v>8</v>
      </c>
      <c r="AA188" s="145"/>
      <c r="AB188" s="406"/>
      <c r="AC188" s="131"/>
      <c r="AD188" s="145"/>
      <c r="AE188" s="406"/>
      <c r="AF188" s="131">
        <v>1601</v>
      </c>
      <c r="AG188" s="145">
        <v>93</v>
      </c>
      <c r="AH188" s="407">
        <v>0.75</v>
      </c>
      <c r="AI188" s="137">
        <f t="shared" si="9"/>
        <v>1600</v>
      </c>
      <c r="AJ188" s="138">
        <f t="shared" si="9"/>
        <v>193</v>
      </c>
      <c r="AK188" s="408">
        <f t="shared" si="9"/>
        <v>0.75</v>
      </c>
      <c r="AL188" s="145">
        <v>288</v>
      </c>
      <c r="AM188" s="145">
        <v>34</v>
      </c>
      <c r="AN188" s="406">
        <v>0.625</v>
      </c>
      <c r="AO188" s="131">
        <v>20</v>
      </c>
      <c r="AP188" s="145"/>
      <c r="AQ188" s="406"/>
      <c r="AR188" s="131">
        <v>308</v>
      </c>
      <c r="AS188" s="145">
        <v>34</v>
      </c>
      <c r="AT188" s="406">
        <v>0.625</v>
      </c>
      <c r="AU188" s="137">
        <f t="shared" si="8"/>
        <v>308</v>
      </c>
      <c r="AV188" s="138">
        <f t="shared" si="7"/>
        <v>34</v>
      </c>
      <c r="AW188" s="409">
        <f t="shared" si="7"/>
        <v>0.625</v>
      </c>
      <c r="AX188" s="131">
        <v>1293</v>
      </c>
      <c r="AY188" s="145">
        <v>59</v>
      </c>
      <c r="AZ188" s="407">
        <v>0.125</v>
      </c>
      <c r="BA188" s="137">
        <f t="shared" si="10"/>
        <v>1292</v>
      </c>
      <c r="BB188" s="138">
        <f t="shared" si="10"/>
        <v>159</v>
      </c>
      <c r="BC188" s="408">
        <f t="shared" si="10"/>
        <v>0.125</v>
      </c>
      <c r="BD188" s="131"/>
      <c r="BE188" s="145"/>
      <c r="BF188" s="407"/>
    </row>
    <row r="189" spans="1:58" x14ac:dyDescent="0.2">
      <c r="A189" s="164" t="s">
        <v>1521</v>
      </c>
      <c r="B189" s="131">
        <v>2811</v>
      </c>
      <c r="C189" s="145">
        <v>86</v>
      </c>
      <c r="D189" s="406">
        <v>0.75</v>
      </c>
      <c r="E189" s="131"/>
      <c r="F189" s="145"/>
      <c r="G189" s="406"/>
      <c r="H189" s="131"/>
      <c r="I189" s="145"/>
      <c r="J189" s="406"/>
      <c r="K189" s="131"/>
      <c r="L189" s="145"/>
      <c r="M189" s="406"/>
      <c r="N189" s="131"/>
      <c r="O189" s="145"/>
      <c r="P189" s="406"/>
      <c r="Q189" s="131"/>
      <c r="R189" s="145"/>
      <c r="S189" s="406"/>
      <c r="T189" s="131"/>
      <c r="U189" s="145"/>
      <c r="V189" s="406"/>
      <c r="W189" s="131"/>
      <c r="X189" s="145"/>
      <c r="Y189" s="406"/>
      <c r="Z189" s="131"/>
      <c r="AA189" s="145"/>
      <c r="AB189" s="406"/>
      <c r="AC189" s="131"/>
      <c r="AD189" s="145"/>
      <c r="AE189" s="406"/>
      <c r="AF189" s="131">
        <v>2811</v>
      </c>
      <c r="AG189" s="145">
        <v>84</v>
      </c>
      <c r="AH189" s="407">
        <v>0.75</v>
      </c>
      <c r="AI189" s="137">
        <f t="shared" si="9"/>
        <v>2811</v>
      </c>
      <c r="AJ189" s="413">
        <f t="shared" si="9"/>
        <v>86</v>
      </c>
      <c r="AK189" s="408">
        <f t="shared" si="9"/>
        <v>0.75</v>
      </c>
      <c r="AL189" s="145">
        <v>506</v>
      </c>
      <c r="AM189" s="145">
        <v>13</v>
      </c>
      <c r="AN189" s="406">
        <v>0.5</v>
      </c>
      <c r="AO189" s="131"/>
      <c r="AP189" s="145"/>
      <c r="AQ189" s="406"/>
      <c r="AR189" s="131">
        <v>506</v>
      </c>
      <c r="AS189" s="145">
        <v>13</v>
      </c>
      <c r="AT189" s="406">
        <v>0.5</v>
      </c>
      <c r="AU189" s="137">
        <f t="shared" si="8"/>
        <v>506</v>
      </c>
      <c r="AV189" s="138">
        <f t="shared" si="7"/>
        <v>13</v>
      </c>
      <c r="AW189" s="409">
        <f t="shared" si="7"/>
        <v>0.5</v>
      </c>
      <c r="AX189" s="131">
        <v>2305</v>
      </c>
      <c r="AY189" s="145">
        <v>73</v>
      </c>
      <c r="AZ189" s="407">
        <v>0.25</v>
      </c>
      <c r="BA189" s="137">
        <f t="shared" si="10"/>
        <v>2305</v>
      </c>
      <c r="BB189" s="138">
        <f t="shared" si="10"/>
        <v>73</v>
      </c>
      <c r="BC189" s="408">
        <f t="shared" si="10"/>
        <v>0.25</v>
      </c>
      <c r="BD189" s="131"/>
      <c r="BE189" s="145"/>
      <c r="BF189" s="407"/>
    </row>
    <row r="190" spans="1:58" x14ac:dyDescent="0.2">
      <c r="A190" s="164" t="s">
        <v>1522</v>
      </c>
      <c r="B190" s="131">
        <v>2486</v>
      </c>
      <c r="C190" s="145">
        <v>99</v>
      </c>
      <c r="D190" s="410"/>
      <c r="E190" s="131">
        <v>269</v>
      </c>
      <c r="F190" s="145">
        <v>75</v>
      </c>
      <c r="G190" s="406"/>
      <c r="H190" s="131"/>
      <c r="I190" s="145"/>
      <c r="J190" s="406"/>
      <c r="K190" s="131"/>
      <c r="L190" s="145"/>
      <c r="M190" s="406"/>
      <c r="N190" s="131"/>
      <c r="O190" s="145"/>
      <c r="P190" s="406"/>
      <c r="Q190" s="131"/>
      <c r="R190" s="145"/>
      <c r="S190" s="406"/>
      <c r="T190" s="131"/>
      <c r="U190" s="145"/>
      <c r="V190" s="406"/>
      <c r="W190" s="131"/>
      <c r="X190" s="145"/>
      <c r="Y190" s="406"/>
      <c r="Z190" s="131">
        <v>65</v>
      </c>
      <c r="AA190" s="145">
        <v>28</v>
      </c>
      <c r="AB190" s="406"/>
      <c r="AC190" s="131"/>
      <c r="AD190" s="145"/>
      <c r="AE190" s="406"/>
      <c r="AF190" s="131">
        <v>2822</v>
      </c>
      <c r="AG190" s="145">
        <v>2</v>
      </c>
      <c r="AH190" s="407"/>
      <c r="AI190" s="137">
        <f t="shared" si="9"/>
        <v>2820</v>
      </c>
      <c r="AJ190" s="138">
        <f t="shared" si="9"/>
        <v>202</v>
      </c>
      <c r="AK190" s="408">
        <f t="shared" si="9"/>
        <v>0</v>
      </c>
      <c r="AL190" s="145">
        <v>507</v>
      </c>
      <c r="AM190" s="145">
        <v>96</v>
      </c>
      <c r="AN190" s="406">
        <v>0.25</v>
      </c>
      <c r="AO190" s="131"/>
      <c r="AP190" s="145"/>
      <c r="AQ190" s="406"/>
      <c r="AR190" s="131">
        <v>507</v>
      </c>
      <c r="AS190" s="145">
        <v>96</v>
      </c>
      <c r="AT190" s="406">
        <v>0.25</v>
      </c>
      <c r="AU190" s="137">
        <f t="shared" si="8"/>
        <v>507</v>
      </c>
      <c r="AV190" s="138">
        <f t="shared" si="7"/>
        <v>96</v>
      </c>
      <c r="AW190" s="409">
        <f t="shared" si="7"/>
        <v>0.25</v>
      </c>
      <c r="AX190" s="131">
        <v>2314</v>
      </c>
      <c r="AY190" s="145">
        <v>5</v>
      </c>
      <c r="AZ190" s="407">
        <v>0.75</v>
      </c>
      <c r="BA190" s="137">
        <f t="shared" si="10"/>
        <v>2313</v>
      </c>
      <c r="BB190" s="138">
        <f t="shared" si="10"/>
        <v>106</v>
      </c>
      <c r="BC190" s="408">
        <f t="shared" si="10"/>
        <v>-0.25</v>
      </c>
      <c r="BD190" s="131"/>
      <c r="BE190" s="145"/>
      <c r="BF190" s="407"/>
    </row>
    <row r="191" spans="1:58" x14ac:dyDescent="0.2">
      <c r="A191" s="164" t="s">
        <v>1524</v>
      </c>
      <c r="B191" s="131">
        <v>4693</v>
      </c>
      <c r="C191" s="145">
        <v>51</v>
      </c>
      <c r="D191" s="406">
        <v>0.375</v>
      </c>
      <c r="E191" s="131">
        <v>91</v>
      </c>
      <c r="F191" s="145">
        <v>75</v>
      </c>
      <c r="G191" s="406"/>
      <c r="H191" s="131"/>
      <c r="I191" s="145"/>
      <c r="J191" s="406"/>
      <c r="K191" s="131"/>
      <c r="L191" s="145"/>
      <c r="M191" s="406"/>
      <c r="N191" s="131"/>
      <c r="O191" s="145"/>
      <c r="P191" s="406"/>
      <c r="Q191" s="131"/>
      <c r="R191" s="145"/>
      <c r="S191" s="406"/>
      <c r="T191" s="131"/>
      <c r="U191" s="145"/>
      <c r="V191" s="406"/>
      <c r="W191" s="131"/>
      <c r="X191" s="145"/>
      <c r="Y191" s="406"/>
      <c r="Z191" s="131"/>
      <c r="AA191" s="145"/>
      <c r="AB191" s="406"/>
      <c r="AC191" s="131"/>
      <c r="AD191" s="145"/>
      <c r="AE191" s="406"/>
      <c r="AF191" s="131">
        <v>4785</v>
      </c>
      <c r="AG191" s="145">
        <v>26</v>
      </c>
      <c r="AH191" s="407">
        <v>0.375</v>
      </c>
      <c r="AI191" s="137">
        <f t="shared" si="9"/>
        <v>4784</v>
      </c>
      <c r="AJ191" s="138">
        <f t="shared" si="9"/>
        <v>126</v>
      </c>
      <c r="AK191" s="408">
        <f t="shared" si="9"/>
        <v>0.375</v>
      </c>
      <c r="AL191" s="145">
        <v>1012</v>
      </c>
      <c r="AM191" s="145">
        <v>50</v>
      </c>
      <c r="AN191" s="406"/>
      <c r="AO191" s="131">
        <v>20</v>
      </c>
      <c r="AP191" s="145"/>
      <c r="AQ191" s="406"/>
      <c r="AR191" s="131">
        <v>1032</v>
      </c>
      <c r="AS191" s="145">
        <v>50</v>
      </c>
      <c r="AT191" s="406"/>
      <c r="AU191" s="137">
        <f t="shared" si="8"/>
        <v>1032</v>
      </c>
      <c r="AV191" s="138">
        <f t="shared" si="7"/>
        <v>50</v>
      </c>
      <c r="AW191" s="409">
        <f t="shared" si="7"/>
        <v>0</v>
      </c>
      <c r="AX191" s="131">
        <v>3752</v>
      </c>
      <c r="AY191" s="145">
        <v>76</v>
      </c>
      <c r="AZ191" s="407">
        <v>0.375</v>
      </c>
      <c r="BA191" s="137">
        <f t="shared" si="10"/>
        <v>3752</v>
      </c>
      <c r="BB191" s="138">
        <f t="shared" si="10"/>
        <v>76</v>
      </c>
      <c r="BC191" s="408">
        <f t="shared" si="10"/>
        <v>0.375</v>
      </c>
      <c r="BD191" s="131"/>
      <c r="BE191" s="145"/>
      <c r="BF191" s="407"/>
    </row>
    <row r="192" spans="1:58" x14ac:dyDescent="0.2">
      <c r="A192" s="164" t="s">
        <v>1371</v>
      </c>
      <c r="B192" s="131">
        <v>49707</v>
      </c>
      <c r="C192" s="145">
        <v>5</v>
      </c>
      <c r="D192" s="406">
        <v>0.5</v>
      </c>
      <c r="E192" s="131">
        <v>2854</v>
      </c>
      <c r="F192" s="145">
        <v>80</v>
      </c>
      <c r="G192" s="406">
        <v>0.875</v>
      </c>
      <c r="H192" s="131">
        <v>1391</v>
      </c>
      <c r="I192" s="145">
        <v>74</v>
      </c>
      <c r="J192" s="406">
        <v>0.75</v>
      </c>
      <c r="K192" s="131">
        <v>2</v>
      </c>
      <c r="L192" s="145">
        <v>50</v>
      </c>
      <c r="M192" s="406"/>
      <c r="N192" s="131">
        <v>84</v>
      </c>
      <c r="O192" s="145">
        <v>85</v>
      </c>
      <c r="P192" s="406">
        <v>0.5</v>
      </c>
      <c r="Q192" s="131"/>
      <c r="R192" s="145"/>
      <c r="S192" s="406"/>
      <c r="T192" s="131"/>
      <c r="U192" s="145"/>
      <c r="V192" s="406"/>
      <c r="W192" s="131">
        <v>50</v>
      </c>
      <c r="X192" s="145">
        <v>40</v>
      </c>
      <c r="Y192" s="406">
        <v>0.625</v>
      </c>
      <c r="Z192" s="131">
        <v>186</v>
      </c>
      <c r="AA192" s="145"/>
      <c r="AB192" s="406"/>
      <c r="AC192" s="131"/>
      <c r="AD192" s="145"/>
      <c r="AE192" s="406"/>
      <c r="AF192" s="131">
        <v>54277</v>
      </c>
      <c r="AG192" s="145">
        <v>37</v>
      </c>
      <c r="AH192" s="407">
        <v>0.25</v>
      </c>
      <c r="AI192" s="137">
        <f t="shared" si="9"/>
        <v>54274</v>
      </c>
      <c r="AJ192" s="138">
        <f t="shared" si="9"/>
        <v>334</v>
      </c>
      <c r="AK192" s="408">
        <f t="shared" si="9"/>
        <v>3.25</v>
      </c>
      <c r="AL192" s="145">
        <v>4876</v>
      </c>
      <c r="AM192" s="145"/>
      <c r="AN192" s="406"/>
      <c r="AO192" s="131">
        <v>159</v>
      </c>
      <c r="AP192" s="145">
        <v>62</v>
      </c>
      <c r="AQ192" s="406">
        <v>0.5</v>
      </c>
      <c r="AR192" s="131">
        <v>5035</v>
      </c>
      <c r="AS192" s="145">
        <v>62</v>
      </c>
      <c r="AT192" s="406">
        <v>0.5</v>
      </c>
      <c r="AU192" s="137">
        <f t="shared" si="8"/>
        <v>5035</v>
      </c>
      <c r="AV192" s="138">
        <f t="shared" si="7"/>
        <v>62</v>
      </c>
      <c r="AW192" s="409">
        <f t="shared" si="7"/>
        <v>0.5</v>
      </c>
      <c r="AX192" s="131">
        <v>49241</v>
      </c>
      <c r="AY192" s="145">
        <v>74</v>
      </c>
      <c r="AZ192" s="407">
        <v>0.75</v>
      </c>
      <c r="BA192" s="137">
        <f t="shared" si="10"/>
        <v>49239</v>
      </c>
      <c r="BB192" s="138">
        <f t="shared" si="10"/>
        <v>272</v>
      </c>
      <c r="BC192" s="408">
        <f t="shared" si="10"/>
        <v>2.75</v>
      </c>
      <c r="BD192" s="131"/>
      <c r="BE192" s="145"/>
      <c r="BF192" s="407"/>
    </row>
    <row r="193" spans="1:58" x14ac:dyDescent="0.2">
      <c r="A193" s="164" t="s">
        <v>1525</v>
      </c>
      <c r="B193" s="131">
        <v>720</v>
      </c>
      <c r="C193" s="145">
        <v>11</v>
      </c>
      <c r="D193" s="406">
        <v>0.25</v>
      </c>
      <c r="E193" s="131">
        <v>799</v>
      </c>
      <c r="F193" s="145">
        <v>18</v>
      </c>
      <c r="G193" s="406">
        <v>0.625</v>
      </c>
      <c r="H193" s="131">
        <v>11</v>
      </c>
      <c r="I193" s="145">
        <v>31</v>
      </c>
      <c r="J193" s="406"/>
      <c r="K193" s="131"/>
      <c r="L193" s="145"/>
      <c r="M193" s="406"/>
      <c r="N193" s="131">
        <v>37</v>
      </c>
      <c r="O193" s="145">
        <v>44</v>
      </c>
      <c r="P193" s="406"/>
      <c r="Q193" s="131"/>
      <c r="R193" s="145"/>
      <c r="S193" s="406"/>
      <c r="T193" s="131"/>
      <c r="U193" s="145"/>
      <c r="V193" s="406"/>
      <c r="W193" s="131"/>
      <c r="X193" s="145"/>
      <c r="Y193" s="406"/>
      <c r="Z193" s="131">
        <v>28</v>
      </c>
      <c r="AA193" s="145"/>
      <c r="AB193" s="406"/>
      <c r="AC193" s="131"/>
      <c r="AD193" s="145"/>
      <c r="AE193" s="406"/>
      <c r="AF193" s="131">
        <v>1596</v>
      </c>
      <c r="AG193" s="145">
        <v>4</v>
      </c>
      <c r="AH193" s="407">
        <v>0.875</v>
      </c>
      <c r="AI193" s="137">
        <f t="shared" si="9"/>
        <v>1595</v>
      </c>
      <c r="AJ193" s="138">
        <f t="shared" si="9"/>
        <v>104</v>
      </c>
      <c r="AK193" s="408">
        <f t="shared" si="9"/>
        <v>0.875</v>
      </c>
      <c r="AL193" s="145">
        <v>846</v>
      </c>
      <c r="AM193" s="145">
        <v>18</v>
      </c>
      <c r="AN193" s="406">
        <v>0.75</v>
      </c>
      <c r="AO193" s="131">
        <v>4</v>
      </c>
      <c r="AP193" s="145">
        <v>37</v>
      </c>
      <c r="AQ193" s="406">
        <v>0.5</v>
      </c>
      <c r="AR193" s="131">
        <v>850</v>
      </c>
      <c r="AS193" s="145">
        <v>56</v>
      </c>
      <c r="AT193" s="406">
        <v>0.25</v>
      </c>
      <c r="AU193" s="137">
        <f t="shared" si="8"/>
        <v>850</v>
      </c>
      <c r="AV193" s="138">
        <f t="shared" si="7"/>
        <v>55</v>
      </c>
      <c r="AW193" s="409">
        <f t="shared" si="7"/>
        <v>1.25</v>
      </c>
      <c r="AX193" s="131">
        <v>745</v>
      </c>
      <c r="AY193" s="145">
        <v>48</v>
      </c>
      <c r="AZ193" s="407">
        <v>0.625</v>
      </c>
      <c r="BA193" s="137">
        <f t="shared" si="10"/>
        <v>745</v>
      </c>
      <c r="BB193" s="138">
        <f t="shared" si="10"/>
        <v>49</v>
      </c>
      <c r="BC193" s="408">
        <f t="shared" si="10"/>
        <v>-0.375</v>
      </c>
      <c r="BD193" s="131"/>
      <c r="BE193" s="145"/>
      <c r="BF193" s="407"/>
    </row>
    <row r="194" spans="1:58" x14ac:dyDescent="0.2">
      <c r="A194" s="164" t="s">
        <v>1526</v>
      </c>
      <c r="B194" s="131">
        <v>53454</v>
      </c>
      <c r="C194" s="145">
        <v>31</v>
      </c>
      <c r="D194" s="406">
        <v>0.875</v>
      </c>
      <c r="E194" s="131">
        <v>4630</v>
      </c>
      <c r="F194" s="145">
        <v>36</v>
      </c>
      <c r="G194" s="406">
        <v>0.25</v>
      </c>
      <c r="H194" s="131">
        <v>399</v>
      </c>
      <c r="I194" s="145">
        <v>41</v>
      </c>
      <c r="J194" s="406">
        <v>0.5</v>
      </c>
      <c r="K194" s="131">
        <v>10</v>
      </c>
      <c r="L194" s="145"/>
      <c r="M194" s="406"/>
      <c r="N194" s="131">
        <v>214</v>
      </c>
      <c r="O194" s="145">
        <v>84</v>
      </c>
      <c r="P194" s="406">
        <v>0.375</v>
      </c>
      <c r="Q194" s="131"/>
      <c r="R194" s="145"/>
      <c r="S194" s="406"/>
      <c r="T194" s="131"/>
      <c r="U194" s="145"/>
      <c r="V194" s="406"/>
      <c r="W194" s="131"/>
      <c r="X194" s="145"/>
      <c r="Y194" s="406"/>
      <c r="Z194" s="131">
        <v>14</v>
      </c>
      <c r="AA194" s="145">
        <v>37</v>
      </c>
      <c r="AB194" s="406">
        <v>0.5</v>
      </c>
      <c r="AC194" s="131"/>
      <c r="AD194" s="145"/>
      <c r="AE194" s="406"/>
      <c r="AF194" s="131">
        <v>58723</v>
      </c>
      <c r="AG194" s="145">
        <v>31</v>
      </c>
      <c r="AH194" s="407">
        <v>0.5</v>
      </c>
      <c r="AI194" s="137">
        <f t="shared" si="9"/>
        <v>58721</v>
      </c>
      <c r="AJ194" s="138">
        <f t="shared" si="9"/>
        <v>229</v>
      </c>
      <c r="AK194" s="408">
        <f t="shared" si="9"/>
        <v>2.5</v>
      </c>
      <c r="AL194" s="145">
        <v>3918</v>
      </c>
      <c r="AM194" s="145">
        <v>43</v>
      </c>
      <c r="AN194" s="406">
        <v>0.75</v>
      </c>
      <c r="AO194" s="131">
        <v>2</v>
      </c>
      <c r="AP194" s="145">
        <v>87</v>
      </c>
      <c r="AQ194" s="406">
        <v>0.5</v>
      </c>
      <c r="AR194" s="131">
        <v>3921</v>
      </c>
      <c r="AS194" s="145">
        <v>31</v>
      </c>
      <c r="AT194" s="406">
        <v>0.25</v>
      </c>
      <c r="AU194" s="137">
        <f t="shared" si="8"/>
        <v>3920</v>
      </c>
      <c r="AV194" s="138">
        <f t="shared" si="7"/>
        <v>130</v>
      </c>
      <c r="AW194" s="409">
        <f t="shared" si="7"/>
        <v>1.25</v>
      </c>
      <c r="AX194" s="131">
        <v>54802</v>
      </c>
      <c r="AY194" s="145"/>
      <c r="AZ194" s="407">
        <v>0.25</v>
      </c>
      <c r="BA194" s="137">
        <f t="shared" si="10"/>
        <v>54801</v>
      </c>
      <c r="BB194" s="138">
        <f t="shared" si="10"/>
        <v>99</v>
      </c>
      <c r="BC194" s="408">
        <f t="shared" si="10"/>
        <v>1.25</v>
      </c>
      <c r="BD194" s="131"/>
      <c r="BE194" s="145"/>
      <c r="BF194" s="407"/>
    </row>
    <row r="195" spans="1:58" x14ac:dyDescent="0.2">
      <c r="A195" s="164" t="s">
        <v>1373</v>
      </c>
      <c r="B195" s="131">
        <v>473029</v>
      </c>
      <c r="C195" s="145">
        <v>88</v>
      </c>
      <c r="D195" s="406">
        <v>0.875</v>
      </c>
      <c r="E195" s="131">
        <v>6212</v>
      </c>
      <c r="F195" s="145">
        <v>75</v>
      </c>
      <c r="G195" s="406">
        <v>0.375</v>
      </c>
      <c r="H195" s="131">
        <v>412</v>
      </c>
      <c r="I195" s="145">
        <v>84</v>
      </c>
      <c r="J195" s="406">
        <v>0.375</v>
      </c>
      <c r="K195" s="131">
        <v>10</v>
      </c>
      <c r="L195" s="145"/>
      <c r="M195" s="406"/>
      <c r="N195" s="131">
        <v>2585</v>
      </c>
      <c r="O195" s="145">
        <v>57</v>
      </c>
      <c r="P195" s="406">
        <v>0.125</v>
      </c>
      <c r="Q195" s="131"/>
      <c r="R195" s="145"/>
      <c r="S195" s="406"/>
      <c r="T195" s="131">
        <v>97</v>
      </c>
      <c r="U195" s="145">
        <v>85</v>
      </c>
      <c r="V195" s="406">
        <v>0.875</v>
      </c>
      <c r="W195" s="131">
        <v>227</v>
      </c>
      <c r="X195" s="145">
        <v>46</v>
      </c>
      <c r="Y195" s="406">
        <v>0.875</v>
      </c>
      <c r="Z195" s="131">
        <v>1347</v>
      </c>
      <c r="AA195" s="145">
        <v>81</v>
      </c>
      <c r="AB195" s="406">
        <v>0.25</v>
      </c>
      <c r="AC195" s="131">
        <v>343</v>
      </c>
      <c r="AD195" s="145">
        <v>25</v>
      </c>
      <c r="AE195" s="406"/>
      <c r="AF195" s="131">
        <v>484267</v>
      </c>
      <c r="AG195" s="145">
        <v>44</v>
      </c>
      <c r="AH195" s="407">
        <v>0.75</v>
      </c>
      <c r="AI195" s="137">
        <f t="shared" si="9"/>
        <v>484262</v>
      </c>
      <c r="AJ195" s="138">
        <f t="shared" si="9"/>
        <v>541</v>
      </c>
      <c r="AK195" s="408">
        <f t="shared" si="9"/>
        <v>3.75</v>
      </c>
      <c r="AL195" s="145">
        <v>8732</v>
      </c>
      <c r="AM195" s="145">
        <v>56</v>
      </c>
      <c r="AN195" s="406">
        <v>0.25</v>
      </c>
      <c r="AO195" s="131">
        <v>14</v>
      </c>
      <c r="AP195" s="145">
        <v>37</v>
      </c>
      <c r="AQ195" s="406">
        <v>0.5</v>
      </c>
      <c r="AR195" s="131">
        <v>8746</v>
      </c>
      <c r="AS195" s="145">
        <v>93</v>
      </c>
      <c r="AT195" s="406">
        <v>0.75</v>
      </c>
      <c r="AU195" s="137">
        <f t="shared" si="8"/>
        <v>8746</v>
      </c>
      <c r="AV195" s="138">
        <f t="shared" si="7"/>
        <v>93</v>
      </c>
      <c r="AW195" s="409">
        <f t="shared" si="7"/>
        <v>0.75</v>
      </c>
      <c r="AX195" s="131">
        <v>475520</v>
      </c>
      <c r="AY195" s="145">
        <v>51</v>
      </c>
      <c r="AZ195" s="407"/>
      <c r="BA195" s="137">
        <f t="shared" si="10"/>
        <v>475516</v>
      </c>
      <c r="BB195" s="138">
        <f t="shared" si="10"/>
        <v>448</v>
      </c>
      <c r="BC195" s="408">
        <f t="shared" si="10"/>
        <v>3</v>
      </c>
      <c r="BD195" s="131"/>
      <c r="BE195" s="145"/>
      <c r="BF195" s="407"/>
    </row>
    <row r="196" spans="1:58" x14ac:dyDescent="0.2">
      <c r="A196" s="164" t="s">
        <v>1528</v>
      </c>
      <c r="B196" s="131">
        <v>1329</v>
      </c>
      <c r="C196" s="145">
        <v>59</v>
      </c>
      <c r="D196" s="406">
        <v>0.875</v>
      </c>
      <c r="E196" s="131"/>
      <c r="F196" s="145"/>
      <c r="G196" s="406"/>
      <c r="H196" s="131"/>
      <c r="I196" s="145"/>
      <c r="J196" s="406"/>
      <c r="K196" s="131"/>
      <c r="L196" s="145"/>
      <c r="M196" s="406"/>
      <c r="N196" s="131">
        <v>22</v>
      </c>
      <c r="O196" s="145">
        <v>12</v>
      </c>
      <c r="P196" s="406"/>
      <c r="Q196" s="131"/>
      <c r="R196" s="145"/>
      <c r="S196" s="406"/>
      <c r="T196" s="131"/>
      <c r="U196" s="145"/>
      <c r="V196" s="406"/>
      <c r="W196" s="131"/>
      <c r="X196" s="145"/>
      <c r="Y196" s="406"/>
      <c r="Z196" s="131"/>
      <c r="AA196" s="145"/>
      <c r="AB196" s="406"/>
      <c r="AC196" s="131"/>
      <c r="AD196" s="145"/>
      <c r="AE196" s="406"/>
      <c r="AF196" s="131">
        <v>1351</v>
      </c>
      <c r="AG196" s="145">
        <v>71</v>
      </c>
      <c r="AH196" s="407">
        <v>0.875</v>
      </c>
      <c r="AI196" s="137">
        <f t="shared" si="9"/>
        <v>1351</v>
      </c>
      <c r="AJ196" s="138">
        <f t="shared" si="9"/>
        <v>71</v>
      </c>
      <c r="AK196" s="408">
        <f t="shared" si="9"/>
        <v>0.875</v>
      </c>
      <c r="AL196" s="145">
        <v>243</v>
      </c>
      <c r="AM196" s="145">
        <v>30</v>
      </c>
      <c r="AN196" s="406">
        <v>0.875</v>
      </c>
      <c r="AO196" s="131"/>
      <c r="AP196" s="145"/>
      <c r="AQ196" s="406"/>
      <c r="AR196" s="131">
        <v>243</v>
      </c>
      <c r="AS196" s="145">
        <v>30</v>
      </c>
      <c r="AT196" s="406">
        <v>0.875</v>
      </c>
      <c r="AU196" s="137">
        <f t="shared" si="8"/>
        <v>243</v>
      </c>
      <c r="AV196" s="138">
        <f t="shared" si="7"/>
        <v>30</v>
      </c>
      <c r="AW196" s="409">
        <f t="shared" si="7"/>
        <v>0.875</v>
      </c>
      <c r="AX196" s="131">
        <v>1108</v>
      </c>
      <c r="AY196" s="145">
        <v>41</v>
      </c>
      <c r="AZ196" s="407"/>
      <c r="BA196" s="137">
        <f t="shared" si="10"/>
        <v>1108</v>
      </c>
      <c r="BB196" s="138">
        <f t="shared" si="10"/>
        <v>41</v>
      </c>
      <c r="BC196" s="408">
        <f t="shared" si="10"/>
        <v>0</v>
      </c>
      <c r="BD196" s="131"/>
      <c r="BE196" s="145"/>
      <c r="BF196" s="407"/>
    </row>
    <row r="197" spans="1:58" x14ac:dyDescent="0.2">
      <c r="A197" s="273" t="s">
        <v>1341</v>
      </c>
      <c r="B197" s="240">
        <v>823686</v>
      </c>
      <c r="C197" s="318">
        <v>66</v>
      </c>
      <c r="D197" s="414">
        <v>0.125</v>
      </c>
      <c r="E197" s="240">
        <v>16199</v>
      </c>
      <c r="F197" s="318">
        <v>13</v>
      </c>
      <c r="G197" s="414">
        <v>0.25</v>
      </c>
      <c r="H197" s="240">
        <v>4233</v>
      </c>
      <c r="I197" s="318">
        <v>26</v>
      </c>
      <c r="J197" s="414">
        <v>0.375</v>
      </c>
      <c r="K197" s="240">
        <v>25</v>
      </c>
      <c r="L197" s="318">
        <v>50</v>
      </c>
      <c r="M197" s="414"/>
      <c r="N197" s="240">
        <v>3897</v>
      </c>
      <c r="O197" s="318">
        <v>95</v>
      </c>
      <c r="P197" s="414">
        <v>0.375</v>
      </c>
      <c r="Q197" s="240">
        <v>138</v>
      </c>
      <c r="R197" s="318">
        <v>43</v>
      </c>
      <c r="S197" s="414">
        <v>0.125</v>
      </c>
      <c r="T197" s="240">
        <v>216</v>
      </c>
      <c r="U197" s="318">
        <v>34</v>
      </c>
      <c r="V197" s="414">
        <v>0.125</v>
      </c>
      <c r="W197" s="240">
        <v>766</v>
      </c>
      <c r="X197" s="318">
        <v>34</v>
      </c>
      <c r="Y197" s="414">
        <v>0.375</v>
      </c>
      <c r="Z197" s="240">
        <v>1659</v>
      </c>
      <c r="AA197" s="318">
        <v>46</v>
      </c>
      <c r="AB197" s="414">
        <v>0.625</v>
      </c>
      <c r="AC197" s="240">
        <v>343</v>
      </c>
      <c r="AD197" s="318">
        <v>25</v>
      </c>
      <c r="AE197" s="414"/>
      <c r="AF197" s="240"/>
      <c r="AG197" s="318"/>
      <c r="AH197" s="415"/>
      <c r="AI197" s="416"/>
      <c r="AJ197" s="414"/>
      <c r="AK197" s="415"/>
      <c r="AL197" s="318">
        <v>33924</v>
      </c>
      <c r="AM197" s="318">
        <v>62</v>
      </c>
      <c r="AN197" s="414">
        <v>0.75</v>
      </c>
      <c r="AO197" s="240">
        <v>323</v>
      </c>
      <c r="AP197" s="318">
        <v>25</v>
      </c>
      <c r="AQ197" s="414"/>
      <c r="AR197" s="240">
        <v>34247</v>
      </c>
      <c r="AS197" s="318">
        <v>87</v>
      </c>
      <c r="AT197" s="414">
        <v>0.75</v>
      </c>
      <c r="AU197" s="243">
        <f>AL197+AO197</f>
        <v>34247</v>
      </c>
      <c r="AV197" s="417">
        <f>AM197+AP197</f>
        <v>87</v>
      </c>
      <c r="AW197" s="418">
        <f>AN197+AQ197</f>
        <v>0.75</v>
      </c>
      <c r="AX197" s="240">
        <v>816917</v>
      </c>
      <c r="AY197" s="318">
        <v>97</v>
      </c>
      <c r="AZ197" s="415">
        <v>0.375</v>
      </c>
      <c r="BA197" s="240"/>
      <c r="BB197" s="318"/>
      <c r="BC197" s="415"/>
      <c r="BD197" s="240"/>
      <c r="BE197" s="318"/>
      <c r="BF197" s="415"/>
    </row>
    <row r="198" spans="1:58" x14ac:dyDescent="0.2">
      <c r="A198" s="164"/>
      <c r="B198" s="138">
        <f>SUM(B181:B196)+C198</f>
        <v>823774</v>
      </c>
      <c r="C198" s="138">
        <f>SUM(C181:C196)/8</f>
        <v>95</v>
      </c>
      <c r="D198" s="409">
        <f t="shared" ref="D198:AE198" si="11">SUM(D181:D196)</f>
        <v>6.125</v>
      </c>
      <c r="E198" s="138">
        <f>SUM(E181:E196)+F198</f>
        <v>16257.75</v>
      </c>
      <c r="F198" s="138">
        <f>SUM(F181:F196)/8</f>
        <v>63.75</v>
      </c>
      <c r="G198" s="409">
        <f t="shared" si="11"/>
        <v>3.25</v>
      </c>
      <c r="H198" s="138">
        <f>SUM(H181:H196)+I198</f>
        <v>4270.5</v>
      </c>
      <c r="I198" s="138">
        <f>SUM(I181:I196)/8</f>
        <v>40.5</v>
      </c>
      <c r="J198" s="409">
        <f t="shared" si="11"/>
        <v>2.375</v>
      </c>
      <c r="K198" s="138">
        <f>SUM(K181:K196)+L198</f>
        <v>36.5</v>
      </c>
      <c r="L198" s="138">
        <f>SUM(L181:L196)/8</f>
        <v>12.5</v>
      </c>
      <c r="M198" s="409">
        <f t="shared" si="11"/>
        <v>0</v>
      </c>
      <c r="N198" s="138">
        <f>SUM(N181:N196)+O198</f>
        <v>3966.125</v>
      </c>
      <c r="O198" s="138">
        <f>SUM(O181:O196)/8</f>
        <v>74.125</v>
      </c>
      <c r="P198" s="409">
        <f t="shared" si="11"/>
        <v>2.375</v>
      </c>
      <c r="Q198" s="138">
        <f>SUM(Q181:Q196)+R198</f>
        <v>143.375</v>
      </c>
      <c r="R198" s="138">
        <f>SUM(R181:R196)/8</f>
        <v>5.375</v>
      </c>
      <c r="S198" s="409">
        <f t="shared" si="11"/>
        <v>0.75</v>
      </c>
      <c r="T198" s="138">
        <f>SUM(T181:T196)+U198</f>
        <v>243</v>
      </c>
      <c r="U198" s="138">
        <f>SUM(U181:U196)/8</f>
        <v>29</v>
      </c>
      <c r="V198" s="409">
        <f t="shared" si="11"/>
        <v>2.125</v>
      </c>
      <c r="W198" s="138">
        <f>SUM(W181:W196)+X198</f>
        <v>781.5</v>
      </c>
      <c r="X198" s="138">
        <f>SUM(X181:X196)/8</f>
        <v>16.5</v>
      </c>
      <c r="Y198" s="409">
        <f t="shared" si="11"/>
        <v>2.375</v>
      </c>
      <c r="Z198" s="138">
        <f>SUM(Z181:Z196)+AA198</f>
        <v>1676.25</v>
      </c>
      <c r="AA198" s="138">
        <f>SUM(AA181:AA196)/8</f>
        <v>18.25</v>
      </c>
      <c r="AB198" s="419">
        <f t="shared" si="11"/>
        <v>0.75</v>
      </c>
      <c r="AC198" s="138">
        <f>SUM(AC181:AC196)+AD198</f>
        <v>346.125</v>
      </c>
      <c r="AD198" s="138">
        <f>SUM(AD181:AD196)/8</f>
        <v>3.125</v>
      </c>
      <c r="AE198" s="409">
        <f t="shared" si="11"/>
        <v>0</v>
      </c>
      <c r="AF198" s="131"/>
      <c r="AG198" s="145"/>
      <c r="AH198" s="407"/>
      <c r="AI198" s="420"/>
      <c r="AJ198" s="406"/>
      <c r="AK198" s="407"/>
      <c r="AL198" s="138">
        <f>SUM(AL182:AL196)</f>
        <v>33920</v>
      </c>
      <c r="AM198" s="138">
        <f t="shared" ref="AM198:AZ198" si="12">SUM(AM182:AM196)</f>
        <v>457</v>
      </c>
      <c r="AN198" s="409">
        <f t="shared" si="12"/>
        <v>5.75</v>
      </c>
      <c r="AO198" s="138">
        <f>SUM(AO182:AO196)</f>
        <v>321</v>
      </c>
      <c r="AP198" s="138">
        <f t="shared" si="12"/>
        <v>223</v>
      </c>
      <c r="AQ198" s="409">
        <f t="shared" si="12"/>
        <v>2</v>
      </c>
      <c r="AR198" s="343">
        <f>SUM(AR182:AR196)</f>
        <v>34242</v>
      </c>
      <c r="AS198" s="345">
        <f t="shared" si="12"/>
        <v>582</v>
      </c>
      <c r="AT198" s="421">
        <f t="shared" si="12"/>
        <v>5.75</v>
      </c>
      <c r="AU198" s="422"/>
      <c r="AV198" s="423"/>
      <c r="AW198" s="424"/>
      <c r="AX198" s="343">
        <f>SUM(AX182:AX196)</f>
        <v>816912</v>
      </c>
      <c r="AY198" s="345">
        <f t="shared" si="12"/>
        <v>592</v>
      </c>
      <c r="AZ198" s="425">
        <f t="shared" si="12"/>
        <v>5</v>
      </c>
      <c r="BA198" s="422"/>
      <c r="BB198" s="423"/>
      <c r="BC198" s="424"/>
      <c r="BD198" s="131"/>
      <c r="BE198" s="145"/>
      <c r="BF198" s="407"/>
    </row>
    <row r="199" spans="1:58" x14ac:dyDescent="0.2">
      <c r="A199" s="164" t="s">
        <v>1650</v>
      </c>
      <c r="B199" s="179"/>
      <c r="C199" s="179"/>
      <c r="D199" s="179"/>
      <c r="E199" s="179"/>
      <c r="F199" s="179"/>
      <c r="G199" s="179"/>
      <c r="H199" s="179"/>
      <c r="I199" s="179"/>
      <c r="J199" s="179"/>
      <c r="K199" s="179"/>
      <c r="L199" s="179"/>
      <c r="M199" s="179"/>
      <c r="N199" s="179"/>
      <c r="O199" s="179"/>
      <c r="P199" s="179"/>
      <c r="Q199" s="179"/>
      <c r="R199" s="179"/>
      <c r="S199" s="179"/>
      <c r="T199" s="179"/>
      <c r="U199" s="179"/>
      <c r="V199" s="179"/>
      <c r="W199" s="179"/>
      <c r="X199" s="179"/>
      <c r="Y199" s="179"/>
      <c r="Z199" s="179"/>
      <c r="AA199" s="179"/>
      <c r="AB199" s="179"/>
      <c r="AC199" s="179"/>
      <c r="AD199" s="179"/>
      <c r="AE199" s="179"/>
      <c r="AF199" s="230"/>
      <c r="AG199" s="309"/>
      <c r="AH199" s="426"/>
      <c r="AI199" s="420"/>
      <c r="AJ199" s="406"/>
      <c r="AK199" s="407"/>
      <c r="AL199" s="179"/>
      <c r="AM199" s="179"/>
      <c r="AN199" s="179"/>
      <c r="AO199" s="179"/>
      <c r="AP199" s="179"/>
      <c r="AQ199" s="179"/>
      <c r="AR199" s="230">
        <v>816917</v>
      </c>
      <c r="AS199" s="309">
        <v>97</v>
      </c>
      <c r="AT199" s="427">
        <v>0.375</v>
      </c>
      <c r="AU199" s="428"/>
      <c r="AV199" s="411"/>
      <c r="AW199" s="429"/>
      <c r="AX199" s="430"/>
      <c r="AY199" s="179"/>
      <c r="AZ199" s="431"/>
      <c r="BA199" s="179"/>
      <c r="BB199" s="179"/>
      <c r="BC199" s="179"/>
      <c r="BD199" s="430"/>
      <c r="BE199" s="179"/>
      <c r="BF199" s="431"/>
    </row>
    <row r="200" spans="1:58" x14ac:dyDescent="0.2">
      <c r="A200" s="164"/>
      <c r="B200" s="179"/>
      <c r="C200" s="179"/>
      <c r="D200" s="179"/>
      <c r="E200" s="179"/>
      <c r="F200" s="179"/>
      <c r="G200" s="179"/>
      <c r="H200" s="179"/>
      <c r="I200" s="179"/>
      <c r="J200" s="179"/>
      <c r="K200" s="179"/>
      <c r="L200" s="179"/>
      <c r="M200" s="179"/>
      <c r="N200" s="179"/>
      <c r="O200" s="179"/>
      <c r="P200" s="179"/>
      <c r="Q200" s="179"/>
      <c r="R200" s="179"/>
      <c r="S200" s="179"/>
      <c r="T200" s="179"/>
      <c r="U200" s="179"/>
      <c r="V200" s="179"/>
      <c r="W200" s="179"/>
      <c r="X200" s="179"/>
      <c r="Y200" s="179"/>
      <c r="Z200" s="179"/>
      <c r="AA200" s="179"/>
      <c r="AB200" s="179"/>
      <c r="AC200" s="179"/>
      <c r="AD200" s="179"/>
      <c r="AE200" s="179"/>
      <c r="AF200" s="131">
        <v>851165</v>
      </c>
      <c r="AG200" s="145">
        <v>85</v>
      </c>
      <c r="AH200" s="407">
        <v>0.125</v>
      </c>
      <c r="AI200" s="420"/>
      <c r="AJ200" s="406"/>
      <c r="AK200" s="407"/>
      <c r="AL200" s="179"/>
      <c r="AM200" s="179"/>
      <c r="AN200" s="179"/>
      <c r="AO200" s="179"/>
      <c r="AP200" s="179"/>
      <c r="AQ200" s="179"/>
      <c r="AR200" s="131">
        <v>851165</v>
      </c>
      <c r="AS200" s="145">
        <v>85</v>
      </c>
      <c r="AT200" s="406">
        <v>0.125</v>
      </c>
      <c r="AU200" s="420"/>
      <c r="AV200" s="406"/>
      <c r="AW200" s="407"/>
      <c r="AX200" s="430"/>
      <c r="AY200" s="179"/>
      <c r="AZ200" s="431"/>
      <c r="BA200" s="179"/>
      <c r="BB200" s="179"/>
      <c r="BC200" s="179"/>
      <c r="BD200" s="430"/>
      <c r="BE200" s="179"/>
      <c r="BF200" s="431"/>
    </row>
    <row r="201" spans="1:58" x14ac:dyDescent="0.2">
      <c r="A201" s="151"/>
      <c r="B201" s="432"/>
      <c r="C201" s="432"/>
      <c r="D201" s="432"/>
      <c r="E201" s="432"/>
      <c r="F201" s="432"/>
      <c r="G201" s="432"/>
      <c r="H201" s="432"/>
      <c r="I201" s="432"/>
      <c r="J201" s="432"/>
      <c r="K201" s="432"/>
      <c r="L201" s="432"/>
      <c r="M201" s="432"/>
      <c r="N201" s="432"/>
      <c r="O201" s="432"/>
      <c r="P201" s="432"/>
      <c r="Q201" s="432"/>
      <c r="R201" s="432"/>
      <c r="S201" s="432"/>
      <c r="T201" s="432"/>
      <c r="U201" s="432"/>
      <c r="V201" s="432"/>
      <c r="W201" s="432"/>
      <c r="X201" s="432"/>
      <c r="Y201" s="432"/>
      <c r="Z201" s="432"/>
      <c r="AA201" s="432"/>
      <c r="AB201" s="432"/>
      <c r="AC201" s="432"/>
      <c r="AD201" s="432"/>
      <c r="AE201" s="432"/>
      <c r="AF201" s="299">
        <f>SUM(AF181:AF196)+AG201</f>
        <v>851243.5</v>
      </c>
      <c r="AG201" s="152">
        <f>SUM(AG181:AG196)/8</f>
        <v>84.5</v>
      </c>
      <c r="AH201" s="433">
        <f>SUM(AH181:AH196)</f>
        <v>7.125</v>
      </c>
      <c r="AI201" s="434">
        <f>SUM(AI181:AI196)+AJ201</f>
        <v>851495.125</v>
      </c>
      <c r="AJ201" s="435">
        <f>SUM(AJ181:AJ196)/8</f>
        <v>358.125</v>
      </c>
      <c r="AK201" s="433"/>
      <c r="AL201" s="432"/>
      <c r="AM201" s="432"/>
      <c r="AN201" s="432"/>
      <c r="AO201" s="432"/>
      <c r="AP201" s="432"/>
      <c r="AQ201" s="432"/>
      <c r="AR201" s="299">
        <f>AR198+AR199</f>
        <v>851159</v>
      </c>
      <c r="AS201" s="152">
        <f>AS198+AS199</f>
        <v>679</v>
      </c>
      <c r="AT201" s="436">
        <f>AT198+AT199</f>
        <v>6.125</v>
      </c>
      <c r="AU201" s="437"/>
      <c r="AV201" s="436"/>
      <c r="AW201" s="433"/>
      <c r="AX201" s="438"/>
      <c r="AY201" s="432"/>
      <c r="AZ201" s="439"/>
      <c r="BA201" s="432"/>
      <c r="BB201" s="432"/>
      <c r="BC201" s="432"/>
      <c r="BD201" s="438"/>
      <c r="BE201" s="432"/>
      <c r="BF201" s="439"/>
    </row>
    <row r="202" spans="1:58" x14ac:dyDescent="0.2">
      <c r="AF202" s="434">
        <f>B198+E198+H198+K198+N198+Q198+T198+W198+Z198+AC198</f>
        <v>851495.125</v>
      </c>
    </row>
  </sheetData>
  <mergeCells count="42">
    <mergeCell ref="AF180:AH180"/>
    <mergeCell ref="AL180:AN180"/>
    <mergeCell ref="AO180:AQ180"/>
    <mergeCell ref="AR180:AT180"/>
    <mergeCell ref="AX180:AZ180"/>
    <mergeCell ref="BD180:BF180"/>
    <mergeCell ref="N180:P180"/>
    <mergeCell ref="Q180:S180"/>
    <mergeCell ref="T180:V180"/>
    <mergeCell ref="W180:Y180"/>
    <mergeCell ref="Z180:AB180"/>
    <mergeCell ref="AC180:AE180"/>
    <mergeCell ref="A177:BF177"/>
    <mergeCell ref="A178:BF178"/>
    <mergeCell ref="A179:A180"/>
    <mergeCell ref="B179:AH179"/>
    <mergeCell ref="AL179:AT179"/>
    <mergeCell ref="AX179:BF179"/>
    <mergeCell ref="B180:D180"/>
    <mergeCell ref="E180:G180"/>
    <mergeCell ref="H180:J180"/>
    <mergeCell ref="K180:M180"/>
    <mergeCell ref="A78:D78"/>
    <mergeCell ref="A91:D91"/>
    <mergeCell ref="A92:D92"/>
    <mergeCell ref="A106:D106"/>
    <mergeCell ref="A127:J127"/>
    <mergeCell ref="B128:D128"/>
    <mergeCell ref="E128:G128"/>
    <mergeCell ref="H128:J128"/>
    <mergeCell ref="B60:D60"/>
    <mergeCell ref="E60:G60"/>
    <mergeCell ref="H60:J60"/>
    <mergeCell ref="A71:G71"/>
    <mergeCell ref="A72:G72"/>
    <mergeCell ref="A73:G73"/>
    <mergeCell ref="A2:G2"/>
    <mergeCell ref="A3:G3"/>
    <mergeCell ref="A16:G16"/>
    <mergeCell ref="B49:D49"/>
    <mergeCell ref="E49:G49"/>
    <mergeCell ref="H49:J49"/>
  </mergeCells>
  <pageMargins left="0.75" right="0.75" top="1" bottom="1" header="0" footer="0"/>
  <headerFooter alignWithMargins="0"/>
  <legacy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V160"/>
  <sheetViews>
    <sheetView workbookViewId="0">
      <selection activeCell="B1" sqref="B1"/>
    </sheetView>
  </sheetViews>
  <sheetFormatPr baseColWidth="10" defaultColWidth="11.6640625" defaultRowHeight="15" x14ac:dyDescent="0.2"/>
  <cols>
    <col min="1" max="1" width="26" style="106" customWidth="1"/>
    <col min="2" max="2" width="11.6640625" style="106"/>
    <col min="3" max="3" width="6.1640625" style="106" customWidth="1"/>
    <col min="4" max="4" width="11.6640625" style="106"/>
    <col min="5" max="5" width="6.1640625" style="106" customWidth="1"/>
    <col min="6" max="6" width="11.6640625" style="106"/>
    <col min="7" max="8" width="6.1640625" style="106" customWidth="1"/>
    <col min="9" max="9" width="11.6640625" style="106"/>
    <col min="10" max="11" width="6.1640625" style="106" customWidth="1"/>
    <col min="12" max="12" width="11.6640625" style="106"/>
    <col min="13" max="14" width="6.1640625" style="106" customWidth="1"/>
    <col min="15" max="15" width="11.6640625" style="106"/>
    <col min="16" max="17" width="6.1640625" style="106" customWidth="1"/>
    <col min="18" max="18" width="11.6640625" style="106"/>
    <col min="19" max="20" width="6.1640625" style="106" customWidth="1"/>
    <col min="21" max="21" width="11.6640625" style="106"/>
    <col min="22" max="23" width="6.1640625" style="106" customWidth="1"/>
    <col min="24" max="24" width="11.6640625" style="106"/>
    <col min="25" max="26" width="6.1640625" style="106" customWidth="1"/>
    <col min="27" max="27" width="11.6640625" style="106"/>
    <col min="28" max="29" width="6.1640625" style="106" customWidth="1"/>
    <col min="30" max="30" width="11.6640625" style="106"/>
    <col min="31" max="32" width="6.1640625" style="106" customWidth="1"/>
    <col min="33" max="33" width="11.6640625" style="106"/>
    <col min="34" max="35" width="6.1640625" style="106" customWidth="1"/>
    <col min="36" max="36" width="11.6640625" style="106"/>
    <col min="37" max="38" width="6.1640625" style="106" customWidth="1"/>
    <col min="39" max="39" width="11.6640625" style="106"/>
    <col min="40" max="41" width="6.1640625" style="106" customWidth="1"/>
    <col min="42" max="42" width="11.6640625" style="106"/>
    <col min="43" max="44" width="6.1640625" style="106" customWidth="1"/>
    <col min="45" max="45" width="11.6640625" style="106"/>
    <col min="46" max="47" width="6.1640625" style="106" customWidth="1"/>
    <col min="48" max="48" width="11.6640625" style="106"/>
    <col min="49" max="50" width="6.1640625" style="106" customWidth="1"/>
    <col min="51" max="51" width="11.6640625" style="106"/>
    <col min="52" max="53" width="6.1640625" style="106" customWidth="1"/>
    <col min="54" max="54" width="11.6640625" style="106"/>
    <col min="55" max="56" width="6.1640625" style="106" customWidth="1"/>
    <col min="57" max="57" width="11.6640625" style="106"/>
    <col min="58" max="59" width="6.1640625" style="106" customWidth="1"/>
    <col min="60" max="60" width="11.6640625" style="106"/>
    <col min="61" max="62" width="6.1640625" style="106" customWidth="1"/>
    <col min="63" max="63" width="11.6640625" style="106"/>
    <col min="64" max="65" width="6.1640625" style="106" customWidth="1"/>
    <col min="66" max="66" width="11.6640625" style="106"/>
    <col min="67" max="68" width="6.1640625" style="106" customWidth="1"/>
    <col min="69" max="69" width="11.6640625" style="106"/>
    <col min="70" max="71" width="6.1640625" style="106" customWidth="1"/>
    <col min="72" max="72" width="11.6640625" style="106"/>
    <col min="73" max="74" width="6.1640625" style="106" customWidth="1"/>
    <col min="75" max="75" width="11.6640625" style="106"/>
    <col min="76" max="77" width="6.1640625" style="106" customWidth="1"/>
    <col min="78" max="78" width="11.6640625" style="106"/>
    <col min="79" max="80" width="6.1640625" style="106" customWidth="1"/>
    <col min="81" max="81" width="11.6640625" style="106"/>
    <col min="82" max="83" width="6.1640625" style="106" customWidth="1"/>
    <col min="84" max="84" width="11.6640625" style="106"/>
    <col min="85" max="86" width="6.1640625" style="106" customWidth="1"/>
    <col min="87" max="87" width="11.6640625" style="106"/>
    <col min="88" max="89" width="6.1640625" style="106" customWidth="1"/>
    <col min="90" max="90" width="11.6640625" style="106"/>
    <col min="91" max="92" width="6.1640625" style="106" customWidth="1"/>
    <col min="93" max="93" width="11.6640625" style="106"/>
    <col min="94" max="95" width="6.1640625" style="106" customWidth="1"/>
    <col min="96" max="96" width="11.6640625" style="106"/>
    <col min="97" max="98" width="6.1640625" style="106" customWidth="1"/>
    <col min="99" max="99" width="11.6640625" style="106"/>
    <col min="100" max="101" width="6.1640625" style="106" customWidth="1"/>
    <col min="102" max="102" width="11.6640625" style="106"/>
    <col min="103" max="104" width="6.1640625" style="106" customWidth="1"/>
    <col min="105" max="105" width="11.6640625" style="106"/>
    <col min="106" max="107" width="6.1640625" style="106" customWidth="1"/>
    <col min="108" max="108" width="11.6640625" style="106"/>
    <col min="109" max="110" width="6.1640625" style="106" customWidth="1"/>
    <col min="111" max="111" width="11.6640625" style="106"/>
    <col min="112" max="113" width="6.1640625" style="106" customWidth="1"/>
    <col min="114" max="114" width="11.6640625" style="106"/>
    <col min="115" max="116" width="6.1640625" style="106" customWidth="1"/>
    <col min="117" max="117" width="11.6640625" style="106"/>
    <col min="118" max="119" width="6.1640625" style="106" customWidth="1"/>
    <col min="120" max="120" width="11.6640625" style="106"/>
    <col min="121" max="122" width="6.1640625" style="106" customWidth="1"/>
    <col min="123" max="123" width="11.6640625" style="106"/>
    <col min="124" max="125" width="6.1640625" style="106" customWidth="1"/>
    <col min="126" max="126" width="11.6640625" style="106"/>
    <col min="127" max="128" width="6.1640625" style="106" customWidth="1"/>
    <col min="129" max="129" width="11.6640625" style="106"/>
    <col min="130" max="131" width="6.1640625" style="106" customWidth="1"/>
    <col min="132" max="132" width="11.6640625" style="106"/>
    <col min="133" max="134" width="6.1640625" style="106" customWidth="1"/>
    <col min="135" max="135" width="11.6640625" style="106"/>
    <col min="136" max="137" width="6.1640625" style="106" customWidth="1"/>
    <col min="138" max="138" width="11.6640625" style="106"/>
    <col min="139" max="140" width="6.1640625" style="106" customWidth="1"/>
    <col min="141" max="141" width="11.6640625" style="106"/>
    <col min="142" max="143" width="6.1640625" style="106" customWidth="1"/>
    <col min="144" max="144" width="11.6640625" style="106"/>
    <col min="145" max="146" width="6.1640625" style="106" customWidth="1"/>
    <col min="147" max="147" width="11.6640625" style="106"/>
    <col min="148" max="149" width="6.1640625" style="106" customWidth="1"/>
    <col min="150" max="150" width="11.6640625" style="106"/>
    <col min="151" max="152" width="6.1640625" style="106" customWidth="1"/>
    <col min="153" max="153" width="11.6640625" style="106"/>
    <col min="154" max="155" width="6.1640625" style="106" customWidth="1"/>
    <col min="156" max="156" width="11.6640625" style="106"/>
    <col min="157" max="158" width="6.1640625" style="106" customWidth="1"/>
    <col min="159" max="159" width="11.6640625" style="106"/>
    <col min="160" max="161" width="6.1640625" style="106" customWidth="1"/>
    <col min="162" max="162" width="11.6640625" style="106"/>
    <col min="163" max="164" width="6.1640625" style="106" customWidth="1"/>
    <col min="165" max="165" width="11.6640625" style="106"/>
    <col min="166" max="167" width="6.1640625" style="106" customWidth="1"/>
    <col min="168" max="168" width="11.6640625" style="106"/>
    <col min="169" max="170" width="6.1640625" style="106" customWidth="1"/>
    <col min="171" max="171" width="11.6640625" style="106"/>
    <col min="172" max="173" width="6.1640625" style="106" customWidth="1"/>
    <col min="174" max="174" width="11.6640625" style="106"/>
    <col min="175" max="176" width="6.1640625" style="106" customWidth="1"/>
    <col min="177" max="177" width="11.6640625" style="106"/>
    <col min="178" max="179" width="6.1640625" style="106" customWidth="1"/>
    <col min="180" max="180" width="11.6640625" style="106"/>
    <col min="181" max="182" width="6.1640625" style="106" customWidth="1"/>
    <col min="183" max="183" width="11.6640625" style="106"/>
    <col min="184" max="185" width="6.1640625" style="106" customWidth="1"/>
    <col min="186" max="186" width="11.6640625" style="106"/>
    <col min="187" max="188" width="6.1640625" style="106" customWidth="1"/>
    <col min="189" max="189" width="11.6640625" style="106"/>
    <col min="190" max="191" width="6.1640625" style="106" customWidth="1"/>
    <col min="192" max="192" width="11.6640625" style="106"/>
    <col min="193" max="194" width="6.1640625" style="106" customWidth="1"/>
    <col min="195" max="195" width="11.6640625" style="106"/>
    <col min="196" max="197" width="6.1640625" style="106" customWidth="1"/>
    <col min="198" max="198" width="11.6640625" style="106"/>
    <col min="199" max="200" width="6.1640625" style="106" customWidth="1"/>
    <col min="201" max="201" width="11.6640625" style="106"/>
    <col min="202" max="203" width="6.1640625" style="106" customWidth="1"/>
    <col min="204" max="204" width="11.6640625" style="106"/>
    <col min="205" max="206" width="6.1640625" style="106" customWidth="1"/>
    <col min="207" max="207" width="11.6640625" style="106"/>
    <col min="208" max="209" width="6.1640625" style="106" customWidth="1"/>
    <col min="210" max="210" width="11.6640625" style="106"/>
    <col min="211" max="212" width="6.1640625" style="106" customWidth="1"/>
    <col min="213" max="213" width="11.6640625" style="106"/>
    <col min="214" max="215" width="6.1640625" style="106" customWidth="1"/>
    <col min="216" max="216" width="11.6640625" style="106"/>
    <col min="217" max="218" width="6.1640625" style="106" customWidth="1"/>
    <col min="219" max="219" width="11.6640625" style="106"/>
    <col min="220" max="221" width="6.1640625" style="106" customWidth="1"/>
    <col min="222" max="222" width="11.6640625" style="106"/>
    <col min="223" max="224" width="6.1640625" style="106" customWidth="1"/>
    <col min="225" max="225" width="11.6640625" style="106"/>
    <col min="226" max="227" width="6.1640625" style="106" customWidth="1"/>
    <col min="228" max="228" width="11.6640625" style="106"/>
    <col min="229" max="230" width="6.1640625" style="106" customWidth="1"/>
    <col min="231" max="16384" width="11.6640625" style="106"/>
  </cols>
  <sheetData>
    <row r="1" spans="1:5" x14ac:dyDescent="0.2">
      <c r="A1" s="113" t="s">
        <v>1111</v>
      </c>
    </row>
    <row r="2" spans="1:5" ht="32.5" customHeight="1" x14ac:dyDescent="0.2">
      <c r="A2" s="440" t="s">
        <v>1651</v>
      </c>
      <c r="B2" s="441"/>
      <c r="C2" s="441"/>
      <c r="D2" s="441"/>
      <c r="E2" s="442"/>
    </row>
    <row r="3" spans="1:5" x14ac:dyDescent="0.2">
      <c r="A3" s="382" t="s">
        <v>1652</v>
      </c>
      <c r="B3" s="277"/>
      <c r="C3" s="277"/>
      <c r="D3" s="277"/>
      <c r="E3" s="278"/>
    </row>
    <row r="4" spans="1:5" x14ac:dyDescent="0.2">
      <c r="A4" s="164" t="s">
        <v>1653</v>
      </c>
      <c r="B4" s="134"/>
      <c r="C4" s="134"/>
      <c r="D4" s="134"/>
      <c r="E4" s="185"/>
    </row>
    <row r="5" spans="1:5" x14ac:dyDescent="0.2">
      <c r="A5" s="443" t="s">
        <v>1654</v>
      </c>
      <c r="B5" s="134"/>
      <c r="C5" s="134"/>
      <c r="D5" s="134"/>
      <c r="E5" s="185"/>
    </row>
    <row r="6" spans="1:5" x14ac:dyDescent="0.2">
      <c r="A6" s="178" t="s">
        <v>1655</v>
      </c>
      <c r="B6" s="145">
        <v>28349</v>
      </c>
      <c r="C6" s="145">
        <v>75</v>
      </c>
      <c r="D6" s="145"/>
      <c r="E6" s="307"/>
    </row>
    <row r="7" spans="1:5" ht="16" thickBot="1" x14ac:dyDescent="0.25">
      <c r="A7" s="164" t="s">
        <v>1656</v>
      </c>
      <c r="B7" s="187">
        <v>257128</v>
      </c>
      <c r="C7" s="187">
        <v>25</v>
      </c>
      <c r="D7" s="145"/>
      <c r="E7" s="307"/>
    </row>
    <row r="8" spans="1:5" ht="16" thickBot="1" x14ac:dyDescent="0.25">
      <c r="A8" s="164"/>
      <c r="B8" s="145"/>
      <c r="C8" s="145"/>
      <c r="D8" s="187">
        <v>285478</v>
      </c>
      <c r="E8" s="444">
        <v>0</v>
      </c>
    </row>
    <row r="9" spans="1:5" x14ac:dyDescent="0.2">
      <c r="A9" s="164" t="s">
        <v>1657</v>
      </c>
      <c r="B9" s="145"/>
      <c r="C9" s="145"/>
      <c r="D9" s="145">
        <v>15052193</v>
      </c>
      <c r="E9" s="307">
        <v>3</v>
      </c>
    </row>
    <row r="10" spans="1:5" ht="30" x14ac:dyDescent="0.2">
      <c r="A10" s="178" t="s">
        <v>1658</v>
      </c>
      <c r="B10" s="145">
        <v>116587</v>
      </c>
      <c r="C10" s="145"/>
      <c r="D10" s="145"/>
      <c r="E10" s="307"/>
    </row>
    <row r="11" spans="1:5" ht="31" thickBot="1" x14ac:dyDescent="0.25">
      <c r="A11" s="178" t="s">
        <v>1659</v>
      </c>
      <c r="B11" s="187">
        <v>14579243</v>
      </c>
      <c r="C11" s="187">
        <v>32</v>
      </c>
      <c r="D11" s="145"/>
      <c r="E11" s="307"/>
    </row>
    <row r="12" spans="1:5" ht="16" thickBot="1" x14ac:dyDescent="0.25">
      <c r="A12" s="178"/>
      <c r="B12" s="145"/>
      <c r="C12" s="145"/>
      <c r="D12" s="187">
        <v>14695830</v>
      </c>
      <c r="E12" s="444">
        <v>32</v>
      </c>
    </row>
    <row r="13" spans="1:5" ht="30" x14ac:dyDescent="0.2">
      <c r="A13" s="178" t="s">
        <v>1660</v>
      </c>
      <c r="B13" s="145"/>
      <c r="C13" s="145"/>
      <c r="D13" s="145">
        <v>356362</v>
      </c>
      <c r="E13" s="307">
        <v>71</v>
      </c>
    </row>
    <row r="14" spans="1:5" x14ac:dyDescent="0.2">
      <c r="A14" s="178" t="s">
        <v>1661</v>
      </c>
      <c r="B14" s="145"/>
      <c r="C14" s="145"/>
      <c r="D14" s="145"/>
      <c r="E14" s="307"/>
    </row>
    <row r="15" spans="1:5" x14ac:dyDescent="0.2">
      <c r="A15" s="178" t="s">
        <v>1662</v>
      </c>
      <c r="B15" s="145">
        <v>168891</v>
      </c>
      <c r="C15" s="145"/>
      <c r="D15" s="145"/>
      <c r="E15" s="307"/>
    </row>
    <row r="16" spans="1:5" ht="16" thickBot="1" x14ac:dyDescent="0.25">
      <c r="A16" s="178" t="s">
        <v>1663</v>
      </c>
      <c r="B16" s="187">
        <v>187471</v>
      </c>
      <c r="C16" s="187">
        <v>71</v>
      </c>
      <c r="D16" s="145"/>
      <c r="E16" s="307"/>
    </row>
    <row r="17" spans="1:5" ht="16" thickBot="1" x14ac:dyDescent="0.25">
      <c r="A17" s="178"/>
      <c r="B17" s="145"/>
      <c r="C17" s="145"/>
      <c r="D17" s="187">
        <v>356362</v>
      </c>
      <c r="E17" s="444">
        <v>71</v>
      </c>
    </row>
    <row r="18" spans="1:5" ht="90" x14ac:dyDescent="0.2">
      <c r="A18" s="178" t="s">
        <v>1664</v>
      </c>
      <c r="B18" s="145"/>
      <c r="C18" s="145"/>
      <c r="D18" s="145">
        <v>11048772</v>
      </c>
      <c r="E18" s="307">
        <v>96</v>
      </c>
    </row>
    <row r="19" spans="1:5" ht="31" thickBot="1" x14ac:dyDescent="0.25">
      <c r="A19" s="178" t="s">
        <v>1665</v>
      </c>
      <c r="B19" s="145"/>
      <c r="C19" s="145"/>
      <c r="D19" s="187">
        <v>8065899</v>
      </c>
      <c r="E19" s="444">
        <v>17</v>
      </c>
    </row>
    <row r="20" spans="1:5" x14ac:dyDescent="0.2">
      <c r="A20" s="178" t="s">
        <v>1666</v>
      </c>
      <c r="B20" s="145"/>
      <c r="C20" s="145"/>
      <c r="D20" s="145">
        <v>19114672</v>
      </c>
      <c r="E20" s="307">
        <v>13</v>
      </c>
    </row>
    <row r="21" spans="1:5" ht="16" thickBot="1" x14ac:dyDescent="0.25">
      <c r="A21" s="178" t="s">
        <v>1667</v>
      </c>
      <c r="B21" s="145"/>
      <c r="C21" s="145"/>
      <c r="D21" s="187">
        <v>10016677</v>
      </c>
      <c r="E21" s="444">
        <v>40</v>
      </c>
    </row>
    <row r="22" spans="1:5" ht="30" x14ac:dyDescent="0.2">
      <c r="A22" s="178" t="s">
        <v>1668</v>
      </c>
      <c r="B22" s="145"/>
      <c r="C22" s="145"/>
      <c r="D22" s="145">
        <v>9097994</v>
      </c>
      <c r="E22" s="307">
        <v>40</v>
      </c>
    </row>
    <row r="23" spans="1:5" ht="43.25" customHeight="1" x14ac:dyDescent="0.2">
      <c r="A23" s="445" t="s">
        <v>1669</v>
      </c>
      <c r="B23" s="446"/>
      <c r="C23" s="446"/>
      <c r="D23" s="446"/>
      <c r="E23" s="447"/>
    </row>
    <row r="24" spans="1:5" x14ac:dyDescent="0.2">
      <c r="A24" s="178" t="s">
        <v>1670</v>
      </c>
      <c r="B24" s="145"/>
      <c r="C24" s="145"/>
      <c r="D24" s="145">
        <v>14695830</v>
      </c>
      <c r="E24" s="307">
        <v>32</v>
      </c>
    </row>
    <row r="25" spans="1:5" ht="16" thickBot="1" x14ac:dyDescent="0.25">
      <c r="A25" s="178" t="s">
        <v>1671</v>
      </c>
      <c r="B25" s="145"/>
      <c r="C25" s="145"/>
      <c r="D25" s="187">
        <v>10016677</v>
      </c>
      <c r="E25" s="444">
        <v>40</v>
      </c>
    </row>
    <row r="26" spans="1:5" ht="23.5" customHeight="1" thickBot="1" x14ac:dyDescent="0.25">
      <c r="A26" s="320" t="s">
        <v>1672</v>
      </c>
      <c r="B26" s="309"/>
      <c r="C26" s="309"/>
      <c r="D26" s="448">
        <v>24712507</v>
      </c>
      <c r="E26" s="449">
        <v>72</v>
      </c>
    </row>
    <row r="151" spans="2:230" x14ac:dyDescent="0.2">
      <c r="B151" s="143"/>
      <c r="C151" s="143"/>
      <c r="D151" s="143"/>
      <c r="E151" s="143"/>
      <c r="F151" s="143"/>
      <c r="G151" s="143"/>
      <c r="H151" s="143"/>
      <c r="I151" s="143"/>
      <c r="J151" s="143"/>
      <c r="K151" s="143"/>
      <c r="L151" s="143"/>
      <c r="M151" s="143"/>
      <c r="N151" s="143"/>
      <c r="O151" s="143"/>
      <c r="P151" s="143"/>
      <c r="Q151" s="143"/>
      <c r="R151" s="143"/>
      <c r="S151" s="143"/>
      <c r="T151" s="143"/>
      <c r="U151" s="143"/>
      <c r="V151" s="143"/>
      <c r="W151" s="143"/>
      <c r="X151" s="143"/>
      <c r="Y151" s="143"/>
      <c r="Z151" s="143"/>
      <c r="AA151" s="143"/>
      <c r="AB151" s="143"/>
      <c r="AC151" s="143"/>
      <c r="AD151" s="143"/>
      <c r="AE151" s="143"/>
      <c r="AF151" s="143"/>
      <c r="AG151" s="143"/>
      <c r="AH151" s="143"/>
      <c r="AI151" s="143"/>
      <c r="AJ151" s="143"/>
      <c r="AK151" s="143"/>
      <c r="AL151" s="143"/>
      <c r="AM151" s="143"/>
      <c r="AN151" s="143"/>
      <c r="AO151" s="143"/>
      <c r="AP151" s="143"/>
      <c r="AQ151" s="143"/>
      <c r="AR151" s="143"/>
      <c r="AS151" s="143"/>
      <c r="AT151" s="143"/>
      <c r="AU151" s="143"/>
      <c r="AV151" s="143"/>
      <c r="AW151" s="143"/>
      <c r="AX151" s="143"/>
      <c r="AY151" s="143"/>
      <c r="AZ151" s="143"/>
      <c r="BA151" s="143"/>
      <c r="BB151" s="143"/>
      <c r="BC151" s="143"/>
      <c r="BD151" s="143"/>
      <c r="BE151" s="143"/>
      <c r="BF151" s="143"/>
      <c r="BG151" s="143"/>
      <c r="BH151" s="143"/>
      <c r="BI151" s="143"/>
      <c r="BJ151" s="143"/>
      <c r="BK151" s="143"/>
      <c r="BL151" s="143"/>
      <c r="BM151" s="143"/>
      <c r="BN151" s="143"/>
      <c r="BO151" s="143"/>
      <c r="BP151" s="143"/>
      <c r="BQ151" s="143"/>
      <c r="BR151" s="143"/>
      <c r="BS151" s="143"/>
      <c r="BT151" s="143"/>
      <c r="BU151" s="143"/>
      <c r="BV151" s="143"/>
      <c r="BW151" s="143"/>
      <c r="BX151" s="143"/>
      <c r="BY151" s="143"/>
      <c r="BZ151" s="143"/>
      <c r="CA151" s="143"/>
      <c r="CB151" s="143"/>
      <c r="CC151" s="143"/>
      <c r="CD151" s="143"/>
      <c r="CE151" s="143"/>
      <c r="CF151" s="143"/>
      <c r="CG151" s="143"/>
      <c r="CH151" s="143"/>
      <c r="CI151" s="143"/>
      <c r="CJ151" s="143"/>
      <c r="CK151" s="143"/>
      <c r="CL151" s="143"/>
      <c r="CM151" s="143"/>
      <c r="CN151" s="143"/>
      <c r="CO151" s="143"/>
      <c r="CP151" s="143"/>
      <c r="CQ151" s="143"/>
      <c r="CR151" s="143"/>
      <c r="CS151" s="143"/>
      <c r="CT151" s="143"/>
      <c r="CU151" s="143"/>
      <c r="CV151" s="143"/>
      <c r="CW151" s="143"/>
      <c r="CX151" s="143"/>
      <c r="CY151" s="143"/>
      <c r="CZ151" s="143"/>
      <c r="DA151" s="143"/>
      <c r="DB151" s="143"/>
      <c r="DC151" s="143"/>
      <c r="DD151" s="143"/>
      <c r="DE151" s="143"/>
      <c r="DF151" s="143"/>
      <c r="DG151" s="143"/>
      <c r="DH151" s="143"/>
      <c r="DI151" s="143"/>
      <c r="DJ151" s="143"/>
      <c r="DK151" s="143"/>
      <c r="DL151" s="143"/>
      <c r="DM151" s="143"/>
      <c r="DN151" s="143"/>
      <c r="DO151" s="143"/>
      <c r="DP151" s="143"/>
      <c r="DQ151" s="143"/>
      <c r="DR151" s="143"/>
      <c r="DS151" s="143"/>
      <c r="DT151" s="143"/>
      <c r="DU151" s="143"/>
      <c r="DV151" s="143"/>
      <c r="DW151" s="143"/>
      <c r="DX151" s="143"/>
      <c r="DY151" s="143"/>
      <c r="DZ151" s="143"/>
      <c r="EA151" s="143"/>
      <c r="EB151" s="143"/>
      <c r="EC151" s="143"/>
      <c r="ED151" s="143"/>
      <c r="EE151" s="143"/>
      <c r="EF151" s="143"/>
      <c r="EG151" s="143"/>
      <c r="EH151" s="143"/>
      <c r="EI151" s="143"/>
      <c r="EJ151" s="143"/>
      <c r="EK151" s="143"/>
      <c r="EL151" s="143"/>
      <c r="EM151" s="143"/>
      <c r="EN151" s="143"/>
      <c r="EO151" s="143"/>
      <c r="EP151" s="143"/>
      <c r="EQ151" s="143"/>
      <c r="ER151" s="143"/>
      <c r="ES151" s="143"/>
      <c r="ET151" s="143"/>
      <c r="EU151" s="143"/>
      <c r="EV151" s="143"/>
      <c r="EW151" s="143"/>
      <c r="EX151" s="143"/>
      <c r="EY151" s="143"/>
      <c r="EZ151" s="143"/>
      <c r="FA151" s="143"/>
      <c r="FB151" s="143"/>
      <c r="FC151" s="143"/>
      <c r="FD151" s="143"/>
      <c r="FE151" s="143"/>
      <c r="FF151" s="143"/>
      <c r="FG151" s="143"/>
      <c r="FH151" s="143"/>
      <c r="FI151" s="143"/>
      <c r="FJ151" s="143"/>
      <c r="FK151" s="143"/>
      <c r="FL151" s="143"/>
      <c r="FM151" s="143"/>
      <c r="FN151" s="143"/>
      <c r="FO151" s="143"/>
      <c r="FP151" s="143"/>
      <c r="FQ151" s="143"/>
      <c r="FR151" s="143"/>
      <c r="FS151" s="143"/>
      <c r="FT151" s="143"/>
      <c r="FU151" s="143"/>
      <c r="FV151" s="143"/>
      <c r="FW151" s="143"/>
      <c r="FX151" s="143"/>
      <c r="FY151" s="143"/>
      <c r="FZ151" s="143"/>
      <c r="GA151" s="143"/>
      <c r="GB151" s="143"/>
      <c r="GC151" s="143"/>
      <c r="GD151" s="143"/>
      <c r="GE151" s="143"/>
      <c r="GF151" s="143"/>
      <c r="GG151" s="143"/>
      <c r="GH151" s="143"/>
      <c r="GI151" s="143"/>
      <c r="GJ151" s="143"/>
      <c r="GK151" s="143"/>
      <c r="GL151" s="143"/>
      <c r="GM151" s="143"/>
      <c r="GN151" s="143"/>
      <c r="GO151" s="143"/>
      <c r="GP151" s="143"/>
      <c r="GQ151" s="143"/>
      <c r="GR151" s="143"/>
      <c r="GS151" s="143"/>
      <c r="GT151" s="143"/>
      <c r="GU151" s="143"/>
      <c r="GV151" s="143"/>
      <c r="GW151" s="143"/>
      <c r="GX151" s="143"/>
      <c r="GY151" s="143"/>
      <c r="GZ151" s="143"/>
      <c r="HA151" s="143"/>
      <c r="HB151" s="143"/>
      <c r="HC151" s="143"/>
      <c r="HD151" s="143"/>
      <c r="HE151" s="143"/>
      <c r="HF151" s="143"/>
      <c r="HG151" s="143"/>
      <c r="HH151" s="143"/>
      <c r="HI151" s="143"/>
      <c r="HJ151" s="143"/>
      <c r="HK151" s="143"/>
      <c r="HL151" s="143"/>
      <c r="HM151" s="143"/>
      <c r="HN151" s="143"/>
      <c r="HO151" s="143"/>
      <c r="HP151" s="143"/>
      <c r="HQ151" s="143"/>
      <c r="HR151" s="143"/>
      <c r="HS151" s="143"/>
      <c r="HT151" s="143"/>
      <c r="HU151" s="143"/>
      <c r="HV151" s="143"/>
    </row>
    <row r="152" spans="2:230" x14ac:dyDescent="0.2">
      <c r="B152" s="143"/>
      <c r="C152" s="143"/>
      <c r="D152" s="143"/>
      <c r="E152" s="143"/>
      <c r="F152" s="143"/>
      <c r="G152" s="143"/>
      <c r="H152" s="143"/>
      <c r="I152" s="143"/>
      <c r="J152" s="143"/>
      <c r="K152" s="143"/>
      <c r="L152" s="143"/>
      <c r="M152" s="143"/>
      <c r="N152" s="143"/>
      <c r="O152" s="143"/>
      <c r="P152" s="143"/>
      <c r="Q152" s="143"/>
      <c r="R152" s="143"/>
      <c r="S152" s="143"/>
      <c r="T152" s="143"/>
      <c r="U152" s="143"/>
      <c r="V152" s="143"/>
      <c r="W152" s="143"/>
      <c r="X152" s="143"/>
      <c r="Y152" s="143"/>
      <c r="Z152" s="143"/>
      <c r="AA152" s="143"/>
      <c r="AB152" s="143"/>
      <c r="AC152" s="143"/>
      <c r="AD152" s="143"/>
      <c r="AE152" s="143"/>
      <c r="AF152" s="143"/>
      <c r="AG152" s="143"/>
      <c r="AH152" s="143"/>
      <c r="AI152" s="143"/>
      <c r="AJ152" s="143"/>
      <c r="AK152" s="143"/>
      <c r="AL152" s="143"/>
      <c r="AM152" s="143"/>
      <c r="AN152" s="143"/>
      <c r="AO152" s="143"/>
      <c r="AP152" s="143"/>
      <c r="AQ152" s="143"/>
      <c r="AR152" s="143"/>
      <c r="AS152" s="143"/>
      <c r="AT152" s="143"/>
      <c r="AU152" s="143"/>
      <c r="AV152" s="143"/>
      <c r="AW152" s="143"/>
      <c r="AX152" s="143"/>
      <c r="AY152" s="143"/>
      <c r="AZ152" s="143"/>
      <c r="BA152" s="143"/>
      <c r="BB152" s="143"/>
      <c r="BC152" s="143"/>
      <c r="BD152" s="143"/>
      <c r="BE152" s="143"/>
      <c r="BF152" s="143"/>
      <c r="BG152" s="143"/>
      <c r="BH152" s="143"/>
      <c r="BI152" s="143"/>
      <c r="BJ152" s="143"/>
      <c r="BK152" s="143"/>
      <c r="BL152" s="143"/>
      <c r="BM152" s="143"/>
      <c r="BN152" s="143"/>
      <c r="BO152" s="143"/>
      <c r="BP152" s="143"/>
      <c r="BQ152" s="143"/>
      <c r="BR152" s="143"/>
      <c r="BS152" s="143"/>
      <c r="BT152" s="143"/>
      <c r="BU152" s="143"/>
      <c r="BV152" s="143"/>
      <c r="BW152" s="143"/>
      <c r="BX152" s="143"/>
      <c r="BY152" s="143"/>
      <c r="BZ152" s="143"/>
      <c r="CA152" s="143"/>
      <c r="CB152" s="143"/>
      <c r="CC152" s="143"/>
      <c r="CD152" s="143"/>
      <c r="CE152" s="143"/>
      <c r="CF152" s="143"/>
      <c r="CG152" s="143"/>
      <c r="CH152" s="143"/>
      <c r="CI152" s="143"/>
      <c r="CJ152" s="143"/>
      <c r="CK152" s="143"/>
      <c r="CL152" s="143"/>
      <c r="CM152" s="143"/>
      <c r="CN152" s="143"/>
      <c r="CO152" s="143"/>
      <c r="CP152" s="143"/>
      <c r="CQ152" s="143"/>
      <c r="CR152" s="143"/>
      <c r="CS152" s="143"/>
      <c r="CT152" s="143"/>
      <c r="CU152" s="143"/>
      <c r="CV152" s="143"/>
      <c r="CW152" s="143"/>
      <c r="CX152" s="143"/>
      <c r="CY152" s="143"/>
      <c r="CZ152" s="143"/>
      <c r="DA152" s="143"/>
      <c r="DB152" s="143"/>
      <c r="DC152" s="143"/>
      <c r="DD152" s="143"/>
      <c r="DE152" s="143"/>
      <c r="DF152" s="143"/>
      <c r="DG152" s="143"/>
      <c r="DH152" s="143"/>
      <c r="DI152" s="143"/>
      <c r="DJ152" s="143"/>
      <c r="DK152" s="143"/>
      <c r="DL152" s="143"/>
      <c r="DM152" s="143"/>
      <c r="DN152" s="143"/>
      <c r="DO152" s="143"/>
      <c r="DP152" s="143"/>
      <c r="DQ152" s="143"/>
      <c r="DR152" s="143"/>
      <c r="DS152" s="143"/>
      <c r="DT152" s="143"/>
      <c r="DU152" s="143"/>
      <c r="DV152" s="143"/>
      <c r="DW152" s="143"/>
      <c r="DX152" s="143"/>
      <c r="DY152" s="143"/>
      <c r="DZ152" s="143"/>
      <c r="EA152" s="143"/>
      <c r="EB152" s="143"/>
      <c r="EC152" s="143"/>
      <c r="ED152" s="143"/>
      <c r="EE152" s="143"/>
      <c r="EF152" s="143"/>
      <c r="EG152" s="143"/>
      <c r="EH152" s="143"/>
      <c r="EI152" s="143"/>
      <c r="EJ152" s="143"/>
      <c r="EK152" s="143"/>
      <c r="EL152" s="143"/>
      <c r="EM152" s="143"/>
      <c r="EN152" s="143"/>
      <c r="EO152" s="143"/>
      <c r="EP152" s="143"/>
      <c r="EQ152" s="143"/>
      <c r="ER152" s="143"/>
      <c r="ES152" s="143"/>
      <c r="ET152" s="143"/>
      <c r="EU152" s="143"/>
      <c r="EV152" s="143"/>
      <c r="EW152" s="143"/>
      <c r="EX152" s="143"/>
      <c r="EY152" s="143"/>
      <c r="EZ152" s="143"/>
      <c r="FA152" s="143"/>
      <c r="FB152" s="143"/>
      <c r="FC152" s="143"/>
      <c r="FD152" s="143"/>
      <c r="FE152" s="143"/>
      <c r="FF152" s="143"/>
      <c r="FG152" s="143"/>
      <c r="FH152" s="143"/>
      <c r="FI152" s="143"/>
      <c r="FJ152" s="143"/>
      <c r="FK152" s="143"/>
      <c r="FL152" s="143"/>
      <c r="FM152" s="143"/>
      <c r="FN152" s="143"/>
      <c r="FO152" s="143"/>
      <c r="FP152" s="143"/>
      <c r="FQ152" s="143"/>
      <c r="FR152" s="143"/>
      <c r="FS152" s="143"/>
      <c r="FT152" s="143"/>
      <c r="FU152" s="143"/>
      <c r="FV152" s="143"/>
      <c r="FW152" s="143"/>
      <c r="FX152" s="143"/>
      <c r="FY152" s="143"/>
      <c r="FZ152" s="143"/>
      <c r="GA152" s="143"/>
      <c r="GB152" s="143"/>
      <c r="GC152" s="143"/>
      <c r="GD152" s="143"/>
      <c r="GE152" s="143"/>
      <c r="GF152" s="143"/>
      <c r="GG152" s="143"/>
      <c r="GH152" s="143"/>
      <c r="GI152" s="143"/>
      <c r="GJ152" s="143"/>
      <c r="GK152" s="143"/>
      <c r="GL152" s="143"/>
      <c r="GM152" s="143"/>
      <c r="GN152" s="143"/>
      <c r="GO152" s="143"/>
      <c r="GP152" s="143"/>
      <c r="GQ152" s="143"/>
      <c r="GR152" s="143"/>
      <c r="GS152" s="143"/>
      <c r="GT152" s="143"/>
      <c r="GU152" s="143"/>
      <c r="GV152" s="143"/>
      <c r="GW152" s="143"/>
      <c r="GX152" s="143"/>
      <c r="GY152" s="143"/>
      <c r="GZ152" s="143"/>
      <c r="HA152" s="143"/>
      <c r="HB152" s="143"/>
      <c r="HC152" s="143"/>
      <c r="HD152" s="143"/>
      <c r="HE152" s="143"/>
      <c r="HF152" s="143"/>
      <c r="HG152" s="143"/>
      <c r="HH152" s="143"/>
      <c r="HI152" s="143"/>
      <c r="HJ152" s="143"/>
      <c r="HK152" s="143"/>
      <c r="HL152" s="143"/>
      <c r="HM152" s="143"/>
      <c r="HN152" s="143"/>
      <c r="HO152" s="143"/>
      <c r="HP152" s="143"/>
      <c r="HQ152" s="143"/>
      <c r="HR152" s="143"/>
      <c r="HS152" s="143"/>
      <c r="HT152" s="143"/>
      <c r="HU152" s="143"/>
      <c r="HV152" s="143"/>
    </row>
    <row r="154" spans="2:230" x14ac:dyDescent="0.2">
      <c r="B154" s="143"/>
      <c r="C154" s="143"/>
      <c r="D154" s="143"/>
      <c r="E154" s="143"/>
      <c r="F154" s="143"/>
      <c r="G154" s="143"/>
      <c r="H154" s="143"/>
      <c r="I154" s="143"/>
      <c r="J154" s="143"/>
      <c r="K154" s="143"/>
      <c r="L154" s="143"/>
      <c r="M154" s="143"/>
      <c r="N154" s="143"/>
      <c r="O154" s="143"/>
      <c r="P154" s="143"/>
      <c r="Q154" s="143"/>
      <c r="R154" s="143"/>
      <c r="S154" s="143"/>
      <c r="T154" s="143"/>
      <c r="U154" s="143"/>
      <c r="V154" s="143"/>
      <c r="W154" s="143"/>
      <c r="X154" s="143"/>
      <c r="Y154" s="143"/>
      <c r="Z154" s="143"/>
      <c r="AA154" s="143"/>
      <c r="AB154" s="143"/>
      <c r="AC154" s="143"/>
      <c r="AD154" s="143"/>
      <c r="AE154" s="143"/>
      <c r="AF154" s="143"/>
      <c r="AG154" s="143"/>
      <c r="AH154" s="143"/>
      <c r="AI154" s="143"/>
      <c r="AJ154" s="143"/>
      <c r="AK154" s="143"/>
      <c r="AL154" s="143"/>
      <c r="AM154" s="143"/>
      <c r="AN154" s="143"/>
      <c r="AO154" s="143"/>
      <c r="AP154" s="143"/>
      <c r="AQ154" s="143"/>
      <c r="AR154" s="143"/>
      <c r="AS154" s="143"/>
      <c r="AT154" s="143"/>
      <c r="AU154" s="143"/>
      <c r="AV154" s="143"/>
      <c r="AW154" s="143"/>
      <c r="AX154" s="143"/>
      <c r="AY154" s="143"/>
      <c r="AZ154" s="143"/>
      <c r="BA154" s="143"/>
      <c r="BB154" s="143"/>
      <c r="BC154" s="143"/>
      <c r="BD154" s="143"/>
      <c r="BE154" s="143"/>
      <c r="BF154" s="143"/>
      <c r="BG154" s="143"/>
      <c r="BH154" s="143"/>
      <c r="BI154" s="143"/>
      <c r="BJ154" s="143"/>
      <c r="BK154" s="143"/>
      <c r="BL154" s="143"/>
      <c r="BM154" s="143"/>
      <c r="BN154" s="143"/>
      <c r="BO154" s="143"/>
      <c r="BP154" s="143"/>
      <c r="BQ154" s="143"/>
      <c r="BR154" s="143"/>
      <c r="BS154" s="143"/>
      <c r="BT154" s="143"/>
      <c r="BU154" s="143"/>
      <c r="BV154" s="143"/>
      <c r="BW154" s="143"/>
      <c r="BX154" s="143"/>
      <c r="BY154" s="143"/>
      <c r="BZ154" s="143"/>
      <c r="CA154" s="143"/>
      <c r="CB154" s="143"/>
      <c r="CC154" s="143"/>
      <c r="CD154" s="143"/>
      <c r="CE154" s="143"/>
      <c r="CF154" s="143"/>
      <c r="CG154" s="143"/>
      <c r="CH154" s="143"/>
      <c r="CI154" s="143"/>
      <c r="CJ154" s="143"/>
      <c r="CK154" s="143"/>
      <c r="CL154" s="143"/>
      <c r="CM154" s="143"/>
      <c r="CN154" s="143"/>
      <c r="CO154" s="143"/>
      <c r="CP154" s="143"/>
      <c r="CQ154" s="143"/>
      <c r="CR154" s="143"/>
      <c r="CS154" s="143"/>
      <c r="CT154" s="143"/>
      <c r="CU154" s="143"/>
      <c r="CV154" s="143"/>
      <c r="CW154" s="143"/>
      <c r="CX154" s="143"/>
      <c r="CY154" s="143"/>
      <c r="CZ154" s="143"/>
      <c r="DA154" s="143"/>
      <c r="DB154" s="143"/>
      <c r="DC154" s="143"/>
      <c r="DD154" s="143"/>
      <c r="DE154" s="143"/>
      <c r="DF154" s="143"/>
      <c r="DG154" s="143"/>
      <c r="DH154" s="143"/>
      <c r="DI154" s="143"/>
      <c r="DJ154" s="143"/>
      <c r="DK154" s="143"/>
      <c r="DL154" s="143"/>
      <c r="DM154" s="143"/>
      <c r="DN154" s="143"/>
      <c r="DO154" s="143"/>
      <c r="DP154" s="143"/>
      <c r="DQ154" s="143"/>
      <c r="DR154" s="143"/>
      <c r="DS154" s="143"/>
      <c r="DT154" s="143"/>
      <c r="DU154" s="143"/>
      <c r="DV154" s="143"/>
      <c r="DW154" s="143"/>
      <c r="DX154" s="143"/>
      <c r="DY154" s="143"/>
      <c r="DZ154" s="143"/>
      <c r="EA154" s="143"/>
      <c r="EB154" s="143"/>
      <c r="EC154" s="143"/>
      <c r="ED154" s="143"/>
      <c r="EE154" s="143"/>
      <c r="EF154" s="143"/>
      <c r="EG154" s="143"/>
      <c r="EH154" s="143"/>
      <c r="EI154" s="143"/>
      <c r="EJ154" s="143"/>
      <c r="EK154" s="143"/>
      <c r="EL154" s="143"/>
      <c r="EM154" s="143"/>
      <c r="EN154" s="143"/>
      <c r="EO154" s="143"/>
      <c r="EP154" s="143"/>
      <c r="EQ154" s="143"/>
      <c r="ER154" s="143"/>
      <c r="ES154" s="143"/>
      <c r="ET154" s="143"/>
      <c r="EU154" s="143"/>
      <c r="EV154" s="143"/>
      <c r="EW154" s="143"/>
      <c r="EX154" s="143"/>
      <c r="EY154" s="143"/>
      <c r="EZ154" s="143"/>
      <c r="FA154" s="143"/>
      <c r="FB154" s="143"/>
      <c r="FC154" s="143"/>
      <c r="FD154" s="143"/>
      <c r="FE154" s="143"/>
      <c r="FF154" s="143"/>
      <c r="FG154" s="143"/>
      <c r="FH154" s="143"/>
      <c r="FI154" s="143"/>
      <c r="FJ154" s="143"/>
      <c r="FK154" s="143"/>
      <c r="FL154" s="143"/>
      <c r="FM154" s="143"/>
      <c r="FN154" s="143"/>
      <c r="FO154" s="143"/>
      <c r="FP154" s="143"/>
      <c r="FQ154" s="143"/>
      <c r="FR154" s="143"/>
      <c r="FS154" s="143"/>
      <c r="FT154" s="143"/>
      <c r="FU154" s="143"/>
      <c r="FV154" s="143"/>
      <c r="FW154" s="143"/>
      <c r="FX154" s="143"/>
      <c r="FY154" s="143"/>
      <c r="FZ154" s="143"/>
      <c r="GA154" s="143"/>
      <c r="GB154" s="143"/>
      <c r="GC154" s="143"/>
      <c r="GD154" s="143"/>
      <c r="GE154" s="143"/>
      <c r="GF154" s="143"/>
      <c r="GG154" s="143"/>
      <c r="GH154" s="143"/>
      <c r="GI154" s="143"/>
      <c r="GJ154" s="143"/>
      <c r="GK154" s="143"/>
      <c r="GL154" s="143"/>
      <c r="GM154" s="143"/>
      <c r="GN154" s="143"/>
      <c r="GO154" s="143"/>
      <c r="GP154" s="143"/>
      <c r="GQ154" s="143"/>
      <c r="GR154" s="143"/>
      <c r="GS154" s="143"/>
      <c r="GT154" s="143"/>
      <c r="GU154" s="143"/>
      <c r="GV154" s="143"/>
      <c r="GW154" s="143"/>
      <c r="GX154" s="143"/>
      <c r="GY154" s="143"/>
      <c r="GZ154" s="143"/>
      <c r="HA154" s="143"/>
      <c r="HB154" s="143"/>
      <c r="HC154" s="143"/>
      <c r="HD154" s="143"/>
      <c r="HE154" s="143"/>
      <c r="HF154" s="143"/>
      <c r="HG154" s="143"/>
      <c r="HH154" s="143"/>
      <c r="HI154" s="143"/>
      <c r="HJ154" s="143"/>
      <c r="HK154" s="143"/>
      <c r="HL154" s="143"/>
      <c r="HM154" s="143"/>
      <c r="HN154" s="143"/>
      <c r="HO154" s="143"/>
      <c r="HP154" s="143"/>
      <c r="HQ154" s="143"/>
      <c r="HR154" s="143"/>
      <c r="HS154" s="143"/>
      <c r="HT154" s="143"/>
      <c r="HU154" s="143"/>
      <c r="HV154" s="143"/>
    </row>
    <row r="156" spans="2:230" x14ac:dyDescent="0.2">
      <c r="B156" s="143"/>
      <c r="C156" s="143"/>
      <c r="D156" s="143"/>
      <c r="E156" s="143"/>
      <c r="F156" s="143"/>
      <c r="G156" s="143"/>
      <c r="H156" s="143"/>
      <c r="I156" s="143"/>
      <c r="J156" s="143"/>
      <c r="K156" s="143"/>
      <c r="L156" s="143"/>
      <c r="M156" s="143"/>
      <c r="N156" s="143"/>
      <c r="O156" s="143"/>
      <c r="P156" s="143"/>
      <c r="Q156" s="143"/>
      <c r="R156" s="143"/>
      <c r="S156" s="143"/>
      <c r="T156" s="143"/>
      <c r="U156" s="143"/>
      <c r="V156" s="143"/>
      <c r="W156" s="143"/>
      <c r="X156" s="143"/>
      <c r="Y156" s="143"/>
      <c r="Z156" s="143"/>
      <c r="AA156" s="143"/>
      <c r="AB156" s="143"/>
      <c r="AC156" s="143"/>
      <c r="AD156" s="143"/>
      <c r="AE156" s="143"/>
      <c r="AF156" s="143"/>
      <c r="AG156" s="143"/>
      <c r="AH156" s="143"/>
      <c r="AI156" s="143"/>
      <c r="AJ156" s="143"/>
      <c r="AK156" s="143"/>
      <c r="AL156" s="143"/>
      <c r="AM156" s="143"/>
      <c r="AN156" s="143"/>
      <c r="AO156" s="143"/>
      <c r="AP156" s="143"/>
      <c r="AQ156" s="143"/>
      <c r="AR156" s="143"/>
      <c r="AS156" s="143"/>
      <c r="AT156" s="143"/>
      <c r="AU156" s="143"/>
      <c r="AV156" s="143"/>
      <c r="AW156" s="143"/>
      <c r="AX156" s="143"/>
      <c r="AY156" s="143"/>
      <c r="AZ156" s="143"/>
      <c r="BA156" s="143"/>
      <c r="BB156" s="143"/>
      <c r="BC156" s="143"/>
      <c r="BD156" s="143"/>
      <c r="BE156" s="143"/>
      <c r="BF156" s="143"/>
      <c r="BG156" s="143"/>
      <c r="BH156" s="143"/>
      <c r="BI156" s="143"/>
      <c r="BJ156" s="143"/>
      <c r="BK156" s="143"/>
      <c r="BL156" s="143"/>
      <c r="BM156" s="143"/>
      <c r="BN156" s="143"/>
      <c r="BO156" s="143"/>
      <c r="BP156" s="143"/>
      <c r="BQ156" s="143"/>
      <c r="BR156" s="143"/>
      <c r="BS156" s="143"/>
      <c r="BT156" s="143"/>
      <c r="BU156" s="143"/>
      <c r="BV156" s="143"/>
      <c r="BW156" s="143"/>
      <c r="BX156" s="143"/>
      <c r="BY156" s="143"/>
      <c r="BZ156" s="143"/>
      <c r="CA156" s="143"/>
      <c r="CB156" s="143"/>
      <c r="CC156" s="143"/>
      <c r="CD156" s="143"/>
      <c r="CE156" s="143"/>
      <c r="CF156" s="143"/>
      <c r="CG156" s="143"/>
      <c r="CH156" s="143"/>
      <c r="CI156" s="143"/>
      <c r="CJ156" s="143"/>
      <c r="CK156" s="143"/>
      <c r="CL156" s="143"/>
      <c r="CM156" s="143"/>
      <c r="CN156" s="143"/>
      <c r="CO156" s="143"/>
      <c r="CP156" s="143"/>
      <c r="CQ156" s="143"/>
      <c r="CR156" s="143"/>
      <c r="CS156" s="143"/>
      <c r="CT156" s="143"/>
      <c r="CU156" s="143"/>
      <c r="CV156" s="143"/>
      <c r="CW156" s="143"/>
      <c r="CX156" s="143"/>
      <c r="CY156" s="143"/>
      <c r="CZ156" s="143"/>
      <c r="DA156" s="143"/>
      <c r="DB156" s="143"/>
      <c r="DC156" s="143"/>
      <c r="DD156" s="143"/>
      <c r="DE156" s="143"/>
      <c r="DF156" s="143"/>
      <c r="DG156" s="143"/>
      <c r="DH156" s="143"/>
      <c r="DI156" s="143"/>
      <c r="DJ156" s="143"/>
      <c r="DK156" s="143"/>
      <c r="DL156" s="143"/>
      <c r="DM156" s="143"/>
      <c r="DN156" s="143"/>
      <c r="DO156" s="143"/>
      <c r="DP156" s="143"/>
      <c r="DQ156" s="143"/>
      <c r="DR156" s="143"/>
      <c r="DS156" s="143"/>
      <c r="DT156" s="143"/>
      <c r="DU156" s="143"/>
      <c r="DV156" s="143"/>
      <c r="DW156" s="143"/>
      <c r="DX156" s="143"/>
      <c r="DY156" s="143"/>
      <c r="DZ156" s="143"/>
      <c r="EA156" s="143"/>
      <c r="EB156" s="143"/>
      <c r="EC156" s="143"/>
      <c r="ED156" s="143"/>
      <c r="EE156" s="143"/>
      <c r="EF156" s="143"/>
      <c r="EG156" s="143"/>
      <c r="EH156" s="143"/>
      <c r="EI156" s="143"/>
      <c r="EJ156" s="143"/>
      <c r="EK156" s="143"/>
      <c r="EL156" s="143"/>
      <c r="EM156" s="143"/>
      <c r="EN156" s="143"/>
      <c r="EO156" s="143"/>
      <c r="EP156" s="143"/>
      <c r="EQ156" s="143"/>
      <c r="ER156" s="143"/>
      <c r="ES156" s="143"/>
      <c r="ET156" s="143"/>
      <c r="EU156" s="143"/>
      <c r="EV156" s="143"/>
      <c r="EW156" s="143"/>
      <c r="EX156" s="143"/>
      <c r="EY156" s="143"/>
      <c r="EZ156" s="143"/>
      <c r="FA156" s="143"/>
      <c r="FB156" s="143"/>
      <c r="FC156" s="143"/>
      <c r="FD156" s="143"/>
      <c r="FE156" s="143"/>
      <c r="FF156" s="143"/>
      <c r="FG156" s="143"/>
      <c r="FH156" s="143"/>
      <c r="FI156" s="143"/>
      <c r="FJ156" s="143"/>
      <c r="FK156" s="143"/>
      <c r="FL156" s="143"/>
      <c r="FM156" s="143"/>
      <c r="FN156" s="143"/>
      <c r="FO156" s="143"/>
      <c r="FP156" s="143"/>
      <c r="FQ156" s="143"/>
      <c r="FR156" s="143"/>
      <c r="FS156" s="143"/>
      <c r="FT156" s="143"/>
      <c r="FU156" s="143"/>
      <c r="FV156" s="143"/>
      <c r="FW156" s="143"/>
      <c r="FX156" s="143"/>
      <c r="FY156" s="143"/>
      <c r="FZ156" s="143"/>
      <c r="GA156" s="143"/>
      <c r="GB156" s="143"/>
      <c r="GC156" s="143"/>
      <c r="GD156" s="143"/>
      <c r="GE156" s="143"/>
      <c r="GF156" s="143"/>
      <c r="GG156" s="143"/>
      <c r="GH156" s="143"/>
      <c r="GI156" s="143"/>
      <c r="GJ156" s="143"/>
      <c r="GK156" s="143"/>
      <c r="GL156" s="143"/>
      <c r="GM156" s="143"/>
      <c r="GN156" s="143"/>
      <c r="GO156" s="143"/>
      <c r="GP156" s="143"/>
      <c r="GQ156" s="143"/>
      <c r="GR156" s="143"/>
      <c r="GS156" s="143"/>
      <c r="GT156" s="143"/>
      <c r="GU156" s="143"/>
      <c r="GV156" s="143"/>
      <c r="GW156" s="143"/>
      <c r="GX156" s="143"/>
      <c r="GY156" s="143"/>
      <c r="GZ156" s="143"/>
      <c r="HA156" s="143"/>
      <c r="HB156" s="143"/>
      <c r="HC156" s="143"/>
      <c r="HD156" s="143"/>
      <c r="HE156" s="143"/>
      <c r="HF156" s="143"/>
      <c r="HG156" s="143"/>
      <c r="HH156" s="143"/>
      <c r="HI156" s="143"/>
      <c r="HJ156" s="143"/>
      <c r="HK156" s="143"/>
      <c r="HL156" s="143"/>
      <c r="HM156" s="143"/>
      <c r="HN156" s="143"/>
      <c r="HO156" s="143"/>
      <c r="HP156" s="143"/>
      <c r="HQ156" s="143"/>
      <c r="HR156" s="143"/>
      <c r="HS156" s="143"/>
      <c r="HT156" s="143"/>
      <c r="HU156" s="143"/>
      <c r="HV156" s="143"/>
    </row>
    <row r="158" spans="2:230" x14ac:dyDescent="0.2">
      <c r="B158" s="143"/>
      <c r="C158" s="143"/>
      <c r="D158" s="143"/>
      <c r="E158" s="143"/>
      <c r="F158" s="143"/>
      <c r="G158" s="143"/>
      <c r="H158" s="143"/>
      <c r="I158" s="143"/>
      <c r="J158" s="143"/>
      <c r="K158" s="143"/>
      <c r="L158" s="143"/>
      <c r="M158" s="143"/>
      <c r="N158" s="143"/>
      <c r="O158" s="143"/>
      <c r="P158" s="143"/>
      <c r="Q158" s="143"/>
      <c r="R158" s="143"/>
      <c r="S158" s="143"/>
      <c r="T158" s="143"/>
      <c r="U158" s="143"/>
      <c r="V158" s="143"/>
      <c r="W158" s="143"/>
      <c r="X158" s="143"/>
      <c r="Y158" s="143"/>
      <c r="Z158" s="143"/>
      <c r="AA158" s="143"/>
      <c r="AB158" s="143"/>
      <c r="AC158" s="143"/>
      <c r="AD158" s="143"/>
      <c r="AE158" s="143"/>
      <c r="AF158" s="143"/>
      <c r="AG158" s="143"/>
      <c r="AH158" s="143"/>
      <c r="AI158" s="143"/>
      <c r="AJ158" s="143"/>
      <c r="AK158" s="143"/>
      <c r="AL158" s="143"/>
      <c r="AM158" s="143"/>
      <c r="AN158" s="143"/>
      <c r="AO158" s="143"/>
      <c r="AP158" s="143"/>
      <c r="AQ158" s="143"/>
      <c r="AR158" s="143"/>
      <c r="AS158" s="143"/>
      <c r="AT158" s="143"/>
      <c r="AU158" s="143"/>
      <c r="AV158" s="143"/>
      <c r="AW158" s="143"/>
      <c r="AX158" s="143"/>
      <c r="AY158" s="143"/>
      <c r="AZ158" s="143"/>
      <c r="BA158" s="143"/>
      <c r="BB158" s="143"/>
      <c r="BC158" s="143"/>
      <c r="BD158" s="143"/>
      <c r="BE158" s="143"/>
      <c r="BF158" s="143"/>
      <c r="BG158" s="143"/>
      <c r="BH158" s="143"/>
      <c r="BI158" s="143"/>
      <c r="BJ158" s="143"/>
      <c r="BK158" s="143"/>
      <c r="BL158" s="143"/>
      <c r="BM158" s="143"/>
      <c r="BN158" s="143"/>
      <c r="BO158" s="143"/>
      <c r="BP158" s="143"/>
      <c r="BQ158" s="143"/>
      <c r="BR158" s="143"/>
      <c r="BS158" s="143"/>
      <c r="BT158" s="143"/>
      <c r="BU158" s="143"/>
      <c r="BV158" s="143"/>
      <c r="BW158" s="143"/>
      <c r="BX158" s="143"/>
      <c r="BY158" s="143"/>
      <c r="BZ158" s="143"/>
      <c r="CA158" s="143"/>
      <c r="CB158" s="143"/>
      <c r="CC158" s="143"/>
      <c r="CD158" s="143"/>
      <c r="CE158" s="143"/>
      <c r="CF158" s="143"/>
      <c r="CG158" s="143"/>
      <c r="CH158" s="143"/>
      <c r="CI158" s="143"/>
      <c r="CJ158" s="143"/>
      <c r="CK158" s="143"/>
      <c r="CL158" s="143"/>
      <c r="CM158" s="143"/>
      <c r="CN158" s="143"/>
      <c r="CO158" s="143"/>
      <c r="CP158" s="143"/>
      <c r="CQ158" s="143"/>
      <c r="CR158" s="143"/>
      <c r="CS158" s="143"/>
      <c r="CT158" s="143"/>
      <c r="CU158" s="143"/>
      <c r="CV158" s="143"/>
      <c r="CW158" s="143"/>
      <c r="CX158" s="143"/>
      <c r="CY158" s="143"/>
      <c r="CZ158" s="143"/>
      <c r="DA158" s="143"/>
      <c r="DB158" s="143"/>
      <c r="DC158" s="143"/>
      <c r="DD158" s="143"/>
      <c r="DE158" s="143"/>
      <c r="DF158" s="143"/>
      <c r="DG158" s="143"/>
      <c r="DH158" s="143"/>
      <c r="DI158" s="143"/>
      <c r="DJ158" s="143"/>
      <c r="DK158" s="143"/>
      <c r="DL158" s="143"/>
      <c r="DM158" s="143"/>
      <c r="DN158" s="143"/>
      <c r="DO158" s="143"/>
      <c r="DP158" s="143"/>
      <c r="DQ158" s="143"/>
      <c r="DR158" s="143"/>
      <c r="DS158" s="143"/>
      <c r="DT158" s="143"/>
      <c r="DU158" s="143"/>
      <c r="DV158" s="143"/>
      <c r="DW158" s="143"/>
      <c r="DX158" s="143"/>
      <c r="DY158" s="143"/>
      <c r="DZ158" s="143"/>
      <c r="EA158" s="143"/>
      <c r="EB158" s="143"/>
      <c r="EC158" s="143"/>
      <c r="ED158" s="143"/>
      <c r="EE158" s="143"/>
      <c r="EF158" s="143"/>
      <c r="EG158" s="143"/>
      <c r="EH158" s="143"/>
      <c r="EI158" s="143"/>
      <c r="EJ158" s="143"/>
      <c r="EK158" s="143"/>
      <c r="EL158" s="143"/>
      <c r="EM158" s="143"/>
      <c r="EN158" s="143"/>
      <c r="EO158" s="143"/>
      <c r="EP158" s="143"/>
      <c r="EQ158" s="143"/>
      <c r="ER158" s="143"/>
      <c r="ES158" s="143"/>
      <c r="ET158" s="143"/>
      <c r="EU158" s="143"/>
      <c r="EV158" s="143"/>
      <c r="EW158" s="143"/>
      <c r="EX158" s="143"/>
      <c r="EY158" s="143"/>
      <c r="EZ158" s="143"/>
      <c r="FA158" s="143"/>
      <c r="FB158" s="143"/>
      <c r="FC158" s="143"/>
      <c r="FD158" s="143"/>
      <c r="FE158" s="143"/>
      <c r="FF158" s="143"/>
      <c r="FG158" s="143"/>
      <c r="FH158" s="143"/>
      <c r="FI158" s="143"/>
      <c r="FJ158" s="143"/>
      <c r="FK158" s="143"/>
      <c r="FL158" s="143"/>
      <c r="FM158" s="143"/>
      <c r="FN158" s="143"/>
      <c r="FO158" s="143"/>
      <c r="FP158" s="143"/>
      <c r="FQ158" s="143"/>
      <c r="FR158" s="143"/>
      <c r="FS158" s="143"/>
      <c r="FT158" s="143"/>
      <c r="FU158" s="143"/>
      <c r="FV158" s="143"/>
      <c r="FW158" s="143"/>
      <c r="FX158" s="143"/>
      <c r="FY158" s="143"/>
      <c r="FZ158" s="143"/>
      <c r="GA158" s="143"/>
      <c r="GB158" s="143"/>
      <c r="GC158" s="143"/>
      <c r="GD158" s="143"/>
      <c r="GE158" s="143"/>
      <c r="GF158" s="143"/>
      <c r="GG158" s="143"/>
      <c r="GH158" s="143"/>
      <c r="GI158" s="143"/>
      <c r="GJ158" s="143"/>
      <c r="GK158" s="143"/>
      <c r="GL158" s="143"/>
      <c r="GM158" s="143"/>
      <c r="GN158" s="143"/>
      <c r="GO158" s="143"/>
      <c r="GP158" s="143"/>
      <c r="GQ158" s="143"/>
      <c r="GR158" s="143"/>
      <c r="GS158" s="143"/>
      <c r="GT158" s="143"/>
      <c r="GU158" s="143"/>
      <c r="GV158" s="143"/>
      <c r="GW158" s="143"/>
      <c r="GX158" s="143"/>
      <c r="GY158" s="143"/>
      <c r="GZ158" s="143"/>
      <c r="HA158" s="143"/>
      <c r="HB158" s="143"/>
      <c r="HC158" s="143"/>
      <c r="HD158" s="143"/>
      <c r="HE158" s="143"/>
      <c r="HF158" s="143"/>
      <c r="HG158" s="143"/>
      <c r="HH158" s="143"/>
      <c r="HI158" s="143"/>
      <c r="HJ158" s="143"/>
      <c r="HK158" s="143"/>
      <c r="HL158" s="143"/>
      <c r="HM158" s="143"/>
      <c r="HN158" s="143"/>
      <c r="HO158" s="143"/>
      <c r="HP158" s="143"/>
      <c r="HQ158" s="143"/>
      <c r="HR158" s="143"/>
      <c r="HS158" s="143"/>
      <c r="HT158" s="143"/>
      <c r="HU158" s="143"/>
      <c r="HV158" s="143"/>
    </row>
    <row r="160" spans="2:230" x14ac:dyDescent="0.2">
      <c r="B160" s="143"/>
      <c r="C160" s="143"/>
      <c r="D160" s="143"/>
      <c r="E160" s="143"/>
      <c r="F160" s="143"/>
      <c r="G160" s="143"/>
      <c r="H160" s="143"/>
      <c r="I160" s="143"/>
      <c r="J160" s="143"/>
      <c r="K160" s="143"/>
      <c r="L160" s="143"/>
      <c r="M160" s="143"/>
      <c r="N160" s="143"/>
      <c r="O160" s="143"/>
      <c r="P160" s="143"/>
      <c r="Q160" s="143"/>
      <c r="R160" s="143"/>
      <c r="S160" s="143"/>
      <c r="T160" s="143"/>
      <c r="U160" s="143"/>
      <c r="V160" s="143"/>
      <c r="W160" s="143"/>
      <c r="X160" s="143"/>
      <c r="Y160" s="143"/>
      <c r="Z160" s="143"/>
      <c r="AA160" s="143"/>
      <c r="AB160" s="143"/>
      <c r="AC160" s="143"/>
      <c r="AD160" s="143"/>
      <c r="AE160" s="143"/>
      <c r="AF160" s="143"/>
      <c r="AG160" s="143"/>
      <c r="AH160" s="143"/>
      <c r="AI160" s="143"/>
      <c r="AJ160" s="143"/>
      <c r="AK160" s="143"/>
      <c r="AL160" s="143"/>
      <c r="AM160" s="143"/>
      <c r="AN160" s="143"/>
      <c r="AO160" s="143"/>
      <c r="AP160" s="143"/>
      <c r="AQ160" s="143"/>
      <c r="AR160" s="14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row>
  </sheetData>
  <mergeCells count="3">
    <mergeCell ref="A2:E2"/>
    <mergeCell ref="A3:E3"/>
    <mergeCell ref="A23:E23"/>
  </mergeCells>
  <pageMargins left="0.75" right="0.75" top="1" bottom="1" header="0" footer="0"/>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25"/>
  <sheetViews>
    <sheetView workbookViewId="0">
      <selection activeCell="B1" sqref="B1"/>
    </sheetView>
  </sheetViews>
  <sheetFormatPr baseColWidth="10" defaultRowHeight="15" x14ac:dyDescent="0.2"/>
  <cols>
    <col min="1" max="1" width="38.33203125" style="106" customWidth="1"/>
    <col min="2" max="2" width="13.1640625" style="106" customWidth="1"/>
    <col min="3" max="3" width="5.33203125" style="106" customWidth="1"/>
    <col min="4" max="16384" width="10.83203125" style="106"/>
  </cols>
  <sheetData>
    <row r="1" spans="1:4" ht="78" x14ac:dyDescent="0.35">
      <c r="A1" s="450" t="s">
        <v>1673</v>
      </c>
      <c r="B1" s="451">
        <v>4365408</v>
      </c>
      <c r="C1" s="452">
        <v>60</v>
      </c>
    </row>
    <row r="2" spans="1:4" x14ac:dyDescent="0.2">
      <c r="B2" s="453"/>
    </row>
    <row r="3" spans="1:4" x14ac:dyDescent="0.2">
      <c r="A3" s="106" t="s">
        <v>1674</v>
      </c>
      <c r="B3" s="453"/>
    </row>
    <row r="4" spans="1:4" x14ac:dyDescent="0.2">
      <c r="B4" s="453"/>
    </row>
    <row r="5" spans="1:4" x14ac:dyDescent="0.2">
      <c r="A5" s="106" t="s">
        <v>1675</v>
      </c>
      <c r="B5" s="453">
        <v>17393888</v>
      </c>
      <c r="C5" s="106">
        <v>50</v>
      </c>
      <c r="D5" s="106" t="s">
        <v>1676</v>
      </c>
    </row>
    <row r="6" spans="1:4" ht="60" x14ac:dyDescent="0.2">
      <c r="A6" s="454" t="s">
        <v>1677</v>
      </c>
      <c r="B6" s="453">
        <v>3515727</v>
      </c>
      <c r="C6" s="106">
        <v>22</v>
      </c>
    </row>
    <row r="7" spans="1:4" x14ac:dyDescent="0.2">
      <c r="A7" s="106" t="s">
        <v>1678</v>
      </c>
      <c r="B7" s="453">
        <v>462078</v>
      </c>
      <c r="C7" s="106">
        <v>35</v>
      </c>
    </row>
    <row r="8" spans="1:4" ht="18" x14ac:dyDescent="0.35">
      <c r="A8" s="106" t="s">
        <v>1679</v>
      </c>
      <c r="B8" s="451">
        <v>5713399</v>
      </c>
      <c r="C8" s="452">
        <v>62</v>
      </c>
    </row>
    <row r="9" spans="1:4" ht="30" x14ac:dyDescent="0.2">
      <c r="A9" s="450" t="s">
        <v>1680</v>
      </c>
      <c r="B9" s="453">
        <v>9691205</v>
      </c>
      <c r="C9" s="106">
        <v>49</v>
      </c>
      <c r="D9" s="106" t="s">
        <v>1676</v>
      </c>
    </row>
    <row r="10" spans="1:4" x14ac:dyDescent="0.2">
      <c r="B10" s="453"/>
    </row>
    <row r="11" spans="1:4" x14ac:dyDescent="0.2">
      <c r="A11" s="106" t="s">
        <v>1681</v>
      </c>
      <c r="B11" s="453"/>
    </row>
    <row r="12" spans="1:4" ht="30" x14ac:dyDescent="0.2">
      <c r="A12" s="450" t="s">
        <v>1682</v>
      </c>
      <c r="B12" s="453">
        <v>80000</v>
      </c>
      <c r="C12" s="106">
        <v>25</v>
      </c>
    </row>
    <row r="13" spans="1:4" ht="30" x14ac:dyDescent="0.2">
      <c r="A13" s="450" t="s">
        <v>1683</v>
      </c>
      <c r="B13" s="453">
        <v>1605293</v>
      </c>
      <c r="C13" s="106">
        <v>67</v>
      </c>
    </row>
    <row r="14" spans="1:4" ht="30" x14ac:dyDescent="0.2">
      <c r="A14" s="450" t="s">
        <v>1684</v>
      </c>
      <c r="B14" s="453">
        <v>840811</v>
      </c>
      <c r="C14" s="106">
        <v>23</v>
      </c>
    </row>
    <row r="15" spans="1:4" ht="30" x14ac:dyDescent="0.2">
      <c r="A15" s="450" t="s">
        <v>1685</v>
      </c>
      <c r="B15" s="453">
        <v>76000</v>
      </c>
    </row>
    <row r="16" spans="1:4" x14ac:dyDescent="0.2">
      <c r="A16" s="450" t="s">
        <v>1686</v>
      </c>
      <c r="B16" s="453">
        <v>572441</v>
      </c>
      <c r="C16" s="106">
        <v>87</v>
      </c>
    </row>
    <row r="17" spans="1:4" x14ac:dyDescent="0.2">
      <c r="A17" s="450" t="s">
        <v>1687</v>
      </c>
      <c r="B17" s="453">
        <v>31403</v>
      </c>
    </row>
    <row r="18" spans="1:4" x14ac:dyDescent="0.2">
      <c r="A18" s="450" t="s">
        <v>1688</v>
      </c>
      <c r="B18" s="453">
        <v>3282199</v>
      </c>
      <c r="C18" s="106">
        <v>3</v>
      </c>
    </row>
    <row r="19" spans="1:4" x14ac:dyDescent="0.2">
      <c r="A19" s="450" t="s">
        <v>1689</v>
      </c>
      <c r="B19" s="453">
        <v>1153062</v>
      </c>
      <c r="C19" s="106">
        <v>77</v>
      </c>
    </row>
    <row r="20" spans="1:4" ht="18" x14ac:dyDescent="0.35">
      <c r="A20" s="450" t="s">
        <v>1690</v>
      </c>
      <c r="B20" s="451">
        <v>61471</v>
      </c>
      <c r="C20" s="452">
        <v>17</v>
      </c>
    </row>
    <row r="21" spans="1:4" x14ac:dyDescent="0.2">
      <c r="A21" s="450" t="s">
        <v>1691</v>
      </c>
      <c r="B21" s="453">
        <v>17393888</v>
      </c>
      <c r="C21" s="106">
        <v>50</v>
      </c>
      <c r="D21" s="106" t="s">
        <v>1676</v>
      </c>
    </row>
    <row r="22" spans="1:4" x14ac:dyDescent="0.2">
      <c r="B22" s="453"/>
    </row>
    <row r="23" spans="1:4" x14ac:dyDescent="0.2">
      <c r="A23" s="450" t="s">
        <v>1692</v>
      </c>
      <c r="B23" s="453">
        <v>14297088</v>
      </c>
      <c r="C23" s="106">
        <v>57</v>
      </c>
    </row>
    <row r="24" spans="1:4" ht="30" x14ac:dyDescent="0.2">
      <c r="A24" s="454" t="s">
        <v>1693</v>
      </c>
      <c r="B24" s="453"/>
    </row>
    <row r="25" spans="1:4" ht="30" x14ac:dyDescent="0.2">
      <c r="A25" s="450" t="s">
        <v>1694</v>
      </c>
      <c r="B25" s="453">
        <v>321333</v>
      </c>
      <c r="C25" s="106">
        <v>14</v>
      </c>
    </row>
    <row r="26" spans="1:4" ht="30" x14ac:dyDescent="0.2">
      <c r="A26" s="450" t="s">
        <v>1695</v>
      </c>
      <c r="B26" s="453">
        <v>1140995</v>
      </c>
      <c r="C26" s="106">
        <v>29</v>
      </c>
    </row>
    <row r="27" spans="1:4" ht="33" x14ac:dyDescent="0.35">
      <c r="A27" s="450" t="s">
        <v>1696</v>
      </c>
      <c r="B27" s="451">
        <v>6094201</v>
      </c>
      <c r="C27" s="452">
        <v>53</v>
      </c>
    </row>
    <row r="28" spans="1:4" x14ac:dyDescent="0.2">
      <c r="B28" s="453"/>
    </row>
    <row r="29" spans="1:4" ht="30" x14ac:dyDescent="0.2">
      <c r="A29" s="450" t="s">
        <v>1697</v>
      </c>
      <c r="B29" s="453">
        <v>7556529</v>
      </c>
      <c r="C29" s="106">
        <v>97</v>
      </c>
    </row>
    <row r="30" spans="1:4" ht="30" x14ac:dyDescent="0.2">
      <c r="A30" s="450" t="s">
        <v>1698</v>
      </c>
      <c r="B30" s="453"/>
    </row>
    <row r="31" spans="1:4" x14ac:dyDescent="0.2">
      <c r="A31" s="450" t="s">
        <v>1699</v>
      </c>
      <c r="B31" s="453">
        <v>1144577</v>
      </c>
      <c r="C31" s="106">
        <v>73</v>
      </c>
    </row>
    <row r="32" spans="1:4" x14ac:dyDescent="0.2">
      <c r="A32" s="450" t="s">
        <v>1700</v>
      </c>
      <c r="B32" s="453">
        <v>21635</v>
      </c>
      <c r="C32" s="106">
        <v>55</v>
      </c>
    </row>
    <row r="33" spans="1:3" ht="45" x14ac:dyDescent="0.2">
      <c r="A33" s="450" t="s">
        <v>1701</v>
      </c>
      <c r="B33" s="453">
        <v>448054</v>
      </c>
      <c r="C33" s="106">
        <v>84</v>
      </c>
    </row>
    <row r="34" spans="1:3" ht="45" x14ac:dyDescent="0.2">
      <c r="A34" s="450" t="s">
        <v>1702</v>
      </c>
      <c r="B34" s="453">
        <v>379775</v>
      </c>
      <c r="C34" s="106">
        <v>92</v>
      </c>
    </row>
    <row r="35" spans="1:3" ht="30" x14ac:dyDescent="0.2">
      <c r="A35" s="450" t="s">
        <v>1703</v>
      </c>
      <c r="B35" s="453">
        <v>407675</v>
      </c>
      <c r="C35" s="106">
        <v>75</v>
      </c>
    </row>
    <row r="36" spans="1:3" ht="45" x14ac:dyDescent="0.2">
      <c r="A36" s="450" t="s">
        <v>1704</v>
      </c>
      <c r="B36" s="453">
        <v>204618</v>
      </c>
    </row>
    <row r="37" spans="1:3" ht="45" x14ac:dyDescent="0.2">
      <c r="A37" s="450" t="s">
        <v>1705</v>
      </c>
      <c r="B37" s="453">
        <v>136412</v>
      </c>
    </row>
    <row r="38" spans="1:3" x14ac:dyDescent="0.2">
      <c r="A38" s="450" t="s">
        <v>1706</v>
      </c>
      <c r="B38" s="453">
        <v>107937</v>
      </c>
      <c r="C38" s="106">
        <v>22</v>
      </c>
    </row>
    <row r="39" spans="1:3" ht="30" x14ac:dyDescent="0.2">
      <c r="A39" s="450" t="s">
        <v>1707</v>
      </c>
      <c r="B39" s="453">
        <v>99475</v>
      </c>
      <c r="C39" s="106">
        <v>86</v>
      </c>
    </row>
    <row r="40" spans="1:3" ht="30" x14ac:dyDescent="0.2">
      <c r="A40" s="450" t="s">
        <v>1708</v>
      </c>
      <c r="B40" s="453">
        <v>960</v>
      </c>
    </row>
    <row r="41" spans="1:3" x14ac:dyDescent="0.2">
      <c r="A41" s="450" t="s">
        <v>1709</v>
      </c>
      <c r="B41" s="453">
        <v>23000</v>
      </c>
    </row>
    <row r="42" spans="1:3" ht="30" x14ac:dyDescent="0.2">
      <c r="A42" s="450" t="s">
        <v>1710</v>
      </c>
      <c r="B42" s="453">
        <v>4216</v>
      </c>
      <c r="C42" s="106">
        <v>50</v>
      </c>
    </row>
    <row r="43" spans="1:3" x14ac:dyDescent="0.2">
      <c r="A43" s="450" t="s">
        <v>1711</v>
      </c>
      <c r="B43" s="453">
        <v>3775</v>
      </c>
      <c r="C43" s="106">
        <v>25</v>
      </c>
    </row>
    <row r="44" spans="1:3" ht="30" x14ac:dyDescent="0.2">
      <c r="A44" s="450" t="s">
        <v>1712</v>
      </c>
      <c r="B44" s="453">
        <v>218312</v>
      </c>
      <c r="C44" s="106">
        <v>63</v>
      </c>
    </row>
    <row r="45" spans="1:3" x14ac:dyDescent="0.2">
      <c r="A45" s="450" t="s">
        <v>1713</v>
      </c>
      <c r="B45" s="453">
        <v>1587897</v>
      </c>
      <c r="C45" s="106">
        <v>46</v>
      </c>
    </row>
    <row r="46" spans="1:3" x14ac:dyDescent="0.2">
      <c r="A46" s="450" t="s">
        <v>1714</v>
      </c>
      <c r="B46" s="453">
        <v>262878</v>
      </c>
      <c r="C46" s="106">
        <v>78</v>
      </c>
    </row>
    <row r="47" spans="1:3" x14ac:dyDescent="0.2">
      <c r="A47" s="450" t="s">
        <v>1715</v>
      </c>
      <c r="B47" s="453">
        <v>222368</v>
      </c>
      <c r="C47" s="106">
        <v>51</v>
      </c>
    </row>
    <row r="48" spans="1:3" x14ac:dyDescent="0.2">
      <c r="A48" s="450" t="s">
        <v>1716</v>
      </c>
      <c r="B48" s="453">
        <v>485339</v>
      </c>
      <c r="C48" s="106">
        <v>9</v>
      </c>
    </row>
    <row r="49" spans="1:4" ht="18" x14ac:dyDescent="0.35">
      <c r="A49" s="450" t="s">
        <v>1717</v>
      </c>
      <c r="B49" s="451">
        <v>981647</v>
      </c>
      <c r="C49" s="452">
        <v>46</v>
      </c>
    </row>
    <row r="50" spans="1:4" x14ac:dyDescent="0.2">
      <c r="A50" s="450" t="s">
        <v>1718</v>
      </c>
      <c r="B50" s="453">
        <v>14297088</v>
      </c>
      <c r="C50" s="106">
        <v>57</v>
      </c>
      <c r="D50" s="106" t="s">
        <v>1719</v>
      </c>
    </row>
    <row r="51" spans="1:4" x14ac:dyDescent="0.2">
      <c r="A51" s="455" t="s">
        <v>1720</v>
      </c>
      <c r="B51" s="453"/>
    </row>
    <row r="52" spans="1:4" x14ac:dyDescent="0.2">
      <c r="A52" s="450" t="s">
        <v>1721</v>
      </c>
      <c r="B52" s="453">
        <f>+B21</f>
        <v>17393888</v>
      </c>
      <c r="C52" s="453">
        <f t="shared" ref="C52:D52" si="0">+C21</f>
        <v>50</v>
      </c>
      <c r="D52" s="453" t="str">
        <f t="shared" si="0"/>
        <v>13/24</v>
      </c>
    </row>
    <row r="53" spans="1:4" ht="18" x14ac:dyDescent="0.35">
      <c r="A53" s="450" t="s">
        <v>1722</v>
      </c>
      <c r="B53" s="451">
        <f>+B50</f>
        <v>14297088</v>
      </c>
      <c r="C53" s="451">
        <f t="shared" ref="C53:D53" si="1">+C50</f>
        <v>57</v>
      </c>
      <c r="D53" s="451" t="str">
        <f t="shared" si="1"/>
        <v>19/24</v>
      </c>
    </row>
    <row r="54" spans="1:4" x14ac:dyDescent="0.2">
      <c r="A54" s="450" t="s">
        <v>1723</v>
      </c>
      <c r="B54" s="453">
        <v>3096799</v>
      </c>
      <c r="C54" s="106">
        <v>92</v>
      </c>
      <c r="D54" s="106" t="s">
        <v>1724</v>
      </c>
    </row>
    <row r="55" spans="1:4" x14ac:dyDescent="0.2">
      <c r="B55" s="453"/>
    </row>
    <row r="56" spans="1:4" x14ac:dyDescent="0.2">
      <c r="B56" s="453"/>
    </row>
    <row r="57" spans="1:4" x14ac:dyDescent="0.2">
      <c r="A57" s="450" t="s">
        <v>1725</v>
      </c>
      <c r="B57" s="453"/>
    </row>
    <row r="58" spans="1:4" ht="30" x14ac:dyDescent="0.2">
      <c r="A58" s="450" t="s">
        <v>1726</v>
      </c>
      <c r="B58" s="453"/>
    </row>
    <row r="59" spans="1:4" x14ac:dyDescent="0.2">
      <c r="B59" s="453"/>
    </row>
    <row r="60" spans="1:4" x14ac:dyDescent="0.2">
      <c r="B60" s="453"/>
    </row>
    <row r="61" spans="1:4" x14ac:dyDescent="0.2">
      <c r="B61" s="453"/>
    </row>
    <row r="62" spans="1:4" x14ac:dyDescent="0.2">
      <c r="B62" s="453"/>
    </row>
    <row r="63" spans="1:4" x14ac:dyDescent="0.2">
      <c r="A63" s="456" t="s">
        <v>1227</v>
      </c>
      <c r="B63" s="456"/>
      <c r="C63" s="456"/>
    </row>
    <row r="64" spans="1:4" x14ac:dyDescent="0.2">
      <c r="A64" s="457" t="s">
        <v>1727</v>
      </c>
      <c r="B64" s="457"/>
      <c r="C64" s="457"/>
    </row>
    <row r="66" spans="1:3" ht="45" x14ac:dyDescent="0.2">
      <c r="A66" s="450" t="s">
        <v>1728</v>
      </c>
      <c r="B66" s="453">
        <v>6396828</v>
      </c>
      <c r="C66" s="453">
        <v>83</v>
      </c>
    </row>
    <row r="67" spans="1:3" ht="30" x14ac:dyDescent="0.2">
      <c r="A67" s="450" t="s">
        <v>1729</v>
      </c>
      <c r="B67" s="453">
        <v>710758</v>
      </c>
      <c r="C67" s="453">
        <v>75</v>
      </c>
    </row>
    <row r="68" spans="1:3" x14ac:dyDescent="0.2">
      <c r="A68" s="106" t="s">
        <v>1730</v>
      </c>
      <c r="B68" s="453">
        <v>34588</v>
      </c>
      <c r="C68" s="453">
        <v>45</v>
      </c>
    </row>
    <row r="69" spans="1:3" ht="45" x14ac:dyDescent="0.2">
      <c r="A69" s="450" t="s">
        <v>1731</v>
      </c>
      <c r="B69" s="453">
        <v>26360</v>
      </c>
      <c r="C69" s="453">
        <v>75</v>
      </c>
    </row>
    <row r="70" spans="1:3" ht="33" x14ac:dyDescent="0.35">
      <c r="A70" s="450" t="s">
        <v>1732</v>
      </c>
      <c r="B70" s="451">
        <v>44890</v>
      </c>
      <c r="C70" s="451">
        <v>38</v>
      </c>
    </row>
    <row r="71" spans="1:3" x14ac:dyDescent="0.2">
      <c r="A71" s="450" t="s">
        <v>1406</v>
      </c>
      <c r="B71" s="453">
        <v>7213427</v>
      </c>
      <c r="C71" s="453">
        <v>16</v>
      </c>
    </row>
    <row r="72" spans="1:3" ht="45" x14ac:dyDescent="0.2">
      <c r="A72" s="450" t="s">
        <v>1733</v>
      </c>
      <c r="B72" s="453">
        <v>4800193</v>
      </c>
      <c r="C72" s="453">
        <v>2</v>
      </c>
    </row>
    <row r="73" spans="1:3" ht="30" x14ac:dyDescent="0.2">
      <c r="A73" s="450" t="s">
        <v>1734</v>
      </c>
      <c r="B73" s="453">
        <v>7315163</v>
      </c>
      <c r="C73" s="453">
        <v>28</v>
      </c>
    </row>
    <row r="74" spans="1:3" ht="45" x14ac:dyDescent="0.2">
      <c r="A74" s="450" t="s">
        <v>1735</v>
      </c>
      <c r="B74" s="453">
        <v>4698483</v>
      </c>
      <c r="C74" s="453">
        <v>90</v>
      </c>
    </row>
    <row r="75" spans="1:3" x14ac:dyDescent="0.2">
      <c r="B75" s="453"/>
      <c r="C75" s="453"/>
    </row>
    <row r="76" spans="1:3" ht="30" x14ac:dyDescent="0.2">
      <c r="A76" s="450" t="s">
        <v>1736</v>
      </c>
      <c r="B76" s="453"/>
      <c r="C76" s="453"/>
    </row>
    <row r="77" spans="1:3" x14ac:dyDescent="0.2">
      <c r="B77" s="453"/>
      <c r="C77" s="453"/>
    </row>
    <row r="78" spans="1:3" x14ac:dyDescent="0.2">
      <c r="B78" s="453"/>
    </row>
    <row r="79" spans="1:3" x14ac:dyDescent="0.2">
      <c r="B79" s="453"/>
    </row>
    <row r="80" spans="1:3" x14ac:dyDescent="0.2">
      <c r="A80" s="458" t="s">
        <v>1737</v>
      </c>
    </row>
    <row r="82" spans="1:33" x14ac:dyDescent="0.2">
      <c r="A82" s="459" t="s">
        <v>1738</v>
      </c>
      <c r="B82" s="460" t="s">
        <v>1739</v>
      </c>
      <c r="C82" s="460"/>
      <c r="D82" s="460" t="s">
        <v>1740</v>
      </c>
      <c r="E82" s="460"/>
      <c r="F82" s="460" t="s">
        <v>1741</v>
      </c>
      <c r="G82" s="460"/>
      <c r="H82" s="460" t="s">
        <v>1742</v>
      </c>
      <c r="I82" s="460"/>
      <c r="J82" s="461" t="s">
        <v>1170</v>
      </c>
      <c r="K82" s="461"/>
    </row>
    <row r="83" spans="1:33" x14ac:dyDescent="0.2">
      <c r="A83" s="238"/>
      <c r="B83" s="462" t="s">
        <v>1532</v>
      </c>
      <c r="C83" s="462" t="s">
        <v>1743</v>
      </c>
      <c r="D83" s="462" t="s">
        <v>1532</v>
      </c>
      <c r="E83" s="462" t="s">
        <v>1743</v>
      </c>
      <c r="F83" s="462" t="s">
        <v>1532</v>
      </c>
      <c r="G83" s="462" t="s">
        <v>1743</v>
      </c>
      <c r="H83" s="462" t="s">
        <v>1532</v>
      </c>
      <c r="I83" s="462" t="s">
        <v>1743</v>
      </c>
      <c r="J83" s="462" t="s">
        <v>1532</v>
      </c>
      <c r="K83" s="462" t="s">
        <v>1743</v>
      </c>
      <c r="N83" s="106" t="s">
        <v>1744</v>
      </c>
      <c r="O83" s="106" t="s">
        <v>1745</v>
      </c>
      <c r="P83" s="106" t="s">
        <v>1746</v>
      </c>
      <c r="Q83" s="106" t="s">
        <v>1747</v>
      </c>
      <c r="R83" s="106" t="s">
        <v>1748</v>
      </c>
      <c r="S83" s="106" t="s">
        <v>1749</v>
      </c>
      <c r="T83" s="106" t="s">
        <v>1750</v>
      </c>
      <c r="U83" s="106" t="s">
        <v>1751</v>
      </c>
      <c r="V83" s="106" t="s">
        <v>1752</v>
      </c>
      <c r="W83" s="106" t="s">
        <v>1753</v>
      </c>
      <c r="X83" s="106" t="s">
        <v>1754</v>
      </c>
      <c r="Y83" s="106" t="s">
        <v>1755</v>
      </c>
      <c r="Z83" s="106" t="s">
        <v>1756</v>
      </c>
      <c r="AA83" s="106" t="s">
        <v>1757</v>
      </c>
      <c r="AB83" s="106" t="s">
        <v>1758</v>
      </c>
      <c r="AC83" s="106" t="s">
        <v>1759</v>
      </c>
      <c r="AD83" s="106" t="s">
        <v>1760</v>
      </c>
      <c r="AE83" s="106" t="s">
        <v>1761</v>
      </c>
      <c r="AF83" s="106" t="s">
        <v>1762</v>
      </c>
      <c r="AG83" s="106" t="s">
        <v>1763</v>
      </c>
    </row>
    <row r="84" spans="1:33" x14ac:dyDescent="0.2">
      <c r="A84" s="106" t="s">
        <v>1744</v>
      </c>
      <c r="B84" s="453">
        <v>497643</v>
      </c>
      <c r="C84" s="453"/>
      <c r="D84" s="453">
        <v>107499</v>
      </c>
      <c r="E84" s="453"/>
      <c r="F84" s="453">
        <v>161100</v>
      </c>
      <c r="G84" s="453"/>
      <c r="H84" s="453">
        <v>4605</v>
      </c>
      <c r="I84" s="453"/>
      <c r="J84" s="453">
        <f t="shared" ref="J84:J92" si="2">+SUM(B84:I84)</f>
        <v>770847</v>
      </c>
      <c r="K84" s="453"/>
      <c r="M84" s="242">
        <f>F84+H84</f>
        <v>165705</v>
      </c>
      <c r="N84" s="106" t="s">
        <v>1744</v>
      </c>
    </row>
    <row r="85" spans="1:33" x14ac:dyDescent="0.2">
      <c r="A85" s="106" t="s">
        <v>1745</v>
      </c>
      <c r="B85" s="453">
        <v>651695</v>
      </c>
      <c r="C85" s="453"/>
      <c r="D85" s="453"/>
      <c r="E85" s="453"/>
      <c r="F85" s="453">
        <v>16756</v>
      </c>
      <c r="G85" s="453"/>
      <c r="H85" s="453">
        <v>8043</v>
      </c>
      <c r="I85" s="453"/>
      <c r="J85" s="453">
        <f t="shared" si="2"/>
        <v>676494</v>
      </c>
      <c r="K85" s="453"/>
      <c r="L85" s="453"/>
      <c r="M85" s="242">
        <f t="shared" ref="M85:M103" si="3">F85+H85</f>
        <v>24799</v>
      </c>
      <c r="N85" s="106" t="s">
        <v>1745</v>
      </c>
    </row>
    <row r="86" spans="1:33" x14ac:dyDescent="0.2">
      <c r="A86" s="106" t="s">
        <v>1746</v>
      </c>
      <c r="B86" s="453">
        <v>417641</v>
      </c>
      <c r="C86" s="453"/>
      <c r="D86" s="453"/>
      <c r="E86" s="453"/>
      <c r="F86" s="453">
        <v>3041</v>
      </c>
      <c r="G86" s="453"/>
      <c r="H86" s="453">
        <v>9317</v>
      </c>
      <c r="I86" s="453"/>
      <c r="J86" s="453">
        <f t="shared" si="2"/>
        <v>429999</v>
      </c>
      <c r="K86" s="453"/>
      <c r="L86" s="453"/>
      <c r="M86" s="242">
        <f t="shared" si="3"/>
        <v>12358</v>
      </c>
      <c r="N86" s="106" t="s">
        <v>1746</v>
      </c>
    </row>
    <row r="87" spans="1:33" x14ac:dyDescent="0.2">
      <c r="A87" s="106" t="s">
        <v>1747</v>
      </c>
      <c r="B87" s="453">
        <v>560833</v>
      </c>
      <c r="C87" s="453"/>
      <c r="D87" s="453">
        <v>45328</v>
      </c>
      <c r="E87" s="453"/>
      <c r="F87" s="453">
        <v>6149</v>
      </c>
      <c r="G87" s="453"/>
      <c r="H87" s="453">
        <v>12376</v>
      </c>
      <c r="I87" s="453"/>
      <c r="J87" s="453">
        <f t="shared" si="2"/>
        <v>624686</v>
      </c>
      <c r="K87" s="453"/>
      <c r="L87" s="453"/>
      <c r="M87" s="242">
        <f t="shared" si="3"/>
        <v>18525</v>
      </c>
      <c r="N87" s="106" t="s">
        <v>1747</v>
      </c>
    </row>
    <row r="88" spans="1:33" x14ac:dyDescent="0.2">
      <c r="A88" s="106" t="s">
        <v>1748</v>
      </c>
      <c r="B88" s="453">
        <v>660697</v>
      </c>
      <c r="C88" s="453"/>
      <c r="D88" s="453">
        <v>232946</v>
      </c>
      <c r="E88" s="453"/>
      <c r="F88" s="453">
        <v>3449</v>
      </c>
      <c r="G88" s="453"/>
      <c r="H88" s="453">
        <v>10019</v>
      </c>
      <c r="I88" s="453"/>
      <c r="J88" s="453">
        <f t="shared" si="2"/>
        <v>907111</v>
      </c>
      <c r="K88" s="453"/>
      <c r="L88" s="453"/>
      <c r="M88" s="242">
        <f t="shared" si="3"/>
        <v>13468</v>
      </c>
      <c r="N88" s="106" t="s">
        <v>1748</v>
      </c>
    </row>
    <row r="89" spans="1:33" x14ac:dyDescent="0.2">
      <c r="A89" s="106" t="s">
        <v>1749</v>
      </c>
      <c r="B89" s="453">
        <v>512558</v>
      </c>
      <c r="C89" s="453"/>
      <c r="D89" s="453">
        <v>147943</v>
      </c>
      <c r="E89" s="453"/>
      <c r="F89" s="453">
        <v>1602</v>
      </c>
      <c r="G89" s="453"/>
      <c r="H89" s="453">
        <v>11454</v>
      </c>
      <c r="I89" s="453"/>
      <c r="J89" s="453">
        <f t="shared" si="2"/>
        <v>673557</v>
      </c>
      <c r="K89" s="453"/>
      <c r="L89" s="453"/>
      <c r="M89" s="242">
        <f t="shared" si="3"/>
        <v>13056</v>
      </c>
      <c r="N89" s="106" t="s">
        <v>1749</v>
      </c>
    </row>
    <row r="90" spans="1:33" x14ac:dyDescent="0.2">
      <c r="A90" s="106" t="s">
        <v>1750</v>
      </c>
      <c r="B90" s="453">
        <v>356306</v>
      </c>
      <c r="C90" s="453"/>
      <c r="D90" s="453">
        <v>143895</v>
      </c>
      <c r="E90" s="453"/>
      <c r="F90" s="453">
        <v>1850</v>
      </c>
      <c r="G90" s="453"/>
      <c r="H90" s="453">
        <v>17737</v>
      </c>
      <c r="I90" s="453"/>
      <c r="J90" s="453">
        <f t="shared" si="2"/>
        <v>519788</v>
      </c>
      <c r="K90" s="453"/>
      <c r="L90" s="453"/>
      <c r="M90" s="242">
        <f t="shared" si="3"/>
        <v>19587</v>
      </c>
      <c r="N90" s="106" t="s">
        <v>1750</v>
      </c>
    </row>
    <row r="91" spans="1:33" x14ac:dyDescent="0.2">
      <c r="A91" s="106" t="s">
        <v>1751</v>
      </c>
      <c r="B91" s="453">
        <v>357974</v>
      </c>
      <c r="C91" s="453"/>
      <c r="D91" s="453">
        <v>144170</v>
      </c>
      <c r="E91" s="453"/>
      <c r="F91" s="453">
        <v>1429</v>
      </c>
      <c r="G91" s="453"/>
      <c r="H91" s="453">
        <v>18568</v>
      </c>
      <c r="I91" s="453"/>
      <c r="J91" s="453">
        <f t="shared" si="2"/>
        <v>522141</v>
      </c>
      <c r="K91" s="453"/>
      <c r="L91" s="453"/>
      <c r="M91" s="242">
        <f t="shared" si="3"/>
        <v>19997</v>
      </c>
      <c r="N91" s="106" t="s">
        <v>1751</v>
      </c>
    </row>
    <row r="92" spans="1:33" x14ac:dyDescent="0.2">
      <c r="A92" s="106" t="s">
        <v>1752</v>
      </c>
      <c r="B92" s="453">
        <v>258817</v>
      </c>
      <c r="C92" s="453"/>
      <c r="D92" s="453">
        <v>108407</v>
      </c>
      <c r="E92" s="453"/>
      <c r="F92" s="453">
        <v>1837</v>
      </c>
      <c r="G92" s="453"/>
      <c r="H92" s="453">
        <v>13774</v>
      </c>
      <c r="I92" s="453"/>
      <c r="J92" s="453">
        <f t="shared" si="2"/>
        <v>382835</v>
      </c>
      <c r="K92" s="453"/>
      <c r="L92" s="453"/>
      <c r="M92" s="242">
        <f t="shared" si="3"/>
        <v>15611</v>
      </c>
      <c r="N92" s="106" t="s">
        <v>1752</v>
      </c>
    </row>
    <row r="93" spans="1:33" x14ac:dyDescent="0.2">
      <c r="A93" s="106" t="s">
        <v>1753</v>
      </c>
      <c r="B93" s="453">
        <v>27151</v>
      </c>
      <c r="C93" s="453"/>
      <c r="D93" s="453">
        <v>12812</v>
      </c>
      <c r="E93" s="453"/>
      <c r="F93" s="453">
        <v>40</v>
      </c>
      <c r="G93" s="453"/>
      <c r="H93" s="453">
        <v>235</v>
      </c>
      <c r="I93" s="453"/>
      <c r="J93" s="453">
        <v>40246</v>
      </c>
      <c r="L93" s="463">
        <f>+SUM(B93:I93)</f>
        <v>40238</v>
      </c>
      <c r="M93" s="242">
        <f t="shared" si="3"/>
        <v>275</v>
      </c>
      <c r="N93" s="106" t="s">
        <v>1753</v>
      </c>
    </row>
    <row r="94" spans="1:33" x14ac:dyDescent="0.2">
      <c r="A94" s="106" t="s">
        <v>1754</v>
      </c>
      <c r="B94" s="453">
        <v>447882</v>
      </c>
      <c r="C94" s="453"/>
      <c r="D94" s="453">
        <v>206324</v>
      </c>
      <c r="E94" s="453"/>
      <c r="F94" s="453">
        <v>1522</v>
      </c>
      <c r="G94" s="453"/>
      <c r="H94" s="453">
        <v>18364</v>
      </c>
      <c r="I94" s="453"/>
      <c r="J94" s="453">
        <f t="shared" ref="J94:J103" si="4">+SUM(B94:I94)</f>
        <v>674092</v>
      </c>
      <c r="K94" s="453"/>
      <c r="L94" s="453"/>
      <c r="M94" s="242">
        <f t="shared" si="3"/>
        <v>19886</v>
      </c>
      <c r="N94" s="106" t="s">
        <v>1754</v>
      </c>
    </row>
    <row r="95" spans="1:33" x14ac:dyDescent="0.2">
      <c r="A95" s="106" t="s">
        <v>1755</v>
      </c>
      <c r="B95" s="453">
        <v>597938</v>
      </c>
      <c r="C95" s="453"/>
      <c r="D95" s="453">
        <v>250901</v>
      </c>
      <c r="E95" s="453"/>
      <c r="F95" s="453">
        <v>36522</v>
      </c>
      <c r="G95" s="453"/>
      <c r="H95" s="453">
        <v>21731</v>
      </c>
      <c r="I95" s="453"/>
      <c r="J95" s="453">
        <f t="shared" si="4"/>
        <v>907092</v>
      </c>
      <c r="K95" s="453"/>
      <c r="L95" s="453"/>
      <c r="M95" s="242">
        <f t="shared" si="3"/>
        <v>58253</v>
      </c>
      <c r="N95" s="106" t="s">
        <v>1755</v>
      </c>
    </row>
    <row r="96" spans="1:33" x14ac:dyDescent="0.2">
      <c r="A96" s="106" t="s">
        <v>1756</v>
      </c>
      <c r="B96" s="453">
        <v>686729</v>
      </c>
      <c r="C96" s="453"/>
      <c r="D96" s="453">
        <v>283774</v>
      </c>
      <c r="E96" s="453"/>
      <c r="F96" s="453">
        <v>233597</v>
      </c>
      <c r="G96" s="453"/>
      <c r="H96" s="453">
        <v>18110</v>
      </c>
      <c r="I96" s="453"/>
      <c r="J96" s="453">
        <f t="shared" si="4"/>
        <v>1222210</v>
      </c>
      <c r="K96" s="453"/>
      <c r="L96" s="453"/>
      <c r="M96" s="242">
        <f t="shared" si="3"/>
        <v>251707</v>
      </c>
      <c r="N96" s="106" t="s">
        <v>1756</v>
      </c>
    </row>
    <row r="97" spans="1:15" x14ac:dyDescent="0.2">
      <c r="A97" s="106" t="s">
        <v>1757</v>
      </c>
      <c r="B97" s="453">
        <v>823686</v>
      </c>
      <c r="C97" s="453"/>
      <c r="D97" s="453"/>
      <c r="E97" s="453"/>
      <c r="F97" s="453">
        <v>7269</v>
      </c>
      <c r="G97" s="453"/>
      <c r="H97" s="453">
        <v>21103</v>
      </c>
      <c r="I97" s="453"/>
      <c r="J97" s="453">
        <f t="shared" si="4"/>
        <v>852058</v>
      </c>
      <c r="K97" s="453"/>
      <c r="L97" s="453"/>
      <c r="M97" s="242">
        <f t="shared" si="3"/>
        <v>28372</v>
      </c>
      <c r="N97" s="106" t="s">
        <v>1757</v>
      </c>
    </row>
    <row r="98" spans="1:15" x14ac:dyDescent="0.2">
      <c r="A98" s="106" t="s">
        <v>1758</v>
      </c>
      <c r="B98" s="453">
        <v>954696</v>
      </c>
      <c r="C98" s="453"/>
      <c r="D98" s="453"/>
      <c r="E98" s="453"/>
      <c r="F98" s="453">
        <v>23800</v>
      </c>
      <c r="G98" s="453"/>
      <c r="H98" s="453"/>
      <c r="I98" s="453"/>
      <c r="J98" s="453">
        <f t="shared" si="4"/>
        <v>978496</v>
      </c>
      <c r="K98" s="453"/>
      <c r="L98" s="453"/>
      <c r="M98" s="242">
        <f t="shared" si="3"/>
        <v>23800</v>
      </c>
      <c r="N98" s="106" t="s">
        <v>1758</v>
      </c>
    </row>
    <row r="99" spans="1:15" x14ac:dyDescent="0.2">
      <c r="A99" s="106" t="s">
        <v>1759</v>
      </c>
      <c r="B99" s="453">
        <v>839532</v>
      </c>
      <c r="C99" s="453"/>
      <c r="D99" s="453"/>
      <c r="E99" s="453"/>
      <c r="F99" s="453">
        <v>2619</v>
      </c>
      <c r="G99" s="453"/>
      <c r="H99" s="453">
        <v>17577</v>
      </c>
      <c r="I99" s="453"/>
      <c r="J99" s="453">
        <f t="shared" si="4"/>
        <v>859728</v>
      </c>
      <c r="K99" s="453"/>
      <c r="L99" s="453"/>
      <c r="M99" s="242">
        <f t="shared" si="3"/>
        <v>20196</v>
      </c>
      <c r="N99" s="106" t="s">
        <v>1759</v>
      </c>
    </row>
    <row r="100" spans="1:15" x14ac:dyDescent="0.2">
      <c r="A100" s="106" t="s">
        <v>1760</v>
      </c>
      <c r="B100" s="453">
        <v>691247</v>
      </c>
      <c r="C100" s="453"/>
      <c r="D100" s="453"/>
      <c r="E100" s="453"/>
      <c r="F100" s="453">
        <v>11</v>
      </c>
      <c r="G100" s="453"/>
      <c r="H100" s="453">
        <v>11850</v>
      </c>
      <c r="I100" s="453"/>
      <c r="J100" s="453">
        <f t="shared" si="4"/>
        <v>703108</v>
      </c>
      <c r="K100" s="453"/>
      <c r="L100" s="453"/>
      <c r="M100" s="242">
        <f t="shared" si="3"/>
        <v>11861</v>
      </c>
      <c r="N100" s="106" t="s">
        <v>1760</v>
      </c>
    </row>
    <row r="101" spans="1:15" x14ac:dyDescent="0.2">
      <c r="A101" s="106" t="s">
        <v>1761</v>
      </c>
      <c r="B101" s="453">
        <v>688148</v>
      </c>
      <c r="C101" s="453"/>
      <c r="D101" s="453"/>
      <c r="E101" s="453"/>
      <c r="F101" s="453">
        <v>21</v>
      </c>
      <c r="G101" s="453"/>
      <c r="H101" s="453">
        <v>6017</v>
      </c>
      <c r="I101" s="453"/>
      <c r="J101" s="453">
        <f t="shared" si="4"/>
        <v>694186</v>
      </c>
      <c r="K101" s="453"/>
      <c r="L101" s="453"/>
      <c r="M101" s="242">
        <f t="shared" si="3"/>
        <v>6038</v>
      </c>
      <c r="N101" s="106" t="s">
        <v>1761</v>
      </c>
    </row>
    <row r="102" spans="1:15" ht="18" x14ac:dyDescent="0.35">
      <c r="A102" s="106" t="s">
        <v>1762</v>
      </c>
      <c r="B102" s="453">
        <v>814714</v>
      </c>
      <c r="C102" s="453"/>
      <c r="D102" s="451"/>
      <c r="E102" s="453"/>
      <c r="F102" s="453">
        <v>1000</v>
      </c>
      <c r="G102" s="453"/>
      <c r="H102" s="453">
        <v>6134</v>
      </c>
      <c r="I102" s="453"/>
      <c r="J102" s="453">
        <f t="shared" si="4"/>
        <v>821848</v>
      </c>
      <c r="K102" s="453"/>
      <c r="L102" s="453"/>
      <c r="M102" s="242">
        <f t="shared" si="3"/>
        <v>7134</v>
      </c>
      <c r="N102" s="106" t="s">
        <v>1762</v>
      </c>
    </row>
    <row r="103" spans="1:15" ht="18" x14ac:dyDescent="0.35">
      <c r="A103" s="106" t="s">
        <v>1763</v>
      </c>
      <c r="B103" s="464">
        <v>888452</v>
      </c>
      <c r="C103" s="453"/>
      <c r="D103" s="465"/>
      <c r="E103" s="453"/>
      <c r="F103" s="464">
        <v>325</v>
      </c>
      <c r="G103" s="453"/>
      <c r="H103" s="464">
        <v>12792</v>
      </c>
      <c r="I103" s="453"/>
      <c r="J103" s="466">
        <f t="shared" si="4"/>
        <v>901569</v>
      </c>
      <c r="K103" s="453"/>
      <c r="L103" s="453"/>
      <c r="M103" s="242">
        <f t="shared" si="3"/>
        <v>13117</v>
      </c>
      <c r="N103" s="106" t="s">
        <v>1763</v>
      </c>
      <c r="O103" s="467"/>
    </row>
    <row r="104" spans="1:15" x14ac:dyDescent="0.2">
      <c r="A104" s="106" t="s">
        <v>1341</v>
      </c>
      <c r="B104" s="453">
        <v>11734347</v>
      </c>
      <c r="C104" s="453"/>
      <c r="D104" s="453">
        <v>1683999</v>
      </c>
      <c r="E104" s="453"/>
      <c r="F104" s="453">
        <f>+SUM(F84:F103)</f>
        <v>503939</v>
      </c>
      <c r="G104" s="453"/>
      <c r="H104" s="453">
        <f>+SUM(H84:H103)</f>
        <v>239806</v>
      </c>
      <c r="I104" s="453"/>
      <c r="J104" s="453">
        <f>+SUM(J84:J103)</f>
        <v>14162091</v>
      </c>
      <c r="K104" s="453"/>
      <c r="L104" s="453"/>
    </row>
    <row r="105" spans="1:15" x14ac:dyDescent="0.2">
      <c r="B105" s="468">
        <f>+SUM(B84:B103)</f>
        <v>11734339</v>
      </c>
      <c r="D105" s="463"/>
    </row>
    <row r="106" spans="1:15" x14ac:dyDescent="0.2">
      <c r="B106" s="467">
        <f>+B105-B104</f>
        <v>-8</v>
      </c>
    </row>
    <row r="108" spans="1:15" x14ac:dyDescent="0.2">
      <c r="A108" s="469" t="s">
        <v>1764</v>
      </c>
      <c r="B108" s="469"/>
    </row>
    <row r="110" spans="1:15" x14ac:dyDescent="0.2">
      <c r="A110" s="458" t="s">
        <v>1765</v>
      </c>
    </row>
    <row r="112" spans="1:15" x14ac:dyDescent="0.2">
      <c r="A112" s="459" t="s">
        <v>1738</v>
      </c>
      <c r="B112" s="460" t="s">
        <v>1766</v>
      </c>
      <c r="C112" s="460"/>
      <c r="D112" s="390" t="s">
        <v>1767</v>
      </c>
      <c r="E112" s="390"/>
      <c r="F112" s="390" t="s">
        <v>1768</v>
      </c>
      <c r="G112" s="390"/>
      <c r="H112" s="458"/>
      <c r="I112" s="458"/>
    </row>
    <row r="113" spans="1:7" x14ac:dyDescent="0.2">
      <c r="A113" s="106" t="s">
        <v>1756</v>
      </c>
      <c r="B113" s="453">
        <v>641699</v>
      </c>
      <c r="C113" s="106">
        <v>75</v>
      </c>
      <c r="D113" s="453"/>
      <c r="E113" s="453"/>
      <c r="F113" s="453"/>
      <c r="G113" s="453"/>
    </row>
    <row r="114" spans="1:7" x14ac:dyDescent="0.2">
      <c r="A114" s="106" t="s">
        <v>1757</v>
      </c>
      <c r="B114" s="453">
        <v>611346</v>
      </c>
      <c r="C114" s="106">
        <v>75</v>
      </c>
      <c r="D114" s="453"/>
      <c r="E114" s="453"/>
      <c r="F114" s="453">
        <v>30353</v>
      </c>
      <c r="G114" s="453"/>
    </row>
    <row r="115" spans="1:7" x14ac:dyDescent="0.2">
      <c r="A115" s="106" t="s">
        <v>1758</v>
      </c>
      <c r="B115" s="453">
        <v>632367</v>
      </c>
      <c r="C115" s="106">
        <v>50</v>
      </c>
      <c r="D115" s="453">
        <v>21020</v>
      </c>
      <c r="E115" s="453"/>
      <c r="F115" s="453"/>
      <c r="G115" s="453"/>
    </row>
    <row r="116" spans="1:7" x14ac:dyDescent="0.2">
      <c r="A116" s="106" t="s">
        <v>1759</v>
      </c>
      <c r="B116" s="453">
        <v>596428</v>
      </c>
      <c r="C116" s="106">
        <v>46</v>
      </c>
      <c r="D116" s="453"/>
      <c r="E116" s="453"/>
      <c r="F116" s="453">
        <v>35939</v>
      </c>
      <c r="G116" s="453">
        <v>4</v>
      </c>
    </row>
    <row r="117" spans="1:7" x14ac:dyDescent="0.2">
      <c r="A117" s="106" t="s">
        <v>1760</v>
      </c>
      <c r="B117" s="453">
        <v>433642</v>
      </c>
      <c r="C117" s="106">
        <v>36</v>
      </c>
      <c r="D117" s="453"/>
      <c r="E117" s="453"/>
      <c r="F117" s="453">
        <v>162786</v>
      </c>
      <c r="G117" s="453">
        <v>10</v>
      </c>
    </row>
    <row r="118" spans="1:7" x14ac:dyDescent="0.2">
      <c r="A118" s="106" t="s">
        <v>1761</v>
      </c>
      <c r="B118" s="453">
        <v>643091</v>
      </c>
      <c r="C118" s="106">
        <v>4</v>
      </c>
      <c r="D118" s="453">
        <v>209448</v>
      </c>
      <c r="E118" s="453">
        <v>68</v>
      </c>
      <c r="F118" s="453"/>
      <c r="G118" s="453"/>
    </row>
    <row r="119" spans="1:7" x14ac:dyDescent="0.2">
      <c r="A119" s="106" t="s">
        <v>1762</v>
      </c>
      <c r="B119" s="453">
        <v>976116</v>
      </c>
      <c r="C119" s="106">
        <v>88</v>
      </c>
      <c r="D119" s="453">
        <v>333025</v>
      </c>
      <c r="E119" s="453">
        <v>84</v>
      </c>
      <c r="F119" s="453"/>
      <c r="G119" s="453"/>
    </row>
    <row r="120" spans="1:7" x14ac:dyDescent="0.2">
      <c r="A120" s="106" t="s">
        <v>1769</v>
      </c>
      <c r="B120" s="466">
        <v>881460</v>
      </c>
      <c r="C120" s="194">
        <v>93</v>
      </c>
      <c r="D120" s="466"/>
      <c r="E120" s="466"/>
      <c r="F120" s="466">
        <v>94655</v>
      </c>
      <c r="G120" s="466">
        <v>95</v>
      </c>
    </row>
    <row r="121" spans="1:7" x14ac:dyDescent="0.2">
      <c r="A121" s="106" t="s">
        <v>1341</v>
      </c>
      <c r="B121" s="467">
        <v>5416153</v>
      </c>
      <c r="C121" s="467">
        <v>67</v>
      </c>
      <c r="D121" s="467">
        <v>563494</v>
      </c>
      <c r="E121" s="467">
        <v>52</v>
      </c>
      <c r="F121" s="467">
        <v>323754</v>
      </c>
      <c r="G121" s="467">
        <v>9</v>
      </c>
    </row>
    <row r="122" spans="1:7" x14ac:dyDescent="0.2">
      <c r="F122" s="468">
        <f>+SUM(F114:F120)</f>
        <v>323733</v>
      </c>
    </row>
    <row r="125" spans="1:7" x14ac:dyDescent="0.2">
      <c r="A125" s="469" t="s">
        <v>1770</v>
      </c>
      <c r="B125" s="469"/>
    </row>
  </sheetData>
  <mergeCells count="12">
    <mergeCell ref="J82:K82"/>
    <mergeCell ref="A108:B108"/>
    <mergeCell ref="B112:C112"/>
    <mergeCell ref="D112:E112"/>
    <mergeCell ref="F112:G112"/>
    <mergeCell ref="A125:B125"/>
    <mergeCell ref="A63:C63"/>
    <mergeCell ref="A64:C64"/>
    <mergeCell ref="B82:C82"/>
    <mergeCell ref="D82:E82"/>
    <mergeCell ref="F82:G82"/>
    <mergeCell ref="H82:I82"/>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W162"/>
  <sheetViews>
    <sheetView workbookViewId="0">
      <selection activeCell="B1" sqref="B1"/>
    </sheetView>
  </sheetViews>
  <sheetFormatPr baseColWidth="10" defaultColWidth="11.6640625" defaultRowHeight="15" x14ac:dyDescent="0.2"/>
  <cols>
    <col min="1" max="1" width="43.6640625" style="106" customWidth="1"/>
    <col min="2" max="2" width="11.6640625" style="106"/>
    <col min="3" max="3" width="6.1640625" style="106" customWidth="1"/>
    <col min="4" max="4" width="11.6640625" style="106"/>
    <col min="5" max="6" width="6.1640625" style="106" customWidth="1"/>
    <col min="7" max="7" width="11.6640625" style="106"/>
    <col min="8" max="9" width="6.1640625" style="106" customWidth="1"/>
    <col min="10" max="10" width="11.6640625" style="106"/>
    <col min="11" max="12" width="6.1640625" style="106" customWidth="1"/>
    <col min="13" max="13" width="11.6640625" style="106"/>
    <col min="14" max="15" width="6.1640625" style="106" customWidth="1"/>
    <col min="16" max="16" width="11.6640625" style="106"/>
    <col min="17" max="18" width="6.1640625" style="106" customWidth="1"/>
    <col min="19" max="19" width="11.6640625" style="106"/>
    <col min="20" max="21" width="6.1640625" style="106" customWidth="1"/>
    <col min="22" max="22" width="11.6640625" style="106"/>
    <col min="23" max="24" width="6.1640625" style="106" customWidth="1"/>
    <col min="25" max="25" width="11.6640625" style="106"/>
    <col min="26" max="27" width="6.1640625" style="106" customWidth="1"/>
    <col min="28" max="28" width="11.6640625" style="106"/>
    <col min="29" max="30" width="6.1640625" style="106" customWidth="1"/>
    <col min="31" max="31" width="11.6640625" style="106"/>
    <col min="32" max="33" width="6.1640625" style="106" customWidth="1"/>
    <col min="34" max="34" width="11.6640625" style="106"/>
    <col min="35" max="36" width="6.1640625" style="106" customWidth="1"/>
    <col min="37" max="37" width="11.6640625" style="106"/>
    <col min="38" max="39" width="6.1640625" style="106" customWidth="1"/>
    <col min="40" max="40" width="11.6640625" style="106"/>
    <col min="41" max="42" width="6.1640625" style="106" customWidth="1"/>
    <col min="43" max="43" width="11.6640625" style="106"/>
    <col min="44" max="45" width="6.1640625" style="106" customWidth="1"/>
    <col min="46" max="46" width="11.6640625" style="106"/>
    <col min="47" max="48" width="6.1640625" style="106" customWidth="1"/>
    <col min="49" max="49" width="11.6640625" style="106"/>
    <col min="50" max="51" width="6.1640625" style="106" customWidth="1"/>
    <col min="52" max="52" width="11.6640625" style="106"/>
    <col min="53" max="54" width="6.1640625" style="106" customWidth="1"/>
    <col min="55" max="55" width="11.6640625" style="106"/>
    <col min="56" max="57" width="6.1640625" style="106" customWidth="1"/>
    <col min="58" max="58" width="11.6640625" style="106"/>
    <col min="59" max="60" width="6.1640625" style="106" customWidth="1"/>
    <col min="61" max="61" width="11.6640625" style="106"/>
    <col min="62" max="63" width="6.1640625" style="106" customWidth="1"/>
    <col min="64" max="64" width="11.6640625" style="106"/>
    <col min="65" max="66" width="6.1640625" style="106" customWidth="1"/>
    <col min="67" max="67" width="11.6640625" style="106"/>
    <col min="68" max="69" width="6.1640625" style="106" customWidth="1"/>
    <col min="70" max="70" width="11.6640625" style="106"/>
    <col min="71" max="72" width="6.1640625" style="106" customWidth="1"/>
    <col min="73" max="73" width="11.6640625" style="106"/>
    <col min="74" max="75" width="6.1640625" style="106" customWidth="1"/>
    <col min="76" max="76" width="11.6640625" style="106"/>
    <col min="77" max="78" width="6.1640625" style="106" customWidth="1"/>
    <col min="79" max="79" width="11.6640625" style="106"/>
    <col min="80" max="81" width="6.1640625" style="106" customWidth="1"/>
    <col min="82" max="82" width="11.6640625" style="106"/>
    <col min="83" max="84" width="6.1640625" style="106" customWidth="1"/>
    <col min="85" max="85" width="11.6640625" style="106"/>
    <col min="86" max="87" width="6.1640625" style="106" customWidth="1"/>
    <col min="88" max="88" width="11.6640625" style="106"/>
    <col min="89" max="90" width="6.1640625" style="106" customWidth="1"/>
    <col min="91" max="91" width="11.6640625" style="106"/>
    <col min="92" max="93" width="6.1640625" style="106" customWidth="1"/>
    <col min="94" max="94" width="11.6640625" style="106"/>
    <col min="95" max="96" width="6.1640625" style="106" customWidth="1"/>
    <col min="97" max="97" width="11.6640625" style="106"/>
    <col min="98" max="99" width="6.1640625" style="106" customWidth="1"/>
    <col min="100" max="100" width="11.6640625" style="106"/>
    <col min="101" max="102" width="6.1640625" style="106" customWidth="1"/>
    <col min="103" max="103" width="11.6640625" style="106"/>
    <col min="104" max="105" width="6.1640625" style="106" customWidth="1"/>
    <col min="106" max="106" width="11.6640625" style="106"/>
    <col min="107" max="108" width="6.1640625" style="106" customWidth="1"/>
    <col min="109" max="109" width="11.6640625" style="106"/>
    <col min="110" max="111" width="6.1640625" style="106" customWidth="1"/>
    <col min="112" max="112" width="11.6640625" style="106"/>
    <col min="113" max="114" width="6.1640625" style="106" customWidth="1"/>
    <col min="115" max="115" width="11.6640625" style="106"/>
    <col min="116" max="117" width="6.1640625" style="106" customWidth="1"/>
    <col min="118" max="118" width="11.6640625" style="106"/>
    <col min="119" max="120" width="6.1640625" style="106" customWidth="1"/>
    <col min="121" max="121" width="11.6640625" style="106"/>
    <col min="122" max="123" width="6.1640625" style="106" customWidth="1"/>
    <col min="124" max="124" width="11.6640625" style="106"/>
    <col min="125" max="126" width="6.1640625" style="106" customWidth="1"/>
    <col min="127" max="127" width="11.6640625" style="106"/>
    <col min="128" max="129" width="6.1640625" style="106" customWidth="1"/>
    <col min="130" max="130" width="11.6640625" style="106"/>
    <col min="131" max="132" width="6.1640625" style="106" customWidth="1"/>
    <col min="133" max="133" width="11.6640625" style="106"/>
    <col min="134" max="135" width="6.1640625" style="106" customWidth="1"/>
    <col min="136" max="136" width="11.6640625" style="106"/>
    <col min="137" max="138" width="6.1640625" style="106" customWidth="1"/>
    <col min="139" max="139" width="11.6640625" style="106"/>
    <col min="140" max="141" width="6.1640625" style="106" customWidth="1"/>
    <col min="142" max="142" width="11.6640625" style="106"/>
    <col min="143" max="144" width="6.1640625" style="106" customWidth="1"/>
    <col min="145" max="145" width="11.6640625" style="106"/>
    <col min="146" max="147" width="6.1640625" style="106" customWidth="1"/>
    <col min="148" max="148" width="11.6640625" style="106"/>
    <col min="149" max="150" width="6.1640625" style="106" customWidth="1"/>
    <col min="151" max="151" width="11.6640625" style="106"/>
    <col min="152" max="153" width="6.1640625" style="106" customWidth="1"/>
    <col min="154" max="154" width="11.6640625" style="106"/>
    <col min="155" max="156" width="6.1640625" style="106" customWidth="1"/>
    <col min="157" max="157" width="11.6640625" style="106"/>
    <col min="158" max="159" width="6.1640625" style="106" customWidth="1"/>
    <col min="160" max="160" width="11.6640625" style="106"/>
    <col min="161" max="162" width="6.1640625" style="106" customWidth="1"/>
    <col min="163" max="163" width="11.6640625" style="106"/>
    <col min="164" max="165" width="6.1640625" style="106" customWidth="1"/>
    <col min="166" max="166" width="11.6640625" style="106"/>
    <col min="167" max="168" width="6.1640625" style="106" customWidth="1"/>
    <col min="169" max="169" width="11.6640625" style="106"/>
    <col min="170" max="171" width="6.1640625" style="106" customWidth="1"/>
    <col min="172" max="172" width="11.6640625" style="106"/>
    <col min="173" max="174" width="6.1640625" style="106" customWidth="1"/>
    <col min="175" max="175" width="11.6640625" style="106"/>
    <col min="176" max="177" width="6.1640625" style="106" customWidth="1"/>
    <col min="178" max="178" width="11.6640625" style="106"/>
    <col min="179" max="180" width="6.1640625" style="106" customWidth="1"/>
    <col min="181" max="181" width="11.6640625" style="106"/>
    <col min="182" max="183" width="6.1640625" style="106" customWidth="1"/>
    <col min="184" max="184" width="11.6640625" style="106"/>
    <col min="185" max="186" width="6.1640625" style="106" customWidth="1"/>
    <col min="187" max="187" width="11.6640625" style="106"/>
    <col min="188" max="189" width="6.1640625" style="106" customWidth="1"/>
    <col min="190" max="190" width="11.6640625" style="106"/>
    <col min="191" max="192" width="6.1640625" style="106" customWidth="1"/>
    <col min="193" max="193" width="11.6640625" style="106"/>
    <col min="194" max="195" width="6.1640625" style="106" customWidth="1"/>
    <col min="196" max="196" width="11.6640625" style="106"/>
    <col min="197" max="198" width="6.1640625" style="106" customWidth="1"/>
    <col min="199" max="199" width="11.6640625" style="106"/>
    <col min="200" max="201" width="6.1640625" style="106" customWidth="1"/>
    <col min="202" max="202" width="11.6640625" style="106"/>
    <col min="203" max="204" width="6.1640625" style="106" customWidth="1"/>
    <col min="205" max="205" width="11.6640625" style="106"/>
    <col min="206" max="207" width="6.1640625" style="106" customWidth="1"/>
    <col min="208" max="208" width="11.6640625" style="106"/>
    <col min="209" max="210" width="6.1640625" style="106" customWidth="1"/>
    <col min="211" max="211" width="11.6640625" style="106"/>
    <col min="212" max="213" width="6.1640625" style="106" customWidth="1"/>
    <col min="214" max="214" width="11.6640625" style="106"/>
    <col min="215" max="216" width="6.1640625" style="106" customWidth="1"/>
    <col min="217" max="217" width="11.6640625" style="106"/>
    <col min="218" max="219" width="6.1640625" style="106" customWidth="1"/>
    <col min="220" max="220" width="11.6640625" style="106"/>
    <col min="221" max="222" width="6.1640625" style="106" customWidth="1"/>
    <col min="223" max="223" width="11.6640625" style="106"/>
    <col min="224" max="225" width="6.1640625" style="106" customWidth="1"/>
    <col min="226" max="226" width="11.6640625" style="106"/>
    <col min="227" max="228" width="6.1640625" style="106" customWidth="1"/>
    <col min="229" max="229" width="11.6640625" style="106"/>
    <col min="230" max="231" width="6.1640625" style="106" customWidth="1"/>
    <col min="232" max="16384" width="11.6640625" style="106"/>
  </cols>
  <sheetData>
    <row r="1" spans="1:4" x14ac:dyDescent="0.2">
      <c r="A1" s="113" t="s">
        <v>1111</v>
      </c>
    </row>
    <row r="2" spans="1:4" ht="58.25" customHeight="1" x14ac:dyDescent="0.2">
      <c r="A2" s="385" t="s">
        <v>1771</v>
      </c>
      <c r="B2" s="386"/>
      <c r="C2" s="386"/>
      <c r="D2" s="387"/>
    </row>
    <row r="3" spans="1:4" ht="34.25" customHeight="1" x14ac:dyDescent="0.2">
      <c r="A3" s="161" t="s">
        <v>1772</v>
      </c>
      <c r="B3" s="162"/>
      <c r="C3" s="162"/>
      <c r="D3" s="163"/>
    </row>
    <row r="4" spans="1:4" x14ac:dyDescent="0.2">
      <c r="A4" s="178" t="s">
        <v>1773</v>
      </c>
      <c r="B4" s="145">
        <v>1464700</v>
      </c>
      <c r="C4" s="145"/>
      <c r="D4" s="307"/>
    </row>
    <row r="5" spans="1:4" x14ac:dyDescent="0.2">
      <c r="A5" s="178" t="s">
        <v>1774</v>
      </c>
      <c r="B5" s="145">
        <v>2500000</v>
      </c>
      <c r="C5" s="145"/>
      <c r="D5" s="307"/>
    </row>
    <row r="6" spans="1:4" x14ac:dyDescent="0.2">
      <c r="A6" s="178" t="s">
        <v>1775</v>
      </c>
      <c r="B6" s="145">
        <v>20000</v>
      </c>
      <c r="C6" s="145"/>
      <c r="D6" s="307"/>
    </row>
    <row r="7" spans="1:4" x14ac:dyDescent="0.2">
      <c r="A7" s="178" t="s">
        <v>1776</v>
      </c>
      <c r="B7" s="145">
        <v>170000</v>
      </c>
      <c r="C7" s="145"/>
      <c r="D7" s="307"/>
    </row>
    <row r="8" spans="1:4" x14ac:dyDescent="0.2">
      <c r="A8" s="178" t="s">
        <v>1777</v>
      </c>
      <c r="B8" s="145">
        <v>37000</v>
      </c>
      <c r="C8" s="145"/>
      <c r="D8" s="307"/>
    </row>
    <row r="9" spans="1:4" x14ac:dyDescent="0.2">
      <c r="A9" s="178" t="s">
        <v>1778</v>
      </c>
      <c r="B9" s="145">
        <v>4600</v>
      </c>
      <c r="C9" s="145"/>
      <c r="D9" s="307"/>
    </row>
    <row r="10" spans="1:4" ht="16" thickBot="1" x14ac:dyDescent="0.25">
      <c r="A10" s="178" t="s">
        <v>1779</v>
      </c>
      <c r="B10" s="187">
        <v>850000</v>
      </c>
      <c r="C10" s="145"/>
      <c r="D10" s="444">
        <v>5046300</v>
      </c>
    </row>
    <row r="11" spans="1:4" x14ac:dyDescent="0.2">
      <c r="A11" s="178"/>
      <c r="B11" s="145"/>
      <c r="C11" s="145"/>
      <c r="D11" s="188">
        <f>SUM(B4:B10)</f>
        <v>5046300</v>
      </c>
    </row>
    <row r="12" spans="1:4" ht="27" customHeight="1" x14ac:dyDescent="0.2">
      <c r="A12" s="158" t="s">
        <v>1780</v>
      </c>
      <c r="B12" s="159"/>
      <c r="C12" s="159"/>
      <c r="D12" s="160"/>
    </row>
    <row r="13" spans="1:4" x14ac:dyDescent="0.2">
      <c r="A13" s="164" t="s">
        <v>1781</v>
      </c>
      <c r="B13" s="145">
        <v>931552</v>
      </c>
      <c r="C13" s="134" t="s">
        <v>1782</v>
      </c>
      <c r="D13" s="307"/>
    </row>
    <row r="14" spans="1:4" x14ac:dyDescent="0.2">
      <c r="A14" s="164" t="s">
        <v>1783</v>
      </c>
      <c r="B14" s="145">
        <v>570835</v>
      </c>
      <c r="C14" s="134" t="s">
        <v>1784</v>
      </c>
      <c r="D14" s="307"/>
    </row>
    <row r="15" spans="1:4" x14ac:dyDescent="0.2">
      <c r="A15" s="164" t="s">
        <v>1785</v>
      </c>
      <c r="B15" s="145">
        <v>170432</v>
      </c>
      <c r="C15" s="134"/>
      <c r="D15" s="307"/>
    </row>
    <row r="16" spans="1:4" x14ac:dyDescent="0.2">
      <c r="A16" s="164" t="s">
        <v>1786</v>
      </c>
      <c r="B16" s="145">
        <v>692209</v>
      </c>
      <c r="C16" s="134" t="s">
        <v>1787</v>
      </c>
      <c r="D16" s="307"/>
    </row>
    <row r="17" spans="1:4" ht="32" customHeight="1" x14ac:dyDescent="0.2">
      <c r="A17" s="178" t="s">
        <v>1788</v>
      </c>
      <c r="B17" s="145">
        <v>869131</v>
      </c>
      <c r="C17" s="134" t="s">
        <v>1789</v>
      </c>
      <c r="D17" s="307"/>
    </row>
    <row r="18" spans="1:4" ht="16" thickBot="1" x14ac:dyDescent="0.25">
      <c r="A18" s="164" t="s">
        <v>1790</v>
      </c>
      <c r="B18" s="187">
        <v>77400</v>
      </c>
      <c r="C18" s="134" t="s">
        <v>1791</v>
      </c>
      <c r="D18" s="444">
        <v>3311559</v>
      </c>
    </row>
    <row r="19" spans="1:4" x14ac:dyDescent="0.2">
      <c r="A19" s="151" t="s">
        <v>1792</v>
      </c>
      <c r="B19" s="194"/>
      <c r="C19" s="194"/>
      <c r="D19" s="364">
        <v>1734559</v>
      </c>
    </row>
    <row r="20" spans="1:4" x14ac:dyDescent="0.2">
      <c r="D20" s="321">
        <f>SUM(B13:B18)</f>
        <v>3311559</v>
      </c>
    </row>
    <row r="21" spans="1:4" x14ac:dyDescent="0.2">
      <c r="D21" s="321">
        <f>D11-D20</f>
        <v>1734741</v>
      </c>
    </row>
    <row r="22" spans="1:4" ht="29.5" customHeight="1" x14ac:dyDescent="0.2">
      <c r="A22" s="470" t="s">
        <v>1793</v>
      </c>
      <c r="B22" s="470"/>
      <c r="C22" s="470"/>
      <c r="D22" s="470"/>
    </row>
    <row r="23" spans="1:4" ht="57.5" customHeight="1" x14ac:dyDescent="0.2">
      <c r="A23" s="470" t="s">
        <v>1794</v>
      </c>
      <c r="B23" s="470"/>
      <c r="C23" s="470"/>
      <c r="D23" s="470"/>
    </row>
    <row r="24" spans="1:4" ht="42" customHeight="1" x14ac:dyDescent="0.2">
      <c r="A24" s="470" t="s">
        <v>1795</v>
      </c>
      <c r="B24" s="470"/>
      <c r="C24" s="470"/>
      <c r="D24" s="470"/>
    </row>
    <row r="25" spans="1:4" x14ac:dyDescent="0.2">
      <c r="A25" s="470" t="s">
        <v>1796</v>
      </c>
      <c r="B25" s="470"/>
      <c r="C25" s="470"/>
      <c r="D25" s="470"/>
    </row>
    <row r="26" spans="1:4" ht="29" customHeight="1" x14ac:dyDescent="0.2">
      <c r="A26" s="470" t="s">
        <v>1797</v>
      </c>
      <c r="B26" s="470"/>
      <c r="C26" s="470"/>
      <c r="D26" s="470"/>
    </row>
    <row r="153" spans="2:231" x14ac:dyDescent="0.2">
      <c r="B153" s="143"/>
      <c r="C153" s="143"/>
      <c r="D153" s="143"/>
      <c r="E153" s="143"/>
      <c r="F153" s="143"/>
      <c r="G153" s="143"/>
      <c r="H153" s="143"/>
      <c r="I153" s="143"/>
      <c r="J153" s="143"/>
      <c r="K153" s="143"/>
      <c r="L153" s="143"/>
      <c r="M153" s="143"/>
      <c r="N153" s="143"/>
      <c r="O153" s="143"/>
      <c r="P153" s="143"/>
      <c r="Q153" s="143"/>
      <c r="R153" s="143"/>
      <c r="S153" s="143"/>
      <c r="T153" s="143"/>
      <c r="U153" s="143"/>
      <c r="V153" s="143"/>
      <c r="W153" s="143"/>
      <c r="X153" s="143"/>
      <c r="Y153" s="143"/>
      <c r="Z153" s="143"/>
      <c r="AA153" s="143"/>
      <c r="AB153" s="143"/>
      <c r="AC153" s="143"/>
      <c r="AD153" s="143"/>
      <c r="AE153" s="143"/>
      <c r="AF153" s="143"/>
      <c r="AG153" s="143"/>
      <c r="AH153" s="143"/>
      <c r="AI153" s="143"/>
      <c r="AJ153" s="143"/>
      <c r="AK153" s="143"/>
      <c r="AL153" s="143"/>
      <c r="AM153" s="143"/>
      <c r="AN153" s="143"/>
      <c r="AO153" s="143"/>
      <c r="AP153" s="143"/>
      <c r="AQ153" s="143"/>
      <c r="AR153" s="143"/>
      <c r="AS153" s="143"/>
      <c r="AT153" s="143"/>
      <c r="AU153" s="143"/>
      <c r="AV153" s="143"/>
      <c r="AW153" s="143"/>
      <c r="AX153" s="143"/>
      <c r="AY153" s="143"/>
      <c r="AZ153" s="143"/>
      <c r="BA153" s="143"/>
      <c r="BB153" s="143"/>
      <c r="BC153" s="143"/>
      <c r="BD153" s="143"/>
      <c r="BE153" s="143"/>
      <c r="BF153" s="143"/>
      <c r="BG153" s="143"/>
      <c r="BH153" s="143"/>
      <c r="BI153" s="143"/>
      <c r="BJ153" s="143"/>
      <c r="BK153" s="143"/>
      <c r="BL153" s="143"/>
      <c r="BM153" s="143"/>
      <c r="BN153" s="143"/>
      <c r="BO153" s="143"/>
      <c r="BP153" s="143"/>
      <c r="BQ153" s="143"/>
      <c r="BR153" s="143"/>
      <c r="BS153" s="143"/>
      <c r="BT153" s="143"/>
      <c r="BU153" s="143"/>
      <c r="BV153" s="143"/>
      <c r="BW153" s="143"/>
      <c r="BX153" s="143"/>
      <c r="BY153" s="143"/>
      <c r="BZ153" s="143"/>
      <c r="CA153" s="143"/>
      <c r="CB153" s="143"/>
      <c r="CC153" s="143"/>
      <c r="CD153" s="143"/>
      <c r="CE153" s="143"/>
      <c r="CF153" s="143"/>
      <c r="CG153" s="143"/>
      <c r="CH153" s="143"/>
      <c r="CI153" s="143"/>
      <c r="CJ153" s="143"/>
      <c r="CK153" s="143"/>
      <c r="CL153" s="143"/>
      <c r="CM153" s="143"/>
      <c r="CN153" s="143"/>
      <c r="CO153" s="143"/>
      <c r="CP153" s="143"/>
      <c r="CQ153" s="143"/>
      <c r="CR153" s="143"/>
      <c r="CS153" s="143"/>
      <c r="CT153" s="143"/>
      <c r="CU153" s="143"/>
      <c r="CV153" s="143"/>
      <c r="CW153" s="143"/>
      <c r="CX153" s="143"/>
      <c r="CY153" s="143"/>
      <c r="CZ153" s="143"/>
      <c r="DA153" s="143"/>
      <c r="DB153" s="143"/>
      <c r="DC153" s="143"/>
      <c r="DD153" s="143"/>
      <c r="DE153" s="143"/>
      <c r="DF153" s="143"/>
      <c r="DG153" s="143"/>
      <c r="DH153" s="143"/>
      <c r="DI153" s="143"/>
      <c r="DJ153" s="143"/>
      <c r="DK153" s="143"/>
      <c r="DL153" s="143"/>
      <c r="DM153" s="143"/>
      <c r="DN153" s="143"/>
      <c r="DO153" s="143"/>
      <c r="DP153" s="143"/>
      <c r="DQ153" s="143"/>
      <c r="DR153" s="143"/>
      <c r="DS153" s="143"/>
      <c r="DT153" s="143"/>
      <c r="DU153" s="143"/>
      <c r="DV153" s="143"/>
      <c r="DW153" s="143"/>
      <c r="DX153" s="143"/>
      <c r="DY153" s="143"/>
      <c r="DZ153" s="143"/>
      <c r="EA153" s="143"/>
      <c r="EB153" s="143"/>
      <c r="EC153" s="143"/>
      <c r="ED153" s="143"/>
      <c r="EE153" s="143"/>
      <c r="EF153" s="143"/>
      <c r="EG153" s="143"/>
      <c r="EH153" s="143"/>
      <c r="EI153" s="143"/>
      <c r="EJ153" s="143"/>
      <c r="EK153" s="143"/>
      <c r="EL153" s="143"/>
      <c r="EM153" s="143"/>
      <c r="EN153" s="143"/>
      <c r="EO153" s="143"/>
      <c r="EP153" s="143"/>
      <c r="EQ153" s="143"/>
      <c r="ER153" s="143"/>
      <c r="ES153" s="143"/>
      <c r="ET153" s="143"/>
      <c r="EU153" s="143"/>
      <c r="EV153" s="143"/>
      <c r="EW153" s="143"/>
      <c r="EX153" s="143"/>
      <c r="EY153" s="143"/>
      <c r="EZ153" s="143"/>
      <c r="FA153" s="143"/>
      <c r="FB153" s="143"/>
      <c r="FC153" s="143"/>
      <c r="FD153" s="143"/>
      <c r="FE153" s="143"/>
      <c r="FF153" s="143"/>
      <c r="FG153" s="143"/>
      <c r="FH153" s="143"/>
      <c r="FI153" s="143"/>
      <c r="FJ153" s="143"/>
      <c r="FK153" s="143"/>
      <c r="FL153" s="143"/>
      <c r="FM153" s="143"/>
      <c r="FN153" s="143"/>
      <c r="FO153" s="143"/>
      <c r="FP153" s="143"/>
      <c r="FQ153" s="143"/>
      <c r="FR153" s="143"/>
      <c r="FS153" s="143"/>
      <c r="FT153" s="143"/>
      <c r="FU153" s="143"/>
      <c r="FV153" s="143"/>
      <c r="FW153" s="143"/>
      <c r="FX153" s="143"/>
      <c r="FY153" s="143"/>
      <c r="FZ153" s="143"/>
      <c r="GA153" s="143"/>
      <c r="GB153" s="143"/>
      <c r="GC153" s="143"/>
      <c r="GD153" s="143"/>
      <c r="GE153" s="143"/>
      <c r="GF153" s="143"/>
      <c r="GG153" s="143"/>
      <c r="GH153" s="143"/>
      <c r="GI153" s="143"/>
      <c r="GJ153" s="143"/>
      <c r="GK153" s="143"/>
      <c r="GL153" s="143"/>
      <c r="GM153" s="143"/>
      <c r="GN153" s="143"/>
      <c r="GO153" s="143"/>
      <c r="GP153" s="143"/>
      <c r="GQ153" s="143"/>
      <c r="GR153" s="143"/>
      <c r="GS153" s="143"/>
      <c r="GT153" s="143"/>
      <c r="GU153" s="143"/>
      <c r="GV153" s="143"/>
      <c r="GW153" s="143"/>
      <c r="GX153" s="143"/>
      <c r="GY153" s="143"/>
      <c r="GZ153" s="143"/>
      <c r="HA153" s="143"/>
      <c r="HB153" s="143"/>
      <c r="HC153" s="143"/>
      <c r="HD153" s="143"/>
      <c r="HE153" s="143"/>
      <c r="HF153" s="143"/>
      <c r="HG153" s="143"/>
      <c r="HH153" s="143"/>
      <c r="HI153" s="143"/>
      <c r="HJ153" s="143"/>
      <c r="HK153" s="143"/>
      <c r="HL153" s="143"/>
      <c r="HM153" s="143"/>
      <c r="HN153" s="143"/>
      <c r="HO153" s="143"/>
      <c r="HP153" s="143"/>
      <c r="HQ153" s="143"/>
      <c r="HR153" s="143"/>
      <c r="HS153" s="143"/>
      <c r="HT153" s="143"/>
      <c r="HU153" s="143"/>
      <c r="HV153" s="143"/>
      <c r="HW153" s="143"/>
    </row>
    <row r="154" spans="2:231" x14ac:dyDescent="0.2">
      <c r="B154" s="143"/>
      <c r="C154" s="143"/>
      <c r="D154" s="143"/>
      <c r="E154" s="143"/>
      <c r="F154" s="143"/>
      <c r="G154" s="143"/>
      <c r="H154" s="143"/>
      <c r="I154" s="143"/>
      <c r="J154" s="143"/>
      <c r="K154" s="143"/>
      <c r="L154" s="143"/>
      <c r="M154" s="143"/>
      <c r="N154" s="143"/>
      <c r="O154" s="143"/>
      <c r="P154" s="143"/>
      <c r="Q154" s="143"/>
      <c r="R154" s="143"/>
      <c r="S154" s="143"/>
      <c r="T154" s="143"/>
      <c r="U154" s="143"/>
      <c r="V154" s="143"/>
      <c r="W154" s="143"/>
      <c r="X154" s="143"/>
      <c r="Y154" s="143"/>
      <c r="Z154" s="143"/>
      <c r="AA154" s="143"/>
      <c r="AB154" s="143"/>
      <c r="AC154" s="143"/>
      <c r="AD154" s="143"/>
      <c r="AE154" s="143"/>
      <c r="AF154" s="143"/>
      <c r="AG154" s="143"/>
      <c r="AH154" s="143"/>
      <c r="AI154" s="143"/>
      <c r="AJ154" s="143"/>
      <c r="AK154" s="143"/>
      <c r="AL154" s="143"/>
      <c r="AM154" s="143"/>
      <c r="AN154" s="143"/>
      <c r="AO154" s="143"/>
      <c r="AP154" s="143"/>
      <c r="AQ154" s="143"/>
      <c r="AR154" s="143"/>
      <c r="AS154" s="143"/>
      <c r="AT154" s="143"/>
      <c r="AU154" s="143"/>
      <c r="AV154" s="143"/>
      <c r="AW154" s="143"/>
      <c r="AX154" s="143"/>
      <c r="AY154" s="143"/>
      <c r="AZ154" s="143"/>
      <c r="BA154" s="143"/>
      <c r="BB154" s="143"/>
      <c r="BC154" s="143"/>
      <c r="BD154" s="143"/>
      <c r="BE154" s="143"/>
      <c r="BF154" s="143"/>
      <c r="BG154" s="143"/>
      <c r="BH154" s="143"/>
      <c r="BI154" s="143"/>
      <c r="BJ154" s="143"/>
      <c r="BK154" s="143"/>
      <c r="BL154" s="143"/>
      <c r="BM154" s="143"/>
      <c r="BN154" s="143"/>
      <c r="BO154" s="143"/>
      <c r="BP154" s="143"/>
      <c r="BQ154" s="143"/>
      <c r="BR154" s="143"/>
      <c r="BS154" s="143"/>
      <c r="BT154" s="143"/>
      <c r="BU154" s="143"/>
      <c r="BV154" s="143"/>
      <c r="BW154" s="143"/>
      <c r="BX154" s="143"/>
      <c r="BY154" s="143"/>
      <c r="BZ154" s="143"/>
      <c r="CA154" s="143"/>
      <c r="CB154" s="143"/>
      <c r="CC154" s="143"/>
      <c r="CD154" s="143"/>
      <c r="CE154" s="143"/>
      <c r="CF154" s="143"/>
      <c r="CG154" s="143"/>
      <c r="CH154" s="143"/>
      <c r="CI154" s="143"/>
      <c r="CJ154" s="143"/>
      <c r="CK154" s="143"/>
      <c r="CL154" s="143"/>
      <c r="CM154" s="143"/>
      <c r="CN154" s="143"/>
      <c r="CO154" s="143"/>
      <c r="CP154" s="143"/>
      <c r="CQ154" s="143"/>
      <c r="CR154" s="143"/>
      <c r="CS154" s="143"/>
      <c r="CT154" s="143"/>
      <c r="CU154" s="143"/>
      <c r="CV154" s="143"/>
      <c r="CW154" s="143"/>
      <c r="CX154" s="143"/>
      <c r="CY154" s="143"/>
      <c r="CZ154" s="143"/>
      <c r="DA154" s="143"/>
      <c r="DB154" s="143"/>
      <c r="DC154" s="143"/>
      <c r="DD154" s="143"/>
      <c r="DE154" s="143"/>
      <c r="DF154" s="143"/>
      <c r="DG154" s="143"/>
      <c r="DH154" s="143"/>
      <c r="DI154" s="143"/>
      <c r="DJ154" s="143"/>
      <c r="DK154" s="143"/>
      <c r="DL154" s="143"/>
      <c r="DM154" s="143"/>
      <c r="DN154" s="143"/>
      <c r="DO154" s="143"/>
      <c r="DP154" s="143"/>
      <c r="DQ154" s="143"/>
      <c r="DR154" s="143"/>
      <c r="DS154" s="143"/>
      <c r="DT154" s="143"/>
      <c r="DU154" s="143"/>
      <c r="DV154" s="143"/>
      <c r="DW154" s="143"/>
      <c r="DX154" s="143"/>
      <c r="DY154" s="143"/>
      <c r="DZ154" s="143"/>
      <c r="EA154" s="143"/>
      <c r="EB154" s="143"/>
      <c r="EC154" s="143"/>
      <c r="ED154" s="143"/>
      <c r="EE154" s="143"/>
      <c r="EF154" s="143"/>
      <c r="EG154" s="143"/>
      <c r="EH154" s="143"/>
      <c r="EI154" s="143"/>
      <c r="EJ154" s="143"/>
      <c r="EK154" s="143"/>
      <c r="EL154" s="143"/>
      <c r="EM154" s="143"/>
      <c r="EN154" s="143"/>
      <c r="EO154" s="143"/>
      <c r="EP154" s="143"/>
      <c r="EQ154" s="143"/>
      <c r="ER154" s="143"/>
      <c r="ES154" s="143"/>
      <c r="ET154" s="143"/>
      <c r="EU154" s="143"/>
      <c r="EV154" s="143"/>
      <c r="EW154" s="143"/>
      <c r="EX154" s="143"/>
      <c r="EY154" s="143"/>
      <c r="EZ154" s="143"/>
      <c r="FA154" s="143"/>
      <c r="FB154" s="143"/>
      <c r="FC154" s="143"/>
      <c r="FD154" s="143"/>
      <c r="FE154" s="143"/>
      <c r="FF154" s="143"/>
      <c r="FG154" s="143"/>
      <c r="FH154" s="143"/>
      <c r="FI154" s="143"/>
      <c r="FJ154" s="143"/>
      <c r="FK154" s="143"/>
      <c r="FL154" s="143"/>
      <c r="FM154" s="143"/>
      <c r="FN154" s="143"/>
      <c r="FO154" s="143"/>
      <c r="FP154" s="143"/>
      <c r="FQ154" s="143"/>
      <c r="FR154" s="143"/>
      <c r="FS154" s="143"/>
      <c r="FT154" s="143"/>
      <c r="FU154" s="143"/>
      <c r="FV154" s="143"/>
      <c r="FW154" s="143"/>
      <c r="FX154" s="143"/>
      <c r="FY154" s="143"/>
      <c r="FZ154" s="143"/>
      <c r="GA154" s="143"/>
      <c r="GB154" s="143"/>
      <c r="GC154" s="143"/>
      <c r="GD154" s="143"/>
      <c r="GE154" s="143"/>
      <c r="GF154" s="143"/>
      <c r="GG154" s="143"/>
      <c r="GH154" s="143"/>
      <c r="GI154" s="143"/>
      <c r="GJ154" s="143"/>
      <c r="GK154" s="143"/>
      <c r="GL154" s="143"/>
      <c r="GM154" s="143"/>
      <c r="GN154" s="143"/>
      <c r="GO154" s="143"/>
      <c r="GP154" s="143"/>
      <c r="GQ154" s="143"/>
      <c r="GR154" s="143"/>
      <c r="GS154" s="143"/>
      <c r="GT154" s="143"/>
      <c r="GU154" s="143"/>
      <c r="GV154" s="143"/>
      <c r="GW154" s="143"/>
      <c r="GX154" s="143"/>
      <c r="GY154" s="143"/>
      <c r="GZ154" s="143"/>
      <c r="HA154" s="143"/>
      <c r="HB154" s="143"/>
      <c r="HC154" s="143"/>
      <c r="HD154" s="143"/>
      <c r="HE154" s="143"/>
      <c r="HF154" s="143"/>
      <c r="HG154" s="143"/>
      <c r="HH154" s="143"/>
      <c r="HI154" s="143"/>
      <c r="HJ154" s="143"/>
      <c r="HK154" s="143"/>
      <c r="HL154" s="143"/>
      <c r="HM154" s="143"/>
      <c r="HN154" s="143"/>
      <c r="HO154" s="143"/>
      <c r="HP154" s="143"/>
      <c r="HQ154" s="143"/>
      <c r="HR154" s="143"/>
      <c r="HS154" s="143"/>
      <c r="HT154" s="143"/>
      <c r="HU154" s="143"/>
      <c r="HV154" s="143"/>
      <c r="HW154" s="143"/>
    </row>
    <row r="156" spans="2:231" x14ac:dyDescent="0.2">
      <c r="B156" s="143"/>
      <c r="C156" s="143"/>
      <c r="D156" s="143"/>
      <c r="E156" s="143"/>
      <c r="F156" s="143"/>
      <c r="G156" s="143"/>
      <c r="H156" s="143"/>
      <c r="I156" s="143"/>
      <c r="J156" s="143"/>
      <c r="K156" s="143"/>
      <c r="L156" s="143"/>
      <c r="M156" s="143"/>
      <c r="N156" s="143"/>
      <c r="O156" s="143"/>
      <c r="P156" s="143"/>
      <c r="Q156" s="143"/>
      <c r="R156" s="143"/>
      <c r="S156" s="143"/>
      <c r="T156" s="143"/>
      <c r="U156" s="143"/>
      <c r="V156" s="143"/>
      <c r="W156" s="143"/>
      <c r="X156" s="143"/>
      <c r="Y156" s="143"/>
      <c r="Z156" s="143"/>
      <c r="AA156" s="143"/>
      <c r="AB156" s="143"/>
      <c r="AC156" s="143"/>
      <c r="AD156" s="143"/>
      <c r="AE156" s="143"/>
      <c r="AF156" s="143"/>
      <c r="AG156" s="143"/>
      <c r="AH156" s="143"/>
      <c r="AI156" s="143"/>
      <c r="AJ156" s="143"/>
      <c r="AK156" s="143"/>
      <c r="AL156" s="143"/>
      <c r="AM156" s="143"/>
      <c r="AN156" s="143"/>
      <c r="AO156" s="143"/>
      <c r="AP156" s="143"/>
      <c r="AQ156" s="143"/>
      <c r="AR156" s="143"/>
      <c r="AS156" s="143"/>
      <c r="AT156" s="143"/>
      <c r="AU156" s="143"/>
      <c r="AV156" s="143"/>
      <c r="AW156" s="143"/>
      <c r="AX156" s="143"/>
      <c r="AY156" s="143"/>
      <c r="AZ156" s="143"/>
      <c r="BA156" s="143"/>
      <c r="BB156" s="143"/>
      <c r="BC156" s="143"/>
      <c r="BD156" s="143"/>
      <c r="BE156" s="143"/>
      <c r="BF156" s="143"/>
      <c r="BG156" s="143"/>
      <c r="BH156" s="143"/>
      <c r="BI156" s="143"/>
      <c r="BJ156" s="143"/>
      <c r="BK156" s="143"/>
      <c r="BL156" s="143"/>
      <c r="BM156" s="143"/>
      <c r="BN156" s="143"/>
      <c r="BO156" s="143"/>
      <c r="BP156" s="143"/>
      <c r="BQ156" s="143"/>
      <c r="BR156" s="143"/>
      <c r="BS156" s="143"/>
      <c r="BT156" s="143"/>
      <c r="BU156" s="143"/>
      <c r="BV156" s="143"/>
      <c r="BW156" s="143"/>
      <c r="BX156" s="143"/>
      <c r="BY156" s="143"/>
      <c r="BZ156" s="143"/>
      <c r="CA156" s="143"/>
      <c r="CB156" s="143"/>
      <c r="CC156" s="143"/>
      <c r="CD156" s="143"/>
      <c r="CE156" s="143"/>
      <c r="CF156" s="143"/>
      <c r="CG156" s="143"/>
      <c r="CH156" s="143"/>
      <c r="CI156" s="143"/>
      <c r="CJ156" s="143"/>
      <c r="CK156" s="143"/>
      <c r="CL156" s="143"/>
      <c r="CM156" s="143"/>
      <c r="CN156" s="143"/>
      <c r="CO156" s="143"/>
      <c r="CP156" s="143"/>
      <c r="CQ156" s="143"/>
      <c r="CR156" s="143"/>
      <c r="CS156" s="143"/>
      <c r="CT156" s="143"/>
      <c r="CU156" s="143"/>
      <c r="CV156" s="143"/>
      <c r="CW156" s="143"/>
      <c r="CX156" s="143"/>
      <c r="CY156" s="143"/>
      <c r="CZ156" s="143"/>
      <c r="DA156" s="143"/>
      <c r="DB156" s="143"/>
      <c r="DC156" s="143"/>
      <c r="DD156" s="143"/>
      <c r="DE156" s="143"/>
      <c r="DF156" s="143"/>
      <c r="DG156" s="143"/>
      <c r="DH156" s="143"/>
      <c r="DI156" s="143"/>
      <c r="DJ156" s="143"/>
      <c r="DK156" s="143"/>
      <c r="DL156" s="143"/>
      <c r="DM156" s="143"/>
      <c r="DN156" s="143"/>
      <c r="DO156" s="143"/>
      <c r="DP156" s="143"/>
      <c r="DQ156" s="143"/>
      <c r="DR156" s="143"/>
      <c r="DS156" s="143"/>
      <c r="DT156" s="143"/>
      <c r="DU156" s="143"/>
      <c r="DV156" s="143"/>
      <c r="DW156" s="143"/>
      <c r="DX156" s="143"/>
      <c r="DY156" s="143"/>
      <c r="DZ156" s="143"/>
      <c r="EA156" s="143"/>
      <c r="EB156" s="143"/>
      <c r="EC156" s="143"/>
      <c r="ED156" s="143"/>
      <c r="EE156" s="143"/>
      <c r="EF156" s="143"/>
      <c r="EG156" s="143"/>
      <c r="EH156" s="143"/>
      <c r="EI156" s="143"/>
      <c r="EJ156" s="143"/>
      <c r="EK156" s="143"/>
      <c r="EL156" s="143"/>
      <c r="EM156" s="143"/>
      <c r="EN156" s="143"/>
      <c r="EO156" s="143"/>
      <c r="EP156" s="143"/>
      <c r="EQ156" s="143"/>
      <c r="ER156" s="143"/>
      <c r="ES156" s="143"/>
      <c r="ET156" s="143"/>
      <c r="EU156" s="143"/>
      <c r="EV156" s="143"/>
      <c r="EW156" s="143"/>
      <c r="EX156" s="143"/>
      <c r="EY156" s="143"/>
      <c r="EZ156" s="143"/>
      <c r="FA156" s="143"/>
      <c r="FB156" s="143"/>
      <c r="FC156" s="143"/>
      <c r="FD156" s="143"/>
      <c r="FE156" s="143"/>
      <c r="FF156" s="143"/>
      <c r="FG156" s="143"/>
      <c r="FH156" s="143"/>
      <c r="FI156" s="143"/>
      <c r="FJ156" s="143"/>
      <c r="FK156" s="143"/>
      <c r="FL156" s="143"/>
      <c r="FM156" s="143"/>
      <c r="FN156" s="143"/>
      <c r="FO156" s="143"/>
      <c r="FP156" s="143"/>
      <c r="FQ156" s="143"/>
      <c r="FR156" s="143"/>
      <c r="FS156" s="143"/>
      <c r="FT156" s="143"/>
      <c r="FU156" s="143"/>
      <c r="FV156" s="143"/>
      <c r="FW156" s="143"/>
      <c r="FX156" s="143"/>
      <c r="FY156" s="143"/>
      <c r="FZ156" s="143"/>
      <c r="GA156" s="143"/>
      <c r="GB156" s="143"/>
      <c r="GC156" s="143"/>
      <c r="GD156" s="143"/>
      <c r="GE156" s="143"/>
      <c r="GF156" s="143"/>
      <c r="GG156" s="143"/>
      <c r="GH156" s="143"/>
      <c r="GI156" s="143"/>
      <c r="GJ156" s="143"/>
      <c r="GK156" s="143"/>
      <c r="GL156" s="143"/>
      <c r="GM156" s="143"/>
      <c r="GN156" s="143"/>
      <c r="GO156" s="143"/>
      <c r="GP156" s="143"/>
      <c r="GQ156" s="143"/>
      <c r="GR156" s="143"/>
      <c r="GS156" s="143"/>
      <c r="GT156" s="143"/>
      <c r="GU156" s="143"/>
      <c r="GV156" s="143"/>
      <c r="GW156" s="143"/>
      <c r="GX156" s="143"/>
      <c r="GY156" s="143"/>
      <c r="GZ156" s="143"/>
      <c r="HA156" s="143"/>
      <c r="HB156" s="143"/>
      <c r="HC156" s="143"/>
      <c r="HD156" s="143"/>
      <c r="HE156" s="143"/>
      <c r="HF156" s="143"/>
      <c r="HG156" s="143"/>
      <c r="HH156" s="143"/>
      <c r="HI156" s="143"/>
      <c r="HJ156" s="143"/>
      <c r="HK156" s="143"/>
      <c r="HL156" s="143"/>
      <c r="HM156" s="143"/>
      <c r="HN156" s="143"/>
      <c r="HO156" s="143"/>
      <c r="HP156" s="143"/>
      <c r="HQ156" s="143"/>
      <c r="HR156" s="143"/>
      <c r="HS156" s="143"/>
      <c r="HT156" s="143"/>
      <c r="HU156" s="143"/>
      <c r="HV156" s="143"/>
      <c r="HW156" s="143"/>
    </row>
    <row r="158" spans="2:231" x14ac:dyDescent="0.2">
      <c r="B158" s="143"/>
      <c r="C158" s="143"/>
      <c r="D158" s="143"/>
      <c r="E158" s="143"/>
      <c r="F158" s="143"/>
      <c r="G158" s="143"/>
      <c r="H158" s="143"/>
      <c r="I158" s="143"/>
      <c r="J158" s="143"/>
      <c r="K158" s="143"/>
      <c r="L158" s="143"/>
      <c r="M158" s="143"/>
      <c r="N158" s="143"/>
      <c r="O158" s="143"/>
      <c r="P158" s="143"/>
      <c r="Q158" s="143"/>
      <c r="R158" s="143"/>
      <c r="S158" s="143"/>
      <c r="T158" s="143"/>
      <c r="U158" s="143"/>
      <c r="V158" s="143"/>
      <c r="W158" s="143"/>
      <c r="X158" s="143"/>
      <c r="Y158" s="143"/>
      <c r="Z158" s="143"/>
      <c r="AA158" s="143"/>
      <c r="AB158" s="143"/>
      <c r="AC158" s="143"/>
      <c r="AD158" s="143"/>
      <c r="AE158" s="143"/>
      <c r="AF158" s="143"/>
      <c r="AG158" s="143"/>
      <c r="AH158" s="143"/>
      <c r="AI158" s="143"/>
      <c r="AJ158" s="143"/>
      <c r="AK158" s="143"/>
      <c r="AL158" s="143"/>
      <c r="AM158" s="143"/>
      <c r="AN158" s="143"/>
      <c r="AO158" s="143"/>
      <c r="AP158" s="143"/>
      <c r="AQ158" s="143"/>
      <c r="AR158" s="143"/>
      <c r="AS158" s="143"/>
      <c r="AT158" s="143"/>
      <c r="AU158" s="143"/>
      <c r="AV158" s="143"/>
      <c r="AW158" s="143"/>
      <c r="AX158" s="143"/>
      <c r="AY158" s="143"/>
      <c r="AZ158" s="143"/>
      <c r="BA158" s="143"/>
      <c r="BB158" s="143"/>
      <c r="BC158" s="143"/>
      <c r="BD158" s="143"/>
      <c r="BE158" s="143"/>
      <c r="BF158" s="143"/>
      <c r="BG158" s="143"/>
      <c r="BH158" s="143"/>
      <c r="BI158" s="143"/>
      <c r="BJ158" s="143"/>
      <c r="BK158" s="143"/>
      <c r="BL158" s="143"/>
      <c r="BM158" s="143"/>
      <c r="BN158" s="143"/>
      <c r="BO158" s="143"/>
      <c r="BP158" s="143"/>
      <c r="BQ158" s="143"/>
      <c r="BR158" s="143"/>
      <c r="BS158" s="143"/>
      <c r="BT158" s="143"/>
      <c r="BU158" s="143"/>
      <c r="BV158" s="143"/>
      <c r="BW158" s="143"/>
      <c r="BX158" s="143"/>
      <c r="BY158" s="143"/>
      <c r="BZ158" s="143"/>
      <c r="CA158" s="143"/>
      <c r="CB158" s="143"/>
      <c r="CC158" s="143"/>
      <c r="CD158" s="143"/>
      <c r="CE158" s="143"/>
      <c r="CF158" s="143"/>
      <c r="CG158" s="143"/>
      <c r="CH158" s="143"/>
      <c r="CI158" s="143"/>
      <c r="CJ158" s="143"/>
      <c r="CK158" s="143"/>
      <c r="CL158" s="143"/>
      <c r="CM158" s="143"/>
      <c r="CN158" s="143"/>
      <c r="CO158" s="143"/>
      <c r="CP158" s="143"/>
      <c r="CQ158" s="143"/>
      <c r="CR158" s="143"/>
      <c r="CS158" s="143"/>
      <c r="CT158" s="143"/>
      <c r="CU158" s="143"/>
      <c r="CV158" s="143"/>
      <c r="CW158" s="143"/>
      <c r="CX158" s="143"/>
      <c r="CY158" s="143"/>
      <c r="CZ158" s="143"/>
      <c r="DA158" s="143"/>
      <c r="DB158" s="143"/>
      <c r="DC158" s="143"/>
      <c r="DD158" s="143"/>
      <c r="DE158" s="143"/>
      <c r="DF158" s="143"/>
      <c r="DG158" s="143"/>
      <c r="DH158" s="143"/>
      <c r="DI158" s="143"/>
      <c r="DJ158" s="143"/>
      <c r="DK158" s="143"/>
      <c r="DL158" s="143"/>
      <c r="DM158" s="143"/>
      <c r="DN158" s="143"/>
      <c r="DO158" s="143"/>
      <c r="DP158" s="143"/>
      <c r="DQ158" s="143"/>
      <c r="DR158" s="143"/>
      <c r="DS158" s="143"/>
      <c r="DT158" s="143"/>
      <c r="DU158" s="143"/>
      <c r="DV158" s="143"/>
      <c r="DW158" s="143"/>
      <c r="DX158" s="143"/>
      <c r="DY158" s="143"/>
      <c r="DZ158" s="143"/>
      <c r="EA158" s="143"/>
      <c r="EB158" s="143"/>
      <c r="EC158" s="143"/>
      <c r="ED158" s="143"/>
      <c r="EE158" s="143"/>
      <c r="EF158" s="143"/>
      <c r="EG158" s="143"/>
      <c r="EH158" s="143"/>
      <c r="EI158" s="143"/>
      <c r="EJ158" s="143"/>
      <c r="EK158" s="143"/>
      <c r="EL158" s="143"/>
      <c r="EM158" s="143"/>
      <c r="EN158" s="143"/>
      <c r="EO158" s="143"/>
      <c r="EP158" s="143"/>
      <c r="EQ158" s="143"/>
      <c r="ER158" s="143"/>
      <c r="ES158" s="143"/>
      <c r="ET158" s="143"/>
      <c r="EU158" s="143"/>
      <c r="EV158" s="143"/>
      <c r="EW158" s="143"/>
      <c r="EX158" s="143"/>
      <c r="EY158" s="143"/>
      <c r="EZ158" s="143"/>
      <c r="FA158" s="143"/>
      <c r="FB158" s="143"/>
      <c r="FC158" s="143"/>
      <c r="FD158" s="143"/>
      <c r="FE158" s="143"/>
      <c r="FF158" s="143"/>
      <c r="FG158" s="143"/>
      <c r="FH158" s="143"/>
      <c r="FI158" s="143"/>
      <c r="FJ158" s="143"/>
      <c r="FK158" s="143"/>
      <c r="FL158" s="143"/>
      <c r="FM158" s="143"/>
      <c r="FN158" s="143"/>
      <c r="FO158" s="143"/>
      <c r="FP158" s="143"/>
      <c r="FQ158" s="143"/>
      <c r="FR158" s="143"/>
      <c r="FS158" s="143"/>
      <c r="FT158" s="143"/>
      <c r="FU158" s="143"/>
      <c r="FV158" s="143"/>
      <c r="FW158" s="143"/>
      <c r="FX158" s="143"/>
      <c r="FY158" s="143"/>
      <c r="FZ158" s="143"/>
      <c r="GA158" s="143"/>
      <c r="GB158" s="143"/>
      <c r="GC158" s="143"/>
      <c r="GD158" s="143"/>
      <c r="GE158" s="143"/>
      <c r="GF158" s="143"/>
      <c r="GG158" s="143"/>
      <c r="GH158" s="143"/>
      <c r="GI158" s="143"/>
      <c r="GJ158" s="143"/>
      <c r="GK158" s="143"/>
      <c r="GL158" s="143"/>
      <c r="GM158" s="143"/>
      <c r="GN158" s="143"/>
      <c r="GO158" s="143"/>
      <c r="GP158" s="143"/>
      <c r="GQ158" s="143"/>
      <c r="GR158" s="143"/>
      <c r="GS158" s="143"/>
      <c r="GT158" s="143"/>
      <c r="GU158" s="143"/>
      <c r="GV158" s="143"/>
      <c r="GW158" s="143"/>
      <c r="GX158" s="143"/>
      <c r="GY158" s="143"/>
      <c r="GZ158" s="143"/>
      <c r="HA158" s="143"/>
      <c r="HB158" s="143"/>
      <c r="HC158" s="143"/>
      <c r="HD158" s="143"/>
      <c r="HE158" s="143"/>
      <c r="HF158" s="143"/>
      <c r="HG158" s="143"/>
      <c r="HH158" s="143"/>
      <c r="HI158" s="143"/>
      <c r="HJ158" s="143"/>
      <c r="HK158" s="143"/>
      <c r="HL158" s="143"/>
      <c r="HM158" s="143"/>
      <c r="HN158" s="143"/>
      <c r="HO158" s="143"/>
      <c r="HP158" s="143"/>
      <c r="HQ158" s="143"/>
      <c r="HR158" s="143"/>
      <c r="HS158" s="143"/>
      <c r="HT158" s="143"/>
      <c r="HU158" s="143"/>
      <c r="HV158" s="143"/>
      <c r="HW158" s="143"/>
    </row>
    <row r="160" spans="2:231" x14ac:dyDescent="0.2">
      <c r="B160" s="143"/>
      <c r="C160" s="143"/>
      <c r="D160" s="143"/>
      <c r="E160" s="143"/>
      <c r="F160" s="143"/>
      <c r="G160" s="143"/>
      <c r="H160" s="143"/>
      <c r="I160" s="143"/>
      <c r="J160" s="143"/>
      <c r="K160" s="143"/>
      <c r="L160" s="143"/>
      <c r="M160" s="143"/>
      <c r="N160" s="143"/>
      <c r="O160" s="143"/>
      <c r="P160" s="143"/>
      <c r="Q160" s="143"/>
      <c r="R160" s="143"/>
      <c r="S160" s="143"/>
      <c r="T160" s="143"/>
      <c r="U160" s="143"/>
      <c r="V160" s="143"/>
      <c r="W160" s="143"/>
      <c r="X160" s="143"/>
      <c r="Y160" s="143"/>
      <c r="Z160" s="143"/>
      <c r="AA160" s="143"/>
      <c r="AB160" s="143"/>
      <c r="AC160" s="143"/>
      <c r="AD160" s="143"/>
      <c r="AE160" s="143"/>
      <c r="AF160" s="143"/>
      <c r="AG160" s="143"/>
      <c r="AH160" s="143"/>
      <c r="AI160" s="143"/>
      <c r="AJ160" s="143"/>
      <c r="AK160" s="143"/>
      <c r="AL160" s="143"/>
      <c r="AM160" s="143"/>
      <c r="AN160" s="143"/>
      <c r="AO160" s="143"/>
      <c r="AP160" s="143"/>
      <c r="AQ160" s="143"/>
      <c r="AR160" s="14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row>
    <row r="162" spans="2:231" x14ac:dyDescent="0.2">
      <c r="B162" s="143"/>
      <c r="C162" s="143"/>
      <c r="D162" s="143"/>
      <c r="E162" s="143"/>
      <c r="F162" s="143"/>
      <c r="G162" s="143"/>
      <c r="H162" s="143"/>
      <c r="I162" s="143"/>
      <c r="J162" s="143"/>
      <c r="K162" s="143"/>
      <c r="L162" s="143"/>
      <c r="M162" s="143"/>
      <c r="N162" s="143"/>
      <c r="O162" s="143"/>
      <c r="P162" s="143"/>
      <c r="Q162" s="143"/>
      <c r="R162" s="143"/>
      <c r="S162" s="143"/>
      <c r="T162" s="143"/>
      <c r="U162" s="143"/>
      <c r="V162" s="143"/>
      <c r="W162" s="143"/>
      <c r="X162" s="143"/>
      <c r="Y162" s="143"/>
      <c r="Z162" s="143"/>
      <c r="AA162" s="143"/>
      <c r="AB162" s="143"/>
      <c r="AC162" s="143"/>
      <c r="AD162" s="143"/>
      <c r="AE162" s="143"/>
      <c r="AF162" s="143"/>
      <c r="AG162" s="143"/>
      <c r="AH162" s="143"/>
      <c r="AI162" s="143"/>
      <c r="AJ162" s="143"/>
      <c r="AK162" s="143"/>
      <c r="AL162" s="143"/>
      <c r="AM162" s="143"/>
      <c r="AN162" s="143"/>
      <c r="AO162" s="143"/>
      <c r="AP162" s="143"/>
      <c r="AQ162" s="143"/>
      <c r="AR162" s="143"/>
      <c r="AS162" s="143"/>
      <c r="AT162" s="143"/>
      <c r="AU162" s="143"/>
      <c r="AV162" s="143"/>
      <c r="AW162" s="143"/>
      <c r="AX162" s="143"/>
      <c r="AY162" s="143"/>
      <c r="AZ162" s="143"/>
      <c r="BA162" s="143"/>
      <c r="BB162" s="143"/>
      <c r="BC162" s="143"/>
      <c r="BD162" s="143"/>
      <c r="BE162" s="143"/>
      <c r="BF162" s="143"/>
      <c r="BG162" s="143"/>
      <c r="BH162" s="143"/>
      <c r="BI162" s="143"/>
      <c r="BJ162" s="143"/>
      <c r="BK162" s="143"/>
      <c r="BL162" s="143"/>
      <c r="BM162" s="143"/>
      <c r="BN162" s="143"/>
      <c r="BO162" s="143"/>
      <c r="BP162" s="143"/>
      <c r="BQ162" s="143"/>
      <c r="BR162" s="143"/>
      <c r="BS162" s="143"/>
      <c r="BT162" s="143"/>
      <c r="BU162" s="143"/>
      <c r="BV162" s="143"/>
      <c r="BW162" s="143"/>
      <c r="BX162" s="143"/>
      <c r="BY162" s="143"/>
      <c r="BZ162" s="143"/>
      <c r="CA162" s="143"/>
      <c r="CB162" s="143"/>
      <c r="CC162" s="143"/>
      <c r="CD162" s="143"/>
      <c r="CE162" s="143"/>
      <c r="CF162" s="143"/>
      <c r="CG162" s="143"/>
      <c r="CH162" s="143"/>
      <c r="CI162" s="143"/>
      <c r="CJ162" s="143"/>
      <c r="CK162" s="143"/>
      <c r="CL162" s="143"/>
      <c r="CM162" s="143"/>
      <c r="CN162" s="143"/>
      <c r="CO162" s="143"/>
      <c r="CP162" s="143"/>
      <c r="CQ162" s="143"/>
      <c r="CR162" s="143"/>
      <c r="CS162" s="143"/>
      <c r="CT162" s="143"/>
      <c r="CU162" s="143"/>
      <c r="CV162" s="143"/>
      <c r="CW162" s="143"/>
      <c r="CX162" s="143"/>
      <c r="CY162" s="143"/>
      <c r="CZ162" s="143"/>
      <c r="DA162" s="143"/>
      <c r="DB162" s="143"/>
      <c r="DC162" s="143"/>
      <c r="DD162" s="143"/>
      <c r="DE162" s="143"/>
      <c r="DF162" s="143"/>
      <c r="DG162" s="143"/>
      <c r="DH162" s="143"/>
      <c r="DI162" s="143"/>
      <c r="DJ162" s="143"/>
      <c r="DK162" s="143"/>
      <c r="DL162" s="143"/>
      <c r="DM162" s="143"/>
      <c r="DN162" s="143"/>
      <c r="DO162" s="143"/>
      <c r="DP162" s="143"/>
      <c r="DQ162" s="143"/>
      <c r="DR162" s="143"/>
      <c r="DS162" s="143"/>
      <c r="DT162" s="143"/>
      <c r="DU162" s="143"/>
      <c r="DV162" s="143"/>
      <c r="DW162" s="143"/>
      <c r="DX162" s="143"/>
      <c r="DY162" s="143"/>
      <c r="DZ162" s="143"/>
      <c r="EA162" s="143"/>
      <c r="EB162" s="143"/>
      <c r="EC162" s="143"/>
      <c r="ED162" s="143"/>
      <c r="EE162" s="143"/>
      <c r="EF162" s="143"/>
      <c r="EG162" s="143"/>
      <c r="EH162" s="143"/>
      <c r="EI162" s="143"/>
      <c r="EJ162" s="143"/>
      <c r="EK162" s="143"/>
      <c r="EL162" s="143"/>
      <c r="EM162" s="143"/>
      <c r="EN162" s="143"/>
      <c r="EO162" s="143"/>
      <c r="EP162" s="143"/>
      <c r="EQ162" s="143"/>
      <c r="ER162" s="143"/>
      <c r="ES162" s="143"/>
      <c r="ET162" s="143"/>
      <c r="EU162" s="143"/>
      <c r="EV162" s="143"/>
      <c r="EW162" s="143"/>
      <c r="EX162" s="143"/>
      <c r="EY162" s="143"/>
      <c r="EZ162" s="143"/>
      <c r="FA162" s="143"/>
      <c r="FB162" s="143"/>
      <c r="FC162" s="143"/>
      <c r="FD162" s="143"/>
      <c r="FE162" s="143"/>
      <c r="FF162" s="143"/>
      <c r="FG162" s="143"/>
      <c r="FH162" s="143"/>
      <c r="FI162" s="143"/>
      <c r="FJ162" s="143"/>
      <c r="FK162" s="143"/>
      <c r="FL162" s="143"/>
      <c r="FM162" s="143"/>
      <c r="FN162" s="143"/>
      <c r="FO162" s="143"/>
      <c r="FP162" s="143"/>
      <c r="FQ162" s="143"/>
      <c r="FR162" s="143"/>
      <c r="FS162" s="143"/>
      <c r="FT162" s="143"/>
      <c r="FU162" s="143"/>
      <c r="FV162" s="143"/>
      <c r="FW162" s="143"/>
      <c r="FX162" s="143"/>
      <c r="FY162" s="143"/>
      <c r="FZ162" s="143"/>
      <c r="GA162" s="143"/>
      <c r="GB162" s="143"/>
      <c r="GC162" s="143"/>
      <c r="GD162" s="143"/>
      <c r="GE162" s="143"/>
      <c r="GF162" s="143"/>
      <c r="GG162" s="143"/>
      <c r="GH162" s="143"/>
      <c r="GI162" s="143"/>
      <c r="GJ162" s="143"/>
      <c r="GK162" s="143"/>
      <c r="GL162" s="143"/>
      <c r="GM162" s="143"/>
      <c r="GN162" s="143"/>
      <c r="GO162" s="143"/>
      <c r="GP162" s="143"/>
      <c r="GQ162" s="143"/>
      <c r="GR162" s="143"/>
      <c r="GS162" s="143"/>
      <c r="GT162" s="143"/>
      <c r="GU162" s="143"/>
      <c r="GV162" s="143"/>
      <c r="GW162" s="143"/>
      <c r="GX162" s="143"/>
      <c r="GY162" s="143"/>
      <c r="GZ162" s="143"/>
      <c r="HA162" s="143"/>
      <c r="HB162" s="143"/>
      <c r="HC162" s="143"/>
      <c r="HD162" s="143"/>
      <c r="HE162" s="143"/>
      <c r="HF162" s="143"/>
      <c r="HG162" s="143"/>
      <c r="HH162" s="143"/>
      <c r="HI162" s="143"/>
      <c r="HJ162" s="143"/>
      <c r="HK162" s="143"/>
      <c r="HL162" s="143"/>
      <c r="HM162" s="143"/>
      <c r="HN162" s="143"/>
      <c r="HO162" s="143"/>
      <c r="HP162" s="143"/>
      <c r="HQ162" s="143"/>
      <c r="HR162" s="143"/>
      <c r="HS162" s="143"/>
      <c r="HT162" s="143"/>
      <c r="HU162" s="143"/>
      <c r="HV162" s="143"/>
      <c r="HW162" s="143"/>
    </row>
  </sheetData>
  <mergeCells count="8">
    <mergeCell ref="A25:D25"/>
    <mergeCell ref="A26:D26"/>
    <mergeCell ref="A2:D2"/>
    <mergeCell ref="A3:D3"/>
    <mergeCell ref="A12:D12"/>
    <mergeCell ref="A22:D22"/>
    <mergeCell ref="A23:D23"/>
    <mergeCell ref="A24:D24"/>
  </mergeCells>
  <pageMargins left="0.75" right="0.75" top="1" bottom="1" header="0" footer="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S1399"/>
  <sheetViews>
    <sheetView workbookViewId="0">
      <selection activeCell="B1" sqref="B1"/>
    </sheetView>
  </sheetViews>
  <sheetFormatPr baseColWidth="10" defaultRowHeight="15" x14ac:dyDescent="0.2"/>
  <cols>
    <col min="1" max="1" width="59.1640625" style="106" customWidth="1"/>
    <col min="2" max="2" width="12.83203125" style="106" customWidth="1"/>
    <col min="3" max="3" width="8.6640625" style="106" customWidth="1"/>
    <col min="4" max="4" width="12" style="106" customWidth="1"/>
    <col min="5" max="5" width="11.1640625" style="106" customWidth="1"/>
    <col min="6" max="6" width="10.1640625" style="106" customWidth="1"/>
    <col min="7" max="7" width="11.33203125" style="106" customWidth="1"/>
    <col min="8" max="8" width="12.83203125" style="106" customWidth="1"/>
    <col min="9" max="9" width="10.1640625" style="106" customWidth="1"/>
    <col min="10" max="10" width="11.83203125" style="106" customWidth="1"/>
    <col min="11" max="11" width="13.1640625" style="106" customWidth="1"/>
    <col min="12" max="12" width="15" style="106" customWidth="1"/>
    <col min="13" max="13" width="6.1640625" style="106" customWidth="1"/>
    <col min="14" max="14" width="10.1640625" style="106" customWidth="1"/>
    <col min="15" max="15" width="10.83203125" style="106"/>
    <col min="16" max="17" width="6.1640625" style="106" customWidth="1"/>
    <col min="18" max="18" width="10.83203125" style="106"/>
    <col min="19" max="20" width="6.1640625" style="106" customWidth="1"/>
    <col min="21" max="21" width="10.83203125" style="106"/>
    <col min="22" max="23" width="6.1640625" style="106" customWidth="1"/>
    <col min="24" max="24" width="10.83203125" style="106"/>
    <col min="25" max="26" width="6.1640625" style="106" customWidth="1"/>
    <col min="27" max="27" width="10.83203125" style="106"/>
    <col min="28" max="29" width="6.1640625" style="106" customWidth="1"/>
    <col min="30" max="30" width="10.83203125" style="106"/>
    <col min="31" max="32" width="6.1640625" style="106" customWidth="1"/>
    <col min="33" max="33" width="10.83203125" style="106"/>
    <col min="34" max="35" width="6.1640625" style="106" customWidth="1"/>
    <col min="36" max="36" width="10.83203125" style="106"/>
    <col min="37" max="38" width="6.1640625" style="106" customWidth="1"/>
    <col min="39" max="39" width="10.83203125" style="106"/>
    <col min="40" max="41" width="6.1640625" style="106" customWidth="1"/>
    <col min="42" max="42" width="10.83203125" style="106"/>
    <col min="43" max="44" width="6.1640625" style="106" customWidth="1"/>
    <col min="45" max="45" width="10.83203125" style="106"/>
    <col min="46" max="47" width="6.1640625" style="106" customWidth="1"/>
    <col min="48" max="48" width="10.83203125" style="106"/>
    <col min="49" max="50" width="6.1640625" style="106" customWidth="1"/>
    <col min="51" max="51" width="10.83203125" style="106"/>
    <col min="52" max="53" width="6.1640625" style="106" customWidth="1"/>
    <col min="54" max="54" width="10.83203125" style="106"/>
    <col min="55" max="56" width="6.1640625" style="106" customWidth="1"/>
    <col min="57" max="57" width="10.83203125" style="106"/>
    <col min="58" max="59" width="6.1640625" style="106" customWidth="1"/>
    <col min="60" max="60" width="10.83203125" style="106"/>
    <col min="61" max="62" width="6.1640625" style="106" customWidth="1"/>
    <col min="63" max="63" width="10.83203125" style="106"/>
    <col min="64" max="65" width="6.1640625" style="106" customWidth="1"/>
    <col min="66" max="66" width="10.83203125" style="106"/>
    <col min="67" max="68" width="6.1640625" style="106" customWidth="1"/>
    <col min="69" max="69" width="10.83203125" style="106"/>
    <col min="70" max="71" width="6.1640625" style="106" customWidth="1"/>
    <col min="72" max="72" width="10.83203125" style="106"/>
    <col min="73" max="74" width="6.1640625" style="106" customWidth="1"/>
    <col min="75" max="75" width="10.83203125" style="106"/>
    <col min="76" max="77" width="6.1640625" style="106" customWidth="1"/>
    <col min="78" max="78" width="10.83203125" style="106"/>
    <col min="79" max="80" width="6.1640625" style="106" customWidth="1"/>
    <col min="81" max="81" width="10.83203125" style="106"/>
    <col min="82" max="83" width="6.1640625" style="106" customWidth="1"/>
    <col min="84" max="84" width="10.83203125" style="106"/>
    <col min="85" max="86" width="6.1640625" style="106" customWidth="1"/>
    <col min="87" max="87" width="10.83203125" style="106"/>
    <col min="88" max="89" width="6.1640625" style="106" customWidth="1"/>
    <col min="90" max="90" width="10.83203125" style="106"/>
    <col min="91" max="92" width="6.1640625" style="106" customWidth="1"/>
    <col min="93" max="93" width="10.83203125" style="106"/>
    <col min="94" max="95" width="6.1640625" style="106" customWidth="1"/>
    <col min="96" max="96" width="10.83203125" style="106"/>
    <col min="97" max="98" width="6.1640625" style="106" customWidth="1"/>
    <col min="99" max="99" width="10.83203125" style="106"/>
    <col min="100" max="101" width="6.1640625" style="106" customWidth="1"/>
    <col min="102" max="102" width="10.83203125" style="106"/>
    <col min="103" max="104" width="6.1640625" style="106" customWidth="1"/>
    <col min="105" max="105" width="10.83203125" style="106"/>
    <col min="106" max="107" width="6.1640625" style="106" customWidth="1"/>
    <col min="108" max="108" width="10.83203125" style="106"/>
    <col min="109" max="110" width="6.1640625" style="106" customWidth="1"/>
    <col min="111" max="111" width="10.83203125" style="106"/>
    <col min="112" max="113" width="6.1640625" style="106" customWidth="1"/>
    <col min="114" max="114" width="10.83203125" style="106"/>
    <col min="115" max="116" width="6.1640625" style="106" customWidth="1"/>
    <col min="117" max="117" width="10.83203125" style="106"/>
    <col min="118" max="119" width="6.1640625" style="106" customWidth="1"/>
    <col min="120" max="120" width="10.83203125" style="106"/>
    <col min="121" max="122" width="6.1640625" style="106" customWidth="1"/>
    <col min="123" max="123" width="10.83203125" style="106"/>
    <col min="124" max="125" width="6.1640625" style="106" customWidth="1"/>
    <col min="126" max="126" width="10.83203125" style="106"/>
    <col min="127" max="128" width="6.1640625" style="106" customWidth="1"/>
    <col min="129" max="129" width="10.83203125" style="106"/>
    <col min="130" max="131" width="6.1640625" style="106" customWidth="1"/>
    <col min="132" max="132" width="10.83203125" style="106"/>
    <col min="133" max="134" width="6.1640625" style="106" customWidth="1"/>
    <col min="135" max="135" width="10.83203125" style="106"/>
    <col min="136" max="137" width="6.1640625" style="106" customWidth="1"/>
    <col min="138" max="138" width="10.83203125" style="106"/>
    <col min="139" max="140" width="6.1640625" style="106" customWidth="1"/>
    <col min="141" max="141" width="10.83203125" style="106"/>
    <col min="142" max="143" width="6.1640625" style="106" customWidth="1"/>
    <col min="144" max="144" width="10.83203125" style="106"/>
    <col min="145" max="146" width="6.1640625" style="106" customWidth="1"/>
    <col min="147" max="147" width="10.83203125" style="106"/>
    <col min="148" max="149" width="6.1640625" style="106" customWidth="1"/>
    <col min="150" max="150" width="10.83203125" style="106"/>
    <col min="151" max="152" width="6.1640625" style="106" customWidth="1"/>
    <col min="153" max="153" width="10.83203125" style="106"/>
    <col min="154" max="155" width="6.1640625" style="106" customWidth="1"/>
    <col min="156" max="156" width="10.83203125" style="106"/>
    <col min="157" max="158" width="6.1640625" style="106" customWidth="1"/>
    <col min="159" max="159" width="10.83203125" style="106"/>
    <col min="160" max="161" width="6.1640625" style="106" customWidth="1"/>
    <col min="162" max="162" width="10.83203125" style="106"/>
    <col min="163" max="164" width="6.1640625" style="106" customWidth="1"/>
    <col min="165" max="165" width="10.83203125" style="106"/>
    <col min="166" max="167" width="6.1640625" style="106" customWidth="1"/>
    <col min="168" max="168" width="10.83203125" style="106"/>
    <col min="169" max="170" width="6.1640625" style="106" customWidth="1"/>
    <col min="171" max="171" width="10.83203125" style="106"/>
    <col min="172" max="173" width="6.1640625" style="106" customWidth="1"/>
    <col min="174" max="174" width="10.83203125" style="106"/>
    <col min="175" max="176" width="6.1640625" style="106" customWidth="1"/>
    <col min="177" max="177" width="10.83203125" style="106"/>
    <col min="178" max="179" width="6.1640625" style="106" customWidth="1"/>
    <col min="180" max="180" width="10.83203125" style="106"/>
    <col min="181" max="182" width="6.1640625" style="106" customWidth="1"/>
    <col min="183" max="183" width="10.83203125" style="106"/>
    <col min="184" max="185" width="6.1640625" style="106" customWidth="1"/>
    <col min="186" max="186" width="10.83203125" style="106"/>
    <col min="187" max="188" width="6.1640625" style="106" customWidth="1"/>
    <col min="189" max="189" width="10.83203125" style="106"/>
    <col min="190" max="191" width="6.1640625" style="106" customWidth="1"/>
    <col min="192" max="192" width="10.83203125" style="106"/>
    <col min="193" max="194" width="6.1640625" style="106" customWidth="1"/>
    <col min="195" max="195" width="10.83203125" style="106"/>
    <col min="196" max="197" width="6.1640625" style="106" customWidth="1"/>
    <col min="198" max="198" width="10.83203125" style="106"/>
    <col min="199" max="200" width="6.1640625" style="106" customWidth="1"/>
    <col min="201" max="201" width="10.83203125" style="106"/>
    <col min="202" max="203" width="6.1640625" style="106" customWidth="1"/>
    <col min="204" max="204" width="10.83203125" style="106"/>
    <col min="205" max="206" width="6.1640625" style="106" customWidth="1"/>
    <col min="207" max="207" width="10.83203125" style="106"/>
    <col min="208" max="209" width="6.1640625" style="106" customWidth="1"/>
    <col min="210" max="210" width="10.83203125" style="106"/>
    <col min="211" max="212" width="6.1640625" style="106" customWidth="1"/>
    <col min="213" max="213" width="10.83203125" style="106"/>
    <col min="214" max="215" width="6.1640625" style="106" customWidth="1"/>
    <col min="216" max="216" width="10.83203125" style="106"/>
    <col min="217" max="218" width="6.1640625" style="106" customWidth="1"/>
    <col min="219" max="219" width="10.83203125" style="106"/>
    <col min="220" max="221" width="6.1640625" style="106" customWidth="1"/>
    <col min="222" max="222" width="10.83203125" style="106"/>
    <col min="223" max="224" width="6.1640625" style="106" customWidth="1"/>
    <col min="225" max="225" width="10.83203125" style="106"/>
    <col min="226" max="227" width="6.1640625" style="106" customWidth="1"/>
    <col min="228" max="16384" width="10.83203125" style="106"/>
  </cols>
  <sheetData>
    <row r="1" spans="1:15" x14ac:dyDescent="0.2">
      <c r="A1" s="458" t="s">
        <v>1798</v>
      </c>
    </row>
    <row r="3" spans="1:15" x14ac:dyDescent="0.2">
      <c r="A3" s="113" t="s">
        <v>1111</v>
      </c>
    </row>
    <row r="4" spans="1:15" ht="39.5" customHeight="1" thickBot="1" x14ac:dyDescent="0.25">
      <c r="A4" s="471" t="s">
        <v>1799</v>
      </c>
      <c r="B4" s="472"/>
      <c r="C4" s="472"/>
      <c r="D4" s="472"/>
      <c r="E4" s="472"/>
      <c r="F4" s="472"/>
      <c r="G4" s="472"/>
      <c r="H4" s="472"/>
      <c r="I4" s="472"/>
      <c r="J4" s="472"/>
      <c r="K4" s="472"/>
      <c r="L4" s="472"/>
      <c r="M4" s="473"/>
    </row>
    <row r="5" spans="1:15" ht="33.5" customHeight="1" thickTop="1" x14ac:dyDescent="0.2">
      <c r="A5" s="474" t="s">
        <v>1800</v>
      </c>
      <c r="B5" s="475" t="s">
        <v>1801</v>
      </c>
      <c r="C5" s="476"/>
      <c r="D5" s="475" t="s">
        <v>1802</v>
      </c>
      <c r="E5" s="476"/>
      <c r="F5" s="475" t="s">
        <v>1803</v>
      </c>
      <c r="G5" s="476"/>
      <c r="H5" s="475" t="s">
        <v>1804</v>
      </c>
      <c r="I5" s="476"/>
      <c r="J5" s="475" t="s">
        <v>1805</v>
      </c>
      <c r="K5" s="476"/>
      <c r="L5" s="475" t="s">
        <v>1341</v>
      </c>
      <c r="M5" s="476"/>
    </row>
    <row r="6" spans="1:15" x14ac:dyDescent="0.2">
      <c r="A6" s="131" t="s">
        <v>1806</v>
      </c>
      <c r="B6" s="131">
        <v>710056</v>
      </c>
      <c r="C6" s="307">
        <v>190</v>
      </c>
      <c r="D6" s="131">
        <v>714977</v>
      </c>
      <c r="E6" s="307">
        <v>437</v>
      </c>
      <c r="F6" s="131">
        <v>1064775</v>
      </c>
      <c r="G6" s="307">
        <v>400</v>
      </c>
      <c r="H6" s="131">
        <v>347673</v>
      </c>
      <c r="I6" s="307">
        <v>114</v>
      </c>
      <c r="J6" s="131">
        <v>753994</v>
      </c>
      <c r="K6" s="307">
        <v>975</v>
      </c>
      <c r="L6" s="131">
        <v>3591477</v>
      </c>
      <c r="M6" s="307">
        <v>116</v>
      </c>
      <c r="N6" s="321">
        <f>B6+D6+F6+H6+J6</f>
        <v>3591475</v>
      </c>
      <c r="O6" s="321">
        <f>C6+E6+G6+I6+K6</f>
        <v>2116</v>
      </c>
    </row>
    <row r="7" spans="1:15" x14ac:dyDescent="0.2">
      <c r="A7" s="131" t="s">
        <v>1377</v>
      </c>
      <c r="B7" s="131">
        <v>45422</v>
      </c>
      <c r="C7" s="307">
        <v>655</v>
      </c>
      <c r="D7" s="131"/>
      <c r="E7" s="307"/>
      <c r="F7" s="131"/>
      <c r="G7" s="307"/>
      <c r="H7" s="131"/>
      <c r="I7" s="307"/>
      <c r="J7" s="131"/>
      <c r="K7" s="307"/>
      <c r="L7" s="131">
        <v>45422</v>
      </c>
      <c r="M7" s="307">
        <v>655</v>
      </c>
      <c r="N7" s="321">
        <f t="shared" ref="N7:O29" si="0">B7+D7+F7+H7+J7</f>
        <v>45422</v>
      </c>
      <c r="O7" s="321">
        <f t="shared" si="0"/>
        <v>655</v>
      </c>
    </row>
    <row r="8" spans="1:15" x14ac:dyDescent="0.2">
      <c r="A8" s="131" t="s">
        <v>1807</v>
      </c>
      <c r="B8" s="131">
        <v>15949</v>
      </c>
      <c r="C8" s="307">
        <v>650</v>
      </c>
      <c r="D8" s="131">
        <v>14200</v>
      </c>
      <c r="E8" s="307"/>
      <c r="F8" s="131">
        <v>14316</v>
      </c>
      <c r="G8" s="307">
        <v>825</v>
      </c>
      <c r="H8" s="131">
        <v>12366</v>
      </c>
      <c r="I8" s="307">
        <v>825</v>
      </c>
      <c r="J8" s="131">
        <v>12319</v>
      </c>
      <c r="K8" s="307">
        <v>525</v>
      </c>
      <c r="L8" s="131">
        <v>69152</v>
      </c>
      <c r="M8" s="307">
        <v>825</v>
      </c>
      <c r="N8" s="321">
        <f t="shared" si="0"/>
        <v>69150</v>
      </c>
      <c r="O8" s="321">
        <f t="shared" si="0"/>
        <v>2825</v>
      </c>
    </row>
    <row r="9" spans="1:15" x14ac:dyDescent="0.2">
      <c r="A9" s="131" t="s">
        <v>1808</v>
      </c>
      <c r="B9" s="131">
        <v>19232</v>
      </c>
      <c r="C9" s="307">
        <v>680</v>
      </c>
      <c r="D9" s="131">
        <v>24991</v>
      </c>
      <c r="E9" s="307">
        <v>948</v>
      </c>
      <c r="F9" s="131">
        <v>14839</v>
      </c>
      <c r="G9" s="307">
        <v>435</v>
      </c>
      <c r="H9" s="131">
        <v>56215</v>
      </c>
      <c r="I9" s="307">
        <v>375</v>
      </c>
      <c r="J9" s="131">
        <v>29046</v>
      </c>
      <c r="K9" s="307">
        <v>990</v>
      </c>
      <c r="L9" s="131">
        <v>144326</v>
      </c>
      <c r="M9" s="307">
        <v>828</v>
      </c>
      <c r="N9" s="321">
        <f t="shared" si="0"/>
        <v>144323</v>
      </c>
      <c r="O9" s="477">
        <f t="shared" si="0"/>
        <v>3428</v>
      </c>
    </row>
    <row r="10" spans="1:15" x14ac:dyDescent="0.2">
      <c r="A10" s="131" t="s">
        <v>1384</v>
      </c>
      <c r="B10" s="131">
        <v>15486</v>
      </c>
      <c r="C10" s="307">
        <v>542</v>
      </c>
      <c r="D10" s="131"/>
      <c r="E10" s="307"/>
      <c r="F10" s="131">
        <v>11388</v>
      </c>
      <c r="G10" s="307">
        <v>900</v>
      </c>
      <c r="H10" s="131">
        <v>1355</v>
      </c>
      <c r="I10" s="307">
        <v>425</v>
      </c>
      <c r="J10" s="131">
        <v>366</v>
      </c>
      <c r="K10" s="307">
        <v>850</v>
      </c>
      <c r="L10" s="131">
        <v>28597</v>
      </c>
      <c r="M10" s="307">
        <v>617</v>
      </c>
      <c r="N10" s="321">
        <f t="shared" si="0"/>
        <v>28595</v>
      </c>
      <c r="O10" s="477">
        <f t="shared" si="0"/>
        <v>2717</v>
      </c>
    </row>
    <row r="11" spans="1:15" x14ac:dyDescent="0.2">
      <c r="A11" s="131" t="s">
        <v>1809</v>
      </c>
      <c r="B11" s="131">
        <v>9157</v>
      </c>
      <c r="C11" s="307">
        <v>494</v>
      </c>
      <c r="D11" s="131">
        <v>18709</v>
      </c>
      <c r="E11" s="307">
        <v>597</v>
      </c>
      <c r="F11" s="131">
        <v>14365</v>
      </c>
      <c r="G11" s="307">
        <v>771</v>
      </c>
      <c r="H11" s="131">
        <v>19314</v>
      </c>
      <c r="I11" s="307">
        <v>825</v>
      </c>
      <c r="J11" s="131">
        <v>10492</v>
      </c>
      <c r="K11" s="307">
        <v>30</v>
      </c>
      <c r="L11" s="131">
        <v>72039</v>
      </c>
      <c r="M11" s="307">
        <v>717</v>
      </c>
      <c r="N11" s="321">
        <f t="shared" si="0"/>
        <v>72037</v>
      </c>
      <c r="O11" s="321">
        <f t="shared" si="0"/>
        <v>2717</v>
      </c>
    </row>
    <row r="12" spans="1:15" x14ac:dyDescent="0.2">
      <c r="A12" s="131" t="s">
        <v>1175</v>
      </c>
      <c r="B12" s="131">
        <v>127767</v>
      </c>
      <c r="C12" s="307">
        <v>302</v>
      </c>
      <c r="D12" s="131">
        <v>64937</v>
      </c>
      <c r="E12" s="307">
        <v>840</v>
      </c>
      <c r="F12" s="131">
        <v>62979</v>
      </c>
      <c r="G12" s="307">
        <v>100</v>
      </c>
      <c r="H12" s="131">
        <v>53582</v>
      </c>
      <c r="I12" s="307">
        <v>650</v>
      </c>
      <c r="J12" s="131">
        <v>49035</v>
      </c>
      <c r="K12" s="307">
        <v>995</v>
      </c>
      <c r="L12" s="131">
        <v>358302</v>
      </c>
      <c r="M12" s="307">
        <v>887</v>
      </c>
      <c r="N12" s="321">
        <f t="shared" si="0"/>
        <v>358300</v>
      </c>
      <c r="O12" s="321">
        <f t="shared" si="0"/>
        <v>2887</v>
      </c>
    </row>
    <row r="13" spans="1:15" x14ac:dyDescent="0.2">
      <c r="A13" s="131" t="s">
        <v>1810</v>
      </c>
      <c r="B13" s="131">
        <v>88580</v>
      </c>
      <c r="C13" s="307">
        <v>801</v>
      </c>
      <c r="D13" s="131"/>
      <c r="E13" s="307"/>
      <c r="F13" s="131"/>
      <c r="G13" s="307"/>
      <c r="H13" s="131"/>
      <c r="I13" s="307"/>
      <c r="J13" s="131"/>
      <c r="K13" s="307"/>
      <c r="L13" s="131">
        <v>88580</v>
      </c>
      <c r="M13" s="307">
        <v>801</v>
      </c>
      <c r="N13" s="321">
        <f t="shared" si="0"/>
        <v>88580</v>
      </c>
      <c r="O13" s="321">
        <f t="shared" si="0"/>
        <v>801</v>
      </c>
    </row>
    <row r="14" spans="1:15" x14ac:dyDescent="0.2">
      <c r="A14" s="131" t="s">
        <v>1395</v>
      </c>
      <c r="B14" s="131">
        <v>5577</v>
      </c>
      <c r="C14" s="307">
        <v>604</v>
      </c>
      <c r="D14" s="131"/>
      <c r="E14" s="307"/>
      <c r="F14" s="131"/>
      <c r="G14" s="307"/>
      <c r="H14" s="131"/>
      <c r="I14" s="307"/>
      <c r="J14" s="131"/>
      <c r="K14" s="307"/>
      <c r="L14" s="131">
        <v>5577</v>
      </c>
      <c r="M14" s="307">
        <v>604</v>
      </c>
      <c r="N14" s="321">
        <f t="shared" si="0"/>
        <v>5577</v>
      </c>
      <c r="O14" s="321">
        <f t="shared" si="0"/>
        <v>604</v>
      </c>
    </row>
    <row r="15" spans="1:15" x14ac:dyDescent="0.2">
      <c r="A15" s="131" t="s">
        <v>1811</v>
      </c>
      <c r="B15" s="131">
        <v>1302</v>
      </c>
      <c r="C15" s="307">
        <v>800</v>
      </c>
      <c r="D15" s="131"/>
      <c r="E15" s="307"/>
      <c r="F15" s="131">
        <v>242</v>
      </c>
      <c r="G15" s="307"/>
      <c r="H15" s="131">
        <v>123</v>
      </c>
      <c r="I15" s="307">
        <v>220</v>
      </c>
      <c r="J15" s="131"/>
      <c r="K15" s="307"/>
      <c r="L15" s="131">
        <v>1668</v>
      </c>
      <c r="M15" s="307">
        <v>20</v>
      </c>
      <c r="N15" s="321">
        <f t="shared" si="0"/>
        <v>1667</v>
      </c>
      <c r="O15" s="321">
        <f t="shared" si="0"/>
        <v>1020</v>
      </c>
    </row>
    <row r="16" spans="1:15" x14ac:dyDescent="0.2">
      <c r="A16" s="131" t="s">
        <v>1812</v>
      </c>
      <c r="B16" s="131">
        <v>9253</v>
      </c>
      <c r="C16" s="307">
        <v>524</v>
      </c>
      <c r="D16" s="131">
        <v>20735</v>
      </c>
      <c r="E16" s="307">
        <v>39</v>
      </c>
      <c r="F16" s="131">
        <v>3214</v>
      </c>
      <c r="G16" s="307">
        <v>687</v>
      </c>
      <c r="H16" s="131">
        <v>9101</v>
      </c>
      <c r="I16" s="307">
        <v>925</v>
      </c>
      <c r="J16" s="131">
        <v>5237</v>
      </c>
      <c r="K16" s="307">
        <v>525</v>
      </c>
      <c r="L16" s="131">
        <v>47542</v>
      </c>
      <c r="M16" s="307">
        <v>700</v>
      </c>
      <c r="N16" s="321">
        <f t="shared" si="0"/>
        <v>47540</v>
      </c>
      <c r="O16" s="321">
        <f t="shared" si="0"/>
        <v>2700</v>
      </c>
    </row>
    <row r="17" spans="1:15" x14ac:dyDescent="0.2">
      <c r="A17" s="131" t="s">
        <v>1813</v>
      </c>
      <c r="B17" s="131">
        <v>26062</v>
      </c>
      <c r="C17" s="307">
        <v>813</v>
      </c>
      <c r="D17" s="131">
        <v>26734</v>
      </c>
      <c r="E17" s="307">
        <v>289</v>
      </c>
      <c r="F17" s="131">
        <v>18131</v>
      </c>
      <c r="G17" s="307">
        <v>504</v>
      </c>
      <c r="H17" s="131">
        <v>6484</v>
      </c>
      <c r="I17" s="307">
        <v>157</v>
      </c>
      <c r="J17" s="131">
        <v>14412</v>
      </c>
      <c r="K17" s="307">
        <v>52</v>
      </c>
      <c r="L17" s="131">
        <v>91824</v>
      </c>
      <c r="M17" s="307">
        <v>815</v>
      </c>
      <c r="N17" s="321">
        <f t="shared" si="0"/>
        <v>91823</v>
      </c>
      <c r="O17" s="321">
        <f t="shared" si="0"/>
        <v>1815</v>
      </c>
    </row>
    <row r="18" spans="1:15" x14ac:dyDescent="0.2">
      <c r="A18" s="131" t="s">
        <v>1400</v>
      </c>
      <c r="B18" s="131">
        <v>489</v>
      </c>
      <c r="C18" s="307">
        <v>375</v>
      </c>
      <c r="D18" s="131">
        <v>281</v>
      </c>
      <c r="E18" s="307">
        <v>975</v>
      </c>
      <c r="F18" s="131">
        <v>308</v>
      </c>
      <c r="G18" s="307">
        <v>190</v>
      </c>
      <c r="H18" s="131">
        <v>55</v>
      </c>
      <c r="I18" s="307">
        <v>800</v>
      </c>
      <c r="J18" s="131">
        <v>23</v>
      </c>
      <c r="K18" s="307">
        <v>300</v>
      </c>
      <c r="L18" s="131">
        <v>1158</v>
      </c>
      <c r="M18" s="307">
        <v>640</v>
      </c>
      <c r="N18" s="321">
        <f t="shared" si="0"/>
        <v>1156</v>
      </c>
      <c r="O18" s="321">
        <f t="shared" si="0"/>
        <v>2640</v>
      </c>
    </row>
    <row r="19" spans="1:15" x14ac:dyDescent="0.2">
      <c r="A19" s="131" t="s">
        <v>1401</v>
      </c>
      <c r="B19" s="131">
        <v>67671</v>
      </c>
      <c r="C19" s="307">
        <v>143</v>
      </c>
      <c r="D19" s="131">
        <v>72381</v>
      </c>
      <c r="E19" s="307">
        <v>750</v>
      </c>
      <c r="F19" s="131">
        <v>78585</v>
      </c>
      <c r="G19" s="307">
        <v>303</v>
      </c>
      <c r="H19" s="131">
        <v>59107</v>
      </c>
      <c r="I19" s="307">
        <v>75</v>
      </c>
      <c r="J19" s="131">
        <v>62560</v>
      </c>
      <c r="K19" s="307">
        <v>155</v>
      </c>
      <c r="L19" s="131">
        <v>340305</v>
      </c>
      <c r="M19" s="307">
        <v>420</v>
      </c>
      <c r="N19" s="321">
        <f t="shared" si="0"/>
        <v>340304</v>
      </c>
      <c r="O19" s="477">
        <f t="shared" si="0"/>
        <v>1426</v>
      </c>
    </row>
    <row r="20" spans="1:15" x14ac:dyDescent="0.2">
      <c r="A20" s="131" t="s">
        <v>1814</v>
      </c>
      <c r="B20" s="131">
        <v>6292</v>
      </c>
      <c r="C20" s="307">
        <v>365</v>
      </c>
      <c r="D20" s="131">
        <v>4239</v>
      </c>
      <c r="E20" s="307">
        <v>172</v>
      </c>
      <c r="F20" s="131">
        <v>5882</v>
      </c>
      <c r="G20" s="307"/>
      <c r="H20" s="131">
        <v>7</v>
      </c>
      <c r="I20" s="307">
        <v>45</v>
      </c>
      <c r="J20" s="131"/>
      <c r="K20" s="307"/>
      <c r="L20" s="131">
        <v>16420</v>
      </c>
      <c r="M20" s="307">
        <v>582</v>
      </c>
      <c r="N20" s="321">
        <f t="shared" si="0"/>
        <v>16420</v>
      </c>
      <c r="O20" s="321">
        <f t="shared" si="0"/>
        <v>582</v>
      </c>
    </row>
    <row r="21" spans="1:15" x14ac:dyDescent="0.2">
      <c r="A21" s="131" t="s">
        <v>1815</v>
      </c>
      <c r="B21" s="131">
        <v>7523</v>
      </c>
      <c r="C21" s="307">
        <v>854</v>
      </c>
      <c r="D21" s="131">
        <v>13562</v>
      </c>
      <c r="E21" s="307">
        <v>375</v>
      </c>
      <c r="F21" s="131">
        <v>193</v>
      </c>
      <c r="G21" s="307">
        <v>132</v>
      </c>
      <c r="H21" s="131"/>
      <c r="I21" s="307"/>
      <c r="J21" s="131">
        <v>131</v>
      </c>
      <c r="K21" s="307">
        <v>125</v>
      </c>
      <c r="L21" s="131">
        <v>21410</v>
      </c>
      <c r="M21" s="307">
        <v>486</v>
      </c>
      <c r="N21" s="321">
        <f t="shared" si="0"/>
        <v>21409</v>
      </c>
      <c r="O21" s="321">
        <f t="shared" si="0"/>
        <v>1486</v>
      </c>
    </row>
    <row r="22" spans="1:15" x14ac:dyDescent="0.2">
      <c r="A22" s="131" t="s">
        <v>1421</v>
      </c>
      <c r="B22" s="131">
        <v>18498</v>
      </c>
      <c r="C22" s="307">
        <v>595</v>
      </c>
      <c r="D22" s="131"/>
      <c r="E22" s="307"/>
      <c r="F22" s="131"/>
      <c r="G22" s="307"/>
      <c r="H22" s="131"/>
      <c r="I22" s="307"/>
      <c r="J22" s="131"/>
      <c r="K22" s="307"/>
      <c r="L22" s="131">
        <v>18498</v>
      </c>
      <c r="M22" s="307">
        <v>595</v>
      </c>
      <c r="N22" s="321">
        <f t="shared" si="0"/>
        <v>18498</v>
      </c>
      <c r="O22" s="321">
        <f t="shared" si="0"/>
        <v>595</v>
      </c>
    </row>
    <row r="23" spans="1:15" x14ac:dyDescent="0.2">
      <c r="A23" s="131" t="s">
        <v>1816</v>
      </c>
      <c r="B23" s="131">
        <v>37176</v>
      </c>
      <c r="C23" s="307">
        <v>250</v>
      </c>
      <c r="D23" s="131">
        <v>295720</v>
      </c>
      <c r="E23" s="307">
        <v>482</v>
      </c>
      <c r="F23" s="131">
        <v>235276</v>
      </c>
      <c r="G23" s="307">
        <v>150</v>
      </c>
      <c r="H23" s="131">
        <v>87763</v>
      </c>
      <c r="I23" s="307">
        <v>235</v>
      </c>
      <c r="J23" s="131">
        <v>108756</v>
      </c>
      <c r="K23" s="307">
        <v>260</v>
      </c>
      <c r="L23" s="131">
        <v>764692</v>
      </c>
      <c r="M23" s="307">
        <v>377</v>
      </c>
      <c r="N23" s="321">
        <f t="shared" si="0"/>
        <v>764691</v>
      </c>
      <c r="O23" s="321">
        <f t="shared" si="0"/>
        <v>1377</v>
      </c>
    </row>
    <row r="24" spans="1:15" x14ac:dyDescent="0.2">
      <c r="A24" s="131" t="s">
        <v>1817</v>
      </c>
      <c r="B24" s="131">
        <v>9410</v>
      </c>
      <c r="C24" s="307">
        <v>604</v>
      </c>
      <c r="D24" s="131">
        <v>1636</v>
      </c>
      <c r="E24" s="307">
        <v>713</v>
      </c>
      <c r="F24" s="131">
        <v>338</v>
      </c>
      <c r="G24" s="307">
        <v>335</v>
      </c>
      <c r="H24" s="131">
        <v>1419</v>
      </c>
      <c r="I24" s="307">
        <v>75</v>
      </c>
      <c r="J24" s="131">
        <v>1415</v>
      </c>
      <c r="K24" s="307">
        <v>90</v>
      </c>
      <c r="L24" s="131">
        <v>14219</v>
      </c>
      <c r="M24" s="307">
        <v>817</v>
      </c>
      <c r="N24" s="321">
        <f t="shared" si="0"/>
        <v>14218</v>
      </c>
      <c r="O24" s="321">
        <f t="shared" si="0"/>
        <v>1817</v>
      </c>
    </row>
    <row r="25" spans="1:15" x14ac:dyDescent="0.2">
      <c r="A25" s="131" t="s">
        <v>1569</v>
      </c>
      <c r="B25" s="131">
        <v>456590</v>
      </c>
      <c r="C25" s="307">
        <v>625</v>
      </c>
      <c r="D25" s="131">
        <v>400184</v>
      </c>
      <c r="E25" s="307">
        <v>200</v>
      </c>
      <c r="F25" s="131">
        <v>344611</v>
      </c>
      <c r="G25" s="307">
        <v>445</v>
      </c>
      <c r="H25" s="131">
        <v>425694</v>
      </c>
      <c r="I25" s="307">
        <v>260</v>
      </c>
      <c r="J25" s="131">
        <v>429445</v>
      </c>
      <c r="K25" s="307">
        <v>50</v>
      </c>
      <c r="L25" s="131">
        <v>2056525</v>
      </c>
      <c r="M25" s="307">
        <v>580</v>
      </c>
      <c r="N25" s="321">
        <f t="shared" si="0"/>
        <v>2056524</v>
      </c>
      <c r="O25" s="321">
        <f t="shared" si="0"/>
        <v>1580</v>
      </c>
    </row>
    <row r="26" spans="1:15" x14ac:dyDescent="0.2">
      <c r="A26" s="131" t="s">
        <v>1818</v>
      </c>
      <c r="B26" s="131">
        <v>3655</v>
      </c>
      <c r="C26" s="307">
        <v>201</v>
      </c>
      <c r="D26" s="131">
        <v>2937</v>
      </c>
      <c r="E26" s="307">
        <v>133</v>
      </c>
      <c r="F26" s="131">
        <v>3447</v>
      </c>
      <c r="G26" s="307">
        <v>200</v>
      </c>
      <c r="H26" s="131">
        <v>2320</v>
      </c>
      <c r="I26" s="307">
        <v>490</v>
      </c>
      <c r="J26" s="131"/>
      <c r="K26" s="307"/>
      <c r="L26" s="131">
        <v>12660</v>
      </c>
      <c r="M26" s="307">
        <v>24</v>
      </c>
      <c r="N26" s="477">
        <f t="shared" si="0"/>
        <v>12359</v>
      </c>
      <c r="O26" s="321">
        <f t="shared" si="0"/>
        <v>1024</v>
      </c>
    </row>
    <row r="27" spans="1:15" x14ac:dyDescent="0.2">
      <c r="A27" s="131" t="s">
        <v>1570</v>
      </c>
      <c r="B27" s="131">
        <v>68293</v>
      </c>
      <c r="C27" s="307">
        <v>357</v>
      </c>
      <c r="D27" s="131"/>
      <c r="E27" s="307"/>
      <c r="F27" s="131"/>
      <c r="G27" s="307"/>
      <c r="H27" s="131"/>
      <c r="I27" s="307"/>
      <c r="J27" s="131"/>
      <c r="K27" s="307"/>
      <c r="L27" s="131">
        <v>68293</v>
      </c>
      <c r="M27" s="307">
        <v>357</v>
      </c>
      <c r="N27" s="321">
        <f t="shared" si="0"/>
        <v>68293</v>
      </c>
      <c r="O27" s="321">
        <f t="shared" si="0"/>
        <v>357</v>
      </c>
    </row>
    <row r="28" spans="1:15" x14ac:dyDescent="0.2">
      <c r="A28" s="131" t="s">
        <v>1819</v>
      </c>
      <c r="B28" s="131"/>
      <c r="C28" s="307"/>
      <c r="D28" s="131">
        <v>25298</v>
      </c>
      <c r="E28" s="307"/>
      <c r="F28" s="131">
        <v>168578</v>
      </c>
      <c r="G28" s="307">
        <v>560</v>
      </c>
      <c r="H28" s="131"/>
      <c r="I28" s="307"/>
      <c r="J28" s="131"/>
      <c r="K28" s="307"/>
      <c r="L28" s="131">
        <v>193876</v>
      </c>
      <c r="M28" s="307">
        <v>560</v>
      </c>
      <c r="N28" s="321">
        <f t="shared" si="0"/>
        <v>193876</v>
      </c>
      <c r="O28" s="321">
        <f t="shared" si="0"/>
        <v>560</v>
      </c>
    </row>
    <row r="29" spans="1:15" x14ac:dyDescent="0.2">
      <c r="A29" s="131" t="s">
        <v>1820</v>
      </c>
      <c r="B29" s="230"/>
      <c r="C29" s="364"/>
      <c r="D29" s="230"/>
      <c r="E29" s="364"/>
      <c r="F29" s="230"/>
      <c r="G29" s="364"/>
      <c r="H29" s="230">
        <v>204000</v>
      </c>
      <c r="I29" s="364"/>
      <c r="J29" s="230">
        <v>84852</v>
      </c>
      <c r="K29" s="364">
        <v>250</v>
      </c>
      <c r="L29" s="230">
        <v>288852</v>
      </c>
      <c r="M29" s="364">
        <v>250</v>
      </c>
      <c r="N29" s="321">
        <f t="shared" si="0"/>
        <v>288852</v>
      </c>
      <c r="O29" s="321">
        <f t="shared" si="0"/>
        <v>250</v>
      </c>
    </row>
    <row r="30" spans="1:15" x14ac:dyDescent="0.2">
      <c r="A30" s="478" t="s">
        <v>1821</v>
      </c>
      <c r="L30" s="145">
        <v>8341427</v>
      </c>
      <c r="M30" s="307">
        <v>273</v>
      </c>
      <c r="N30" s="477">
        <f>+SUM(N6:N29)</f>
        <v>8341089</v>
      </c>
      <c r="O30" s="477">
        <f>+SUM(O6:O29)</f>
        <v>37979</v>
      </c>
    </row>
    <row r="31" spans="1:15" x14ac:dyDescent="0.2">
      <c r="A31" s="479"/>
      <c r="B31" s="321">
        <f t="shared" ref="B31:K31" si="1">+SUM(B6:B29)</f>
        <v>1749440</v>
      </c>
      <c r="C31" s="321">
        <f t="shared" si="1"/>
        <v>11424</v>
      </c>
      <c r="D31" s="321">
        <f t="shared" si="1"/>
        <v>1701521</v>
      </c>
      <c r="E31" s="321">
        <f t="shared" si="1"/>
        <v>6950</v>
      </c>
      <c r="F31" s="321">
        <f t="shared" si="1"/>
        <v>2041467</v>
      </c>
      <c r="G31" s="321">
        <f t="shared" si="1"/>
        <v>6937</v>
      </c>
      <c r="H31" s="321">
        <f t="shared" si="1"/>
        <v>1286578</v>
      </c>
      <c r="I31" s="321">
        <f t="shared" si="1"/>
        <v>6496</v>
      </c>
      <c r="J31" s="321">
        <f t="shared" si="1"/>
        <v>1562083</v>
      </c>
      <c r="K31" s="321">
        <f t="shared" si="1"/>
        <v>6172</v>
      </c>
      <c r="L31" s="321">
        <f>SUM(L6:L29)</f>
        <v>8341414</v>
      </c>
      <c r="M31" s="321">
        <f>SUM(M6:M29)</f>
        <v>13273</v>
      </c>
      <c r="N31" s="107"/>
      <c r="O31" s="107"/>
    </row>
    <row r="32" spans="1:15" x14ac:dyDescent="0.2">
      <c r="A32" s="480" t="s">
        <v>1423</v>
      </c>
      <c r="B32" s="481"/>
      <c r="C32" s="481"/>
      <c r="D32" s="481"/>
      <c r="E32" s="481"/>
      <c r="F32" s="481"/>
      <c r="G32" s="481"/>
      <c r="H32" s="481"/>
      <c r="I32" s="481"/>
      <c r="J32" s="481"/>
      <c r="K32" s="481"/>
      <c r="L32" s="145">
        <v>1960985</v>
      </c>
      <c r="M32" s="307">
        <v>312</v>
      </c>
    </row>
    <row r="33" spans="1:15" ht="16" thickBot="1" x14ac:dyDescent="0.25">
      <c r="A33" s="480" t="s">
        <v>1822</v>
      </c>
      <c r="B33" s="481"/>
      <c r="C33" s="481"/>
      <c r="D33" s="481"/>
      <c r="E33" s="481"/>
      <c r="F33" s="481"/>
      <c r="G33" s="481"/>
      <c r="H33" s="481"/>
      <c r="I33" s="481"/>
      <c r="J33" s="481"/>
      <c r="K33" s="481"/>
      <c r="L33" s="187">
        <v>1966448</v>
      </c>
      <c r="M33" s="444">
        <v>258</v>
      </c>
    </row>
    <row r="34" spans="1:15" x14ac:dyDescent="0.2">
      <c r="A34" s="482" t="s">
        <v>1823</v>
      </c>
      <c r="B34" s="483"/>
      <c r="C34" s="483"/>
      <c r="D34" s="483"/>
      <c r="E34" s="483"/>
      <c r="F34" s="483"/>
      <c r="G34" s="483"/>
      <c r="H34" s="483"/>
      <c r="I34" s="483"/>
      <c r="J34" s="483"/>
      <c r="K34" s="483"/>
      <c r="L34" s="309">
        <v>12268860</v>
      </c>
      <c r="M34" s="364">
        <v>843</v>
      </c>
    </row>
    <row r="35" spans="1:15" x14ac:dyDescent="0.2">
      <c r="L35" s="321">
        <f>L31+L32+L33</f>
        <v>12268847</v>
      </c>
      <c r="M35" s="321">
        <f>M31+M32+M33</f>
        <v>13843</v>
      </c>
      <c r="N35" s="477">
        <f>N30+L32+L33</f>
        <v>12268522</v>
      </c>
      <c r="O35" s="477">
        <f>O30+M32+M33</f>
        <v>38549</v>
      </c>
    </row>
    <row r="38" spans="1:15" x14ac:dyDescent="0.2">
      <c r="A38" s="113" t="s">
        <v>1171</v>
      </c>
    </row>
    <row r="39" spans="1:15" ht="46.25" customHeight="1" thickBot="1" x14ac:dyDescent="0.25">
      <c r="A39" s="471" t="s">
        <v>1824</v>
      </c>
      <c r="B39" s="484"/>
      <c r="C39" s="484"/>
      <c r="D39" s="472"/>
      <c r="E39" s="472"/>
      <c r="F39" s="472"/>
      <c r="G39" s="472"/>
      <c r="H39" s="472"/>
      <c r="I39" s="472"/>
      <c r="J39" s="472"/>
      <c r="K39" s="472"/>
      <c r="L39" s="472"/>
      <c r="M39" s="473"/>
    </row>
    <row r="40" spans="1:15" ht="31.25" customHeight="1" thickTop="1" x14ac:dyDescent="0.2">
      <c r="A40" s="131"/>
      <c r="B40" s="485" t="s">
        <v>1801</v>
      </c>
      <c r="C40" s="486"/>
      <c r="D40" s="485" t="s">
        <v>1802</v>
      </c>
      <c r="E40" s="486"/>
      <c r="F40" s="485" t="s">
        <v>1803</v>
      </c>
      <c r="G40" s="486"/>
      <c r="H40" s="485" t="s">
        <v>1804</v>
      </c>
      <c r="I40" s="486"/>
      <c r="J40" s="485" t="s">
        <v>1805</v>
      </c>
      <c r="K40" s="486"/>
      <c r="L40" s="487" t="s">
        <v>1341</v>
      </c>
      <c r="M40" s="488"/>
    </row>
    <row r="41" spans="1:15" x14ac:dyDescent="0.2">
      <c r="A41" s="131" t="s">
        <v>1825</v>
      </c>
      <c r="B41" s="131">
        <v>94588</v>
      </c>
      <c r="C41" s="307">
        <v>455</v>
      </c>
      <c r="D41" s="131">
        <v>90698</v>
      </c>
      <c r="E41" s="307">
        <v>635</v>
      </c>
      <c r="F41" s="131">
        <v>114948</v>
      </c>
      <c r="G41" s="307">
        <v>880</v>
      </c>
      <c r="H41" s="131">
        <v>170243</v>
      </c>
      <c r="I41" s="307">
        <v>540</v>
      </c>
      <c r="J41" s="131">
        <v>129865</v>
      </c>
      <c r="K41" s="307">
        <v>815</v>
      </c>
      <c r="L41" s="131">
        <v>600345</v>
      </c>
      <c r="M41" s="307">
        <v>325</v>
      </c>
      <c r="N41" s="321">
        <f>SUM(B41+D41+F41+H41+J41)</f>
        <v>600342</v>
      </c>
      <c r="O41" s="321">
        <f>SUM(C41+E41+G41+I41+K41)</f>
        <v>3325</v>
      </c>
    </row>
    <row r="42" spans="1:15" x14ac:dyDescent="0.2">
      <c r="A42" s="478" t="s">
        <v>1826</v>
      </c>
      <c r="B42" s="131">
        <v>145153</v>
      </c>
      <c r="C42" s="307">
        <v>808</v>
      </c>
      <c r="D42" s="131">
        <v>152906</v>
      </c>
      <c r="E42" s="307">
        <v>475</v>
      </c>
      <c r="F42" s="131">
        <v>153860</v>
      </c>
      <c r="G42" s="307">
        <v>755</v>
      </c>
      <c r="H42" s="131">
        <v>101977</v>
      </c>
      <c r="I42" s="307">
        <v>605</v>
      </c>
      <c r="J42" s="131">
        <v>202551</v>
      </c>
      <c r="K42" s="307">
        <v>965</v>
      </c>
      <c r="L42" s="131">
        <v>756450</v>
      </c>
      <c r="M42" s="307">
        <v>608</v>
      </c>
      <c r="N42" s="321">
        <f t="shared" ref="N42:O55" si="2">SUM(B42+D42+F42+H42+J42)</f>
        <v>756447</v>
      </c>
      <c r="O42" s="321">
        <f t="shared" si="2"/>
        <v>3608</v>
      </c>
    </row>
    <row r="43" spans="1:15" x14ac:dyDescent="0.2">
      <c r="A43" s="478" t="s">
        <v>1827</v>
      </c>
      <c r="B43" s="131">
        <v>44455</v>
      </c>
      <c r="C43" s="307"/>
      <c r="D43" s="131">
        <v>83125</v>
      </c>
      <c r="E43" s="307">
        <v>785</v>
      </c>
      <c r="F43" s="131">
        <v>50811</v>
      </c>
      <c r="G43" s="307">
        <v>20</v>
      </c>
      <c r="H43" s="131">
        <v>22372</v>
      </c>
      <c r="I43" s="307">
        <v>20</v>
      </c>
      <c r="J43" s="131">
        <v>50156</v>
      </c>
      <c r="K43" s="307">
        <v>965</v>
      </c>
      <c r="L43" s="131">
        <v>250920</v>
      </c>
      <c r="M43" s="307">
        <v>790</v>
      </c>
      <c r="N43" s="321">
        <f t="shared" si="2"/>
        <v>250919</v>
      </c>
      <c r="O43" s="321">
        <f t="shared" si="2"/>
        <v>1790</v>
      </c>
    </row>
    <row r="44" spans="1:15" x14ac:dyDescent="0.2">
      <c r="A44" s="478" t="s">
        <v>1828</v>
      </c>
      <c r="B44" s="131">
        <v>11527</v>
      </c>
      <c r="C44" s="307">
        <v>585</v>
      </c>
      <c r="D44" s="131"/>
      <c r="E44" s="307"/>
      <c r="F44" s="131"/>
      <c r="G44" s="307"/>
      <c r="H44" s="131"/>
      <c r="I44" s="307"/>
      <c r="J44" s="131"/>
      <c r="K44" s="307"/>
      <c r="L44" s="131">
        <v>11527</v>
      </c>
      <c r="M44" s="307">
        <v>585</v>
      </c>
      <c r="N44" s="321">
        <f t="shared" si="2"/>
        <v>11527</v>
      </c>
      <c r="O44" s="321">
        <f t="shared" si="2"/>
        <v>585</v>
      </c>
    </row>
    <row r="45" spans="1:15" x14ac:dyDescent="0.2">
      <c r="A45" s="478" t="s">
        <v>1829</v>
      </c>
      <c r="B45" s="131">
        <v>33836</v>
      </c>
      <c r="C45" s="307">
        <v>965</v>
      </c>
      <c r="D45" s="131">
        <v>9826</v>
      </c>
      <c r="E45" s="307">
        <v>775</v>
      </c>
      <c r="F45" s="131">
        <v>9179</v>
      </c>
      <c r="G45" s="307">
        <v>950</v>
      </c>
      <c r="H45" s="131">
        <v>6434</v>
      </c>
      <c r="I45" s="307">
        <v>665</v>
      </c>
      <c r="J45" s="131">
        <v>7817</v>
      </c>
      <c r="K45" s="307">
        <v>96</v>
      </c>
      <c r="L45" s="131">
        <v>67095</v>
      </c>
      <c r="M45" s="307">
        <v>451</v>
      </c>
      <c r="N45" s="321">
        <f t="shared" si="2"/>
        <v>67092</v>
      </c>
      <c r="O45" s="321">
        <f t="shared" si="2"/>
        <v>3451</v>
      </c>
    </row>
    <row r="46" spans="1:15" x14ac:dyDescent="0.2">
      <c r="A46" s="478" t="s">
        <v>1830</v>
      </c>
      <c r="B46" s="131">
        <v>440267</v>
      </c>
      <c r="C46" s="392">
        <v>806</v>
      </c>
      <c r="D46" s="131">
        <v>576421</v>
      </c>
      <c r="E46" s="307">
        <v>539</v>
      </c>
      <c r="F46" s="489">
        <v>403962</v>
      </c>
      <c r="G46" s="490">
        <v>884</v>
      </c>
      <c r="H46" s="489">
        <v>387293</v>
      </c>
      <c r="I46" s="490">
        <v>300</v>
      </c>
      <c r="J46" s="489">
        <v>497210</v>
      </c>
      <c r="K46" s="490">
        <v>821</v>
      </c>
      <c r="L46" s="489">
        <v>2307610</v>
      </c>
      <c r="M46" s="490">
        <v>489</v>
      </c>
      <c r="N46" s="491">
        <f>+B46+B47+D46+D47+F46+H46+J46</f>
        <v>2307606</v>
      </c>
      <c r="O46" s="491">
        <f>+C46+C47+E46+E47+G46+I46+K46</f>
        <v>4489</v>
      </c>
    </row>
    <row r="47" spans="1:15" x14ac:dyDescent="0.2">
      <c r="A47" s="478" t="s">
        <v>1831</v>
      </c>
      <c r="B47" s="131">
        <v>362</v>
      </c>
      <c r="C47" s="307">
        <v>600</v>
      </c>
      <c r="D47" s="131">
        <v>2091</v>
      </c>
      <c r="E47" s="307">
        <v>539</v>
      </c>
      <c r="F47" s="489"/>
      <c r="G47" s="490"/>
      <c r="H47" s="489"/>
      <c r="I47" s="490"/>
      <c r="J47" s="489"/>
      <c r="K47" s="490"/>
      <c r="L47" s="489"/>
      <c r="M47" s="490"/>
      <c r="N47" s="491"/>
      <c r="O47" s="491"/>
    </row>
    <row r="48" spans="1:15" x14ac:dyDescent="0.2">
      <c r="A48" s="478" t="s">
        <v>1832</v>
      </c>
      <c r="B48" s="131">
        <v>230257</v>
      </c>
      <c r="C48" s="307">
        <v>544</v>
      </c>
      <c r="D48" s="131">
        <v>157079</v>
      </c>
      <c r="E48" s="307">
        <v>625</v>
      </c>
      <c r="F48" s="131">
        <v>141152</v>
      </c>
      <c r="G48" s="307">
        <v>179</v>
      </c>
      <c r="H48" s="131">
        <v>48148</v>
      </c>
      <c r="I48" s="307">
        <v>445</v>
      </c>
      <c r="J48" s="131">
        <v>26111</v>
      </c>
      <c r="K48" s="307">
        <v>200</v>
      </c>
      <c r="L48" s="131">
        <v>602748</v>
      </c>
      <c r="M48" s="307">
        <v>993</v>
      </c>
      <c r="N48" s="321">
        <f t="shared" si="2"/>
        <v>602747</v>
      </c>
      <c r="O48" s="321">
        <f t="shared" si="2"/>
        <v>1993</v>
      </c>
    </row>
    <row r="49" spans="1:15" x14ac:dyDescent="0.2">
      <c r="A49" s="478" t="s">
        <v>1833</v>
      </c>
      <c r="B49" s="131">
        <v>142770</v>
      </c>
      <c r="C49" s="307">
        <v>500</v>
      </c>
      <c r="D49" s="131">
        <v>121729</v>
      </c>
      <c r="E49" s="307">
        <v>857</v>
      </c>
      <c r="F49" s="131">
        <v>128131</v>
      </c>
      <c r="G49" s="307">
        <v>898</v>
      </c>
      <c r="H49" s="131">
        <v>95970</v>
      </c>
      <c r="I49" s="307">
        <v>734</v>
      </c>
      <c r="J49" s="131">
        <v>91171</v>
      </c>
      <c r="K49" s="307">
        <v>235</v>
      </c>
      <c r="L49" s="131">
        <v>579774</v>
      </c>
      <c r="M49" s="307">
        <v>224</v>
      </c>
      <c r="N49" s="321">
        <f t="shared" si="2"/>
        <v>579771</v>
      </c>
      <c r="O49" s="321">
        <f t="shared" si="2"/>
        <v>3224</v>
      </c>
    </row>
    <row r="50" spans="1:15" x14ac:dyDescent="0.2">
      <c r="A50" s="478" t="s">
        <v>1834</v>
      </c>
      <c r="B50" s="131">
        <v>46</v>
      </c>
      <c r="C50" s="307">
        <v>400</v>
      </c>
      <c r="D50" s="131"/>
      <c r="E50" s="307"/>
      <c r="F50" s="131"/>
      <c r="G50" s="307"/>
      <c r="H50" s="131"/>
      <c r="I50" s="307"/>
      <c r="J50" s="131"/>
      <c r="K50" s="307"/>
      <c r="L50" s="131">
        <v>46</v>
      </c>
      <c r="M50" s="307">
        <v>400</v>
      </c>
      <c r="N50" s="321">
        <f t="shared" si="2"/>
        <v>46</v>
      </c>
      <c r="O50" s="321">
        <f t="shared" si="2"/>
        <v>400</v>
      </c>
    </row>
    <row r="51" spans="1:15" x14ac:dyDescent="0.2">
      <c r="A51" s="478" t="s">
        <v>1835</v>
      </c>
      <c r="B51" s="131">
        <v>12251</v>
      </c>
      <c r="C51" s="395">
        <v>735</v>
      </c>
      <c r="D51" s="131"/>
      <c r="E51" s="307"/>
      <c r="F51" s="131"/>
      <c r="G51" s="307"/>
      <c r="H51" s="131"/>
      <c r="I51" s="307"/>
      <c r="J51" s="131"/>
      <c r="K51" s="307"/>
      <c r="L51" s="131">
        <v>12251</v>
      </c>
      <c r="M51" s="307">
        <v>735</v>
      </c>
      <c r="N51" s="321">
        <f t="shared" si="2"/>
        <v>12251</v>
      </c>
      <c r="O51" s="321">
        <f t="shared" si="2"/>
        <v>735</v>
      </c>
    </row>
    <row r="52" spans="1:15" x14ac:dyDescent="0.2">
      <c r="A52" s="478" t="s">
        <v>1836</v>
      </c>
      <c r="B52" s="131">
        <v>69165</v>
      </c>
      <c r="C52" s="307">
        <v>647</v>
      </c>
      <c r="D52" s="131"/>
      <c r="E52" s="307"/>
      <c r="F52" s="131"/>
      <c r="G52" s="307"/>
      <c r="H52" s="131"/>
      <c r="I52" s="307"/>
      <c r="J52" s="131"/>
      <c r="K52" s="307"/>
      <c r="L52" s="131">
        <v>69165</v>
      </c>
      <c r="M52" s="307">
        <v>647</v>
      </c>
      <c r="N52" s="321">
        <f t="shared" si="2"/>
        <v>69165</v>
      </c>
      <c r="O52" s="321">
        <f t="shared" si="2"/>
        <v>647</v>
      </c>
    </row>
    <row r="53" spans="1:15" x14ac:dyDescent="0.2">
      <c r="A53" s="478" t="s">
        <v>1837</v>
      </c>
      <c r="B53" s="131">
        <v>447306</v>
      </c>
      <c r="C53" s="307">
        <v>783</v>
      </c>
      <c r="D53" s="131">
        <v>465397</v>
      </c>
      <c r="E53" s="307">
        <v>185</v>
      </c>
      <c r="F53" s="131">
        <v>397762</v>
      </c>
      <c r="G53" s="307">
        <v>184</v>
      </c>
      <c r="H53" s="131">
        <v>272817</v>
      </c>
      <c r="I53" s="307">
        <v>681</v>
      </c>
      <c r="J53" s="131">
        <v>301304</v>
      </c>
      <c r="K53" s="307">
        <v>384</v>
      </c>
      <c r="L53" s="131">
        <v>1884588</v>
      </c>
      <c r="M53" s="307">
        <v>217</v>
      </c>
      <c r="N53" s="321">
        <f t="shared" si="2"/>
        <v>1884586</v>
      </c>
      <c r="O53" s="321">
        <f t="shared" si="2"/>
        <v>2217</v>
      </c>
    </row>
    <row r="54" spans="1:15" x14ac:dyDescent="0.2">
      <c r="A54" s="478" t="s">
        <v>1838</v>
      </c>
      <c r="B54" s="131">
        <v>412</v>
      </c>
      <c r="C54" s="307">
        <v>515</v>
      </c>
      <c r="D54" s="131"/>
      <c r="E54" s="307"/>
      <c r="F54" s="131"/>
      <c r="G54" s="307"/>
      <c r="H54" s="131">
        <v>1224</v>
      </c>
      <c r="I54" s="307">
        <v>750</v>
      </c>
      <c r="J54" s="131"/>
      <c r="K54" s="307"/>
      <c r="L54" s="131">
        <v>1637</v>
      </c>
      <c r="M54" s="307">
        <v>325</v>
      </c>
      <c r="N54" s="321">
        <f t="shared" si="2"/>
        <v>1636</v>
      </c>
      <c r="O54" s="477">
        <f t="shared" si="2"/>
        <v>1265</v>
      </c>
    </row>
    <row r="55" spans="1:15" ht="16" thickBot="1" x14ac:dyDescent="0.25">
      <c r="A55" s="478" t="s">
        <v>1839</v>
      </c>
      <c r="B55" s="372">
        <v>1672403</v>
      </c>
      <c r="C55" s="363">
        <v>403</v>
      </c>
      <c r="D55" s="372">
        <v>1659277</v>
      </c>
      <c r="E55" s="363">
        <v>415</v>
      </c>
      <c r="F55" s="372">
        <v>1399809</v>
      </c>
      <c r="G55" s="363">
        <v>750</v>
      </c>
      <c r="H55" s="372">
        <v>1106482</v>
      </c>
      <c r="I55" s="363">
        <v>740</v>
      </c>
      <c r="J55" s="372">
        <v>1306189</v>
      </c>
      <c r="K55" s="363">
        <v>481</v>
      </c>
      <c r="L55" s="372">
        <v>7144162</v>
      </c>
      <c r="M55" s="363">
        <v>789</v>
      </c>
      <c r="N55" s="321">
        <f t="shared" si="2"/>
        <v>7144160</v>
      </c>
      <c r="O55" s="321">
        <f t="shared" si="2"/>
        <v>2789</v>
      </c>
    </row>
    <row r="56" spans="1:15" ht="16" thickTop="1" x14ac:dyDescent="0.2">
      <c r="A56" s="478"/>
      <c r="B56" s="138">
        <f t="shared" ref="B56:I56" si="3">SUM(B41:B54)</f>
        <v>1672395</v>
      </c>
      <c r="C56" s="413">
        <f t="shared" si="3"/>
        <v>8343</v>
      </c>
      <c r="D56" s="492">
        <f t="shared" si="3"/>
        <v>1659272</v>
      </c>
      <c r="E56" s="492">
        <f t="shared" si="3"/>
        <v>5415</v>
      </c>
      <c r="F56" s="492">
        <f t="shared" si="3"/>
        <v>1399805</v>
      </c>
      <c r="G56" s="492">
        <f t="shared" si="3"/>
        <v>4750</v>
      </c>
      <c r="H56" s="492">
        <f t="shared" si="3"/>
        <v>1106478</v>
      </c>
      <c r="I56" s="492">
        <f t="shared" si="3"/>
        <v>4740</v>
      </c>
      <c r="J56" s="492">
        <f>+SUM(J41:J54)</f>
        <v>1306185</v>
      </c>
      <c r="K56" s="492">
        <f>+SUM(K41:K54)</f>
        <v>4481</v>
      </c>
      <c r="L56" s="492">
        <f>SUM(L41:L54)</f>
        <v>7144156</v>
      </c>
      <c r="M56" s="492">
        <f>SUM(M41:M54)</f>
        <v>6789</v>
      </c>
    </row>
    <row r="57" spans="1:15" x14ac:dyDescent="0.2">
      <c r="A57" s="489" t="s">
        <v>1840</v>
      </c>
      <c r="B57" s="493"/>
      <c r="C57" s="493"/>
      <c r="D57" s="493"/>
      <c r="E57" s="493"/>
      <c r="F57" s="493"/>
      <c r="G57" s="493"/>
      <c r="H57" s="493"/>
      <c r="I57" s="493"/>
      <c r="J57" s="493"/>
      <c r="K57" s="493"/>
      <c r="L57" s="141">
        <v>7144162</v>
      </c>
      <c r="M57" s="185">
        <v>789</v>
      </c>
    </row>
    <row r="58" spans="1:15" x14ac:dyDescent="0.2">
      <c r="A58" s="478" t="s">
        <v>1841</v>
      </c>
      <c r="B58" s="145"/>
      <c r="C58" s="145"/>
      <c r="D58" s="145"/>
      <c r="E58" s="145"/>
      <c r="F58" s="145"/>
      <c r="G58" s="145"/>
      <c r="H58" s="145"/>
      <c r="I58" s="145"/>
      <c r="J58" s="145"/>
      <c r="K58" s="145"/>
      <c r="L58" s="134"/>
      <c r="M58" s="185"/>
    </row>
    <row r="59" spans="1:15" x14ac:dyDescent="0.2">
      <c r="A59" s="478" t="s">
        <v>1842</v>
      </c>
      <c r="B59" s="145">
        <v>122878</v>
      </c>
      <c r="C59" s="145">
        <v>245</v>
      </c>
      <c r="D59" s="145"/>
      <c r="E59" s="145"/>
      <c r="F59" s="145"/>
      <c r="G59" s="145"/>
      <c r="H59" s="145"/>
      <c r="I59" s="145"/>
      <c r="J59" s="145"/>
      <c r="K59" s="145"/>
      <c r="L59" s="134"/>
      <c r="M59" s="185"/>
    </row>
    <row r="60" spans="1:15" x14ac:dyDescent="0.2">
      <c r="A60" s="478" t="s">
        <v>1843</v>
      </c>
      <c r="B60" s="145">
        <v>441642</v>
      </c>
      <c r="C60" s="145">
        <v>730</v>
      </c>
      <c r="D60" s="145"/>
      <c r="E60" s="145"/>
      <c r="F60" s="145"/>
      <c r="G60" s="145"/>
      <c r="H60" s="145"/>
      <c r="I60" s="145"/>
      <c r="J60" s="145"/>
      <c r="K60" s="145"/>
      <c r="L60" s="134"/>
      <c r="M60" s="185"/>
    </row>
    <row r="61" spans="1:15" x14ac:dyDescent="0.2">
      <c r="A61" s="478" t="s">
        <v>1844</v>
      </c>
      <c r="B61" s="145">
        <v>885141</v>
      </c>
      <c r="C61" s="145">
        <v>702</v>
      </c>
      <c r="D61" s="145"/>
      <c r="E61" s="145"/>
      <c r="F61" s="145"/>
      <c r="G61" s="145"/>
      <c r="H61" s="145"/>
      <c r="I61" s="145"/>
      <c r="J61" s="145"/>
      <c r="K61" s="145"/>
      <c r="L61" s="134"/>
      <c r="M61" s="185"/>
    </row>
    <row r="62" spans="1:15" x14ac:dyDescent="0.2">
      <c r="A62" s="494" t="s">
        <v>1845</v>
      </c>
      <c r="B62" s="495"/>
      <c r="C62" s="495"/>
      <c r="D62" s="495"/>
      <c r="E62" s="495"/>
      <c r="F62" s="495"/>
      <c r="G62" s="495"/>
      <c r="H62" s="495"/>
      <c r="I62" s="495"/>
      <c r="J62" s="495"/>
      <c r="K62" s="495"/>
      <c r="L62" s="141">
        <v>1449662</v>
      </c>
      <c r="M62" s="185">
        <v>677</v>
      </c>
    </row>
    <row r="63" spans="1:15" x14ac:dyDescent="0.2">
      <c r="A63" s="480" t="s">
        <v>1423</v>
      </c>
      <c r="B63" s="481"/>
      <c r="C63" s="481"/>
      <c r="D63" s="481"/>
      <c r="E63" s="481"/>
      <c r="F63" s="481"/>
      <c r="G63" s="481"/>
      <c r="H63" s="481"/>
      <c r="I63" s="481"/>
      <c r="J63" s="481"/>
      <c r="K63" s="481"/>
      <c r="L63" s="141">
        <v>1052668</v>
      </c>
      <c r="M63" s="185">
        <v>661</v>
      </c>
    </row>
    <row r="64" spans="1:15" x14ac:dyDescent="0.2">
      <c r="A64" s="480" t="s">
        <v>1846</v>
      </c>
      <c r="B64" s="481"/>
      <c r="C64" s="481"/>
      <c r="D64" s="481"/>
      <c r="E64" s="481"/>
      <c r="F64" s="481"/>
      <c r="G64" s="481"/>
      <c r="H64" s="481"/>
      <c r="I64" s="481"/>
      <c r="J64" s="481"/>
      <c r="K64" s="481"/>
      <c r="L64" s="141">
        <v>1811483</v>
      </c>
      <c r="M64" s="185">
        <v>874</v>
      </c>
    </row>
    <row r="65" spans="1:13" x14ac:dyDescent="0.2">
      <c r="A65" s="480" t="s">
        <v>1847</v>
      </c>
      <c r="B65" s="481"/>
      <c r="C65" s="481"/>
      <c r="D65" s="481"/>
      <c r="E65" s="481"/>
      <c r="F65" s="481"/>
      <c r="G65" s="481"/>
      <c r="H65" s="481"/>
      <c r="I65" s="481"/>
      <c r="J65" s="481"/>
      <c r="K65" s="481"/>
      <c r="L65" s="141">
        <v>190752</v>
      </c>
      <c r="M65" s="185">
        <v>190</v>
      </c>
    </row>
    <row r="66" spans="1:13" x14ac:dyDescent="0.2">
      <c r="A66" s="480" t="s">
        <v>1848</v>
      </c>
      <c r="B66" s="481"/>
      <c r="C66" s="481"/>
      <c r="D66" s="481"/>
      <c r="E66" s="481"/>
      <c r="F66" s="481"/>
      <c r="G66" s="481"/>
      <c r="H66" s="481"/>
      <c r="I66" s="481"/>
      <c r="J66" s="481"/>
      <c r="K66" s="481"/>
      <c r="L66" s="141">
        <v>68402</v>
      </c>
      <c r="M66" s="185">
        <v>290</v>
      </c>
    </row>
    <row r="67" spans="1:13" x14ac:dyDescent="0.2">
      <c r="A67" s="480" t="s">
        <v>1849</v>
      </c>
      <c r="B67" s="481"/>
      <c r="C67" s="481"/>
      <c r="D67" s="481"/>
      <c r="E67" s="481"/>
      <c r="F67" s="481"/>
      <c r="G67" s="481"/>
      <c r="H67" s="481"/>
      <c r="I67" s="481"/>
      <c r="J67" s="481"/>
      <c r="K67" s="481"/>
      <c r="L67" s="141">
        <v>471662</v>
      </c>
      <c r="M67" s="185">
        <v>224</v>
      </c>
    </row>
    <row r="68" spans="1:13" x14ac:dyDescent="0.2">
      <c r="A68" s="480" t="s">
        <v>1850</v>
      </c>
      <c r="B68" s="481"/>
      <c r="C68" s="481"/>
      <c r="D68" s="481"/>
      <c r="E68" s="481"/>
      <c r="F68" s="481"/>
      <c r="G68" s="481"/>
      <c r="H68" s="481"/>
      <c r="I68" s="481"/>
      <c r="J68" s="481"/>
      <c r="K68" s="481"/>
      <c r="L68" s="141">
        <v>32288</v>
      </c>
      <c r="M68" s="185">
        <v>767</v>
      </c>
    </row>
    <row r="69" spans="1:13" x14ac:dyDescent="0.2">
      <c r="A69" s="480" t="s">
        <v>1851</v>
      </c>
      <c r="B69" s="481"/>
      <c r="C69" s="481"/>
      <c r="D69" s="481"/>
      <c r="E69" s="481"/>
      <c r="F69" s="481"/>
      <c r="G69" s="481"/>
      <c r="H69" s="481"/>
      <c r="I69" s="481"/>
      <c r="J69" s="481"/>
      <c r="K69" s="481"/>
      <c r="L69" s="141">
        <v>36338</v>
      </c>
      <c r="M69" s="185">
        <v>461</v>
      </c>
    </row>
    <row r="70" spans="1:13" ht="16" thickBot="1" x14ac:dyDescent="0.25">
      <c r="A70" s="482" t="s">
        <v>1852</v>
      </c>
      <c r="B70" s="483"/>
      <c r="C70" s="483"/>
      <c r="D70" s="483"/>
      <c r="E70" s="483"/>
      <c r="F70" s="483"/>
      <c r="G70" s="483"/>
      <c r="H70" s="483"/>
      <c r="I70" s="483"/>
      <c r="J70" s="483"/>
      <c r="K70" s="483"/>
      <c r="L70" s="362">
        <v>12257421</v>
      </c>
      <c r="M70" s="363">
        <v>933</v>
      </c>
    </row>
    <row r="71" spans="1:13" ht="16" thickTop="1" x14ac:dyDescent="0.2">
      <c r="L71" s="321">
        <f>+SUM(L62:L69)+L57</f>
        <v>12257417</v>
      </c>
      <c r="M71" s="321">
        <f>+SUM(M62:M69)+M57</f>
        <v>4933</v>
      </c>
    </row>
    <row r="74" spans="1:13" x14ac:dyDescent="0.2">
      <c r="A74" s="113" t="s">
        <v>1853</v>
      </c>
    </row>
    <row r="75" spans="1:13" ht="36" customHeight="1" x14ac:dyDescent="0.2">
      <c r="A75" s="496" t="s">
        <v>1854</v>
      </c>
      <c r="B75" s="497"/>
      <c r="C75" s="497"/>
      <c r="D75" s="497"/>
      <c r="E75" s="497"/>
      <c r="F75" s="497"/>
      <c r="G75" s="497"/>
      <c r="H75" s="497"/>
      <c r="I75" s="497"/>
      <c r="J75" s="497"/>
      <c r="K75" s="497"/>
      <c r="L75" s="497"/>
      <c r="M75" s="498"/>
    </row>
    <row r="76" spans="1:13" ht="35.5" customHeight="1" x14ac:dyDescent="0.2">
      <c r="A76" s="499" t="s">
        <v>1855</v>
      </c>
      <c r="B76" s="500"/>
      <c r="C76" s="500"/>
      <c r="D76" s="500"/>
      <c r="E76" s="500"/>
      <c r="F76" s="500"/>
      <c r="G76" s="500"/>
      <c r="H76" s="500"/>
      <c r="I76" s="500"/>
      <c r="J76" s="500"/>
      <c r="K76" s="500"/>
      <c r="L76" s="500"/>
      <c r="M76" s="501"/>
    </row>
    <row r="77" spans="1:13" ht="26.5" customHeight="1" x14ac:dyDescent="0.2">
      <c r="A77" s="502" t="s">
        <v>1856</v>
      </c>
      <c r="B77" s="252" t="s">
        <v>1857</v>
      </c>
      <c r="C77" s="253"/>
      <c r="D77" s="254"/>
      <c r="E77" s="252" t="s">
        <v>1858</v>
      </c>
      <c r="F77" s="253"/>
      <c r="G77" s="254"/>
      <c r="H77" s="252" t="s">
        <v>1859</v>
      </c>
      <c r="I77" s="253"/>
      <c r="J77" s="254"/>
      <c r="K77" s="252" t="s">
        <v>1860</v>
      </c>
      <c r="L77" s="253"/>
      <c r="M77" s="254"/>
    </row>
    <row r="78" spans="1:13" x14ac:dyDescent="0.2">
      <c r="A78" s="164" t="s">
        <v>1861</v>
      </c>
      <c r="B78" s="131">
        <v>1004903</v>
      </c>
      <c r="C78" s="145">
        <v>24</v>
      </c>
      <c r="D78" s="133"/>
      <c r="E78" s="131">
        <v>969469</v>
      </c>
      <c r="F78" s="145">
        <v>33</v>
      </c>
      <c r="G78" s="133">
        <v>0.75</v>
      </c>
      <c r="H78" s="131"/>
      <c r="I78" s="145"/>
      <c r="J78" s="133"/>
      <c r="K78" s="131">
        <v>35433</v>
      </c>
      <c r="L78" s="145">
        <v>90</v>
      </c>
      <c r="M78" s="133">
        <v>0.25</v>
      </c>
    </row>
    <row r="79" spans="1:13" x14ac:dyDescent="0.2">
      <c r="A79" s="164" t="s">
        <v>1862</v>
      </c>
      <c r="B79" s="131">
        <v>89716</v>
      </c>
      <c r="C79" s="145">
        <v>85</v>
      </c>
      <c r="D79" s="133">
        <v>0.25</v>
      </c>
      <c r="E79" s="131">
        <v>124947</v>
      </c>
      <c r="F79" s="145">
        <v>82</v>
      </c>
      <c r="G79" s="133">
        <v>0.5</v>
      </c>
      <c r="H79" s="131">
        <v>35230</v>
      </c>
      <c r="I79" s="145">
        <v>97</v>
      </c>
      <c r="J79" s="133">
        <v>0.25</v>
      </c>
      <c r="K79" s="131"/>
      <c r="L79" s="145"/>
      <c r="M79" s="133"/>
    </row>
    <row r="80" spans="1:13" x14ac:dyDescent="0.2">
      <c r="A80" s="164" t="s">
        <v>1863</v>
      </c>
      <c r="B80" s="131">
        <v>4039</v>
      </c>
      <c r="C80" s="145">
        <v>71</v>
      </c>
      <c r="D80" s="133"/>
      <c r="E80" s="131">
        <v>5225</v>
      </c>
      <c r="F80" s="145">
        <v>39</v>
      </c>
      <c r="G80" s="133"/>
      <c r="H80" s="131">
        <v>1185</v>
      </c>
      <c r="I80" s="145">
        <v>68</v>
      </c>
      <c r="J80" s="133"/>
      <c r="K80" s="131"/>
      <c r="L80" s="145"/>
      <c r="M80" s="133"/>
    </row>
    <row r="81" spans="1:13" x14ac:dyDescent="0.2">
      <c r="A81" s="164" t="s">
        <v>1864</v>
      </c>
      <c r="B81" s="131">
        <v>1037</v>
      </c>
      <c r="C81" s="145"/>
      <c r="D81" s="133"/>
      <c r="E81" s="131">
        <v>6</v>
      </c>
      <c r="F81" s="145"/>
      <c r="G81" s="133"/>
      <c r="H81" s="131"/>
      <c r="I81" s="145"/>
      <c r="J81" s="133"/>
      <c r="K81" s="131">
        <v>1031</v>
      </c>
      <c r="L81" s="145"/>
      <c r="M81" s="133"/>
    </row>
    <row r="82" spans="1:13" x14ac:dyDescent="0.2">
      <c r="A82" s="164" t="s">
        <v>1865</v>
      </c>
      <c r="B82" s="131">
        <v>813</v>
      </c>
      <c r="C82" s="145">
        <v>83</v>
      </c>
      <c r="D82" s="133"/>
      <c r="E82" s="131">
        <v>1677</v>
      </c>
      <c r="F82" s="145">
        <v>77</v>
      </c>
      <c r="G82" s="133">
        <v>0.5</v>
      </c>
      <c r="H82" s="131">
        <v>863</v>
      </c>
      <c r="I82" s="145">
        <v>94</v>
      </c>
      <c r="J82" s="133">
        <v>0.5</v>
      </c>
      <c r="K82" s="131"/>
      <c r="L82" s="145"/>
      <c r="M82" s="133"/>
    </row>
    <row r="83" spans="1:13" x14ac:dyDescent="0.2">
      <c r="A83" s="164" t="s">
        <v>1866</v>
      </c>
      <c r="B83" s="131">
        <v>2</v>
      </c>
      <c r="C83" s="145"/>
      <c r="D83" s="133"/>
      <c r="E83" s="131">
        <v>13</v>
      </c>
      <c r="F83" s="145"/>
      <c r="G83" s="133"/>
      <c r="H83" s="131">
        <v>11</v>
      </c>
      <c r="I83" s="145"/>
      <c r="J83" s="133"/>
      <c r="K83" s="131"/>
      <c r="L83" s="145"/>
      <c r="M83" s="133"/>
    </row>
    <row r="84" spans="1:13" x14ac:dyDescent="0.2">
      <c r="A84" s="164" t="s">
        <v>1867</v>
      </c>
      <c r="B84" s="131">
        <v>2143</v>
      </c>
      <c r="C84" s="145">
        <v>73</v>
      </c>
      <c r="D84" s="133"/>
      <c r="E84" s="131">
        <v>874</v>
      </c>
      <c r="F84" s="145">
        <v>69</v>
      </c>
      <c r="G84" s="133">
        <v>0.5</v>
      </c>
      <c r="H84" s="131"/>
      <c r="I84" s="145"/>
      <c r="J84" s="133"/>
      <c r="K84" s="131">
        <v>1269</v>
      </c>
      <c r="L84" s="145">
        <v>3</v>
      </c>
      <c r="M84" s="133">
        <v>0.5</v>
      </c>
    </row>
    <row r="85" spans="1:13" x14ac:dyDescent="0.2">
      <c r="A85" s="164" t="s">
        <v>1385</v>
      </c>
      <c r="B85" s="131">
        <v>1665</v>
      </c>
      <c r="C85" s="145">
        <v>5</v>
      </c>
      <c r="D85" s="133">
        <v>0.75</v>
      </c>
      <c r="E85" s="131">
        <v>342</v>
      </c>
      <c r="F85" s="145">
        <v>78</v>
      </c>
      <c r="G85" s="133">
        <v>0.5</v>
      </c>
      <c r="H85" s="131"/>
      <c r="I85" s="145"/>
      <c r="J85" s="133"/>
      <c r="K85" s="131">
        <v>1322</v>
      </c>
      <c r="L85" s="145">
        <v>27</v>
      </c>
      <c r="M85" s="133">
        <v>0.25</v>
      </c>
    </row>
    <row r="86" spans="1:13" x14ac:dyDescent="0.2">
      <c r="A86" s="164" t="s">
        <v>1400</v>
      </c>
      <c r="B86" s="230"/>
      <c r="C86" s="309"/>
      <c r="D86" s="231"/>
      <c r="E86" s="230">
        <v>360</v>
      </c>
      <c r="F86" s="309">
        <v>98</v>
      </c>
      <c r="G86" s="231"/>
      <c r="H86" s="230">
        <v>360</v>
      </c>
      <c r="I86" s="309">
        <v>98</v>
      </c>
      <c r="J86" s="231"/>
      <c r="K86" s="230"/>
      <c r="L86" s="309"/>
      <c r="M86" s="231"/>
    </row>
    <row r="87" spans="1:13" x14ac:dyDescent="0.2">
      <c r="A87" s="164"/>
      <c r="B87" s="131">
        <v>1104321</v>
      </c>
      <c r="C87" s="145">
        <v>42</v>
      </c>
      <c r="D87" s="133"/>
      <c r="E87" s="131">
        <v>1102917</v>
      </c>
      <c r="F87" s="145">
        <v>78</v>
      </c>
      <c r="G87" s="133">
        <v>0.75</v>
      </c>
      <c r="H87" s="131">
        <v>37652</v>
      </c>
      <c r="I87" s="145">
        <v>57</v>
      </c>
      <c r="J87" s="133">
        <v>0.75</v>
      </c>
      <c r="K87" s="131">
        <v>39056</v>
      </c>
      <c r="L87" s="145">
        <v>21</v>
      </c>
      <c r="M87" s="133"/>
    </row>
    <row r="88" spans="1:13" x14ac:dyDescent="0.2">
      <c r="A88" s="164"/>
      <c r="B88" s="137">
        <f t="shared" ref="B88:M88" si="4">+SUM(B78:B86)</f>
        <v>1104318</v>
      </c>
      <c r="C88" s="137">
        <f t="shared" si="4"/>
        <v>341</v>
      </c>
      <c r="D88" s="503">
        <f t="shared" si="4"/>
        <v>1</v>
      </c>
      <c r="E88" s="137">
        <f t="shared" si="4"/>
        <v>1102913</v>
      </c>
      <c r="F88" s="137">
        <f t="shared" si="4"/>
        <v>476</v>
      </c>
      <c r="G88" s="503">
        <f t="shared" si="4"/>
        <v>2.75</v>
      </c>
      <c r="H88" s="137">
        <f t="shared" si="4"/>
        <v>37649</v>
      </c>
      <c r="I88" s="137">
        <f t="shared" si="4"/>
        <v>357</v>
      </c>
      <c r="J88" s="503">
        <f t="shared" si="4"/>
        <v>0.75</v>
      </c>
      <c r="K88" s="137">
        <f t="shared" si="4"/>
        <v>39055</v>
      </c>
      <c r="L88" s="137">
        <f t="shared" si="4"/>
        <v>120</v>
      </c>
      <c r="M88" s="503">
        <f t="shared" si="4"/>
        <v>1</v>
      </c>
    </row>
    <row r="89" spans="1:13" x14ac:dyDescent="0.2">
      <c r="A89" s="135" t="s">
        <v>1868</v>
      </c>
      <c r="E89" s="230">
        <v>1403</v>
      </c>
      <c r="F89" s="309">
        <v>63</v>
      </c>
      <c r="G89" s="231">
        <v>0.25</v>
      </c>
      <c r="H89" s="131">
        <v>1403</v>
      </c>
      <c r="I89" s="145">
        <v>63</v>
      </c>
      <c r="J89" s="133">
        <v>0.25</v>
      </c>
      <c r="K89" s="131"/>
      <c r="L89" s="145"/>
      <c r="M89" s="133"/>
    </row>
    <row r="90" spans="1:13" x14ac:dyDescent="0.2">
      <c r="A90" s="151"/>
      <c r="B90" s="151"/>
      <c r="C90" s="194"/>
      <c r="D90" s="195"/>
      <c r="E90" s="240">
        <v>1104321</v>
      </c>
      <c r="F90" s="318">
        <v>42</v>
      </c>
      <c r="G90" s="241"/>
      <c r="H90" s="240">
        <v>39056</v>
      </c>
      <c r="I90" s="318">
        <v>21</v>
      </c>
      <c r="J90" s="241">
        <v>0.75</v>
      </c>
      <c r="K90" s="230"/>
      <c r="L90" s="309"/>
      <c r="M90" s="231"/>
    </row>
    <row r="94" spans="1:13" x14ac:dyDescent="0.2">
      <c r="A94" s="113" t="s">
        <v>1226</v>
      </c>
    </row>
    <row r="95" spans="1:13" ht="33.5" customHeight="1" x14ac:dyDescent="0.2">
      <c r="A95" s="504" t="s">
        <v>1869</v>
      </c>
      <c r="B95" s="505"/>
      <c r="C95" s="505"/>
      <c r="D95" s="505"/>
      <c r="E95" s="505"/>
      <c r="F95" s="505"/>
      <c r="G95" s="505"/>
      <c r="H95" s="505"/>
      <c r="I95" s="505"/>
      <c r="J95" s="505"/>
      <c r="K95" s="505"/>
      <c r="L95" s="505"/>
      <c r="M95" s="506"/>
    </row>
    <row r="96" spans="1:13" ht="30.5" customHeight="1" x14ac:dyDescent="0.2">
      <c r="A96" s="507" t="s">
        <v>1870</v>
      </c>
      <c r="B96" s="252" t="s">
        <v>1857</v>
      </c>
      <c r="C96" s="253"/>
      <c r="D96" s="254"/>
      <c r="E96" s="252" t="s">
        <v>1858</v>
      </c>
      <c r="F96" s="253"/>
      <c r="G96" s="254"/>
      <c r="H96" s="252" t="s">
        <v>1859</v>
      </c>
      <c r="I96" s="253"/>
      <c r="J96" s="254"/>
      <c r="K96" s="252" t="s">
        <v>1860</v>
      </c>
      <c r="L96" s="253"/>
      <c r="M96" s="254"/>
    </row>
    <row r="97" spans="1:13" x14ac:dyDescent="0.2">
      <c r="A97" s="135" t="s">
        <v>1871</v>
      </c>
      <c r="B97" s="131">
        <v>1004903</v>
      </c>
      <c r="C97" s="145">
        <v>24</v>
      </c>
      <c r="D97" s="133"/>
      <c r="E97" s="131">
        <v>969469</v>
      </c>
      <c r="F97" s="145">
        <v>33</v>
      </c>
      <c r="G97" s="133">
        <v>0.75</v>
      </c>
      <c r="H97" s="131">
        <v>31752</v>
      </c>
      <c r="I97" s="145">
        <v>17</v>
      </c>
      <c r="J97" s="133">
        <v>0.75</v>
      </c>
      <c r="K97" s="131">
        <v>67186</v>
      </c>
      <c r="L97" s="145">
        <v>8</v>
      </c>
      <c r="M97" s="133"/>
    </row>
    <row r="98" spans="1:13" x14ac:dyDescent="0.2">
      <c r="A98" s="508" t="s">
        <v>1868</v>
      </c>
      <c r="B98" s="131"/>
      <c r="C98" s="145"/>
      <c r="D98" s="133"/>
      <c r="E98" s="230">
        <v>35433</v>
      </c>
      <c r="F98" s="309">
        <v>90</v>
      </c>
      <c r="G98" s="231">
        <v>0.25</v>
      </c>
      <c r="H98" s="230">
        <v>35433</v>
      </c>
      <c r="I98" s="309">
        <v>90</v>
      </c>
      <c r="J98" s="231">
        <v>0.25</v>
      </c>
      <c r="K98" s="131"/>
      <c r="L98" s="145"/>
      <c r="M98" s="133"/>
    </row>
    <row r="99" spans="1:13" x14ac:dyDescent="0.2">
      <c r="A99" s="164"/>
      <c r="B99" s="131"/>
      <c r="C99" s="145"/>
      <c r="D99" s="133"/>
      <c r="E99" s="131">
        <v>1004903</v>
      </c>
      <c r="F99" s="145">
        <v>24</v>
      </c>
      <c r="G99" s="133"/>
      <c r="H99" s="131">
        <v>67186</v>
      </c>
      <c r="I99" s="145">
        <v>8</v>
      </c>
      <c r="J99" s="133"/>
      <c r="K99" s="131"/>
      <c r="L99" s="145"/>
      <c r="M99" s="133"/>
    </row>
    <row r="100" spans="1:13" x14ac:dyDescent="0.2">
      <c r="A100" s="509" t="s">
        <v>1872</v>
      </c>
      <c r="B100" s="349">
        <v>89716</v>
      </c>
      <c r="C100" s="350">
        <v>85</v>
      </c>
      <c r="D100" s="352">
        <v>0.25</v>
      </c>
      <c r="E100" s="349"/>
      <c r="F100" s="350"/>
      <c r="G100" s="352"/>
      <c r="H100" s="349"/>
      <c r="I100" s="350"/>
      <c r="J100" s="352"/>
      <c r="K100" s="349"/>
      <c r="L100" s="350"/>
      <c r="M100" s="352"/>
    </row>
    <row r="101" spans="1:13" x14ac:dyDescent="0.2">
      <c r="A101" s="508" t="s">
        <v>1873</v>
      </c>
      <c r="B101" s="230">
        <v>35230</v>
      </c>
      <c r="C101" s="309">
        <v>97</v>
      </c>
      <c r="D101" s="231">
        <v>0.25</v>
      </c>
      <c r="E101" s="131"/>
      <c r="F101" s="145"/>
      <c r="G101" s="133"/>
      <c r="H101" s="131"/>
      <c r="I101" s="145"/>
      <c r="J101" s="133"/>
      <c r="K101" s="230"/>
      <c r="L101" s="309"/>
      <c r="M101" s="231"/>
    </row>
    <row r="102" spans="1:13" x14ac:dyDescent="0.2">
      <c r="A102" s="151"/>
      <c r="B102" s="230">
        <v>124947</v>
      </c>
      <c r="C102" s="309">
        <v>82</v>
      </c>
      <c r="D102" s="231">
        <v>0.5</v>
      </c>
      <c r="E102" s="230">
        <v>124947</v>
      </c>
      <c r="F102" s="309">
        <v>82</v>
      </c>
      <c r="G102" s="231">
        <v>0.5</v>
      </c>
      <c r="H102" s="230">
        <v>37783</v>
      </c>
      <c r="I102" s="309">
        <v>77</v>
      </c>
      <c r="J102" s="231">
        <v>0.25</v>
      </c>
      <c r="K102" s="230">
        <v>37783</v>
      </c>
      <c r="L102" s="309">
        <v>77</v>
      </c>
      <c r="M102" s="231">
        <v>0.25</v>
      </c>
    </row>
    <row r="106" spans="1:13" x14ac:dyDescent="0.2">
      <c r="A106" s="113" t="s">
        <v>1272</v>
      </c>
    </row>
    <row r="107" spans="1:13" ht="23.5" customHeight="1" x14ac:dyDescent="0.2">
      <c r="B107" s="510" t="s">
        <v>1874</v>
      </c>
      <c r="C107" s="323"/>
      <c r="D107" s="323"/>
      <c r="E107" s="323"/>
      <c r="F107" s="323"/>
      <c r="G107" s="323"/>
      <c r="H107" s="323"/>
      <c r="I107" s="324"/>
    </row>
    <row r="108" spans="1:13" ht="30" customHeight="1" x14ac:dyDescent="0.2">
      <c r="B108" s="511" t="s">
        <v>1875</v>
      </c>
      <c r="C108" s="326"/>
      <c r="D108" s="326"/>
      <c r="E108" s="326"/>
      <c r="F108" s="326"/>
      <c r="G108" s="326"/>
      <c r="H108" s="326"/>
      <c r="I108" s="327"/>
    </row>
    <row r="109" spans="1:13" ht="30" customHeight="1" x14ac:dyDescent="0.2">
      <c r="B109" s="124" t="s">
        <v>1876</v>
      </c>
      <c r="C109" s="324"/>
      <c r="D109" s="124" t="s">
        <v>1877</v>
      </c>
      <c r="E109" s="324"/>
      <c r="F109" s="124" t="s">
        <v>1878</v>
      </c>
      <c r="G109" s="126"/>
      <c r="H109" s="124" t="s">
        <v>1357</v>
      </c>
      <c r="I109" s="126"/>
    </row>
    <row r="110" spans="1:13" ht="30" customHeight="1" x14ac:dyDescent="0.2">
      <c r="B110" s="511" t="s">
        <v>1879</v>
      </c>
      <c r="C110" s="327"/>
      <c r="D110" s="511" t="s">
        <v>1879</v>
      </c>
      <c r="E110" s="327"/>
      <c r="F110" s="511" t="s">
        <v>1879</v>
      </c>
      <c r="G110" s="512"/>
      <c r="H110" s="511" t="s">
        <v>1879</v>
      </c>
      <c r="I110" s="512"/>
    </row>
    <row r="111" spans="1:13" ht="26" customHeight="1" x14ac:dyDescent="0.2">
      <c r="B111" s="230">
        <v>7776289</v>
      </c>
      <c r="C111" s="231">
        <v>0.25</v>
      </c>
      <c r="D111" s="230">
        <v>2583568</v>
      </c>
      <c r="E111" s="231">
        <v>0.75</v>
      </c>
      <c r="F111" s="230">
        <v>43000</v>
      </c>
      <c r="G111" s="195"/>
      <c r="H111" s="230">
        <v>10402858</v>
      </c>
      <c r="I111" s="195"/>
    </row>
    <row r="115" spans="1:10" x14ac:dyDescent="0.2">
      <c r="A115" s="113" t="s">
        <v>1342</v>
      </c>
    </row>
    <row r="116" spans="1:10" ht="29" customHeight="1" x14ac:dyDescent="0.2">
      <c r="A116" s="127" t="s">
        <v>1880</v>
      </c>
      <c r="B116" s="124" t="s">
        <v>1881</v>
      </c>
      <c r="C116" s="126"/>
      <c r="D116" s="124" t="s">
        <v>1882</v>
      </c>
      <c r="E116" s="126"/>
      <c r="F116" s="252" t="s">
        <v>1497</v>
      </c>
      <c r="G116" s="253"/>
      <c r="H116" s="253"/>
      <c r="I116" s="254"/>
    </row>
    <row r="117" spans="1:10" x14ac:dyDescent="0.2">
      <c r="A117" s="475"/>
      <c r="B117" s="511"/>
      <c r="C117" s="512"/>
      <c r="D117" s="511"/>
      <c r="E117" s="512"/>
      <c r="F117" s="252" t="s">
        <v>1883</v>
      </c>
      <c r="G117" s="254"/>
      <c r="H117" s="252" t="s">
        <v>1884</v>
      </c>
      <c r="I117" s="254"/>
    </row>
    <row r="118" spans="1:10" x14ac:dyDescent="0.2">
      <c r="A118" s="131" t="s">
        <v>1759</v>
      </c>
      <c r="B118" s="131">
        <v>2829230</v>
      </c>
      <c r="C118" s="307">
        <v>899</v>
      </c>
      <c r="D118" s="131">
        <v>2877116</v>
      </c>
      <c r="E118" s="307">
        <v>657</v>
      </c>
      <c r="F118" s="131"/>
      <c r="G118" s="307"/>
      <c r="H118" s="131">
        <v>47885</v>
      </c>
      <c r="I118" s="307">
        <v>758</v>
      </c>
    </row>
    <row r="119" spans="1:10" x14ac:dyDescent="0.2">
      <c r="A119" s="131" t="s">
        <v>1760</v>
      </c>
      <c r="B119" s="131">
        <v>2705061</v>
      </c>
      <c r="C119" s="307">
        <v>590</v>
      </c>
      <c r="D119" s="131">
        <v>2783937</v>
      </c>
      <c r="E119" s="307">
        <v>518</v>
      </c>
      <c r="F119" s="131"/>
      <c r="G119" s="307"/>
      <c r="H119" s="131">
        <v>78875</v>
      </c>
      <c r="I119" s="307">
        <v>928</v>
      </c>
    </row>
    <row r="120" spans="1:10" x14ac:dyDescent="0.2">
      <c r="A120" s="131" t="s">
        <v>1885</v>
      </c>
      <c r="B120" s="131">
        <v>2775508</v>
      </c>
      <c r="C120" s="307">
        <v>598</v>
      </c>
      <c r="D120" s="131">
        <v>2618044</v>
      </c>
      <c r="E120" s="307">
        <v>482</v>
      </c>
      <c r="F120" s="131">
        <v>157464</v>
      </c>
      <c r="G120" s="307">
        <v>116</v>
      </c>
      <c r="H120" s="131"/>
      <c r="I120" s="307"/>
    </row>
    <row r="121" spans="1:10" x14ac:dyDescent="0.2">
      <c r="A121" s="131" t="s">
        <v>1762</v>
      </c>
      <c r="B121" s="131">
        <v>3340131</v>
      </c>
      <c r="C121" s="307">
        <v>249</v>
      </c>
      <c r="D121" s="131">
        <v>2475986</v>
      </c>
      <c r="E121" s="307">
        <v>685</v>
      </c>
      <c r="F121" s="131">
        <v>864144</v>
      </c>
      <c r="G121" s="307">
        <v>564</v>
      </c>
      <c r="H121" s="131"/>
      <c r="I121" s="307"/>
    </row>
    <row r="122" spans="1:10" x14ac:dyDescent="0.2">
      <c r="A122" s="131" t="s">
        <v>1763</v>
      </c>
      <c r="B122" s="131">
        <v>1803272</v>
      </c>
      <c r="C122" s="307">
        <v>153</v>
      </c>
      <c r="D122" s="131">
        <v>2278170</v>
      </c>
      <c r="E122" s="307">
        <v>459</v>
      </c>
      <c r="F122" s="131"/>
      <c r="G122" s="307"/>
      <c r="H122" s="131">
        <v>474898</v>
      </c>
      <c r="I122" s="307">
        <v>306</v>
      </c>
      <c r="J122" s="131"/>
    </row>
    <row r="123" spans="1:10" x14ac:dyDescent="0.2">
      <c r="A123" s="131" t="s">
        <v>1886</v>
      </c>
      <c r="B123" s="131">
        <v>1766916</v>
      </c>
      <c r="C123" s="307">
        <v>667</v>
      </c>
      <c r="D123" s="131">
        <v>2164518</v>
      </c>
      <c r="E123" s="307">
        <v>16</v>
      </c>
      <c r="F123" s="131"/>
      <c r="G123" s="307"/>
      <c r="H123" s="131">
        <v>397601</v>
      </c>
      <c r="I123" s="307">
        <v>349</v>
      </c>
      <c r="J123" s="107">
        <f>B31</f>
        <v>1749440</v>
      </c>
    </row>
    <row r="124" spans="1:10" x14ac:dyDescent="0.2">
      <c r="A124" s="131" t="s">
        <v>1887</v>
      </c>
      <c r="B124" s="131">
        <v>2123485</v>
      </c>
      <c r="C124" s="307">
        <v>705</v>
      </c>
      <c r="D124" s="131">
        <v>1943390</v>
      </c>
      <c r="E124" s="307">
        <v>437</v>
      </c>
      <c r="F124" s="131">
        <v>180095</v>
      </c>
      <c r="G124" s="307">
        <v>268</v>
      </c>
      <c r="H124" s="131"/>
      <c r="I124" s="307"/>
      <c r="J124" s="107">
        <f>N1+D31</f>
        <v>1701521</v>
      </c>
    </row>
    <row r="125" spans="1:10" x14ac:dyDescent="0.2">
      <c r="A125" s="131" t="s">
        <v>1888</v>
      </c>
      <c r="B125" s="131">
        <v>1790926</v>
      </c>
      <c r="C125" s="307">
        <v>139</v>
      </c>
      <c r="D125" s="131">
        <v>2185526</v>
      </c>
      <c r="E125" s="307">
        <v>223</v>
      </c>
      <c r="F125" s="131"/>
      <c r="G125" s="307"/>
      <c r="H125" s="131">
        <v>394600</v>
      </c>
      <c r="I125" s="307">
        <v>84</v>
      </c>
    </row>
    <row r="126" spans="1:10" x14ac:dyDescent="0.2">
      <c r="A126" s="131" t="s">
        <v>1889</v>
      </c>
      <c r="B126" s="131">
        <v>3377223</v>
      </c>
      <c r="C126" s="307">
        <v>673</v>
      </c>
      <c r="D126" s="131">
        <v>1993498</v>
      </c>
      <c r="E126" s="307">
        <v>307</v>
      </c>
      <c r="F126" s="131">
        <v>1383725</v>
      </c>
      <c r="G126" s="307">
        <v>366</v>
      </c>
      <c r="H126" s="131"/>
      <c r="I126" s="307"/>
    </row>
    <row r="127" spans="1:10" x14ac:dyDescent="0.2">
      <c r="A127" s="131" t="s">
        <v>1890</v>
      </c>
      <c r="B127" s="131">
        <v>1880213</v>
      </c>
      <c r="C127" s="307">
        <v>581</v>
      </c>
      <c r="D127" s="131">
        <v>1713843</v>
      </c>
      <c r="E127" s="307">
        <v>931</v>
      </c>
      <c r="F127" s="131">
        <v>166369</v>
      </c>
      <c r="G127" s="307">
        <v>650</v>
      </c>
      <c r="H127" s="131"/>
      <c r="I127" s="307"/>
    </row>
    <row r="128" spans="1:10" x14ac:dyDescent="0.2">
      <c r="A128" s="131" t="s">
        <v>1891</v>
      </c>
      <c r="B128" s="131">
        <v>1937053</v>
      </c>
      <c r="C128" s="307">
        <v>395</v>
      </c>
      <c r="D128" s="131">
        <v>1775667</v>
      </c>
      <c r="E128" s="307">
        <v>111</v>
      </c>
      <c r="F128" s="131">
        <v>161386</v>
      </c>
      <c r="G128" s="307">
        <v>284</v>
      </c>
      <c r="H128" s="131"/>
      <c r="I128" s="307"/>
    </row>
    <row r="129" spans="1:9" ht="16" thickBot="1" x14ac:dyDescent="0.25">
      <c r="A129" s="131"/>
      <c r="B129" s="240">
        <v>26329023</v>
      </c>
      <c r="C129" s="513">
        <v>649</v>
      </c>
      <c r="D129" s="240">
        <v>24809699</v>
      </c>
      <c r="E129" s="513">
        <v>826</v>
      </c>
      <c r="F129" s="372">
        <v>2913185</v>
      </c>
      <c r="G129" s="363">
        <v>248</v>
      </c>
      <c r="H129" s="372">
        <v>1393861</v>
      </c>
      <c r="I129" s="363">
        <v>425</v>
      </c>
    </row>
    <row r="130" spans="1:9" ht="16" thickTop="1" x14ac:dyDescent="0.2">
      <c r="A130" s="131"/>
      <c r="B130" s="152">
        <f t="shared" ref="B130:I130" si="5">+SUM(B118:B128)</f>
        <v>26329018</v>
      </c>
      <c r="C130" s="152">
        <f t="shared" si="5"/>
        <v>5649</v>
      </c>
      <c r="D130" s="152">
        <f t="shared" si="5"/>
        <v>24809695</v>
      </c>
      <c r="E130" s="152">
        <f t="shared" si="5"/>
        <v>4826</v>
      </c>
      <c r="F130" s="152">
        <f t="shared" si="5"/>
        <v>2913183</v>
      </c>
      <c r="G130" s="152">
        <f t="shared" si="5"/>
        <v>2248</v>
      </c>
      <c r="H130" s="152">
        <f t="shared" si="5"/>
        <v>1393859</v>
      </c>
      <c r="I130" s="152">
        <f t="shared" si="5"/>
        <v>2425</v>
      </c>
    </row>
    <row r="131" spans="1:9" x14ac:dyDescent="0.2">
      <c r="A131" s="514" t="s">
        <v>1892</v>
      </c>
      <c r="B131" s="515"/>
      <c r="C131" s="515"/>
      <c r="D131" s="515"/>
      <c r="E131" s="515"/>
      <c r="F131" s="309"/>
      <c r="G131" s="309"/>
      <c r="H131" s="309"/>
      <c r="I131" s="364"/>
    </row>
    <row r="132" spans="1:9" x14ac:dyDescent="0.2">
      <c r="A132" s="131"/>
      <c r="B132" s="145"/>
      <c r="C132" s="145"/>
      <c r="D132" s="145"/>
      <c r="E132" s="145"/>
      <c r="F132" s="145"/>
      <c r="G132" s="145"/>
      <c r="H132" s="145"/>
      <c r="I132" s="307"/>
    </row>
    <row r="133" spans="1:9" x14ac:dyDescent="0.2">
      <c r="A133" s="480" t="s">
        <v>1892</v>
      </c>
      <c r="B133" s="481"/>
      <c r="C133" s="481"/>
      <c r="D133" s="481"/>
      <c r="E133" s="481"/>
      <c r="F133" s="481"/>
      <c r="G133" s="481"/>
      <c r="H133" s="145">
        <v>1519323</v>
      </c>
      <c r="I133" s="307">
        <v>823</v>
      </c>
    </row>
    <row r="134" spans="1:9" ht="16" thickBot="1" x14ac:dyDescent="0.25">
      <c r="A134" s="480" t="s">
        <v>1893</v>
      </c>
      <c r="B134" s="481"/>
      <c r="C134" s="481"/>
      <c r="D134" s="481"/>
      <c r="E134" s="481"/>
      <c r="F134" s="481"/>
      <c r="G134" s="481"/>
      <c r="H134" s="187">
        <v>395277</v>
      </c>
      <c r="I134" s="444">
        <v>387</v>
      </c>
    </row>
    <row r="135" spans="1:9" x14ac:dyDescent="0.2">
      <c r="A135" s="480" t="s">
        <v>1894</v>
      </c>
      <c r="B135" s="481"/>
      <c r="C135" s="481"/>
      <c r="D135" s="481"/>
      <c r="E135" s="481"/>
      <c r="F135" s="481"/>
      <c r="G135" s="481"/>
      <c r="H135" s="145">
        <v>1914601</v>
      </c>
      <c r="I135" s="307">
        <v>210</v>
      </c>
    </row>
    <row r="136" spans="1:9" x14ac:dyDescent="0.2">
      <c r="A136" s="131" t="s">
        <v>1895</v>
      </c>
      <c r="B136" s="145"/>
      <c r="C136" s="145"/>
      <c r="D136" s="145"/>
      <c r="E136" s="145"/>
      <c r="F136" s="145"/>
      <c r="G136" s="145"/>
      <c r="H136" s="145"/>
      <c r="I136" s="307"/>
    </row>
    <row r="137" spans="1:9" x14ac:dyDescent="0.2">
      <c r="A137" s="480" t="s">
        <v>1896</v>
      </c>
      <c r="B137" s="481"/>
      <c r="C137" s="481"/>
      <c r="D137" s="481"/>
      <c r="E137" s="481"/>
      <c r="F137" s="145">
        <v>1812042</v>
      </c>
      <c r="G137" s="145">
        <v>655</v>
      </c>
      <c r="H137" s="145"/>
      <c r="I137" s="307"/>
    </row>
    <row r="138" spans="1:9" ht="30" customHeight="1" thickBot="1" x14ac:dyDescent="0.25">
      <c r="A138" s="516" t="s">
        <v>1897</v>
      </c>
      <c r="B138" s="517"/>
      <c r="C138" s="517"/>
      <c r="D138" s="517"/>
      <c r="E138" s="517"/>
      <c r="F138" s="145">
        <v>951355</v>
      </c>
      <c r="G138" s="145">
        <v>689</v>
      </c>
      <c r="H138" s="187">
        <v>2763398</v>
      </c>
      <c r="I138" s="444">
        <v>344</v>
      </c>
    </row>
    <row r="139" spans="1:9" x14ac:dyDescent="0.2">
      <c r="A139" s="480" t="s">
        <v>1898</v>
      </c>
      <c r="B139" s="481"/>
      <c r="C139" s="481"/>
      <c r="D139" s="481"/>
      <c r="E139" s="481"/>
      <c r="F139" s="481"/>
      <c r="G139" s="481"/>
      <c r="H139" s="145">
        <v>848797</v>
      </c>
      <c r="I139" s="307">
        <v>134</v>
      </c>
    </row>
    <row r="140" spans="1:9" ht="32.5" customHeight="1" thickBot="1" x14ac:dyDescent="0.25">
      <c r="A140" s="516" t="s">
        <v>1899</v>
      </c>
      <c r="B140" s="517"/>
      <c r="C140" s="517"/>
      <c r="D140" s="517"/>
      <c r="E140" s="517"/>
      <c r="F140" s="517"/>
      <c r="G140" s="517"/>
      <c r="H140" s="187">
        <v>812801</v>
      </c>
      <c r="I140" s="444">
        <v>140</v>
      </c>
    </row>
    <row r="141" spans="1:9" x14ac:dyDescent="0.2">
      <c r="A141" s="131" t="s">
        <v>1900</v>
      </c>
      <c r="B141" s="145"/>
      <c r="C141" s="145"/>
      <c r="D141" s="145"/>
      <c r="E141" s="145"/>
      <c r="F141" s="145"/>
      <c r="G141" s="145"/>
      <c r="H141" s="145">
        <v>1661598</v>
      </c>
      <c r="I141" s="307">
        <v>274</v>
      </c>
    </row>
    <row r="142" spans="1:9" ht="29" customHeight="1" thickBot="1" x14ac:dyDescent="0.25">
      <c r="A142" s="516" t="s">
        <v>1901</v>
      </c>
      <c r="B142" s="517"/>
      <c r="C142" s="517"/>
      <c r="D142" s="517"/>
      <c r="E142" s="517"/>
      <c r="F142" s="517"/>
      <c r="G142" s="517"/>
      <c r="H142" s="187">
        <v>980760</v>
      </c>
      <c r="I142" s="444">
        <v>377</v>
      </c>
    </row>
    <row r="143" spans="1:9" ht="22.25" customHeight="1" x14ac:dyDescent="0.2">
      <c r="A143" s="514" t="s">
        <v>1902</v>
      </c>
      <c r="B143" s="515"/>
      <c r="C143" s="515"/>
      <c r="D143" s="515"/>
      <c r="E143" s="515"/>
      <c r="F143" s="515"/>
      <c r="G143" s="515"/>
      <c r="H143" s="309">
        <v>2642358</v>
      </c>
      <c r="I143" s="364">
        <v>651</v>
      </c>
    </row>
    <row r="147" spans="1:227" x14ac:dyDescent="0.2">
      <c r="A147" s="113" t="s">
        <v>1358</v>
      </c>
    </row>
    <row r="148" spans="1:227" ht="29.5" customHeight="1" x14ac:dyDescent="0.2">
      <c r="A148" s="518" t="s">
        <v>1800</v>
      </c>
      <c r="B148" s="519"/>
      <c r="C148" s="519"/>
      <c r="D148" s="519"/>
      <c r="E148" s="520"/>
    </row>
    <row r="149" spans="1:227" x14ac:dyDescent="0.2">
      <c r="A149" s="480" t="s">
        <v>1903</v>
      </c>
      <c r="B149" s="481"/>
      <c r="C149" s="481"/>
      <c r="D149" s="145">
        <v>13453204</v>
      </c>
      <c r="E149" s="307">
        <v>489</v>
      </c>
    </row>
    <row r="150" spans="1:227" x14ac:dyDescent="0.2">
      <c r="A150" s="131" t="s">
        <v>1904</v>
      </c>
      <c r="B150" s="145"/>
      <c r="C150" s="145"/>
      <c r="D150" s="145"/>
      <c r="E150" s="307"/>
    </row>
    <row r="151" spans="1:227" x14ac:dyDescent="0.2">
      <c r="A151" s="131" t="s">
        <v>1905</v>
      </c>
      <c r="B151" s="145">
        <v>33417</v>
      </c>
      <c r="C151" s="145">
        <v>553</v>
      </c>
      <c r="D151" s="145"/>
      <c r="E151" s="307"/>
    </row>
    <row r="152" spans="1:227" ht="16" thickBot="1" x14ac:dyDescent="0.25">
      <c r="A152" s="131" t="s">
        <v>1906</v>
      </c>
      <c r="B152" s="187">
        <v>37176</v>
      </c>
      <c r="C152" s="187">
        <v>250</v>
      </c>
      <c r="D152" s="187">
        <v>70593</v>
      </c>
      <c r="E152" s="444">
        <v>803</v>
      </c>
    </row>
    <row r="153" spans="1:227" ht="23.5" customHeight="1" thickBot="1" x14ac:dyDescent="0.25">
      <c r="A153" s="131" t="s">
        <v>1907</v>
      </c>
      <c r="B153" s="145"/>
      <c r="C153" s="145"/>
      <c r="D153" s="448">
        <v>13382610</v>
      </c>
      <c r="E153" s="449">
        <v>686</v>
      </c>
    </row>
    <row r="154" spans="1:227" ht="24.5" customHeight="1" thickBot="1" x14ac:dyDescent="0.25">
      <c r="A154" s="131" t="s">
        <v>1908</v>
      </c>
      <c r="B154" s="145"/>
      <c r="C154" s="145"/>
      <c r="D154" s="448">
        <v>2676522</v>
      </c>
      <c r="E154" s="449">
        <v>137</v>
      </c>
    </row>
    <row r="155" spans="1:227" x14ac:dyDescent="0.2">
      <c r="A155" s="131" t="s">
        <v>1909</v>
      </c>
      <c r="B155" s="145"/>
      <c r="C155" s="145"/>
      <c r="D155" s="145">
        <v>12875819</v>
      </c>
      <c r="E155" s="307">
        <v>160</v>
      </c>
    </row>
    <row r="156" spans="1:227" x14ac:dyDescent="0.2">
      <c r="A156" s="131" t="s">
        <v>1910</v>
      </c>
      <c r="B156" s="145"/>
      <c r="C156" s="145"/>
      <c r="D156" s="145"/>
      <c r="E156" s="307"/>
    </row>
    <row r="157" spans="1:227" x14ac:dyDescent="0.2">
      <c r="A157" s="131" t="s">
        <v>1911</v>
      </c>
      <c r="B157" s="145">
        <v>777263</v>
      </c>
      <c r="C157" s="145">
        <v>542</v>
      </c>
      <c r="D157" s="145"/>
      <c r="E157" s="307"/>
    </row>
    <row r="158" spans="1:227" x14ac:dyDescent="0.2">
      <c r="A158" s="131" t="s">
        <v>1912</v>
      </c>
      <c r="B158" s="145">
        <v>2000000</v>
      </c>
      <c r="C158" s="145"/>
      <c r="D158" s="145"/>
      <c r="E158" s="307"/>
    </row>
    <row r="159" spans="1:227" ht="16" thickBot="1" x14ac:dyDescent="0.25">
      <c r="A159" s="131" t="s">
        <v>1913</v>
      </c>
      <c r="B159" s="181">
        <v>214937</v>
      </c>
      <c r="C159" s="181">
        <v>190</v>
      </c>
      <c r="D159" s="181">
        <v>2992200</v>
      </c>
      <c r="E159" s="521">
        <v>732</v>
      </c>
      <c r="F159" s="143"/>
      <c r="G159" s="143"/>
      <c r="H159" s="143"/>
      <c r="I159" s="143"/>
      <c r="J159" s="143"/>
      <c r="K159" s="143"/>
      <c r="L159" s="143"/>
      <c r="M159" s="143"/>
      <c r="N159" s="143"/>
      <c r="O159" s="143"/>
      <c r="P159" s="143"/>
      <c r="Q159" s="143"/>
      <c r="R159" s="143"/>
      <c r="S159" s="143"/>
      <c r="T159" s="143"/>
      <c r="U159" s="143"/>
      <c r="V159" s="143"/>
      <c r="W159" s="143"/>
      <c r="X159" s="143"/>
      <c r="Y159" s="143"/>
      <c r="Z159" s="143"/>
      <c r="AA159" s="143"/>
      <c r="AB159" s="143"/>
      <c r="AC159" s="143"/>
      <c r="AD159" s="143"/>
      <c r="AE159" s="143"/>
      <c r="AF159" s="143"/>
      <c r="AG159" s="143"/>
      <c r="AH159" s="143"/>
      <c r="AI159" s="143"/>
      <c r="AJ159" s="143"/>
      <c r="AK159" s="143"/>
      <c r="AL159" s="143"/>
      <c r="AM159" s="143"/>
      <c r="AN159" s="143"/>
      <c r="AO159" s="143"/>
      <c r="AP159" s="143"/>
      <c r="AQ159" s="143"/>
      <c r="AR159" s="143"/>
      <c r="AS159" s="143"/>
      <c r="AT159" s="143"/>
      <c r="AU159" s="143"/>
      <c r="AV159" s="143"/>
      <c r="AW159" s="143"/>
      <c r="AX159" s="143"/>
      <c r="AY159" s="143"/>
      <c r="AZ159" s="143"/>
      <c r="BA159" s="143"/>
      <c r="BB159" s="143"/>
      <c r="BC159" s="143"/>
      <c r="BD159" s="143"/>
      <c r="BE159" s="143"/>
      <c r="BF159" s="143"/>
      <c r="BG159" s="143"/>
      <c r="BH159" s="143"/>
      <c r="BI159" s="143"/>
      <c r="BJ159" s="143"/>
      <c r="BK159" s="143"/>
      <c r="BL159" s="143"/>
      <c r="BM159" s="143"/>
      <c r="BN159" s="143"/>
      <c r="BO159" s="143"/>
      <c r="BP159" s="143"/>
      <c r="BQ159" s="143"/>
      <c r="BR159" s="143"/>
      <c r="BS159" s="143"/>
      <c r="BT159" s="143"/>
      <c r="BU159" s="143"/>
      <c r="BV159" s="143"/>
      <c r="BW159" s="143"/>
      <c r="BX159" s="143"/>
      <c r="BY159" s="143"/>
      <c r="BZ159" s="143"/>
      <c r="CA159" s="143"/>
      <c r="CB159" s="143"/>
      <c r="CC159" s="143"/>
      <c r="CD159" s="143"/>
      <c r="CE159" s="143"/>
      <c r="CF159" s="143"/>
      <c r="CG159" s="143"/>
      <c r="CH159" s="143"/>
      <c r="CI159" s="143"/>
      <c r="CJ159" s="143"/>
      <c r="CK159" s="143"/>
      <c r="CL159" s="143"/>
      <c r="CM159" s="143"/>
      <c r="CN159" s="143"/>
      <c r="CO159" s="143"/>
      <c r="CP159" s="143"/>
      <c r="CQ159" s="143"/>
      <c r="CR159" s="143"/>
      <c r="CS159" s="143"/>
      <c r="CT159" s="143"/>
      <c r="CU159" s="143"/>
      <c r="CV159" s="143"/>
      <c r="CW159" s="143"/>
      <c r="CX159" s="143"/>
      <c r="CY159" s="143"/>
      <c r="CZ159" s="143"/>
      <c r="DA159" s="143"/>
      <c r="DB159" s="143"/>
      <c r="DC159" s="143"/>
      <c r="DD159" s="143"/>
      <c r="DE159" s="143"/>
      <c r="DF159" s="143"/>
      <c r="DG159" s="143"/>
      <c r="DH159" s="143"/>
      <c r="DI159" s="143"/>
      <c r="DJ159" s="143"/>
      <c r="DK159" s="143"/>
      <c r="DL159" s="143"/>
      <c r="DM159" s="143"/>
      <c r="DN159" s="143"/>
      <c r="DO159" s="143"/>
      <c r="DP159" s="143"/>
      <c r="DQ159" s="143"/>
      <c r="DR159" s="143"/>
      <c r="DS159" s="143"/>
      <c r="DT159" s="143"/>
      <c r="DU159" s="143"/>
      <c r="DV159" s="143"/>
      <c r="DW159" s="143"/>
      <c r="DX159" s="143"/>
      <c r="DY159" s="143"/>
      <c r="DZ159" s="143"/>
      <c r="EA159" s="143"/>
      <c r="EB159" s="143"/>
      <c r="EC159" s="143"/>
      <c r="ED159" s="143"/>
      <c r="EE159" s="143"/>
      <c r="EF159" s="143"/>
      <c r="EG159" s="143"/>
      <c r="EH159" s="143"/>
      <c r="EI159" s="143"/>
      <c r="EJ159" s="143"/>
      <c r="EK159" s="143"/>
      <c r="EL159" s="143"/>
      <c r="EM159" s="143"/>
      <c r="EN159" s="143"/>
      <c r="EO159" s="143"/>
      <c r="EP159" s="143"/>
      <c r="EQ159" s="143"/>
      <c r="ER159" s="143"/>
      <c r="ES159" s="143"/>
      <c r="ET159" s="143"/>
      <c r="EU159" s="143"/>
      <c r="EV159" s="143"/>
      <c r="EW159" s="143"/>
      <c r="EX159" s="143"/>
      <c r="EY159" s="143"/>
      <c r="EZ159" s="143"/>
      <c r="FA159" s="143"/>
      <c r="FB159" s="143"/>
      <c r="FC159" s="143"/>
      <c r="FD159" s="143"/>
      <c r="FE159" s="143"/>
      <c r="FF159" s="143"/>
      <c r="FG159" s="143"/>
      <c r="FH159" s="143"/>
      <c r="FI159" s="143"/>
      <c r="FJ159" s="143"/>
      <c r="FK159" s="143"/>
      <c r="FL159" s="143"/>
      <c r="FM159" s="143"/>
      <c r="FN159" s="143"/>
      <c r="FO159" s="143"/>
      <c r="FP159" s="143"/>
      <c r="FQ159" s="143"/>
      <c r="FR159" s="143"/>
      <c r="FS159" s="143"/>
      <c r="FT159" s="143"/>
      <c r="FU159" s="143"/>
      <c r="FV159" s="143"/>
      <c r="FW159" s="143"/>
      <c r="FX159" s="143"/>
      <c r="FY159" s="143"/>
      <c r="FZ159" s="143"/>
      <c r="GA159" s="143"/>
      <c r="GB159" s="143"/>
      <c r="GC159" s="143"/>
      <c r="GD159" s="143"/>
      <c r="GE159" s="143"/>
      <c r="GF159" s="143"/>
      <c r="GG159" s="143"/>
      <c r="GH159" s="143"/>
      <c r="GI159" s="143"/>
      <c r="GJ159" s="143"/>
      <c r="GK159" s="143"/>
      <c r="GL159" s="143"/>
      <c r="GM159" s="143"/>
      <c r="GN159" s="143"/>
      <c r="GO159" s="143"/>
      <c r="GP159" s="143"/>
      <c r="GQ159" s="143"/>
      <c r="GR159" s="143"/>
      <c r="GS159" s="143"/>
      <c r="GT159" s="143"/>
      <c r="GU159" s="143"/>
      <c r="GV159" s="143"/>
      <c r="GW159" s="143"/>
      <c r="GX159" s="143"/>
      <c r="GY159" s="143"/>
      <c r="GZ159" s="143"/>
      <c r="HA159" s="143"/>
      <c r="HB159" s="143"/>
      <c r="HC159" s="143"/>
      <c r="HD159" s="143"/>
      <c r="HE159" s="143"/>
      <c r="HF159" s="143"/>
      <c r="HG159" s="143"/>
      <c r="HH159" s="143"/>
      <c r="HI159" s="143"/>
      <c r="HJ159" s="143"/>
      <c r="HK159" s="143"/>
      <c r="HL159" s="143"/>
      <c r="HM159" s="143"/>
      <c r="HN159" s="143"/>
      <c r="HO159" s="143"/>
      <c r="HP159" s="143"/>
      <c r="HQ159" s="143"/>
      <c r="HR159" s="143"/>
      <c r="HS159" s="143"/>
    </row>
    <row r="160" spans="1:227" ht="24.5" customHeight="1" thickBot="1" x14ac:dyDescent="0.25">
      <c r="A160" s="131" t="s">
        <v>1914</v>
      </c>
      <c r="B160" s="141"/>
      <c r="C160" s="141"/>
      <c r="D160" s="522">
        <v>9883618</v>
      </c>
      <c r="E160" s="523">
        <v>428</v>
      </c>
      <c r="F160" s="143"/>
      <c r="G160" s="143"/>
      <c r="H160" s="143"/>
      <c r="I160" s="143"/>
      <c r="J160" s="143"/>
      <c r="K160" s="143"/>
      <c r="L160" s="143"/>
      <c r="M160" s="143"/>
      <c r="N160" s="143"/>
      <c r="O160" s="143"/>
      <c r="P160" s="143"/>
      <c r="Q160" s="143"/>
      <c r="R160" s="143"/>
      <c r="S160" s="143"/>
      <c r="T160" s="143"/>
      <c r="U160" s="143"/>
      <c r="V160" s="143"/>
      <c r="W160" s="143"/>
      <c r="X160" s="143"/>
      <c r="Y160" s="143"/>
      <c r="Z160" s="143"/>
      <c r="AA160" s="143"/>
      <c r="AB160" s="143"/>
      <c r="AC160" s="143"/>
      <c r="AD160" s="143"/>
      <c r="AE160" s="143"/>
      <c r="AF160" s="143"/>
      <c r="AG160" s="143"/>
      <c r="AH160" s="143"/>
      <c r="AI160" s="143"/>
      <c r="AJ160" s="143"/>
      <c r="AK160" s="143"/>
      <c r="AL160" s="143"/>
      <c r="AM160" s="143"/>
      <c r="AN160" s="143"/>
      <c r="AO160" s="143"/>
      <c r="AP160" s="143"/>
      <c r="AQ160" s="143"/>
      <c r="AR160" s="14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row>
    <row r="161" spans="1:227" ht="21.5" customHeight="1" thickBot="1" x14ac:dyDescent="0.25">
      <c r="A161" s="131" t="s">
        <v>1908</v>
      </c>
      <c r="B161" s="145"/>
      <c r="C161" s="145"/>
      <c r="D161" s="448">
        <v>1647269</v>
      </c>
      <c r="E161" s="449">
        <v>738</v>
      </c>
    </row>
    <row r="162" spans="1:227" x14ac:dyDescent="0.2">
      <c r="A162" s="516" t="s">
        <v>1915</v>
      </c>
      <c r="B162" s="517"/>
      <c r="C162" s="517"/>
      <c r="D162" s="141"/>
      <c r="E162" s="395"/>
      <c r="F162" s="143"/>
      <c r="G162" s="143"/>
      <c r="H162" s="143"/>
      <c r="I162" s="143"/>
      <c r="J162" s="143"/>
      <c r="K162" s="143"/>
      <c r="L162" s="143"/>
      <c r="M162" s="143"/>
      <c r="N162" s="143"/>
      <c r="O162" s="143"/>
      <c r="P162" s="143"/>
      <c r="Q162" s="143"/>
      <c r="R162" s="143"/>
      <c r="S162" s="143"/>
      <c r="T162" s="143"/>
      <c r="U162" s="143"/>
      <c r="V162" s="143"/>
      <c r="W162" s="143"/>
      <c r="X162" s="143"/>
      <c r="Y162" s="143"/>
      <c r="Z162" s="143"/>
      <c r="AA162" s="143"/>
      <c r="AB162" s="143"/>
      <c r="AC162" s="143"/>
      <c r="AD162" s="143"/>
      <c r="AE162" s="143"/>
      <c r="AF162" s="143"/>
      <c r="AG162" s="143"/>
      <c r="AH162" s="143"/>
      <c r="AI162" s="143"/>
      <c r="AJ162" s="143"/>
      <c r="AK162" s="143"/>
      <c r="AL162" s="143"/>
      <c r="AM162" s="143"/>
      <c r="AN162" s="143"/>
      <c r="AO162" s="143"/>
      <c r="AP162" s="143"/>
      <c r="AQ162" s="143"/>
      <c r="AR162" s="143"/>
      <c r="AS162" s="143"/>
      <c r="AT162" s="143"/>
      <c r="AU162" s="143"/>
      <c r="AV162" s="143"/>
      <c r="AW162" s="143"/>
      <c r="AX162" s="143"/>
      <c r="AY162" s="143"/>
      <c r="AZ162" s="143"/>
      <c r="BA162" s="143"/>
      <c r="BB162" s="143"/>
      <c r="BC162" s="143"/>
      <c r="BD162" s="143"/>
      <c r="BE162" s="143"/>
      <c r="BF162" s="143"/>
      <c r="BG162" s="143"/>
      <c r="BH162" s="143"/>
      <c r="BI162" s="143"/>
      <c r="BJ162" s="143"/>
      <c r="BK162" s="143"/>
      <c r="BL162" s="143"/>
      <c r="BM162" s="143"/>
      <c r="BN162" s="143"/>
      <c r="BO162" s="143"/>
      <c r="BP162" s="143"/>
      <c r="BQ162" s="143"/>
      <c r="BR162" s="143"/>
      <c r="BS162" s="143"/>
      <c r="BT162" s="143"/>
      <c r="BU162" s="143"/>
      <c r="BV162" s="143"/>
      <c r="BW162" s="143"/>
      <c r="BX162" s="143"/>
      <c r="BY162" s="143"/>
      <c r="BZ162" s="143"/>
      <c r="CA162" s="143"/>
      <c r="CB162" s="143"/>
      <c r="CC162" s="143"/>
      <c r="CD162" s="143"/>
      <c r="CE162" s="143"/>
      <c r="CF162" s="143"/>
      <c r="CG162" s="143"/>
      <c r="CH162" s="143"/>
      <c r="CI162" s="143"/>
      <c r="CJ162" s="143"/>
      <c r="CK162" s="143"/>
      <c r="CL162" s="143"/>
      <c r="CM162" s="143"/>
      <c r="CN162" s="143"/>
      <c r="CO162" s="143"/>
      <c r="CP162" s="143"/>
      <c r="CQ162" s="143"/>
      <c r="CR162" s="143"/>
      <c r="CS162" s="143"/>
      <c r="CT162" s="143"/>
      <c r="CU162" s="143"/>
      <c r="CV162" s="143"/>
      <c r="CW162" s="143"/>
      <c r="CX162" s="143"/>
      <c r="CY162" s="143"/>
      <c r="CZ162" s="143"/>
      <c r="DA162" s="143"/>
      <c r="DB162" s="143"/>
      <c r="DC162" s="143"/>
      <c r="DD162" s="143"/>
      <c r="DE162" s="143"/>
      <c r="DF162" s="143"/>
      <c r="DG162" s="143"/>
      <c r="DH162" s="143"/>
      <c r="DI162" s="143"/>
      <c r="DJ162" s="143"/>
      <c r="DK162" s="143"/>
      <c r="DL162" s="143"/>
      <c r="DM162" s="143"/>
      <c r="DN162" s="143"/>
      <c r="DO162" s="143"/>
      <c r="DP162" s="143"/>
      <c r="DQ162" s="143"/>
      <c r="DR162" s="143"/>
      <c r="DS162" s="143"/>
      <c r="DT162" s="143"/>
      <c r="DU162" s="143"/>
      <c r="DV162" s="143"/>
      <c r="DW162" s="143"/>
      <c r="DX162" s="143"/>
      <c r="DY162" s="143"/>
      <c r="DZ162" s="143"/>
      <c r="EA162" s="143"/>
      <c r="EB162" s="143"/>
      <c r="EC162" s="143"/>
      <c r="ED162" s="143"/>
      <c r="EE162" s="143"/>
      <c r="EF162" s="143"/>
      <c r="EG162" s="143"/>
      <c r="EH162" s="143"/>
      <c r="EI162" s="143"/>
      <c r="EJ162" s="143"/>
      <c r="EK162" s="143"/>
      <c r="EL162" s="143"/>
      <c r="EM162" s="143"/>
      <c r="EN162" s="143"/>
      <c r="EO162" s="143"/>
      <c r="EP162" s="143"/>
      <c r="EQ162" s="143"/>
      <c r="ER162" s="143"/>
      <c r="ES162" s="143"/>
      <c r="ET162" s="143"/>
      <c r="EU162" s="143"/>
      <c r="EV162" s="143"/>
      <c r="EW162" s="143"/>
      <c r="EX162" s="143"/>
      <c r="EY162" s="143"/>
      <c r="EZ162" s="143"/>
      <c r="FA162" s="143"/>
      <c r="FB162" s="143"/>
      <c r="FC162" s="143"/>
      <c r="FD162" s="143"/>
      <c r="FE162" s="143"/>
      <c r="FF162" s="143"/>
      <c r="FG162" s="143"/>
      <c r="FH162" s="143"/>
      <c r="FI162" s="143"/>
      <c r="FJ162" s="143"/>
      <c r="FK162" s="143"/>
      <c r="FL162" s="143"/>
      <c r="FM162" s="143"/>
      <c r="FN162" s="143"/>
      <c r="FO162" s="143"/>
      <c r="FP162" s="143"/>
      <c r="FQ162" s="143"/>
      <c r="FR162" s="143"/>
      <c r="FS162" s="143"/>
      <c r="FT162" s="143"/>
      <c r="FU162" s="143"/>
      <c r="FV162" s="143"/>
      <c r="FW162" s="143"/>
      <c r="FX162" s="143"/>
      <c r="FY162" s="143"/>
      <c r="FZ162" s="143"/>
      <c r="GA162" s="143"/>
      <c r="GB162" s="143"/>
      <c r="GC162" s="143"/>
      <c r="GD162" s="143"/>
      <c r="GE162" s="143"/>
      <c r="GF162" s="143"/>
      <c r="GG162" s="143"/>
      <c r="GH162" s="143"/>
      <c r="GI162" s="143"/>
      <c r="GJ162" s="143"/>
      <c r="GK162" s="143"/>
      <c r="GL162" s="143"/>
      <c r="GM162" s="143"/>
      <c r="GN162" s="143"/>
      <c r="GO162" s="143"/>
      <c r="GP162" s="143"/>
      <c r="GQ162" s="143"/>
      <c r="GR162" s="143"/>
      <c r="GS162" s="143"/>
      <c r="GT162" s="143"/>
      <c r="GU162" s="143"/>
      <c r="GV162" s="143"/>
      <c r="GW162" s="143"/>
      <c r="GX162" s="143"/>
      <c r="GY162" s="143"/>
      <c r="GZ162" s="143"/>
      <c r="HA162" s="143"/>
      <c r="HB162" s="143"/>
      <c r="HC162" s="143"/>
      <c r="HD162" s="143"/>
      <c r="HE162" s="143"/>
      <c r="HF162" s="143"/>
      <c r="HG162" s="143"/>
      <c r="HH162" s="143"/>
      <c r="HI162" s="143"/>
      <c r="HJ162" s="143"/>
      <c r="HK162" s="143"/>
      <c r="HL162" s="143"/>
      <c r="HM162" s="143"/>
      <c r="HN162" s="143"/>
      <c r="HO162" s="143"/>
      <c r="HP162" s="143"/>
      <c r="HQ162" s="143"/>
      <c r="HR162" s="143"/>
      <c r="HS162" s="143"/>
    </row>
    <row r="163" spans="1:227" ht="33" customHeight="1" x14ac:dyDescent="0.2">
      <c r="A163" s="516" t="s">
        <v>1916</v>
      </c>
      <c r="B163" s="517"/>
      <c r="C163" s="517"/>
      <c r="D163" s="145">
        <v>2676522</v>
      </c>
      <c r="E163" s="307">
        <v>137</v>
      </c>
    </row>
    <row r="164" spans="1:227" ht="16" thickBot="1" x14ac:dyDescent="0.25">
      <c r="A164" s="516" t="s">
        <v>1917</v>
      </c>
      <c r="B164" s="517"/>
      <c r="C164" s="517"/>
      <c r="D164" s="181">
        <v>1647269</v>
      </c>
      <c r="E164" s="521">
        <v>738</v>
      </c>
      <c r="F164" s="143"/>
      <c r="G164" s="143"/>
      <c r="H164" s="143"/>
      <c r="I164" s="143"/>
      <c r="J164" s="143"/>
      <c r="K164" s="143"/>
      <c r="L164" s="143"/>
      <c r="M164" s="143"/>
      <c r="N164" s="143"/>
      <c r="O164" s="143"/>
      <c r="P164" s="143"/>
      <c r="Q164" s="143"/>
      <c r="R164" s="143"/>
      <c r="S164" s="143"/>
      <c r="T164" s="143"/>
      <c r="U164" s="143"/>
      <c r="V164" s="143"/>
      <c r="W164" s="143"/>
      <c r="X164" s="143"/>
      <c r="Y164" s="143"/>
      <c r="Z164" s="143"/>
      <c r="AA164" s="143"/>
      <c r="AB164" s="143"/>
      <c r="AC164" s="143"/>
      <c r="AD164" s="143"/>
      <c r="AE164" s="143"/>
      <c r="AF164" s="143"/>
      <c r="AG164" s="143"/>
      <c r="AH164" s="143"/>
      <c r="AI164" s="143"/>
      <c r="AJ164" s="143"/>
      <c r="AK164" s="143"/>
      <c r="AL164" s="143"/>
      <c r="AM164" s="143"/>
      <c r="AN164" s="143"/>
      <c r="AO164" s="143"/>
      <c r="AP164" s="143"/>
      <c r="AQ164" s="143"/>
      <c r="AR164" s="143"/>
      <c r="AS164" s="143"/>
      <c r="AT164" s="143"/>
      <c r="AU164" s="143"/>
      <c r="AV164" s="143"/>
      <c r="AW164" s="143"/>
      <c r="AX164" s="143"/>
      <c r="AY164" s="143"/>
      <c r="AZ164" s="143"/>
      <c r="BA164" s="143"/>
      <c r="BB164" s="143"/>
      <c r="BC164" s="143"/>
      <c r="BD164" s="143"/>
      <c r="BE164" s="143"/>
      <c r="BF164" s="143"/>
      <c r="BG164" s="143"/>
      <c r="BH164" s="143"/>
      <c r="BI164" s="143"/>
      <c r="BJ164" s="143"/>
      <c r="BK164" s="143"/>
      <c r="BL164" s="143"/>
      <c r="BM164" s="143"/>
      <c r="BN164" s="143"/>
      <c r="BO164" s="143"/>
      <c r="BP164" s="143"/>
      <c r="BQ164" s="143"/>
      <c r="BR164" s="143"/>
      <c r="BS164" s="143"/>
      <c r="BT164" s="143"/>
      <c r="BU164" s="143"/>
      <c r="BV164" s="143"/>
      <c r="BW164" s="143"/>
      <c r="BX164" s="143"/>
      <c r="BY164" s="143"/>
      <c r="BZ164" s="143"/>
      <c r="CA164" s="143"/>
      <c r="CB164" s="143"/>
      <c r="CC164" s="143"/>
      <c r="CD164" s="143"/>
      <c r="CE164" s="143"/>
      <c r="CF164" s="143"/>
      <c r="CG164" s="143"/>
      <c r="CH164" s="143"/>
      <c r="CI164" s="143"/>
      <c r="CJ164" s="143"/>
      <c r="CK164" s="143"/>
      <c r="CL164" s="143"/>
      <c r="CM164" s="143"/>
      <c r="CN164" s="143"/>
      <c r="CO164" s="143"/>
      <c r="CP164" s="143"/>
      <c r="CQ164" s="143"/>
      <c r="CR164" s="143"/>
      <c r="CS164" s="143"/>
      <c r="CT164" s="143"/>
      <c r="CU164" s="143"/>
      <c r="CV164" s="143"/>
      <c r="CW164" s="143"/>
      <c r="CX164" s="143"/>
      <c r="CY164" s="143"/>
      <c r="CZ164" s="143"/>
      <c r="DA164" s="143"/>
      <c r="DB164" s="143"/>
      <c r="DC164" s="143"/>
      <c r="DD164" s="143"/>
      <c r="DE164" s="143"/>
      <c r="DF164" s="143"/>
      <c r="DG164" s="143"/>
      <c r="DH164" s="143"/>
      <c r="DI164" s="143"/>
      <c r="DJ164" s="143"/>
      <c r="DK164" s="143"/>
      <c r="DL164" s="143"/>
      <c r="DM164" s="143"/>
      <c r="DN164" s="143"/>
      <c r="DO164" s="143"/>
      <c r="DP164" s="143"/>
      <c r="DQ164" s="143"/>
      <c r="DR164" s="143"/>
      <c r="DS164" s="143"/>
      <c r="DT164" s="143"/>
      <c r="DU164" s="143"/>
      <c r="DV164" s="143"/>
      <c r="DW164" s="143"/>
      <c r="DX164" s="143"/>
      <c r="DY164" s="143"/>
      <c r="DZ164" s="143"/>
      <c r="EA164" s="143"/>
      <c r="EB164" s="143"/>
      <c r="EC164" s="143"/>
      <c r="ED164" s="143"/>
      <c r="EE164" s="143"/>
      <c r="EF164" s="143"/>
      <c r="EG164" s="143"/>
      <c r="EH164" s="143"/>
      <c r="EI164" s="143"/>
      <c r="EJ164" s="143"/>
      <c r="EK164" s="143"/>
      <c r="EL164" s="143"/>
      <c r="EM164" s="143"/>
      <c r="EN164" s="143"/>
      <c r="EO164" s="143"/>
      <c r="EP164" s="143"/>
      <c r="EQ164" s="143"/>
      <c r="ER164" s="143"/>
      <c r="ES164" s="143"/>
      <c r="ET164" s="143"/>
      <c r="EU164" s="143"/>
      <c r="EV164" s="143"/>
      <c r="EW164" s="143"/>
      <c r="EX164" s="143"/>
      <c r="EY164" s="143"/>
      <c r="EZ164" s="143"/>
      <c r="FA164" s="143"/>
      <c r="FB164" s="143"/>
      <c r="FC164" s="143"/>
      <c r="FD164" s="143"/>
      <c r="FE164" s="143"/>
      <c r="FF164" s="143"/>
      <c r="FG164" s="143"/>
      <c r="FH164" s="143"/>
      <c r="FI164" s="143"/>
      <c r="FJ164" s="143"/>
      <c r="FK164" s="143"/>
      <c r="FL164" s="143"/>
      <c r="FM164" s="143"/>
      <c r="FN164" s="143"/>
      <c r="FO164" s="143"/>
      <c r="FP164" s="143"/>
      <c r="FQ164" s="143"/>
      <c r="FR164" s="143"/>
      <c r="FS164" s="143"/>
      <c r="FT164" s="143"/>
      <c r="FU164" s="143"/>
      <c r="FV164" s="143"/>
      <c r="FW164" s="143"/>
      <c r="FX164" s="143"/>
      <c r="FY164" s="143"/>
      <c r="FZ164" s="143"/>
      <c r="GA164" s="143"/>
      <c r="GB164" s="143"/>
      <c r="GC164" s="143"/>
      <c r="GD164" s="143"/>
      <c r="GE164" s="143"/>
      <c r="GF164" s="143"/>
      <c r="GG164" s="143"/>
      <c r="GH164" s="143"/>
      <c r="GI164" s="143"/>
      <c r="GJ164" s="143"/>
      <c r="GK164" s="143"/>
      <c r="GL164" s="143"/>
      <c r="GM164" s="143"/>
      <c r="GN164" s="143"/>
      <c r="GO164" s="143"/>
      <c r="GP164" s="143"/>
      <c r="GQ164" s="143"/>
      <c r="GR164" s="143"/>
      <c r="GS164" s="143"/>
      <c r="GT164" s="143"/>
      <c r="GU164" s="143"/>
      <c r="GV164" s="143"/>
      <c r="GW164" s="143"/>
      <c r="GX164" s="143"/>
      <c r="GY164" s="143"/>
      <c r="GZ164" s="143"/>
      <c r="HA164" s="143"/>
      <c r="HB164" s="143"/>
      <c r="HC164" s="143"/>
      <c r="HD164" s="143"/>
      <c r="HE164" s="143"/>
      <c r="HF164" s="143"/>
      <c r="HG164" s="143"/>
      <c r="HH164" s="143"/>
      <c r="HI164" s="143"/>
      <c r="HJ164" s="143"/>
      <c r="HK164" s="143"/>
      <c r="HL164" s="143"/>
      <c r="HM164" s="143"/>
      <c r="HN164" s="143"/>
      <c r="HO164" s="143"/>
      <c r="HP164" s="143"/>
      <c r="HQ164" s="143"/>
      <c r="HR164" s="143"/>
      <c r="HS164" s="143"/>
    </row>
    <row r="165" spans="1:227" ht="23" customHeight="1" x14ac:dyDescent="0.2">
      <c r="A165" s="524" t="s">
        <v>1918</v>
      </c>
      <c r="B165" s="525"/>
      <c r="C165" s="525"/>
      <c r="D165" s="309">
        <v>1029252</v>
      </c>
      <c r="E165" s="364">
        <v>399</v>
      </c>
    </row>
    <row r="166" spans="1:227" x14ac:dyDescent="0.2">
      <c r="A166" s="107"/>
      <c r="B166" s="242"/>
      <c r="C166" s="242"/>
      <c r="D166" s="242"/>
      <c r="E166" s="242"/>
      <c r="F166" s="143"/>
      <c r="G166" s="143"/>
      <c r="H166" s="143"/>
      <c r="I166" s="143"/>
      <c r="J166" s="143"/>
      <c r="K166" s="143"/>
      <c r="L166" s="143"/>
      <c r="M166" s="143"/>
      <c r="N166" s="143"/>
      <c r="O166" s="143"/>
      <c r="P166" s="143"/>
      <c r="Q166" s="143"/>
      <c r="R166" s="143"/>
      <c r="S166" s="143"/>
      <c r="T166" s="143"/>
      <c r="U166" s="143"/>
      <c r="V166" s="143"/>
      <c r="W166" s="143"/>
      <c r="X166" s="143"/>
      <c r="Y166" s="143"/>
      <c r="Z166" s="143"/>
      <c r="AA166" s="143"/>
      <c r="AB166" s="143"/>
      <c r="AC166" s="143"/>
      <c r="AD166" s="143"/>
      <c r="AE166" s="143"/>
      <c r="AF166" s="143"/>
      <c r="AG166" s="143"/>
      <c r="AH166" s="143"/>
      <c r="AI166" s="143"/>
      <c r="AJ166" s="143"/>
      <c r="AK166" s="143"/>
      <c r="AL166" s="143"/>
      <c r="AM166" s="143"/>
      <c r="AN166" s="143"/>
      <c r="AO166" s="143"/>
      <c r="AP166" s="143"/>
      <c r="AQ166" s="143"/>
      <c r="AR166" s="143"/>
      <c r="AS166" s="143"/>
      <c r="AT166" s="143"/>
      <c r="AU166" s="143"/>
      <c r="AV166" s="143"/>
      <c r="AW166" s="143"/>
      <c r="AX166" s="143"/>
      <c r="AY166" s="143"/>
      <c r="AZ166" s="143"/>
      <c r="BA166" s="143"/>
      <c r="BB166" s="143"/>
      <c r="BC166" s="143"/>
      <c r="BD166" s="143"/>
      <c r="BE166" s="143"/>
      <c r="BF166" s="143"/>
      <c r="BG166" s="143"/>
      <c r="BH166" s="143"/>
      <c r="BI166" s="143"/>
      <c r="BJ166" s="143"/>
      <c r="BK166" s="143"/>
      <c r="BL166" s="143"/>
      <c r="BM166" s="143"/>
      <c r="BN166" s="143"/>
      <c r="BO166" s="143"/>
      <c r="BP166" s="143"/>
      <c r="BQ166" s="143"/>
      <c r="BR166" s="143"/>
      <c r="BS166" s="143"/>
      <c r="BT166" s="143"/>
      <c r="BU166" s="143"/>
      <c r="BV166" s="143"/>
      <c r="BW166" s="143"/>
      <c r="BX166" s="143"/>
      <c r="BY166" s="143"/>
      <c r="BZ166" s="143"/>
      <c r="CA166" s="143"/>
      <c r="CB166" s="143"/>
      <c r="CC166" s="143"/>
      <c r="CD166" s="143"/>
      <c r="CE166" s="143"/>
      <c r="CF166" s="143"/>
      <c r="CG166" s="143"/>
      <c r="CH166" s="143"/>
      <c r="CI166" s="143"/>
      <c r="CJ166" s="143"/>
      <c r="CK166" s="143"/>
      <c r="CL166" s="143"/>
      <c r="CM166" s="143"/>
      <c r="CN166" s="143"/>
      <c r="CO166" s="143"/>
      <c r="CP166" s="143"/>
      <c r="CQ166" s="143"/>
      <c r="CR166" s="143"/>
      <c r="CS166" s="143"/>
      <c r="CT166" s="143"/>
      <c r="CU166" s="143"/>
      <c r="CV166" s="143"/>
      <c r="CW166" s="143"/>
      <c r="CX166" s="143"/>
      <c r="CY166" s="143"/>
      <c r="CZ166" s="143"/>
      <c r="DA166" s="143"/>
      <c r="DB166" s="143"/>
      <c r="DC166" s="143"/>
      <c r="DD166" s="143"/>
      <c r="DE166" s="143"/>
      <c r="DF166" s="143"/>
      <c r="DG166" s="143"/>
      <c r="DH166" s="143"/>
      <c r="DI166" s="143"/>
      <c r="DJ166" s="143"/>
      <c r="DK166" s="143"/>
      <c r="DL166" s="143"/>
      <c r="DM166" s="143"/>
      <c r="DN166" s="143"/>
      <c r="DO166" s="143"/>
      <c r="DP166" s="143"/>
      <c r="DQ166" s="143"/>
      <c r="DR166" s="143"/>
      <c r="DS166" s="143"/>
      <c r="DT166" s="143"/>
      <c r="DU166" s="143"/>
      <c r="DV166" s="143"/>
      <c r="DW166" s="143"/>
      <c r="DX166" s="143"/>
      <c r="DY166" s="143"/>
      <c r="DZ166" s="143"/>
      <c r="EA166" s="143"/>
      <c r="EB166" s="143"/>
      <c r="EC166" s="143"/>
      <c r="ED166" s="143"/>
      <c r="EE166" s="143"/>
      <c r="EF166" s="143"/>
      <c r="EG166" s="143"/>
      <c r="EH166" s="143"/>
      <c r="EI166" s="143"/>
      <c r="EJ166" s="143"/>
      <c r="EK166" s="143"/>
      <c r="EL166" s="143"/>
      <c r="EM166" s="143"/>
      <c r="EN166" s="143"/>
      <c r="EO166" s="143"/>
      <c r="EP166" s="143"/>
      <c r="EQ166" s="143"/>
      <c r="ER166" s="143"/>
      <c r="ES166" s="143"/>
      <c r="ET166" s="143"/>
      <c r="EU166" s="143"/>
      <c r="EV166" s="143"/>
      <c r="EW166" s="143"/>
      <c r="EX166" s="143"/>
      <c r="EY166" s="143"/>
      <c r="EZ166" s="143"/>
      <c r="FA166" s="143"/>
      <c r="FB166" s="143"/>
      <c r="FC166" s="143"/>
      <c r="FD166" s="143"/>
      <c r="FE166" s="143"/>
      <c r="FF166" s="143"/>
      <c r="FG166" s="143"/>
      <c r="FH166" s="143"/>
      <c r="FI166" s="143"/>
      <c r="FJ166" s="143"/>
      <c r="FK166" s="143"/>
      <c r="FL166" s="143"/>
      <c r="FM166" s="143"/>
      <c r="FN166" s="143"/>
      <c r="FO166" s="143"/>
      <c r="FP166" s="143"/>
      <c r="FQ166" s="143"/>
      <c r="FR166" s="143"/>
      <c r="FS166" s="143"/>
      <c r="FT166" s="143"/>
      <c r="FU166" s="143"/>
      <c r="FV166" s="143"/>
      <c r="FW166" s="143"/>
      <c r="FX166" s="143"/>
      <c r="FY166" s="143"/>
      <c r="FZ166" s="143"/>
      <c r="GA166" s="143"/>
      <c r="GB166" s="143"/>
      <c r="GC166" s="143"/>
      <c r="GD166" s="143"/>
      <c r="GE166" s="143"/>
      <c r="GF166" s="143"/>
      <c r="GG166" s="143"/>
      <c r="GH166" s="143"/>
      <c r="GI166" s="143"/>
      <c r="GJ166" s="143"/>
      <c r="GK166" s="143"/>
      <c r="GL166" s="143"/>
      <c r="GM166" s="143"/>
      <c r="GN166" s="143"/>
      <c r="GO166" s="143"/>
      <c r="GP166" s="143"/>
      <c r="GQ166" s="143"/>
      <c r="GR166" s="143"/>
      <c r="GS166" s="143"/>
      <c r="GT166" s="143"/>
      <c r="GU166" s="143"/>
      <c r="GV166" s="143"/>
      <c r="GW166" s="143"/>
      <c r="GX166" s="143"/>
      <c r="GY166" s="143"/>
      <c r="GZ166" s="143"/>
      <c r="HA166" s="143"/>
      <c r="HB166" s="143"/>
      <c r="HC166" s="143"/>
      <c r="HD166" s="143"/>
      <c r="HE166" s="143"/>
      <c r="HF166" s="143"/>
      <c r="HG166" s="143"/>
      <c r="HH166" s="143"/>
      <c r="HI166" s="143"/>
      <c r="HJ166" s="143"/>
      <c r="HK166" s="143"/>
      <c r="HL166" s="143"/>
      <c r="HM166" s="143"/>
      <c r="HN166" s="143"/>
      <c r="HO166" s="143"/>
      <c r="HP166" s="143"/>
      <c r="HQ166" s="143"/>
      <c r="HR166" s="143"/>
      <c r="HS166" s="143"/>
    </row>
    <row r="167" spans="1:227" x14ac:dyDescent="0.2">
      <c r="A167" s="107"/>
      <c r="B167" s="107"/>
      <c r="C167" s="107"/>
      <c r="D167" s="107"/>
      <c r="E167" s="107"/>
    </row>
    <row r="168" spans="1:227" x14ac:dyDescent="0.2">
      <c r="A168" s="107"/>
      <c r="B168" s="242"/>
      <c r="C168" s="242"/>
      <c r="D168" s="242"/>
      <c r="E168" s="242"/>
      <c r="F168" s="143"/>
      <c r="G168" s="143"/>
      <c r="H168" s="143"/>
      <c r="I168" s="143"/>
      <c r="J168" s="143"/>
      <c r="K168" s="143"/>
      <c r="L168" s="143"/>
      <c r="M168" s="143"/>
      <c r="N168" s="143"/>
      <c r="O168" s="143"/>
      <c r="P168" s="143"/>
      <c r="Q168" s="143"/>
      <c r="R168" s="143"/>
      <c r="S168" s="143"/>
      <c r="T168" s="143"/>
      <c r="U168" s="143"/>
      <c r="V168" s="143"/>
      <c r="W168" s="143"/>
      <c r="X168" s="143"/>
      <c r="Y168" s="143"/>
      <c r="Z168" s="143"/>
      <c r="AA168" s="143"/>
      <c r="AB168" s="143"/>
      <c r="AC168" s="143"/>
      <c r="AD168" s="143"/>
      <c r="AE168" s="143"/>
      <c r="AF168" s="143"/>
      <c r="AG168" s="143"/>
      <c r="AH168" s="143"/>
      <c r="AI168" s="143"/>
      <c r="AJ168" s="143"/>
      <c r="AK168" s="143"/>
      <c r="AL168" s="143"/>
      <c r="AM168" s="143"/>
      <c r="AN168" s="143"/>
      <c r="AO168" s="143"/>
      <c r="AP168" s="143"/>
      <c r="AQ168" s="143"/>
      <c r="AR168" s="143"/>
      <c r="AS168" s="143"/>
      <c r="AT168" s="143"/>
      <c r="AU168" s="143"/>
      <c r="AV168" s="143"/>
      <c r="AW168" s="143"/>
      <c r="AX168" s="143"/>
      <c r="AY168" s="143"/>
      <c r="AZ168" s="143"/>
      <c r="BA168" s="143"/>
      <c r="BB168" s="143"/>
      <c r="BC168" s="143"/>
      <c r="BD168" s="143"/>
      <c r="BE168" s="143"/>
      <c r="BF168" s="143"/>
      <c r="BG168" s="143"/>
      <c r="BH168" s="143"/>
      <c r="BI168" s="143"/>
      <c r="BJ168" s="143"/>
      <c r="BK168" s="143"/>
      <c r="BL168" s="143"/>
      <c r="BM168" s="143"/>
      <c r="BN168" s="143"/>
      <c r="BO168" s="143"/>
      <c r="BP168" s="143"/>
      <c r="BQ168" s="143"/>
      <c r="BR168" s="143"/>
      <c r="BS168" s="143"/>
      <c r="BT168" s="143"/>
      <c r="BU168" s="143"/>
      <c r="BV168" s="143"/>
      <c r="BW168" s="143"/>
      <c r="BX168" s="143"/>
      <c r="BY168" s="143"/>
      <c r="BZ168" s="143"/>
      <c r="CA168" s="143"/>
      <c r="CB168" s="143"/>
      <c r="CC168" s="143"/>
      <c r="CD168" s="143"/>
      <c r="CE168" s="143"/>
      <c r="CF168" s="143"/>
      <c r="CG168" s="143"/>
      <c r="CH168" s="143"/>
      <c r="CI168" s="143"/>
      <c r="CJ168" s="143"/>
      <c r="CK168" s="143"/>
      <c r="CL168" s="143"/>
      <c r="CM168" s="143"/>
      <c r="CN168" s="143"/>
      <c r="CO168" s="143"/>
      <c r="CP168" s="143"/>
      <c r="CQ168" s="143"/>
      <c r="CR168" s="143"/>
      <c r="CS168" s="143"/>
      <c r="CT168" s="143"/>
      <c r="CU168" s="143"/>
      <c r="CV168" s="143"/>
      <c r="CW168" s="143"/>
      <c r="CX168" s="143"/>
      <c r="CY168" s="143"/>
      <c r="CZ168" s="143"/>
      <c r="DA168" s="143"/>
      <c r="DB168" s="143"/>
      <c r="DC168" s="143"/>
      <c r="DD168" s="143"/>
      <c r="DE168" s="143"/>
      <c r="DF168" s="143"/>
      <c r="DG168" s="143"/>
      <c r="DH168" s="143"/>
      <c r="DI168" s="143"/>
      <c r="DJ168" s="143"/>
      <c r="DK168" s="143"/>
      <c r="DL168" s="143"/>
      <c r="DM168" s="143"/>
      <c r="DN168" s="143"/>
      <c r="DO168" s="143"/>
      <c r="DP168" s="143"/>
      <c r="DQ168" s="143"/>
      <c r="DR168" s="143"/>
      <c r="DS168" s="143"/>
      <c r="DT168" s="143"/>
      <c r="DU168" s="143"/>
      <c r="DV168" s="143"/>
      <c r="DW168" s="143"/>
      <c r="DX168" s="143"/>
      <c r="DY168" s="143"/>
      <c r="DZ168" s="143"/>
      <c r="EA168" s="143"/>
      <c r="EB168" s="143"/>
      <c r="EC168" s="143"/>
      <c r="ED168" s="143"/>
      <c r="EE168" s="143"/>
      <c r="EF168" s="143"/>
      <c r="EG168" s="143"/>
      <c r="EH168" s="143"/>
      <c r="EI168" s="143"/>
      <c r="EJ168" s="143"/>
      <c r="EK168" s="143"/>
      <c r="EL168" s="143"/>
      <c r="EM168" s="143"/>
      <c r="EN168" s="143"/>
      <c r="EO168" s="143"/>
      <c r="EP168" s="143"/>
      <c r="EQ168" s="143"/>
      <c r="ER168" s="143"/>
      <c r="ES168" s="143"/>
      <c r="ET168" s="143"/>
      <c r="EU168" s="143"/>
      <c r="EV168" s="143"/>
      <c r="EW168" s="143"/>
      <c r="EX168" s="143"/>
      <c r="EY168" s="143"/>
      <c r="EZ168" s="143"/>
      <c r="FA168" s="143"/>
      <c r="FB168" s="143"/>
      <c r="FC168" s="143"/>
      <c r="FD168" s="143"/>
      <c r="FE168" s="143"/>
      <c r="FF168" s="143"/>
      <c r="FG168" s="143"/>
      <c r="FH168" s="143"/>
      <c r="FI168" s="143"/>
      <c r="FJ168" s="143"/>
      <c r="FK168" s="143"/>
      <c r="FL168" s="143"/>
      <c r="FM168" s="143"/>
      <c r="FN168" s="143"/>
      <c r="FO168" s="143"/>
      <c r="FP168" s="143"/>
      <c r="FQ168" s="143"/>
      <c r="FR168" s="143"/>
      <c r="FS168" s="143"/>
      <c r="FT168" s="143"/>
      <c r="FU168" s="143"/>
      <c r="FV168" s="143"/>
      <c r="FW168" s="143"/>
      <c r="FX168" s="143"/>
      <c r="FY168" s="143"/>
      <c r="FZ168" s="143"/>
      <c r="GA168" s="143"/>
      <c r="GB168" s="143"/>
      <c r="GC168" s="143"/>
      <c r="GD168" s="143"/>
      <c r="GE168" s="143"/>
      <c r="GF168" s="143"/>
      <c r="GG168" s="143"/>
      <c r="GH168" s="143"/>
      <c r="GI168" s="143"/>
      <c r="GJ168" s="143"/>
      <c r="GK168" s="143"/>
      <c r="GL168" s="143"/>
      <c r="GM168" s="143"/>
      <c r="GN168" s="143"/>
      <c r="GO168" s="143"/>
      <c r="GP168" s="143"/>
      <c r="GQ168" s="143"/>
      <c r="GR168" s="143"/>
      <c r="GS168" s="143"/>
      <c r="GT168" s="143"/>
      <c r="GU168" s="143"/>
      <c r="GV168" s="143"/>
      <c r="GW168" s="143"/>
      <c r="GX168" s="143"/>
      <c r="GY168" s="143"/>
      <c r="GZ168" s="143"/>
      <c r="HA168" s="143"/>
      <c r="HB168" s="143"/>
      <c r="HC168" s="143"/>
      <c r="HD168" s="143"/>
      <c r="HE168" s="143"/>
      <c r="HF168" s="143"/>
      <c r="HG168" s="143"/>
      <c r="HH168" s="143"/>
      <c r="HI168" s="143"/>
      <c r="HJ168" s="143"/>
      <c r="HK168" s="143"/>
      <c r="HL168" s="143"/>
      <c r="HM168" s="143"/>
      <c r="HN168" s="143"/>
      <c r="HO168" s="143"/>
      <c r="HP168" s="143"/>
      <c r="HQ168" s="143"/>
      <c r="HR168" s="143"/>
      <c r="HS168" s="143"/>
    </row>
    <row r="169" spans="1:227" x14ac:dyDescent="0.2">
      <c r="A169" s="526" t="s">
        <v>1374</v>
      </c>
      <c r="B169" s="107"/>
      <c r="C169" s="107"/>
      <c r="D169" s="107"/>
      <c r="E169" s="107"/>
    </row>
    <row r="170" spans="1:227" ht="48" customHeight="1" x14ac:dyDescent="0.2">
      <c r="A170" s="527" t="s">
        <v>1919</v>
      </c>
      <c r="B170" s="528" t="s">
        <v>1920</v>
      </c>
      <c r="C170" s="529"/>
      <c r="D170" s="528" t="s">
        <v>1921</v>
      </c>
      <c r="E170" s="529"/>
    </row>
    <row r="171" spans="1:227" x14ac:dyDescent="0.2">
      <c r="A171" s="131" t="s">
        <v>1177</v>
      </c>
      <c r="B171" s="131">
        <v>3888786</v>
      </c>
      <c r="C171" s="307">
        <v>933</v>
      </c>
      <c r="D171" s="131">
        <v>777757</v>
      </c>
      <c r="E171" s="307">
        <v>386</v>
      </c>
    </row>
    <row r="172" spans="1:227" x14ac:dyDescent="0.2">
      <c r="A172" s="131" t="s">
        <v>1922</v>
      </c>
      <c r="B172" s="131">
        <v>43106</v>
      </c>
      <c r="C172" s="307">
        <v>349</v>
      </c>
      <c r="D172" s="131">
        <v>8621</v>
      </c>
      <c r="E172" s="307">
        <v>269</v>
      </c>
    </row>
    <row r="173" spans="1:227" x14ac:dyDescent="0.2">
      <c r="A173" s="131" t="s">
        <v>1421</v>
      </c>
      <c r="B173" s="131">
        <v>391430</v>
      </c>
      <c r="C173" s="307">
        <v>443</v>
      </c>
      <c r="D173" s="131">
        <v>78286</v>
      </c>
      <c r="E173" s="307">
        <v>88</v>
      </c>
    </row>
    <row r="174" spans="1:227" x14ac:dyDescent="0.2">
      <c r="A174" s="131" t="s">
        <v>1392</v>
      </c>
      <c r="B174" s="131">
        <v>2693</v>
      </c>
      <c r="C174" s="307">
        <v>957</v>
      </c>
      <c r="D174" s="131">
        <v>538</v>
      </c>
      <c r="E174" s="307">
        <v>791</v>
      </c>
    </row>
    <row r="175" spans="1:227" x14ac:dyDescent="0.2">
      <c r="A175" s="131" t="s">
        <v>1810</v>
      </c>
      <c r="B175" s="131">
        <v>854625</v>
      </c>
      <c r="C175" s="307">
        <v>888</v>
      </c>
      <c r="D175" s="131">
        <v>170925</v>
      </c>
      <c r="E175" s="307">
        <v>177</v>
      </c>
    </row>
    <row r="176" spans="1:227" x14ac:dyDescent="0.2">
      <c r="A176" s="131" t="s">
        <v>1377</v>
      </c>
      <c r="B176" s="131">
        <v>685661</v>
      </c>
      <c r="C176" s="307">
        <v>440</v>
      </c>
      <c r="D176" s="131">
        <v>137132</v>
      </c>
      <c r="E176" s="307">
        <v>288</v>
      </c>
    </row>
    <row r="177" spans="1:5" x14ac:dyDescent="0.2">
      <c r="A177" s="131" t="s">
        <v>1923</v>
      </c>
      <c r="B177" s="131">
        <v>12349</v>
      </c>
      <c r="C177" s="307">
        <v>98</v>
      </c>
      <c r="D177" s="131">
        <v>2469</v>
      </c>
      <c r="E177" s="307">
        <v>819</v>
      </c>
    </row>
    <row r="178" spans="1:5" x14ac:dyDescent="0.2">
      <c r="A178" s="131" t="s">
        <v>1811</v>
      </c>
      <c r="B178" s="131">
        <v>4066</v>
      </c>
      <c r="C178" s="307">
        <v>238</v>
      </c>
      <c r="D178" s="131">
        <v>813</v>
      </c>
      <c r="E178" s="307">
        <v>247</v>
      </c>
    </row>
    <row r="179" spans="1:5" x14ac:dyDescent="0.2">
      <c r="A179" s="131" t="s">
        <v>1924</v>
      </c>
      <c r="B179" s="131">
        <v>129442</v>
      </c>
      <c r="C179" s="307">
        <v>533</v>
      </c>
      <c r="D179" s="131">
        <v>25888</v>
      </c>
      <c r="E179" s="307">
        <v>506</v>
      </c>
    </row>
    <row r="180" spans="1:5" x14ac:dyDescent="0.2">
      <c r="A180" s="131" t="s">
        <v>1925</v>
      </c>
      <c r="B180" s="131">
        <v>82323</v>
      </c>
      <c r="C180" s="307">
        <v>201</v>
      </c>
      <c r="D180" s="131">
        <v>16464</v>
      </c>
      <c r="E180" s="307">
        <v>640</v>
      </c>
    </row>
    <row r="181" spans="1:5" ht="16" thickBot="1" x14ac:dyDescent="0.25">
      <c r="A181" s="131" t="s">
        <v>1818</v>
      </c>
      <c r="B181" s="530">
        <v>20994</v>
      </c>
      <c r="C181" s="444">
        <v>146</v>
      </c>
      <c r="D181" s="530">
        <v>4198</v>
      </c>
      <c r="E181" s="444">
        <v>829</v>
      </c>
    </row>
    <row r="182" spans="1:5" x14ac:dyDescent="0.2">
      <c r="A182" s="131"/>
      <c r="B182" s="131">
        <v>6115480</v>
      </c>
      <c r="C182" s="307">
        <v>226</v>
      </c>
      <c r="D182" s="131">
        <v>1223096</v>
      </c>
      <c r="E182" s="307">
        <v>40</v>
      </c>
    </row>
    <row r="183" spans="1:5" x14ac:dyDescent="0.2">
      <c r="A183" s="131"/>
      <c r="B183" s="137">
        <f>+SUM(B171:B181)</f>
        <v>6115475</v>
      </c>
      <c r="C183" s="137">
        <f>+SUM(C171:C181)</f>
        <v>5226</v>
      </c>
      <c r="D183" s="137">
        <f>+SUM(D171:D181)</f>
        <v>1223091</v>
      </c>
      <c r="E183" s="137">
        <f>+SUM(E171:E181)</f>
        <v>5040</v>
      </c>
    </row>
    <row r="184" spans="1:5" x14ac:dyDescent="0.2">
      <c r="A184" s="230" t="s">
        <v>1926</v>
      </c>
      <c r="B184" s="230"/>
      <c r="C184" s="364"/>
      <c r="D184" s="230">
        <v>193843</v>
      </c>
      <c r="E184" s="364">
        <v>641</v>
      </c>
    </row>
    <row r="185" spans="1:5" x14ac:dyDescent="0.2">
      <c r="A185" s="107"/>
      <c r="B185" s="107"/>
      <c r="C185" s="107"/>
      <c r="D185" s="107"/>
      <c r="E185" s="107"/>
    </row>
    <row r="186" spans="1:5" x14ac:dyDescent="0.2">
      <c r="A186" s="531" t="s">
        <v>1927</v>
      </c>
      <c r="B186" s="531"/>
      <c r="C186" s="531"/>
      <c r="D186" s="107"/>
      <c r="E186" s="107"/>
    </row>
    <row r="187" spans="1:5" x14ac:dyDescent="0.2">
      <c r="A187" s="107"/>
      <c r="B187" s="107"/>
      <c r="C187" s="107"/>
      <c r="D187" s="107"/>
      <c r="E187" s="107"/>
    </row>
    <row r="188" spans="1:5" ht="50.5" customHeight="1" x14ac:dyDescent="0.2">
      <c r="A188" s="532" t="s">
        <v>1928</v>
      </c>
      <c r="B188" s="528" t="s">
        <v>1929</v>
      </c>
      <c r="C188" s="529"/>
      <c r="D188" s="528" t="s">
        <v>1930</v>
      </c>
      <c r="E188" s="529"/>
    </row>
    <row r="189" spans="1:5" x14ac:dyDescent="0.2">
      <c r="A189" s="533" t="s">
        <v>1174</v>
      </c>
      <c r="B189" s="131">
        <v>5552864</v>
      </c>
      <c r="C189" s="307">
        <v>239</v>
      </c>
      <c r="D189" s="131">
        <v>925477</v>
      </c>
      <c r="E189" s="307">
        <v>339</v>
      </c>
    </row>
    <row r="190" spans="1:5" x14ac:dyDescent="0.2">
      <c r="A190" s="533" t="s">
        <v>1931</v>
      </c>
      <c r="B190" s="131">
        <v>124722</v>
      </c>
      <c r="C190" s="307">
        <v>865</v>
      </c>
      <c r="D190" s="131">
        <v>20787</v>
      </c>
      <c r="E190" s="307">
        <v>144</v>
      </c>
    </row>
    <row r="191" spans="1:5" x14ac:dyDescent="0.2">
      <c r="A191" s="534" t="s">
        <v>1569</v>
      </c>
      <c r="B191" s="131">
        <v>2566108</v>
      </c>
      <c r="C191" s="307">
        <v>221</v>
      </c>
      <c r="D191" s="131">
        <v>427684</v>
      </c>
      <c r="E191" s="307">
        <v>703</v>
      </c>
    </row>
    <row r="192" spans="1:5" x14ac:dyDescent="0.2">
      <c r="A192" s="534" t="s">
        <v>1175</v>
      </c>
      <c r="B192" s="131">
        <v>351881</v>
      </c>
      <c r="C192" s="307">
        <v>303</v>
      </c>
      <c r="D192" s="131">
        <v>58646</v>
      </c>
      <c r="E192" s="307">
        <v>883</v>
      </c>
    </row>
    <row r="193" spans="1:5" x14ac:dyDescent="0.2">
      <c r="A193" s="534" t="s">
        <v>1401</v>
      </c>
      <c r="B193" s="131">
        <v>448184</v>
      </c>
      <c r="C193" s="307">
        <v>553</v>
      </c>
      <c r="D193" s="131">
        <v>74697</v>
      </c>
      <c r="E193" s="307">
        <v>425</v>
      </c>
    </row>
    <row r="194" spans="1:5" x14ac:dyDescent="0.2">
      <c r="A194" s="534" t="s">
        <v>1573</v>
      </c>
      <c r="B194" s="131">
        <v>102330</v>
      </c>
      <c r="C194" s="307">
        <v>905</v>
      </c>
      <c r="D194" s="131">
        <v>17055</v>
      </c>
      <c r="E194" s="307">
        <v>150</v>
      </c>
    </row>
    <row r="195" spans="1:5" x14ac:dyDescent="0.2">
      <c r="A195" s="534" t="s">
        <v>1808</v>
      </c>
      <c r="B195" s="131">
        <v>327376</v>
      </c>
      <c r="C195" s="307">
        <v>998</v>
      </c>
      <c r="D195" s="131">
        <v>54562</v>
      </c>
      <c r="E195" s="307">
        <v>833</v>
      </c>
    </row>
    <row r="196" spans="1:5" x14ac:dyDescent="0.2">
      <c r="A196" s="534" t="s">
        <v>1932</v>
      </c>
      <c r="B196" s="131">
        <v>373168</v>
      </c>
      <c r="C196" s="307">
        <v>936</v>
      </c>
      <c r="D196" s="131">
        <v>62194</v>
      </c>
      <c r="E196" s="307">
        <v>822</v>
      </c>
    </row>
    <row r="197" spans="1:5" ht="16" thickBot="1" x14ac:dyDescent="0.25">
      <c r="A197" s="534" t="s">
        <v>1933</v>
      </c>
      <c r="B197" s="530">
        <v>36980</v>
      </c>
      <c r="C197" s="444">
        <v>408</v>
      </c>
      <c r="D197" s="530">
        <v>6163</v>
      </c>
      <c r="E197" s="444">
        <v>401</v>
      </c>
    </row>
    <row r="198" spans="1:5" ht="28.25" customHeight="1" x14ac:dyDescent="0.2">
      <c r="A198" s="535"/>
      <c r="B198" s="230">
        <v>9883618</v>
      </c>
      <c r="C198" s="364">
        <v>428</v>
      </c>
      <c r="D198" s="230">
        <v>1647269</v>
      </c>
      <c r="E198" s="364">
        <v>700</v>
      </c>
    </row>
    <row r="199" spans="1:5" x14ac:dyDescent="0.2">
      <c r="A199" s="107"/>
      <c r="B199" s="321">
        <f>+SUM(B189:B197)</f>
        <v>9883613</v>
      </c>
      <c r="C199" s="321">
        <f>+SUM(C189:C197)</f>
        <v>5428</v>
      </c>
      <c r="D199" s="321">
        <f>+SUM(D189:D197)</f>
        <v>1647265</v>
      </c>
      <c r="E199" s="321">
        <f>+SUM(E189:E197)</f>
        <v>4700</v>
      </c>
    </row>
    <row r="200" spans="1:5" x14ac:dyDescent="0.2">
      <c r="A200" s="107"/>
      <c r="B200" s="107"/>
      <c r="C200" s="107"/>
      <c r="D200" s="107"/>
      <c r="E200" s="107"/>
    </row>
    <row r="201" spans="1:5" x14ac:dyDescent="0.2">
      <c r="A201" s="107"/>
      <c r="B201" s="107"/>
      <c r="C201" s="107"/>
      <c r="D201" s="107"/>
      <c r="E201" s="107"/>
    </row>
    <row r="202" spans="1:5" x14ac:dyDescent="0.2">
      <c r="A202" s="526" t="s">
        <v>1934</v>
      </c>
      <c r="B202" s="107"/>
      <c r="C202" s="107"/>
      <c r="D202" s="107"/>
      <c r="E202" s="107"/>
    </row>
    <row r="203" spans="1:5" ht="41.5" customHeight="1" x14ac:dyDescent="0.2">
      <c r="A203" s="536" t="s">
        <v>1935</v>
      </c>
      <c r="B203" s="537"/>
      <c r="C203" s="537"/>
      <c r="D203" s="537"/>
      <c r="E203" s="538"/>
    </row>
    <row r="204" spans="1:5" ht="20.5" customHeight="1" x14ac:dyDescent="0.2">
      <c r="A204" s="131" t="s">
        <v>1936</v>
      </c>
      <c r="B204" s="145"/>
      <c r="C204" s="145"/>
      <c r="D204" s="145">
        <v>13033255</v>
      </c>
      <c r="E204" s="307">
        <v>801</v>
      </c>
    </row>
    <row r="205" spans="1:5" x14ac:dyDescent="0.2">
      <c r="A205" s="131" t="s">
        <v>1937</v>
      </c>
      <c r="B205" s="145"/>
      <c r="C205" s="145"/>
      <c r="D205" s="145"/>
      <c r="E205" s="307"/>
    </row>
    <row r="206" spans="1:5" ht="21" customHeight="1" thickBot="1" x14ac:dyDescent="0.25">
      <c r="A206" s="480" t="s">
        <v>1938</v>
      </c>
      <c r="B206" s="481"/>
      <c r="C206" s="481"/>
      <c r="D206" s="187">
        <v>768794</v>
      </c>
      <c r="E206" s="444">
        <v>105</v>
      </c>
    </row>
    <row r="207" spans="1:5" ht="21" customHeight="1" thickBot="1" x14ac:dyDescent="0.25">
      <c r="A207" s="480" t="s">
        <v>1939</v>
      </c>
      <c r="B207" s="481"/>
      <c r="C207" s="481"/>
      <c r="D207" s="448">
        <v>13802049</v>
      </c>
      <c r="E207" s="449">
        <v>906</v>
      </c>
    </row>
    <row r="208" spans="1:5" ht="25.25" customHeight="1" thickBot="1" x14ac:dyDescent="0.25">
      <c r="A208" s="480" t="s">
        <v>1940</v>
      </c>
      <c r="B208" s="481"/>
      <c r="C208" s="481"/>
      <c r="D208" s="448">
        <v>2760409</v>
      </c>
      <c r="E208" s="449">
        <v>981</v>
      </c>
    </row>
    <row r="209" spans="1:5" x14ac:dyDescent="0.2">
      <c r="A209" s="480" t="s">
        <v>1941</v>
      </c>
      <c r="B209" s="481"/>
      <c r="C209" s="481"/>
      <c r="D209" s="145">
        <v>11776444</v>
      </c>
      <c r="E209" s="307">
        <v>25</v>
      </c>
    </row>
    <row r="210" spans="1:5" x14ac:dyDescent="0.2">
      <c r="A210" s="131" t="s">
        <v>1937</v>
      </c>
      <c r="B210" s="145"/>
      <c r="C210" s="145"/>
      <c r="D210" s="145"/>
      <c r="E210" s="307"/>
    </row>
    <row r="211" spans="1:5" x14ac:dyDescent="0.2">
      <c r="A211" s="131" t="s">
        <v>1942</v>
      </c>
      <c r="B211" s="145">
        <v>1043248</v>
      </c>
      <c r="C211" s="145">
        <v>550</v>
      </c>
      <c r="D211" s="145"/>
      <c r="E211" s="307"/>
    </row>
    <row r="212" spans="1:5" ht="30" x14ac:dyDescent="0.2">
      <c r="A212" s="539" t="s">
        <v>1943</v>
      </c>
      <c r="B212" s="145">
        <v>951355</v>
      </c>
      <c r="C212" s="145">
        <v>689</v>
      </c>
      <c r="D212" s="145"/>
      <c r="E212" s="307"/>
    </row>
    <row r="213" spans="1:5" ht="23" customHeight="1" thickBot="1" x14ac:dyDescent="0.25">
      <c r="A213" s="131" t="s">
        <v>1944</v>
      </c>
      <c r="B213" s="187">
        <v>812801</v>
      </c>
      <c r="C213" s="187">
        <v>140</v>
      </c>
      <c r="D213" s="145"/>
      <c r="E213" s="307"/>
    </row>
    <row r="214" spans="1:5" x14ac:dyDescent="0.2">
      <c r="A214" s="131"/>
      <c r="B214" s="145">
        <v>2807405</v>
      </c>
      <c r="C214" s="145">
        <v>379</v>
      </c>
      <c r="D214" s="145"/>
      <c r="E214" s="307"/>
    </row>
    <row r="215" spans="1:5" ht="31" thickBot="1" x14ac:dyDescent="0.25">
      <c r="A215" s="539" t="s">
        <v>1945</v>
      </c>
      <c r="B215" s="187">
        <v>1478000</v>
      </c>
      <c r="C215" s="187"/>
      <c r="D215" s="187">
        <v>1329405</v>
      </c>
      <c r="E215" s="444">
        <v>379</v>
      </c>
    </row>
    <row r="216" spans="1:5" ht="21" customHeight="1" thickBot="1" x14ac:dyDescent="0.25">
      <c r="A216" s="480" t="s">
        <v>1946</v>
      </c>
      <c r="B216" s="481"/>
      <c r="C216" s="481"/>
      <c r="D216" s="448">
        <v>13105849</v>
      </c>
      <c r="E216" s="449">
        <v>404</v>
      </c>
    </row>
    <row r="217" spans="1:5" ht="21.5" customHeight="1" thickBot="1" x14ac:dyDescent="0.25">
      <c r="A217" s="131" t="s">
        <v>1947</v>
      </c>
      <c r="B217" s="145"/>
      <c r="C217" s="145"/>
      <c r="D217" s="448">
        <v>2184308</v>
      </c>
      <c r="E217" s="449">
        <v>234</v>
      </c>
    </row>
    <row r="218" spans="1:5" x14ac:dyDescent="0.2">
      <c r="A218" s="131" t="s">
        <v>1915</v>
      </c>
      <c r="B218" s="145"/>
      <c r="C218" s="145"/>
      <c r="D218" s="145"/>
      <c r="E218" s="307"/>
    </row>
    <row r="219" spans="1:5" ht="32.5" customHeight="1" x14ac:dyDescent="0.2">
      <c r="A219" s="516" t="s">
        <v>1948</v>
      </c>
      <c r="B219" s="517"/>
      <c r="C219" s="517"/>
      <c r="D219" s="145">
        <v>2760409</v>
      </c>
      <c r="E219" s="307">
        <v>981</v>
      </c>
    </row>
    <row r="220" spans="1:5" ht="30.5" customHeight="1" thickBot="1" x14ac:dyDescent="0.25">
      <c r="A220" s="516" t="s">
        <v>1949</v>
      </c>
      <c r="B220" s="517"/>
      <c r="C220" s="517"/>
      <c r="D220" s="187">
        <v>2184308</v>
      </c>
      <c r="E220" s="444">
        <v>234</v>
      </c>
    </row>
    <row r="221" spans="1:5" ht="26.5" customHeight="1" thickBot="1" x14ac:dyDescent="0.25">
      <c r="A221" s="516" t="s">
        <v>1950</v>
      </c>
      <c r="B221" s="517"/>
      <c r="C221" s="517"/>
      <c r="D221" s="448">
        <v>576101</v>
      </c>
      <c r="E221" s="449">
        <v>747</v>
      </c>
    </row>
    <row r="222" spans="1:5" ht="45" customHeight="1" x14ac:dyDescent="0.2">
      <c r="A222" s="516" t="s">
        <v>1951</v>
      </c>
      <c r="B222" s="517"/>
      <c r="C222" s="517"/>
      <c r="D222" s="517"/>
      <c r="E222" s="540"/>
    </row>
    <row r="223" spans="1:5" ht="47" customHeight="1" x14ac:dyDescent="0.2">
      <c r="A223" s="516" t="s">
        <v>1952</v>
      </c>
      <c r="B223" s="517"/>
      <c r="C223" s="517"/>
      <c r="D223" s="517"/>
      <c r="E223" s="540"/>
    </row>
    <row r="224" spans="1:5" ht="25.25" customHeight="1" x14ac:dyDescent="0.2">
      <c r="A224" s="480" t="s">
        <v>1953</v>
      </c>
      <c r="B224" s="481"/>
      <c r="C224" s="481"/>
      <c r="D224" s="541">
        <v>1029252</v>
      </c>
      <c r="E224" s="542">
        <v>399</v>
      </c>
    </row>
    <row r="225" spans="1:5" ht="20.5" customHeight="1" thickBot="1" x14ac:dyDescent="0.25">
      <c r="A225" s="480" t="s">
        <v>1954</v>
      </c>
      <c r="B225" s="481"/>
      <c r="C225" s="481"/>
      <c r="D225" s="187">
        <v>576101</v>
      </c>
      <c r="E225" s="444">
        <v>747</v>
      </c>
    </row>
    <row r="226" spans="1:5" ht="20.5" customHeight="1" thickBot="1" x14ac:dyDescent="0.25">
      <c r="A226" s="480" t="s">
        <v>1955</v>
      </c>
      <c r="B226" s="481"/>
      <c r="C226" s="481"/>
      <c r="D226" s="448">
        <v>473150</v>
      </c>
      <c r="E226" s="449">
        <v>652</v>
      </c>
    </row>
    <row r="227" spans="1:5" ht="44.5" customHeight="1" x14ac:dyDescent="0.2">
      <c r="A227" s="524" t="s">
        <v>1956</v>
      </c>
      <c r="B227" s="525"/>
      <c r="C227" s="525"/>
      <c r="D227" s="525"/>
      <c r="E227" s="543"/>
    </row>
    <row r="228" spans="1:5" x14ac:dyDescent="0.2">
      <c r="A228" s="107"/>
      <c r="B228" s="107"/>
      <c r="C228" s="107"/>
      <c r="D228" s="107"/>
      <c r="E228" s="107"/>
    </row>
    <row r="229" spans="1:5" x14ac:dyDescent="0.2">
      <c r="A229" s="107"/>
      <c r="B229" s="107"/>
      <c r="C229" s="107"/>
      <c r="D229" s="107"/>
      <c r="E229" s="107"/>
    </row>
    <row r="230" spans="1:5" x14ac:dyDescent="0.2">
      <c r="A230" s="107"/>
      <c r="B230" s="107"/>
      <c r="C230" s="107"/>
      <c r="D230" s="107"/>
      <c r="E230" s="107"/>
    </row>
    <row r="231" spans="1:5" x14ac:dyDescent="0.2">
      <c r="A231" s="526" t="s">
        <v>1957</v>
      </c>
      <c r="B231" s="107"/>
      <c r="C231" s="107"/>
      <c r="D231" s="107"/>
      <c r="E231" s="107"/>
    </row>
    <row r="232" spans="1:5" ht="33.5" customHeight="1" x14ac:dyDescent="0.2">
      <c r="A232" s="544" t="s">
        <v>1958</v>
      </c>
      <c r="B232" s="545"/>
      <c r="C232" s="545"/>
      <c r="D232" s="545"/>
      <c r="E232" s="546"/>
    </row>
    <row r="233" spans="1:5" ht="30.5" customHeight="1" x14ac:dyDescent="0.2">
      <c r="A233" s="547" t="s">
        <v>1959</v>
      </c>
      <c r="B233" s="548"/>
      <c r="C233" s="548"/>
      <c r="D233" s="548"/>
      <c r="E233" s="549"/>
    </row>
    <row r="234" spans="1:5" ht="23" customHeight="1" x14ac:dyDescent="0.2">
      <c r="A234" s="494" t="s">
        <v>1960</v>
      </c>
      <c r="B234" s="495"/>
      <c r="C234" s="495"/>
      <c r="D234" s="495"/>
      <c r="E234" s="550"/>
    </row>
    <row r="235" spans="1:5" x14ac:dyDescent="0.2">
      <c r="A235" s="131" t="s">
        <v>1893</v>
      </c>
      <c r="B235" s="145"/>
      <c r="C235" s="145"/>
      <c r="D235" s="145">
        <v>395277</v>
      </c>
      <c r="E235" s="307">
        <v>387</v>
      </c>
    </row>
    <row r="236" spans="1:5" x14ac:dyDescent="0.2">
      <c r="A236" s="131" t="s">
        <v>1961</v>
      </c>
      <c r="B236" s="145"/>
      <c r="C236" s="145"/>
      <c r="D236" s="145">
        <v>157464</v>
      </c>
      <c r="E236" s="307">
        <v>116</v>
      </c>
    </row>
    <row r="237" spans="1:5" ht="16" thickBot="1" x14ac:dyDescent="0.25">
      <c r="A237" s="131" t="s">
        <v>1962</v>
      </c>
      <c r="B237" s="145"/>
      <c r="C237" s="145"/>
      <c r="D237" s="187">
        <v>864144</v>
      </c>
      <c r="E237" s="444">
        <v>564</v>
      </c>
    </row>
    <row r="238" spans="1:5" x14ac:dyDescent="0.2">
      <c r="A238" s="494" t="s">
        <v>1963</v>
      </c>
      <c r="B238" s="495"/>
      <c r="C238" s="495"/>
      <c r="D238" s="145">
        <v>1416886</v>
      </c>
      <c r="E238" s="307">
        <v>67</v>
      </c>
    </row>
    <row r="239" spans="1:5" x14ac:dyDescent="0.2">
      <c r="A239" s="131" t="s">
        <v>1964</v>
      </c>
      <c r="B239" s="145">
        <v>47885</v>
      </c>
      <c r="C239" s="145">
        <v>758</v>
      </c>
      <c r="D239" s="145"/>
      <c r="E239" s="307"/>
    </row>
    <row r="240" spans="1:5" x14ac:dyDescent="0.2">
      <c r="A240" s="131" t="s">
        <v>1965</v>
      </c>
      <c r="B240" s="145">
        <v>78875</v>
      </c>
      <c r="C240" s="145">
        <v>928</v>
      </c>
      <c r="D240" s="145"/>
      <c r="E240" s="307"/>
    </row>
    <row r="241" spans="1:5" x14ac:dyDescent="0.2">
      <c r="A241" s="131" t="s">
        <v>1966</v>
      </c>
      <c r="B241" s="145">
        <v>474698</v>
      </c>
      <c r="C241" s="145">
        <v>306</v>
      </c>
      <c r="D241" s="145"/>
      <c r="E241" s="307"/>
    </row>
    <row r="242" spans="1:5" ht="16" thickBot="1" x14ac:dyDescent="0.25">
      <c r="A242" s="131" t="s">
        <v>1967</v>
      </c>
      <c r="B242" s="187">
        <v>768794</v>
      </c>
      <c r="C242" s="187">
        <v>105</v>
      </c>
      <c r="D242" s="187">
        <v>1370454</v>
      </c>
      <c r="E242" s="444">
        <v>97</v>
      </c>
    </row>
    <row r="243" spans="1:5" x14ac:dyDescent="0.2">
      <c r="A243" s="494" t="s">
        <v>1968</v>
      </c>
      <c r="B243" s="495"/>
      <c r="C243" s="495"/>
      <c r="D243" s="145">
        <v>46431</v>
      </c>
      <c r="E243" s="307">
        <v>970</v>
      </c>
    </row>
    <row r="244" spans="1:5" ht="22.25" customHeight="1" x14ac:dyDescent="0.2">
      <c r="A244" s="494" t="s">
        <v>1969</v>
      </c>
      <c r="B244" s="495"/>
      <c r="C244" s="495"/>
      <c r="D244" s="495"/>
      <c r="E244" s="550"/>
    </row>
    <row r="245" spans="1:5" x14ac:dyDescent="0.2">
      <c r="A245" s="140" t="s">
        <v>1970</v>
      </c>
      <c r="B245" s="145"/>
      <c r="C245" s="145"/>
      <c r="D245" s="145">
        <v>180095</v>
      </c>
      <c r="E245" s="307">
        <v>268</v>
      </c>
    </row>
    <row r="246" spans="1:5" x14ac:dyDescent="0.2">
      <c r="A246" s="131" t="s">
        <v>1971</v>
      </c>
      <c r="B246" s="145"/>
      <c r="C246" s="145"/>
      <c r="D246" s="145">
        <v>1383725</v>
      </c>
      <c r="E246" s="307">
        <v>366</v>
      </c>
    </row>
    <row r="247" spans="1:5" x14ac:dyDescent="0.2">
      <c r="A247" s="131" t="s">
        <v>1972</v>
      </c>
      <c r="B247" s="145"/>
      <c r="C247" s="145"/>
      <c r="D247" s="145">
        <v>166369</v>
      </c>
      <c r="E247" s="307">
        <v>650</v>
      </c>
    </row>
    <row r="248" spans="1:5" ht="16" thickBot="1" x14ac:dyDescent="0.25">
      <c r="A248" s="131" t="s">
        <v>1973</v>
      </c>
      <c r="B248" s="145"/>
      <c r="C248" s="145"/>
      <c r="D248" s="187">
        <v>161386</v>
      </c>
      <c r="E248" s="444">
        <v>284</v>
      </c>
    </row>
    <row r="249" spans="1:5" x14ac:dyDescent="0.2">
      <c r="A249" s="494" t="s">
        <v>1963</v>
      </c>
      <c r="B249" s="495"/>
      <c r="C249" s="495"/>
      <c r="D249" s="145">
        <v>1938008</v>
      </c>
      <c r="E249" s="307">
        <v>538</v>
      </c>
    </row>
    <row r="250" spans="1:5" x14ac:dyDescent="0.2">
      <c r="A250" s="140" t="s">
        <v>1974</v>
      </c>
      <c r="B250" s="145">
        <v>397601</v>
      </c>
      <c r="C250" s="145">
        <v>349</v>
      </c>
      <c r="D250" s="145"/>
      <c r="E250" s="307"/>
    </row>
    <row r="251" spans="1:5" x14ac:dyDescent="0.2">
      <c r="A251" s="131" t="s">
        <v>1975</v>
      </c>
      <c r="B251" s="145">
        <v>394600</v>
      </c>
      <c r="C251" s="145">
        <v>84</v>
      </c>
      <c r="D251" s="145"/>
      <c r="E251" s="307"/>
    </row>
    <row r="252" spans="1:5" x14ac:dyDescent="0.2">
      <c r="A252" s="131" t="s">
        <v>1976</v>
      </c>
      <c r="B252" s="145">
        <v>1043248</v>
      </c>
      <c r="C252" s="145">
        <v>550</v>
      </c>
      <c r="D252" s="145"/>
      <c r="E252" s="307"/>
    </row>
    <row r="253" spans="1:5" x14ac:dyDescent="0.2">
      <c r="A253" s="539" t="s">
        <v>1977</v>
      </c>
      <c r="B253" s="145">
        <v>951355</v>
      </c>
      <c r="C253" s="145">
        <v>689</v>
      </c>
      <c r="D253" s="145"/>
      <c r="E253" s="307"/>
    </row>
    <row r="254" spans="1:5" ht="16" thickBot="1" x14ac:dyDescent="0.25">
      <c r="A254" s="131" t="s">
        <v>1978</v>
      </c>
      <c r="B254" s="187">
        <v>812801</v>
      </c>
      <c r="C254" s="187">
        <v>140</v>
      </c>
      <c r="D254" s="187">
        <v>3599606</v>
      </c>
      <c r="E254" s="444">
        <v>812</v>
      </c>
    </row>
    <row r="255" spans="1:5" ht="25.25" customHeight="1" thickBot="1" x14ac:dyDescent="0.25">
      <c r="A255" s="131" t="s">
        <v>1979</v>
      </c>
      <c r="B255" s="145"/>
      <c r="C255" s="145"/>
      <c r="D255" s="448">
        <v>1661598</v>
      </c>
      <c r="E255" s="449">
        <v>274</v>
      </c>
    </row>
    <row r="256" spans="1:5" ht="28.25" customHeight="1" x14ac:dyDescent="0.2">
      <c r="A256" s="547" t="s">
        <v>1980</v>
      </c>
      <c r="B256" s="548"/>
      <c r="C256" s="548"/>
      <c r="D256" s="548"/>
      <c r="E256" s="549"/>
    </row>
    <row r="257" spans="1:5" ht="26.5" customHeight="1" x14ac:dyDescent="0.2">
      <c r="A257" s="494" t="s">
        <v>1960</v>
      </c>
      <c r="B257" s="495"/>
      <c r="C257" s="495"/>
      <c r="D257" s="495"/>
      <c r="E257" s="550"/>
    </row>
    <row r="258" spans="1:5" x14ac:dyDescent="0.2">
      <c r="A258" s="480" t="s">
        <v>1893</v>
      </c>
      <c r="B258" s="481"/>
      <c r="C258" s="481"/>
      <c r="D258" s="145">
        <v>395277</v>
      </c>
      <c r="E258" s="307">
        <v>387</v>
      </c>
    </row>
    <row r="259" spans="1:5" x14ac:dyDescent="0.2">
      <c r="A259" s="480" t="s">
        <v>1981</v>
      </c>
      <c r="B259" s="481"/>
      <c r="C259" s="481"/>
      <c r="D259" s="145">
        <v>13382610</v>
      </c>
      <c r="E259" s="307">
        <v>686</v>
      </c>
    </row>
    <row r="260" spans="1:5" ht="16" thickBot="1" x14ac:dyDescent="0.25">
      <c r="A260" s="480" t="s">
        <v>1982</v>
      </c>
      <c r="B260" s="481"/>
      <c r="C260" s="481"/>
      <c r="D260" s="187">
        <v>70593</v>
      </c>
      <c r="E260" s="444">
        <v>803</v>
      </c>
    </row>
    <row r="261" spans="1:5" x14ac:dyDescent="0.2">
      <c r="A261" s="489" t="s">
        <v>1983</v>
      </c>
      <c r="B261" s="493"/>
      <c r="C261" s="493"/>
      <c r="D261" s="145">
        <v>13848481</v>
      </c>
      <c r="E261" s="307">
        <v>876</v>
      </c>
    </row>
    <row r="262" spans="1:5" ht="21" customHeight="1" thickBot="1" x14ac:dyDescent="0.25">
      <c r="A262" s="480" t="s">
        <v>1984</v>
      </c>
      <c r="B262" s="481"/>
      <c r="C262" s="481"/>
      <c r="D262" s="187">
        <v>13802049</v>
      </c>
      <c r="E262" s="444">
        <v>906</v>
      </c>
    </row>
    <row r="263" spans="1:5" x14ac:dyDescent="0.2">
      <c r="A263" s="494" t="s">
        <v>1985</v>
      </c>
      <c r="B263" s="495"/>
      <c r="C263" s="495"/>
      <c r="D263" s="145">
        <v>46431</v>
      </c>
      <c r="E263" s="307">
        <v>970</v>
      </c>
    </row>
    <row r="264" spans="1:5" ht="23" customHeight="1" x14ac:dyDescent="0.2">
      <c r="A264" s="494" t="s">
        <v>1969</v>
      </c>
      <c r="B264" s="495"/>
      <c r="C264" s="495"/>
      <c r="D264" s="495"/>
      <c r="E264" s="550"/>
    </row>
    <row r="265" spans="1:5" x14ac:dyDescent="0.2">
      <c r="A265" s="131" t="s">
        <v>1981</v>
      </c>
      <c r="B265" s="145"/>
      <c r="C265" s="145"/>
      <c r="D265" s="145">
        <v>9883618</v>
      </c>
      <c r="E265" s="307">
        <v>428</v>
      </c>
    </row>
    <row r="266" spans="1:5" ht="30" customHeight="1" thickBot="1" x14ac:dyDescent="0.25">
      <c r="A266" s="516" t="s">
        <v>1986</v>
      </c>
      <c r="B266" s="517"/>
      <c r="C266" s="517"/>
      <c r="D266" s="187">
        <v>2992200</v>
      </c>
      <c r="E266" s="444">
        <v>732</v>
      </c>
    </row>
    <row r="267" spans="1:5" x14ac:dyDescent="0.2">
      <c r="A267" s="489" t="s">
        <v>1983</v>
      </c>
      <c r="B267" s="493"/>
      <c r="C267" s="493"/>
      <c r="D267" s="145">
        <v>12922251</v>
      </c>
      <c r="E267" s="307">
        <v>130</v>
      </c>
    </row>
    <row r="268" spans="1:5" ht="20.5" customHeight="1" thickBot="1" x14ac:dyDescent="0.25">
      <c r="A268" s="480" t="s">
        <v>1984</v>
      </c>
      <c r="B268" s="481"/>
      <c r="C268" s="481"/>
      <c r="D268" s="187">
        <v>14583849</v>
      </c>
      <c r="E268" s="444">
        <v>404</v>
      </c>
    </row>
    <row r="269" spans="1:5" ht="24.5" customHeight="1" thickBot="1" x14ac:dyDescent="0.25">
      <c r="A269" s="131" t="s">
        <v>1979</v>
      </c>
      <c r="B269" s="145"/>
      <c r="C269" s="145"/>
      <c r="D269" s="448">
        <v>1661598</v>
      </c>
      <c r="E269" s="449">
        <v>274</v>
      </c>
    </row>
    <row r="270" spans="1:5" ht="46.25" customHeight="1" x14ac:dyDescent="0.2">
      <c r="A270" s="524" t="s">
        <v>1987</v>
      </c>
      <c r="B270" s="525"/>
      <c r="C270" s="525"/>
      <c r="D270" s="525"/>
      <c r="E270" s="543"/>
    </row>
    <row r="274" spans="1:4" x14ac:dyDescent="0.2">
      <c r="A274" s="113" t="s">
        <v>1988</v>
      </c>
    </row>
    <row r="275" spans="1:4" ht="31.25" customHeight="1" x14ac:dyDescent="0.2">
      <c r="A275" s="518" t="s">
        <v>1989</v>
      </c>
      <c r="B275" s="519"/>
      <c r="C275" s="519"/>
      <c r="D275" s="520"/>
    </row>
    <row r="276" spans="1:4" ht="22.25" customHeight="1" x14ac:dyDescent="0.2">
      <c r="A276" s="213" t="s">
        <v>1990</v>
      </c>
      <c r="B276" s="214"/>
      <c r="C276" s="214"/>
      <c r="D276" s="215"/>
    </row>
    <row r="277" spans="1:4" x14ac:dyDescent="0.2">
      <c r="A277" s="342" t="s">
        <v>1174</v>
      </c>
      <c r="B277" s="551">
        <v>857508</v>
      </c>
      <c r="C277" s="350">
        <v>15</v>
      </c>
      <c r="D277" s="352">
        <v>0.375</v>
      </c>
    </row>
    <row r="278" spans="1:4" x14ac:dyDescent="0.2">
      <c r="A278" s="164" t="s">
        <v>1931</v>
      </c>
      <c r="B278" s="552">
        <v>77010</v>
      </c>
      <c r="C278" s="145">
        <v>80</v>
      </c>
      <c r="D278" s="133">
        <v>0.5</v>
      </c>
    </row>
    <row r="279" spans="1:4" x14ac:dyDescent="0.2">
      <c r="A279" s="164" t="s">
        <v>1569</v>
      </c>
      <c r="B279" s="552">
        <v>597849</v>
      </c>
      <c r="C279" s="145">
        <v>43</v>
      </c>
      <c r="D279" s="133">
        <v>0.5</v>
      </c>
    </row>
    <row r="280" spans="1:4" x14ac:dyDescent="0.2">
      <c r="A280" s="164" t="s">
        <v>1175</v>
      </c>
      <c r="B280" s="552">
        <v>62149</v>
      </c>
      <c r="C280" s="145">
        <v>60</v>
      </c>
      <c r="D280" s="133">
        <v>0.5</v>
      </c>
    </row>
    <row r="281" spans="1:4" x14ac:dyDescent="0.2">
      <c r="A281" s="164" t="s">
        <v>1401</v>
      </c>
      <c r="B281" s="552">
        <v>21663</v>
      </c>
      <c r="C281" s="145">
        <v>20</v>
      </c>
      <c r="D281" s="133"/>
    </row>
    <row r="282" spans="1:4" x14ac:dyDescent="0.2">
      <c r="A282" s="164" t="s">
        <v>1573</v>
      </c>
      <c r="B282" s="552">
        <v>31408</v>
      </c>
      <c r="C282" s="145">
        <v>28</v>
      </c>
      <c r="D282" s="133"/>
    </row>
    <row r="283" spans="1:4" x14ac:dyDescent="0.2">
      <c r="A283" s="164" t="s">
        <v>1991</v>
      </c>
      <c r="B283" s="552">
        <v>17723</v>
      </c>
      <c r="C283" s="145">
        <v>36</v>
      </c>
      <c r="D283" s="133"/>
    </row>
    <row r="284" spans="1:4" x14ac:dyDescent="0.2">
      <c r="A284" s="164" t="s">
        <v>1808</v>
      </c>
      <c r="B284" s="552">
        <v>22366</v>
      </c>
      <c r="C284" s="145">
        <v>63</v>
      </c>
      <c r="D284" s="133"/>
    </row>
    <row r="285" spans="1:4" x14ac:dyDescent="0.2">
      <c r="A285" s="164" t="s">
        <v>1992</v>
      </c>
      <c r="B285" s="552">
        <v>1385</v>
      </c>
      <c r="C285" s="145">
        <v>75</v>
      </c>
      <c r="D285" s="133">
        <v>0.5</v>
      </c>
    </row>
    <row r="286" spans="1:4" x14ac:dyDescent="0.2">
      <c r="A286" s="151" t="s">
        <v>1666</v>
      </c>
      <c r="B286" s="240">
        <v>1689065</v>
      </c>
      <c r="C286" s="318">
        <v>23</v>
      </c>
      <c r="D286" s="241">
        <v>0.375</v>
      </c>
    </row>
    <row r="287" spans="1:4" x14ac:dyDescent="0.2">
      <c r="A287" s="134"/>
      <c r="B287" s="138">
        <f>+SUM(B277:B285)+C287</f>
        <v>1689113.5</v>
      </c>
      <c r="C287" s="138">
        <f>+SUM(C277:C285)/8</f>
        <v>52.5</v>
      </c>
      <c r="D287" s="312">
        <f>+SUM(D277:D285)</f>
        <v>2.375</v>
      </c>
    </row>
    <row r="290" spans="1:13" x14ac:dyDescent="0.2">
      <c r="A290" s="113" t="s">
        <v>1993</v>
      </c>
    </row>
    <row r="291" spans="1:13" ht="52.25" customHeight="1" x14ac:dyDescent="0.2">
      <c r="A291" s="510" t="s">
        <v>1854</v>
      </c>
      <c r="B291" s="553"/>
      <c r="C291" s="553"/>
      <c r="D291" s="553"/>
      <c r="E291" s="553"/>
      <c r="F291" s="553"/>
      <c r="G291" s="553"/>
      <c r="H291" s="553"/>
      <c r="I291" s="553"/>
      <c r="J291" s="553"/>
      <c r="K291" s="553"/>
      <c r="L291" s="553"/>
      <c r="M291" s="199"/>
    </row>
    <row r="292" spans="1:13" ht="44" customHeight="1" x14ac:dyDescent="0.2">
      <c r="A292" s="554" t="s">
        <v>1856</v>
      </c>
      <c r="B292" s="252" t="s">
        <v>1994</v>
      </c>
      <c r="C292" s="253"/>
      <c r="D292" s="254"/>
      <c r="E292" s="252" t="s">
        <v>1995</v>
      </c>
      <c r="F292" s="253"/>
      <c r="G292" s="254"/>
      <c r="H292" s="252" t="s">
        <v>1996</v>
      </c>
      <c r="I292" s="253"/>
      <c r="J292" s="254"/>
      <c r="K292" s="252" t="s">
        <v>1997</v>
      </c>
      <c r="L292" s="253"/>
      <c r="M292" s="254"/>
    </row>
    <row r="293" spans="1:13" x14ac:dyDescent="0.2">
      <c r="A293" s="135" t="s">
        <v>1998</v>
      </c>
      <c r="B293" s="131">
        <v>969469</v>
      </c>
      <c r="C293" s="145">
        <v>33</v>
      </c>
      <c r="D293" s="133">
        <v>0.75</v>
      </c>
      <c r="E293" s="131">
        <v>848554</v>
      </c>
      <c r="F293" s="145">
        <v>55</v>
      </c>
      <c r="G293" s="133">
        <v>0.625</v>
      </c>
      <c r="H293" s="131"/>
      <c r="I293" s="145"/>
      <c r="J293" s="133"/>
      <c r="K293" s="131">
        <v>120914</v>
      </c>
      <c r="L293" s="145">
        <v>78</v>
      </c>
      <c r="M293" s="133">
        <v>0.125</v>
      </c>
    </row>
    <row r="294" spans="1:13" x14ac:dyDescent="0.2">
      <c r="A294" s="135" t="s">
        <v>1999</v>
      </c>
      <c r="B294" s="131">
        <v>124947</v>
      </c>
      <c r="C294" s="145">
        <v>82</v>
      </c>
      <c r="D294" s="133">
        <v>0.5</v>
      </c>
      <c r="E294" s="131">
        <v>77010</v>
      </c>
      <c r="F294" s="145">
        <v>80</v>
      </c>
      <c r="G294" s="133">
        <v>0.5</v>
      </c>
      <c r="H294" s="131"/>
      <c r="I294" s="145"/>
      <c r="J294" s="133"/>
      <c r="K294" s="131">
        <v>47937</v>
      </c>
      <c r="L294" s="145">
        <v>2</v>
      </c>
      <c r="M294" s="133"/>
    </row>
    <row r="295" spans="1:13" x14ac:dyDescent="0.2">
      <c r="A295" s="135" t="s">
        <v>2000</v>
      </c>
      <c r="B295" s="131">
        <v>5225</v>
      </c>
      <c r="C295" s="145">
        <v>39</v>
      </c>
      <c r="D295" s="133"/>
      <c r="E295" s="131">
        <v>7083</v>
      </c>
      <c r="F295" s="145">
        <v>54</v>
      </c>
      <c r="G295" s="133"/>
      <c r="H295" s="131">
        <v>1858</v>
      </c>
      <c r="I295" s="145">
        <v>15</v>
      </c>
      <c r="J295" s="133"/>
      <c r="K295" s="131"/>
      <c r="L295" s="145"/>
      <c r="M295" s="133"/>
    </row>
    <row r="296" spans="1:13" x14ac:dyDescent="0.2">
      <c r="A296" s="135" t="s">
        <v>2001</v>
      </c>
      <c r="B296" s="131">
        <v>6</v>
      </c>
      <c r="C296" s="145"/>
      <c r="D296" s="133"/>
      <c r="E296" s="131"/>
      <c r="F296" s="145"/>
      <c r="G296" s="133"/>
      <c r="H296" s="131"/>
      <c r="I296" s="145"/>
      <c r="J296" s="133"/>
      <c r="K296" s="131">
        <v>6</v>
      </c>
      <c r="L296" s="145"/>
      <c r="M296" s="133"/>
    </row>
    <row r="297" spans="1:13" x14ac:dyDescent="0.2">
      <c r="A297" s="135" t="s">
        <v>2002</v>
      </c>
      <c r="B297" s="131">
        <v>1677</v>
      </c>
      <c r="C297" s="145">
        <v>77</v>
      </c>
      <c r="D297" s="133">
        <v>0.5</v>
      </c>
      <c r="E297" s="131">
        <v>67</v>
      </c>
      <c r="F297" s="145">
        <v>18</v>
      </c>
      <c r="G297" s="133"/>
      <c r="H297" s="131"/>
      <c r="I297" s="145"/>
      <c r="J297" s="133"/>
      <c r="K297" s="131">
        <v>1610</v>
      </c>
      <c r="L297" s="145">
        <v>59</v>
      </c>
      <c r="M297" s="133">
        <v>0.5</v>
      </c>
    </row>
    <row r="298" spans="1:13" x14ac:dyDescent="0.2">
      <c r="A298" s="135" t="s">
        <v>2003</v>
      </c>
      <c r="B298" s="131">
        <v>13</v>
      </c>
      <c r="C298" s="145"/>
      <c r="D298" s="133"/>
      <c r="E298" s="131">
        <v>8</v>
      </c>
      <c r="F298" s="145"/>
      <c r="G298" s="133"/>
      <c r="H298" s="131"/>
      <c r="I298" s="145"/>
      <c r="J298" s="133"/>
      <c r="K298" s="131">
        <v>5</v>
      </c>
      <c r="L298" s="145"/>
      <c r="M298" s="133"/>
    </row>
    <row r="299" spans="1:13" x14ac:dyDescent="0.2">
      <c r="A299" s="135" t="s">
        <v>2004</v>
      </c>
      <c r="B299" s="131">
        <v>874</v>
      </c>
      <c r="C299" s="145">
        <v>69</v>
      </c>
      <c r="D299" s="133">
        <v>0.75</v>
      </c>
      <c r="E299" s="131">
        <v>1220</v>
      </c>
      <c r="F299" s="145">
        <v>40</v>
      </c>
      <c r="G299" s="133">
        <v>0.75</v>
      </c>
      <c r="H299" s="131">
        <v>345</v>
      </c>
      <c r="I299" s="145">
        <v>71</v>
      </c>
      <c r="J299" s="133">
        <v>0.25</v>
      </c>
      <c r="K299" s="131"/>
      <c r="L299" s="145"/>
      <c r="M299" s="133"/>
    </row>
    <row r="300" spans="1:13" x14ac:dyDescent="0.2">
      <c r="A300" s="135" t="s">
        <v>1385</v>
      </c>
      <c r="B300" s="131">
        <v>342</v>
      </c>
      <c r="C300" s="145">
        <v>78</v>
      </c>
      <c r="D300" s="133">
        <v>0.5</v>
      </c>
      <c r="E300" s="131">
        <v>108</v>
      </c>
      <c r="F300" s="145">
        <v>17</v>
      </c>
      <c r="G300" s="133"/>
      <c r="H300" s="131"/>
      <c r="I300" s="145"/>
      <c r="J300" s="133"/>
      <c r="K300" s="131">
        <v>234</v>
      </c>
      <c r="L300" s="145">
        <v>61</v>
      </c>
      <c r="M300" s="133">
        <v>0.5</v>
      </c>
    </row>
    <row r="301" spans="1:13" ht="16" thickBot="1" x14ac:dyDescent="0.25">
      <c r="A301" s="135" t="s">
        <v>1400</v>
      </c>
      <c r="B301" s="530">
        <v>360</v>
      </c>
      <c r="C301" s="187">
        <v>98</v>
      </c>
      <c r="D301" s="189"/>
      <c r="E301" s="530">
        <v>466</v>
      </c>
      <c r="F301" s="187">
        <v>30</v>
      </c>
      <c r="G301" s="189"/>
      <c r="H301" s="530">
        <v>105</v>
      </c>
      <c r="I301" s="187">
        <v>32</v>
      </c>
      <c r="J301" s="189"/>
      <c r="K301" s="530"/>
      <c r="L301" s="187"/>
      <c r="M301" s="189"/>
    </row>
    <row r="302" spans="1:13" x14ac:dyDescent="0.2">
      <c r="A302" s="135"/>
      <c r="B302" s="131"/>
      <c r="C302" s="145"/>
      <c r="D302" s="133"/>
      <c r="E302" s="131">
        <v>934518</v>
      </c>
      <c r="F302" s="145">
        <v>95</v>
      </c>
      <c r="G302" s="133">
        <v>0.875</v>
      </c>
      <c r="H302" s="131">
        <v>2309</v>
      </c>
      <c r="I302" s="145">
        <v>18</v>
      </c>
      <c r="J302" s="133">
        <v>0.25</v>
      </c>
      <c r="K302" s="131"/>
      <c r="L302" s="145"/>
      <c r="M302" s="133"/>
    </row>
    <row r="303" spans="1:13" x14ac:dyDescent="0.2">
      <c r="A303" s="135"/>
      <c r="B303" s="131"/>
      <c r="C303" s="145"/>
      <c r="D303" s="133"/>
      <c r="E303" s="137">
        <f t="shared" ref="E303:J303" si="6">+SUM(E293:E301)</f>
        <v>934516</v>
      </c>
      <c r="F303" s="137">
        <f t="shared" si="6"/>
        <v>294</v>
      </c>
      <c r="G303" s="503">
        <f t="shared" si="6"/>
        <v>1.875</v>
      </c>
      <c r="H303" s="137">
        <f t="shared" si="6"/>
        <v>2308</v>
      </c>
      <c r="I303" s="137">
        <f t="shared" si="6"/>
        <v>118</v>
      </c>
      <c r="J303" s="503">
        <f t="shared" si="6"/>
        <v>0.25</v>
      </c>
      <c r="K303" s="131"/>
      <c r="L303" s="145"/>
      <c r="M303" s="133"/>
    </row>
    <row r="304" spans="1:13" ht="16" thickBot="1" x14ac:dyDescent="0.25">
      <c r="A304" s="135" t="s">
        <v>1868</v>
      </c>
      <c r="B304" s="131"/>
      <c r="C304" s="145"/>
      <c r="D304" s="133"/>
      <c r="E304" s="530">
        <v>168398</v>
      </c>
      <c r="F304" s="187">
        <v>82</v>
      </c>
      <c r="G304" s="189">
        <v>0.875</v>
      </c>
      <c r="H304" s="530">
        <v>168398</v>
      </c>
      <c r="I304" s="187">
        <v>82</v>
      </c>
      <c r="J304" s="189">
        <v>0.875</v>
      </c>
      <c r="K304" s="131"/>
      <c r="L304" s="145"/>
      <c r="M304" s="133"/>
    </row>
    <row r="305" spans="1:13" ht="17" customHeight="1" x14ac:dyDescent="0.2">
      <c r="A305" s="263" t="s">
        <v>2005</v>
      </c>
      <c r="B305" s="230">
        <v>1102917</v>
      </c>
      <c r="C305" s="309">
        <v>78</v>
      </c>
      <c r="D305" s="231">
        <v>0.75</v>
      </c>
      <c r="E305" s="230">
        <v>1102917</v>
      </c>
      <c r="F305" s="309">
        <v>78</v>
      </c>
      <c r="G305" s="231">
        <v>0.75</v>
      </c>
      <c r="H305" s="230">
        <v>170708</v>
      </c>
      <c r="I305" s="309">
        <v>1</v>
      </c>
      <c r="J305" s="231">
        <v>0.125</v>
      </c>
      <c r="K305" s="230">
        <v>170708</v>
      </c>
      <c r="L305" s="309">
        <v>1</v>
      </c>
      <c r="M305" s="231">
        <v>0.125</v>
      </c>
    </row>
    <row r="306" spans="1:13" x14ac:dyDescent="0.2">
      <c r="B306" s="321">
        <f>+SUM(B293:B301)</f>
        <v>1102913</v>
      </c>
      <c r="C306" s="321">
        <f>+SUM(C293:C301)</f>
        <v>476</v>
      </c>
      <c r="D306" s="322">
        <f>+SUM(D293:D301)</f>
        <v>3</v>
      </c>
      <c r="E306" s="107"/>
      <c r="F306" s="107"/>
      <c r="G306" s="555"/>
      <c r="H306" s="107"/>
      <c r="I306" s="107"/>
      <c r="J306" s="555"/>
      <c r="K306" s="321">
        <f>+SUM(K293:K301)</f>
        <v>170706</v>
      </c>
      <c r="L306" s="321">
        <f>+SUM(L293:L301)</f>
        <v>200</v>
      </c>
      <c r="M306" s="322">
        <f>+SUM(M293:M301)</f>
        <v>1.125</v>
      </c>
    </row>
    <row r="308" spans="1:13" ht="26.5" customHeight="1" x14ac:dyDescent="0.2">
      <c r="A308" s="342" t="s">
        <v>2006</v>
      </c>
      <c r="B308" s="349">
        <v>124947</v>
      </c>
      <c r="C308" s="350"/>
      <c r="D308" s="352"/>
    </row>
    <row r="309" spans="1:13" ht="24.5" customHeight="1" x14ac:dyDescent="0.2">
      <c r="A309" s="151" t="s">
        <v>2007</v>
      </c>
      <c r="B309" s="230">
        <v>77010</v>
      </c>
      <c r="C309" s="309"/>
      <c r="D309" s="231"/>
    </row>
    <row r="313" spans="1:13" x14ac:dyDescent="0.2">
      <c r="A313" s="113" t="s">
        <v>2008</v>
      </c>
    </row>
    <row r="314" spans="1:13" ht="19" x14ac:dyDescent="0.25">
      <c r="A314" s="556" t="s">
        <v>2009</v>
      </c>
      <c r="B314" s="557"/>
      <c r="C314" s="557"/>
      <c r="D314" s="557"/>
      <c r="E314" s="558"/>
    </row>
    <row r="315" spans="1:13" x14ac:dyDescent="0.2">
      <c r="A315" s="382" t="s">
        <v>2010</v>
      </c>
      <c r="B315" s="277"/>
      <c r="C315" s="277"/>
      <c r="D315" s="277"/>
      <c r="E315" s="278"/>
    </row>
    <row r="316" spans="1:13" ht="29" customHeight="1" x14ac:dyDescent="0.2">
      <c r="A316" s="559" t="s">
        <v>2011</v>
      </c>
      <c r="B316" s="560"/>
      <c r="C316" s="560"/>
      <c r="D316" s="560"/>
      <c r="E316" s="561"/>
    </row>
    <row r="317" spans="1:13" ht="29" customHeight="1" x14ac:dyDescent="0.2">
      <c r="A317" s="117" t="s">
        <v>2012</v>
      </c>
      <c r="B317" s="118"/>
      <c r="C317" s="118"/>
      <c r="D317" s="118"/>
      <c r="E317" s="119"/>
    </row>
    <row r="318" spans="1:13" x14ac:dyDescent="0.2">
      <c r="A318" s="562" t="s">
        <v>2013</v>
      </c>
      <c r="B318" s="563"/>
      <c r="C318" s="563"/>
      <c r="D318" s="563"/>
      <c r="E318" s="564"/>
    </row>
    <row r="319" spans="1:13" x14ac:dyDescent="0.2">
      <c r="A319" s="480" t="s">
        <v>2014</v>
      </c>
      <c r="B319" s="481"/>
      <c r="C319" s="481"/>
      <c r="D319" s="145">
        <v>15320</v>
      </c>
      <c r="E319" s="307">
        <v>84</v>
      </c>
    </row>
    <row r="320" spans="1:13" x14ac:dyDescent="0.2">
      <c r="A320" s="480" t="s">
        <v>1177</v>
      </c>
      <c r="B320" s="481"/>
      <c r="C320" s="481"/>
      <c r="D320" s="145">
        <v>10592</v>
      </c>
      <c r="E320" s="307">
        <v>121</v>
      </c>
    </row>
    <row r="321" spans="1:5" x14ac:dyDescent="0.2">
      <c r="A321" s="480" t="s">
        <v>1810</v>
      </c>
      <c r="B321" s="481"/>
      <c r="C321" s="481"/>
      <c r="D321" s="145">
        <v>184928</v>
      </c>
      <c r="E321" s="307">
        <v>750</v>
      </c>
    </row>
    <row r="322" spans="1:5" x14ac:dyDescent="0.2">
      <c r="A322" s="480" t="s">
        <v>1175</v>
      </c>
      <c r="B322" s="481"/>
      <c r="C322" s="481"/>
      <c r="D322" s="145">
        <v>271</v>
      </c>
      <c r="E322" s="307">
        <v>75</v>
      </c>
    </row>
    <row r="323" spans="1:5" x14ac:dyDescent="0.2">
      <c r="A323" s="480" t="s">
        <v>1569</v>
      </c>
      <c r="B323" s="481"/>
      <c r="C323" s="481"/>
      <c r="D323" s="145">
        <v>5798</v>
      </c>
      <c r="E323" s="307">
        <v>300</v>
      </c>
    </row>
    <row r="324" spans="1:5" x14ac:dyDescent="0.2">
      <c r="A324" s="480" t="s">
        <v>1377</v>
      </c>
      <c r="B324" s="481"/>
      <c r="C324" s="481"/>
      <c r="D324" s="145">
        <v>33450</v>
      </c>
      <c r="E324" s="307">
        <v>896</v>
      </c>
    </row>
    <row r="325" spans="1:5" x14ac:dyDescent="0.2">
      <c r="A325" s="480" t="s">
        <v>1401</v>
      </c>
      <c r="B325" s="481"/>
      <c r="C325" s="481"/>
      <c r="D325" s="145">
        <v>5182</v>
      </c>
      <c r="E325" s="307">
        <v>816</v>
      </c>
    </row>
    <row r="326" spans="1:5" x14ac:dyDescent="0.2">
      <c r="A326" s="480" t="s">
        <v>1568</v>
      </c>
      <c r="B326" s="481"/>
      <c r="C326" s="481"/>
      <c r="D326" s="145">
        <v>19</v>
      </c>
      <c r="E326" s="307">
        <v>800</v>
      </c>
    </row>
    <row r="327" spans="1:5" x14ac:dyDescent="0.2">
      <c r="A327" s="480" t="s">
        <v>2015</v>
      </c>
      <c r="B327" s="481"/>
      <c r="C327" s="481"/>
      <c r="D327" s="145">
        <v>4247</v>
      </c>
      <c r="E327" s="307">
        <v>975</v>
      </c>
    </row>
    <row r="328" spans="1:5" x14ac:dyDescent="0.2">
      <c r="A328" s="480" t="s">
        <v>2016</v>
      </c>
      <c r="B328" s="481"/>
      <c r="C328" s="481"/>
      <c r="D328" s="145">
        <v>1213</v>
      </c>
      <c r="E328" s="307">
        <v>175</v>
      </c>
    </row>
    <row r="329" spans="1:5" x14ac:dyDescent="0.2">
      <c r="A329" s="480" t="s">
        <v>1809</v>
      </c>
      <c r="B329" s="481"/>
      <c r="C329" s="481"/>
      <c r="D329" s="145">
        <v>16514</v>
      </c>
      <c r="E329" s="307">
        <v>662</v>
      </c>
    </row>
    <row r="330" spans="1:5" x14ac:dyDescent="0.2">
      <c r="A330" s="480" t="s">
        <v>1817</v>
      </c>
      <c r="B330" s="481"/>
      <c r="C330" s="481"/>
      <c r="D330" s="145">
        <v>40340</v>
      </c>
      <c r="E330" s="307">
        <v>86</v>
      </c>
    </row>
    <row r="331" spans="1:5" ht="16" thickBot="1" x14ac:dyDescent="0.25">
      <c r="A331" s="480" t="s">
        <v>2017</v>
      </c>
      <c r="B331" s="481"/>
      <c r="C331" s="481"/>
      <c r="D331" s="187">
        <v>11211</v>
      </c>
      <c r="E331" s="444">
        <v>385</v>
      </c>
    </row>
    <row r="332" spans="1:5" x14ac:dyDescent="0.2">
      <c r="A332" s="494"/>
      <c r="B332" s="495"/>
      <c r="C332" s="495"/>
      <c r="D332" s="145">
        <v>329091</v>
      </c>
      <c r="E332" s="307">
        <v>125</v>
      </c>
    </row>
    <row r="333" spans="1:5" x14ac:dyDescent="0.2">
      <c r="A333" s="131"/>
      <c r="B333" s="565"/>
      <c r="C333" s="565"/>
      <c r="D333" s="138">
        <f>+SUM(D319:D331)+E333</f>
        <v>329850.625</v>
      </c>
      <c r="E333" s="138">
        <f>+SUM(E319:E331)/8</f>
        <v>765.625</v>
      </c>
    </row>
    <row r="334" spans="1:5" ht="28.25" customHeight="1" x14ac:dyDescent="0.2">
      <c r="A334" s="566" t="s">
        <v>2018</v>
      </c>
      <c r="B334" s="567"/>
      <c r="C334" s="567"/>
      <c r="D334" s="567"/>
      <c r="E334" s="568"/>
    </row>
    <row r="335" spans="1:5" x14ac:dyDescent="0.2">
      <c r="A335" s="478" t="s">
        <v>1174</v>
      </c>
      <c r="B335" s="569">
        <v>1526</v>
      </c>
      <c r="C335" s="569">
        <v>369</v>
      </c>
      <c r="D335" s="145"/>
      <c r="E335" s="307"/>
    </row>
    <row r="336" spans="1:5" x14ac:dyDescent="0.2">
      <c r="A336" s="478" t="s">
        <v>1177</v>
      </c>
      <c r="B336" s="569">
        <v>8068</v>
      </c>
      <c r="C336" s="569">
        <v>545</v>
      </c>
      <c r="D336" s="145"/>
      <c r="E336" s="307"/>
    </row>
    <row r="337" spans="1:5" x14ac:dyDescent="0.2">
      <c r="A337" s="478" t="s">
        <v>1810</v>
      </c>
      <c r="B337" s="569">
        <v>8477</v>
      </c>
      <c r="C337" s="569">
        <v>577</v>
      </c>
      <c r="D337" s="145"/>
      <c r="E337" s="307"/>
    </row>
    <row r="338" spans="1:5" x14ac:dyDescent="0.2">
      <c r="A338" s="478" t="s">
        <v>1175</v>
      </c>
      <c r="B338" s="569">
        <v>24</v>
      </c>
      <c r="C338" s="569">
        <v>75</v>
      </c>
      <c r="D338" s="145"/>
      <c r="E338" s="307"/>
    </row>
    <row r="339" spans="1:5" x14ac:dyDescent="0.2">
      <c r="A339" s="478" t="s">
        <v>1377</v>
      </c>
      <c r="B339" s="569">
        <v>9676</v>
      </c>
      <c r="C339" s="569">
        <v>176</v>
      </c>
      <c r="D339" s="145"/>
      <c r="E339" s="307"/>
    </row>
    <row r="340" spans="1:5" x14ac:dyDescent="0.2">
      <c r="A340" s="478" t="s">
        <v>1401</v>
      </c>
      <c r="B340" s="569">
        <v>80</v>
      </c>
      <c r="C340" s="569">
        <v>956</v>
      </c>
      <c r="D340" s="145"/>
      <c r="E340" s="307"/>
    </row>
    <row r="341" spans="1:5" x14ac:dyDescent="0.2">
      <c r="A341" s="478" t="s">
        <v>1568</v>
      </c>
      <c r="B341" s="569">
        <v>1</v>
      </c>
      <c r="C341" s="569">
        <v>511</v>
      </c>
      <c r="D341" s="145"/>
      <c r="E341" s="307"/>
    </row>
    <row r="342" spans="1:5" x14ac:dyDescent="0.2">
      <c r="A342" s="478" t="s">
        <v>2015</v>
      </c>
      <c r="B342" s="569">
        <v>281</v>
      </c>
      <c r="C342" s="569">
        <v>61</v>
      </c>
      <c r="D342" s="145"/>
      <c r="E342" s="307"/>
    </row>
    <row r="343" spans="1:5" x14ac:dyDescent="0.2">
      <c r="A343" s="478" t="s">
        <v>1809</v>
      </c>
      <c r="B343" s="569">
        <v>332</v>
      </c>
      <c r="C343" s="569">
        <v>350</v>
      </c>
      <c r="D343" s="145"/>
      <c r="E343" s="307"/>
    </row>
    <row r="344" spans="1:5" ht="16" thickBot="1" x14ac:dyDescent="0.25">
      <c r="A344" s="478" t="s">
        <v>1817</v>
      </c>
      <c r="B344" s="570">
        <v>1311</v>
      </c>
      <c r="C344" s="570">
        <v>941</v>
      </c>
      <c r="D344" s="145">
        <v>29780</v>
      </c>
      <c r="E344" s="307">
        <v>561</v>
      </c>
    </row>
    <row r="345" spans="1:5" x14ac:dyDescent="0.2">
      <c r="A345" s="479"/>
      <c r="D345" s="571">
        <f>+SUM(B335:B344)+E345</f>
        <v>30346.125</v>
      </c>
      <c r="E345" s="571">
        <f>+SUM(C335:C344)/8</f>
        <v>570.125</v>
      </c>
    </row>
    <row r="346" spans="1:5" ht="29" customHeight="1" x14ac:dyDescent="0.2">
      <c r="A346" s="566" t="s">
        <v>2019</v>
      </c>
      <c r="B346" s="567"/>
      <c r="C346" s="567"/>
      <c r="D346" s="567"/>
      <c r="E346" s="568"/>
    </row>
    <row r="347" spans="1:5" x14ac:dyDescent="0.2">
      <c r="A347" s="478" t="s">
        <v>1174</v>
      </c>
      <c r="B347" s="569">
        <v>12966</v>
      </c>
      <c r="C347" s="569">
        <v>464</v>
      </c>
      <c r="D347" s="145"/>
      <c r="E347" s="307"/>
    </row>
    <row r="348" spans="1:5" x14ac:dyDescent="0.2">
      <c r="A348" s="478" t="s">
        <v>1177</v>
      </c>
      <c r="B348" s="569">
        <v>608</v>
      </c>
      <c r="C348" s="569">
        <v>256</v>
      </c>
      <c r="D348" s="145"/>
      <c r="E348" s="307"/>
    </row>
    <row r="349" spans="1:5" x14ac:dyDescent="0.2">
      <c r="A349" s="478" t="s">
        <v>1810</v>
      </c>
      <c r="B349" s="569">
        <v>1792</v>
      </c>
      <c r="C349" s="569">
        <v>29</v>
      </c>
      <c r="D349" s="145"/>
      <c r="E349" s="307"/>
    </row>
    <row r="350" spans="1:5" x14ac:dyDescent="0.2">
      <c r="A350" s="478" t="s">
        <v>1175</v>
      </c>
      <c r="B350" s="569">
        <v>427</v>
      </c>
      <c r="C350" s="569">
        <v>290</v>
      </c>
      <c r="D350" s="145"/>
      <c r="E350" s="307"/>
    </row>
    <row r="351" spans="1:5" x14ac:dyDescent="0.2">
      <c r="A351" s="478" t="s">
        <v>1377</v>
      </c>
      <c r="B351" s="569">
        <v>6791</v>
      </c>
      <c r="C351" s="569">
        <v>17</v>
      </c>
      <c r="D351" s="145"/>
      <c r="E351" s="307"/>
    </row>
    <row r="352" spans="1:5" x14ac:dyDescent="0.2">
      <c r="A352" s="478" t="s">
        <v>1401</v>
      </c>
      <c r="B352" s="569">
        <v>1818</v>
      </c>
      <c r="C352" s="569">
        <v>499</v>
      </c>
      <c r="D352" s="145"/>
      <c r="E352" s="307"/>
    </row>
    <row r="353" spans="1:5" x14ac:dyDescent="0.2">
      <c r="A353" s="478" t="s">
        <v>1568</v>
      </c>
      <c r="B353" s="569">
        <v>27</v>
      </c>
      <c r="C353" s="569">
        <v>528</v>
      </c>
      <c r="D353" s="145"/>
      <c r="E353" s="307"/>
    </row>
    <row r="354" spans="1:5" x14ac:dyDescent="0.2">
      <c r="A354" s="478" t="s">
        <v>2015</v>
      </c>
      <c r="B354" s="569">
        <v>7</v>
      </c>
      <c r="C354" s="569">
        <v>104</v>
      </c>
      <c r="D354" s="145"/>
      <c r="E354" s="307"/>
    </row>
    <row r="355" spans="1:5" x14ac:dyDescent="0.2">
      <c r="A355" s="478" t="s">
        <v>1818</v>
      </c>
      <c r="B355" s="569"/>
      <c r="C355" s="569">
        <v>1</v>
      </c>
      <c r="D355" s="145"/>
      <c r="E355" s="307"/>
    </row>
    <row r="356" spans="1:5" x14ac:dyDescent="0.2">
      <c r="A356" s="478" t="s">
        <v>1811</v>
      </c>
      <c r="B356" s="569"/>
      <c r="C356" s="569">
        <v>1</v>
      </c>
      <c r="D356" s="145"/>
      <c r="E356" s="307"/>
    </row>
    <row r="357" spans="1:5" x14ac:dyDescent="0.2">
      <c r="A357" s="478" t="s">
        <v>2016</v>
      </c>
      <c r="B357" s="569">
        <v>987</v>
      </c>
      <c r="C357" s="569">
        <v>310</v>
      </c>
      <c r="D357" s="145"/>
      <c r="E357" s="307"/>
    </row>
    <row r="358" spans="1:5" x14ac:dyDescent="0.2">
      <c r="A358" s="478" t="s">
        <v>1809</v>
      </c>
      <c r="B358" s="569">
        <v>51</v>
      </c>
      <c r="C358" s="569">
        <v>200</v>
      </c>
      <c r="D358" s="145"/>
      <c r="E358" s="307"/>
    </row>
    <row r="359" spans="1:5" x14ac:dyDescent="0.2">
      <c r="A359" s="478" t="s">
        <v>1817</v>
      </c>
      <c r="B359" s="569">
        <v>6138</v>
      </c>
      <c r="C359" s="569">
        <v>54</v>
      </c>
      <c r="D359" s="145"/>
      <c r="E359" s="307"/>
    </row>
    <row r="360" spans="1:5" ht="16" thickBot="1" x14ac:dyDescent="0.25">
      <c r="A360" s="478" t="s">
        <v>2020</v>
      </c>
      <c r="B360" s="570"/>
      <c r="C360" s="570">
        <v>10</v>
      </c>
      <c r="D360" s="187">
        <v>31614</v>
      </c>
      <c r="E360" s="444">
        <v>763</v>
      </c>
    </row>
    <row r="361" spans="1:5" x14ac:dyDescent="0.2">
      <c r="A361" s="478"/>
      <c r="B361" s="569"/>
      <c r="C361" s="569"/>
      <c r="D361" s="138">
        <f>+SUM(B347:B360)</f>
        <v>31612</v>
      </c>
      <c r="E361" s="138">
        <f>+SUM(C347:C360)</f>
        <v>2763</v>
      </c>
    </row>
    <row r="362" spans="1:5" ht="30.5" customHeight="1" x14ac:dyDescent="0.2">
      <c r="A362" s="566" t="s">
        <v>2021</v>
      </c>
      <c r="B362" s="567"/>
      <c r="C362" s="567"/>
      <c r="D362" s="567"/>
      <c r="E362" s="568"/>
    </row>
    <row r="363" spans="1:5" x14ac:dyDescent="0.2">
      <c r="A363" s="478" t="s">
        <v>1174</v>
      </c>
      <c r="B363" s="569">
        <v>399848</v>
      </c>
      <c r="C363" s="569">
        <v>641</v>
      </c>
      <c r="D363" s="145"/>
      <c r="E363" s="307"/>
    </row>
    <row r="364" spans="1:5" x14ac:dyDescent="0.2">
      <c r="A364" s="478" t="s">
        <v>1177</v>
      </c>
      <c r="B364" s="569">
        <v>59916</v>
      </c>
      <c r="C364" s="569">
        <v>187</v>
      </c>
      <c r="D364" s="145"/>
      <c r="E364" s="307"/>
    </row>
    <row r="365" spans="1:5" x14ac:dyDescent="0.2">
      <c r="A365" s="478" t="s">
        <v>1810</v>
      </c>
      <c r="B365" s="569">
        <v>62406</v>
      </c>
      <c r="C365" s="569">
        <v>51</v>
      </c>
      <c r="D365" s="145"/>
      <c r="E365" s="307"/>
    </row>
    <row r="366" spans="1:5" x14ac:dyDescent="0.2">
      <c r="A366" s="478" t="s">
        <v>1175</v>
      </c>
      <c r="B366" s="569">
        <v>2102</v>
      </c>
      <c r="C366" s="569">
        <v>795</v>
      </c>
      <c r="D366" s="145"/>
      <c r="E366" s="307"/>
    </row>
    <row r="367" spans="1:5" x14ac:dyDescent="0.2">
      <c r="A367" s="478" t="s">
        <v>1569</v>
      </c>
      <c r="B367" s="569">
        <v>1824</v>
      </c>
      <c r="C367" s="569">
        <v>492</v>
      </c>
      <c r="D367" s="145"/>
      <c r="E367" s="307"/>
    </row>
    <row r="368" spans="1:5" x14ac:dyDescent="0.2">
      <c r="A368" s="478" t="s">
        <v>2022</v>
      </c>
      <c r="B368" s="569">
        <v>537</v>
      </c>
      <c r="C368" s="569">
        <v>808</v>
      </c>
      <c r="D368" s="145"/>
      <c r="E368" s="307"/>
    </row>
    <row r="369" spans="1:5" x14ac:dyDescent="0.2">
      <c r="A369" s="478" t="s">
        <v>1807</v>
      </c>
      <c r="B369" s="569">
        <v>1751</v>
      </c>
      <c r="C369" s="569"/>
      <c r="D369" s="145"/>
      <c r="E369" s="307"/>
    </row>
    <row r="370" spans="1:5" x14ac:dyDescent="0.2">
      <c r="A370" s="478" t="s">
        <v>1377</v>
      </c>
      <c r="B370" s="569">
        <v>48243</v>
      </c>
      <c r="C370" s="569">
        <v>160</v>
      </c>
      <c r="D370" s="145"/>
      <c r="E370" s="307"/>
    </row>
    <row r="371" spans="1:5" x14ac:dyDescent="0.2">
      <c r="A371" s="478" t="s">
        <v>1401</v>
      </c>
      <c r="B371" s="569">
        <v>9914</v>
      </c>
      <c r="C371" s="569">
        <v>432</v>
      </c>
      <c r="D371" s="145"/>
      <c r="E371" s="307"/>
    </row>
    <row r="372" spans="1:5" x14ac:dyDescent="0.2">
      <c r="A372" s="478" t="s">
        <v>1568</v>
      </c>
      <c r="B372" s="569">
        <v>1186</v>
      </c>
      <c r="C372" s="569">
        <v>271</v>
      </c>
      <c r="D372" s="145"/>
      <c r="E372" s="307"/>
    </row>
    <row r="373" spans="1:5" x14ac:dyDescent="0.2">
      <c r="A373" s="478" t="s">
        <v>1421</v>
      </c>
      <c r="B373" s="569">
        <v>5640</v>
      </c>
      <c r="C373" s="569">
        <v>43</v>
      </c>
      <c r="D373" s="145"/>
      <c r="E373" s="307"/>
    </row>
    <row r="374" spans="1:5" x14ac:dyDescent="0.2">
      <c r="A374" s="478" t="s">
        <v>2015</v>
      </c>
      <c r="B374" s="569">
        <v>3573</v>
      </c>
      <c r="C374" s="569">
        <v>465</v>
      </c>
      <c r="D374" s="145"/>
      <c r="E374" s="307"/>
    </row>
    <row r="375" spans="1:5" x14ac:dyDescent="0.2">
      <c r="A375" s="478" t="s">
        <v>1818</v>
      </c>
      <c r="B375" s="569">
        <v>86</v>
      </c>
      <c r="C375" s="569">
        <v>300</v>
      </c>
      <c r="D375" s="145"/>
      <c r="E375" s="307"/>
    </row>
    <row r="376" spans="1:5" x14ac:dyDescent="0.2">
      <c r="A376" s="478" t="s">
        <v>2020</v>
      </c>
      <c r="B376" s="569">
        <v>835</v>
      </c>
      <c r="C376" s="569">
        <v>377</v>
      </c>
      <c r="D376" s="145"/>
      <c r="E376" s="307"/>
    </row>
    <row r="377" spans="1:5" x14ac:dyDescent="0.2">
      <c r="A377" s="478" t="s">
        <v>1811</v>
      </c>
      <c r="B377" s="569">
        <v>150</v>
      </c>
      <c r="C377" s="569">
        <v>400</v>
      </c>
      <c r="D377" s="145"/>
      <c r="E377" s="307"/>
    </row>
    <row r="378" spans="1:5" x14ac:dyDescent="0.2">
      <c r="A378" s="478" t="s">
        <v>2016</v>
      </c>
      <c r="B378" s="569">
        <v>2215</v>
      </c>
      <c r="C378" s="569">
        <v>160</v>
      </c>
      <c r="D378" s="145"/>
      <c r="E378" s="307"/>
    </row>
    <row r="379" spans="1:5" x14ac:dyDescent="0.2">
      <c r="A379" s="478" t="s">
        <v>1809</v>
      </c>
      <c r="B379" s="569">
        <v>729</v>
      </c>
      <c r="C379" s="569">
        <v>197</v>
      </c>
      <c r="D379" s="145"/>
      <c r="E379" s="307"/>
    </row>
    <row r="380" spans="1:5" ht="16" thickBot="1" x14ac:dyDescent="0.25">
      <c r="A380" s="478" t="s">
        <v>1817</v>
      </c>
      <c r="B380" s="570">
        <v>26802</v>
      </c>
      <c r="C380" s="570">
        <v>248</v>
      </c>
      <c r="D380" s="187">
        <v>627763</v>
      </c>
      <c r="E380" s="444">
        <v>27</v>
      </c>
    </row>
    <row r="381" spans="1:5" x14ac:dyDescent="0.2">
      <c r="A381" s="478"/>
      <c r="B381" s="569"/>
      <c r="C381" s="569"/>
      <c r="D381" s="138">
        <f>+SUM(B363:B380)</f>
        <v>627757</v>
      </c>
      <c r="E381" s="138">
        <f>+SUM(C363:C380)</f>
        <v>6027</v>
      </c>
    </row>
    <row r="382" spans="1:5" x14ac:dyDescent="0.2">
      <c r="A382" s="480" t="s">
        <v>2023</v>
      </c>
      <c r="B382" s="481"/>
      <c r="C382" s="481"/>
      <c r="D382" s="145">
        <v>1018249</v>
      </c>
      <c r="E382" s="307">
        <v>476</v>
      </c>
    </row>
    <row r="383" spans="1:5" x14ac:dyDescent="0.2">
      <c r="A383" s="479"/>
      <c r="B383" s="565"/>
      <c r="C383" s="565"/>
      <c r="D383" s="138">
        <f>+D332+D344+D360+D380</f>
        <v>1018248</v>
      </c>
      <c r="E383" s="138">
        <f>+E332+E344+E360+E380</f>
        <v>1476</v>
      </c>
    </row>
    <row r="384" spans="1:5" ht="28.25" customHeight="1" x14ac:dyDescent="0.2">
      <c r="A384" s="572" t="s">
        <v>2024</v>
      </c>
      <c r="B384" s="573"/>
      <c r="C384" s="573"/>
      <c r="D384" s="573"/>
      <c r="E384" s="574"/>
    </row>
    <row r="385" spans="1:5" x14ac:dyDescent="0.2">
      <c r="A385" s="575" t="s">
        <v>2025</v>
      </c>
      <c r="B385" s="145">
        <v>7206</v>
      </c>
      <c r="C385" s="145">
        <v>25</v>
      </c>
      <c r="D385" s="145"/>
      <c r="E385" s="307"/>
    </row>
    <row r="386" spans="1:5" x14ac:dyDescent="0.2">
      <c r="A386" s="575" t="s">
        <v>2026</v>
      </c>
      <c r="B386" s="145">
        <v>343290</v>
      </c>
      <c r="C386" s="145">
        <v>128</v>
      </c>
      <c r="D386" s="145"/>
      <c r="E386" s="307"/>
    </row>
    <row r="387" spans="1:5" x14ac:dyDescent="0.2">
      <c r="A387" s="575" t="s">
        <v>2027</v>
      </c>
      <c r="B387" s="145">
        <v>170946</v>
      </c>
      <c r="C387" s="145">
        <v>800</v>
      </c>
      <c r="D387" s="145"/>
      <c r="E387" s="307"/>
    </row>
    <row r="388" spans="1:5" x14ac:dyDescent="0.2">
      <c r="A388" s="575" t="s">
        <v>2028</v>
      </c>
      <c r="B388" s="145">
        <v>1829</v>
      </c>
      <c r="C388" s="145"/>
      <c r="D388" s="145"/>
      <c r="E388" s="307"/>
    </row>
    <row r="389" spans="1:5" x14ac:dyDescent="0.2">
      <c r="A389" s="575" t="s">
        <v>2029</v>
      </c>
      <c r="B389" s="145">
        <v>77330</v>
      </c>
      <c r="C389" s="145">
        <v>860</v>
      </c>
      <c r="D389" s="145"/>
      <c r="E389" s="307"/>
    </row>
    <row r="390" spans="1:5" x14ac:dyDescent="0.2">
      <c r="A390" s="575" t="s">
        <v>2030</v>
      </c>
      <c r="B390" s="145">
        <v>15140</v>
      </c>
      <c r="C390" s="145">
        <v>380</v>
      </c>
      <c r="D390" s="145"/>
      <c r="E390" s="307"/>
    </row>
    <row r="391" spans="1:5" x14ac:dyDescent="0.2">
      <c r="A391" s="575" t="s">
        <v>2031</v>
      </c>
      <c r="B391" s="145">
        <v>318143</v>
      </c>
      <c r="C391" s="145">
        <v>445</v>
      </c>
      <c r="D391" s="145"/>
      <c r="E391" s="307"/>
    </row>
    <row r="392" spans="1:5" x14ac:dyDescent="0.2">
      <c r="A392" s="575" t="s">
        <v>2032</v>
      </c>
      <c r="B392" s="145">
        <v>52456</v>
      </c>
      <c r="C392" s="145">
        <v>453</v>
      </c>
      <c r="D392" s="145"/>
      <c r="E392" s="307"/>
    </row>
    <row r="393" spans="1:5" x14ac:dyDescent="0.2">
      <c r="A393" s="575" t="s">
        <v>2033</v>
      </c>
      <c r="B393" s="145">
        <v>4507</v>
      </c>
      <c r="C393" s="145">
        <v>571</v>
      </c>
      <c r="D393" s="145"/>
      <c r="E393" s="307"/>
    </row>
    <row r="394" spans="1:5" ht="31" thickBot="1" x14ac:dyDescent="0.25">
      <c r="A394" s="576" t="s">
        <v>2034</v>
      </c>
      <c r="B394" s="187">
        <v>505800</v>
      </c>
      <c r="C394" s="187"/>
      <c r="D394" s="145"/>
      <c r="E394" s="307"/>
    </row>
    <row r="395" spans="1:5" ht="23" customHeight="1" thickBot="1" x14ac:dyDescent="0.25">
      <c r="A395" s="575" t="s">
        <v>2035</v>
      </c>
      <c r="B395" s="187">
        <v>991356</v>
      </c>
      <c r="C395" s="187">
        <v>462</v>
      </c>
      <c r="D395" s="187">
        <v>991356</v>
      </c>
      <c r="E395" s="444">
        <v>462</v>
      </c>
    </row>
    <row r="396" spans="1:5" ht="23" customHeight="1" thickBot="1" x14ac:dyDescent="0.25">
      <c r="A396" s="575"/>
      <c r="B396" s="145"/>
      <c r="C396" s="145"/>
      <c r="D396" s="577">
        <f>+B385+B386+B387+B388+B389+B390+B391+B392+B393</f>
        <v>990847</v>
      </c>
      <c r="E396" s="577">
        <f>+C385+C386+C387+C388+C389+C390+C391+C392+C393</f>
        <v>3662</v>
      </c>
    </row>
    <row r="397" spans="1:5" ht="20.5" customHeight="1" thickBot="1" x14ac:dyDescent="0.25">
      <c r="A397" s="575" t="s">
        <v>2036</v>
      </c>
      <c r="B397" s="145"/>
      <c r="C397" s="145"/>
      <c r="D397" s="448">
        <v>2009605</v>
      </c>
      <c r="E397" s="449">
        <v>938</v>
      </c>
    </row>
    <row r="398" spans="1:5" ht="20.5" customHeight="1" x14ac:dyDescent="0.2">
      <c r="A398" s="575"/>
      <c r="B398" s="145"/>
      <c r="C398" s="145"/>
      <c r="D398" s="492">
        <f>+D395+D382</f>
        <v>2009605</v>
      </c>
      <c r="E398" s="492">
        <f>+E396+E382</f>
        <v>4138</v>
      </c>
    </row>
    <row r="399" spans="1:5" ht="24" x14ac:dyDescent="0.2">
      <c r="A399" s="578" t="s">
        <v>2037</v>
      </c>
      <c r="B399" s="579"/>
      <c r="C399" s="579"/>
      <c r="D399" s="579"/>
      <c r="E399" s="580"/>
    </row>
    <row r="400" spans="1:5" ht="30.5" customHeight="1" x14ac:dyDescent="0.2">
      <c r="A400" s="566" t="s">
        <v>2038</v>
      </c>
      <c r="B400" s="567"/>
      <c r="C400" s="567"/>
      <c r="D400" s="567"/>
      <c r="E400" s="568"/>
    </row>
    <row r="401" spans="1:5" x14ac:dyDescent="0.2">
      <c r="A401" s="581" t="s">
        <v>2039</v>
      </c>
      <c r="B401" s="582"/>
      <c r="C401" s="582"/>
      <c r="D401" s="582"/>
      <c r="E401" s="583"/>
    </row>
    <row r="402" spans="1:5" x14ac:dyDescent="0.2">
      <c r="A402" s="480" t="s">
        <v>2040</v>
      </c>
      <c r="B402" s="481"/>
      <c r="C402" s="481"/>
      <c r="D402" s="145">
        <v>744</v>
      </c>
      <c r="E402" s="307">
        <v>100</v>
      </c>
    </row>
    <row r="403" spans="1:5" x14ac:dyDescent="0.2">
      <c r="A403" s="480" t="s">
        <v>2041</v>
      </c>
      <c r="B403" s="481"/>
      <c r="C403" s="481"/>
      <c r="D403" s="145">
        <v>1563</v>
      </c>
      <c r="E403" s="307">
        <v>516</v>
      </c>
    </row>
    <row r="404" spans="1:5" x14ac:dyDescent="0.2">
      <c r="A404" s="480" t="s">
        <v>2042</v>
      </c>
      <c r="B404" s="481"/>
      <c r="C404" s="481"/>
      <c r="D404" s="145">
        <v>144</v>
      </c>
      <c r="E404" s="307"/>
    </row>
    <row r="405" spans="1:5" x14ac:dyDescent="0.2">
      <c r="A405" s="480" t="s">
        <v>2043</v>
      </c>
      <c r="B405" s="481"/>
      <c r="C405" s="481"/>
      <c r="D405" s="145">
        <v>1992</v>
      </c>
      <c r="E405" s="307">
        <v>200</v>
      </c>
    </row>
    <row r="406" spans="1:5" x14ac:dyDescent="0.2">
      <c r="A406" s="480" t="s">
        <v>2044</v>
      </c>
      <c r="B406" s="481"/>
      <c r="C406" s="481"/>
      <c r="D406" s="145">
        <v>725</v>
      </c>
      <c r="E406" s="307">
        <v>825</v>
      </c>
    </row>
    <row r="407" spans="1:5" x14ac:dyDescent="0.2">
      <c r="A407" s="480" t="s">
        <v>2045</v>
      </c>
      <c r="B407" s="481"/>
      <c r="C407" s="481"/>
      <c r="D407" s="145">
        <v>11393</v>
      </c>
      <c r="E407" s="307">
        <v>698</v>
      </c>
    </row>
    <row r="408" spans="1:5" x14ac:dyDescent="0.2">
      <c r="A408" s="480" t="s">
        <v>2046</v>
      </c>
      <c r="B408" s="481"/>
      <c r="C408" s="481"/>
      <c r="D408" s="145">
        <v>1120</v>
      </c>
      <c r="E408" s="307">
        <v>375</v>
      </c>
    </row>
    <row r="409" spans="1:5" x14ac:dyDescent="0.2">
      <c r="A409" s="480" t="s">
        <v>2047</v>
      </c>
      <c r="B409" s="481"/>
      <c r="C409" s="481"/>
      <c r="D409" s="145">
        <v>1871</v>
      </c>
      <c r="E409" s="307">
        <v>450</v>
      </c>
    </row>
    <row r="410" spans="1:5" x14ac:dyDescent="0.2">
      <c r="A410" s="480" t="s">
        <v>2048</v>
      </c>
      <c r="B410" s="481"/>
      <c r="C410" s="481"/>
      <c r="D410" s="145">
        <v>1924</v>
      </c>
      <c r="E410" s="307">
        <v>784</v>
      </c>
    </row>
    <row r="411" spans="1:5" x14ac:dyDescent="0.2">
      <c r="A411" s="480" t="s">
        <v>2049</v>
      </c>
      <c r="B411" s="481"/>
      <c r="C411" s="481"/>
      <c r="D411" s="145">
        <v>598</v>
      </c>
      <c r="E411" s="307">
        <v>850</v>
      </c>
    </row>
    <row r="412" spans="1:5" x14ac:dyDescent="0.2">
      <c r="A412" s="480" t="s">
        <v>2050</v>
      </c>
      <c r="B412" s="481"/>
      <c r="C412" s="481"/>
      <c r="D412" s="141">
        <v>5654</v>
      </c>
      <c r="E412" s="395">
        <v>842</v>
      </c>
    </row>
    <row r="413" spans="1:5" ht="16" thickBot="1" x14ac:dyDescent="0.25">
      <c r="A413" s="480" t="s">
        <v>2051</v>
      </c>
      <c r="B413" s="481"/>
      <c r="C413" s="481"/>
      <c r="D413" s="187">
        <v>3151</v>
      </c>
      <c r="E413" s="444">
        <v>500</v>
      </c>
    </row>
    <row r="414" spans="1:5" x14ac:dyDescent="0.2">
      <c r="A414" s="479"/>
      <c r="B414" s="565"/>
      <c r="C414" s="565"/>
      <c r="D414" s="145">
        <v>30885</v>
      </c>
      <c r="E414" s="307">
        <v>140</v>
      </c>
    </row>
    <row r="415" spans="1:5" x14ac:dyDescent="0.2">
      <c r="A415" s="479"/>
      <c r="B415" s="565"/>
      <c r="C415" s="565"/>
      <c r="D415" s="138">
        <f>+SUM(D402:D413)</f>
        <v>30879</v>
      </c>
      <c r="E415" s="138">
        <f>+SUM(E402:E413)</f>
        <v>6140</v>
      </c>
    </row>
    <row r="416" spans="1:5" ht="30" customHeight="1" x14ac:dyDescent="0.2">
      <c r="A416" s="566" t="s">
        <v>2052</v>
      </c>
      <c r="B416" s="567"/>
      <c r="C416" s="567"/>
      <c r="D416" s="567"/>
      <c r="E416" s="568"/>
    </row>
    <row r="417" spans="1:5" x14ac:dyDescent="0.2">
      <c r="A417" s="581" t="s">
        <v>2039</v>
      </c>
      <c r="B417" s="582"/>
      <c r="C417" s="582"/>
      <c r="D417" s="582"/>
      <c r="E417" s="583"/>
    </row>
    <row r="418" spans="1:5" x14ac:dyDescent="0.2">
      <c r="A418" s="131" t="s">
        <v>2040</v>
      </c>
      <c r="B418" s="145">
        <v>16240</v>
      </c>
      <c r="C418" s="145">
        <v>587</v>
      </c>
      <c r="D418" s="145"/>
      <c r="E418" s="307"/>
    </row>
    <row r="419" spans="1:5" x14ac:dyDescent="0.2">
      <c r="A419" s="131" t="s">
        <v>2041</v>
      </c>
      <c r="B419" s="145">
        <v>1633</v>
      </c>
      <c r="C419" s="145">
        <v>713</v>
      </c>
      <c r="D419" s="145"/>
      <c r="E419" s="307"/>
    </row>
    <row r="420" spans="1:5" x14ac:dyDescent="0.2">
      <c r="A420" s="131" t="s">
        <v>2043</v>
      </c>
      <c r="B420" s="145">
        <v>20894</v>
      </c>
      <c r="C420" s="145">
        <v>649</v>
      </c>
      <c r="D420" s="145"/>
      <c r="E420" s="307"/>
    </row>
    <row r="421" spans="1:5" x14ac:dyDescent="0.2">
      <c r="A421" s="131" t="s">
        <v>2044</v>
      </c>
      <c r="B421" s="145">
        <v>39</v>
      </c>
      <c r="C421" s="145">
        <v>272</v>
      </c>
      <c r="D421" s="145"/>
      <c r="E421" s="307"/>
    </row>
    <row r="422" spans="1:5" x14ac:dyDescent="0.2">
      <c r="A422" s="131" t="s">
        <v>2045</v>
      </c>
      <c r="B422" s="145">
        <v>306</v>
      </c>
      <c r="C422" s="145">
        <v>60</v>
      </c>
      <c r="D422" s="145"/>
      <c r="E422" s="307"/>
    </row>
    <row r="423" spans="1:5" x14ac:dyDescent="0.2">
      <c r="A423" s="131" t="s">
        <v>2046</v>
      </c>
      <c r="B423" s="145">
        <v>653</v>
      </c>
      <c r="C423" s="145">
        <v>502</v>
      </c>
      <c r="D423" s="145"/>
      <c r="E423" s="307"/>
    </row>
    <row r="424" spans="1:5" x14ac:dyDescent="0.2">
      <c r="A424" s="131" t="s">
        <v>2053</v>
      </c>
      <c r="B424" s="145">
        <v>48</v>
      </c>
      <c r="C424" s="145"/>
      <c r="D424" s="145"/>
      <c r="E424" s="307"/>
    </row>
    <row r="425" spans="1:5" x14ac:dyDescent="0.2">
      <c r="A425" s="131" t="s">
        <v>2047</v>
      </c>
      <c r="B425" s="145">
        <v>7175</v>
      </c>
      <c r="C425" s="145">
        <v>191</v>
      </c>
      <c r="D425" s="145"/>
      <c r="E425" s="307"/>
    </row>
    <row r="426" spans="1:5" x14ac:dyDescent="0.2">
      <c r="A426" s="131" t="s">
        <v>2048</v>
      </c>
      <c r="B426" s="145">
        <v>12463</v>
      </c>
      <c r="C426" s="145">
        <v>942</v>
      </c>
      <c r="D426" s="145"/>
      <c r="E426" s="307"/>
    </row>
    <row r="427" spans="1:5" x14ac:dyDescent="0.2">
      <c r="A427" s="131" t="s">
        <v>2049</v>
      </c>
      <c r="B427" s="145">
        <v>1052</v>
      </c>
      <c r="C427" s="145">
        <v>105</v>
      </c>
      <c r="D427" s="145"/>
      <c r="E427" s="307"/>
    </row>
    <row r="428" spans="1:5" x14ac:dyDescent="0.2">
      <c r="A428" s="131" t="s">
        <v>2050</v>
      </c>
      <c r="B428" s="145">
        <v>9812</v>
      </c>
      <c r="C428" s="145">
        <v>315</v>
      </c>
      <c r="D428" s="145"/>
      <c r="E428" s="307"/>
    </row>
    <row r="429" spans="1:5" ht="16" thickBot="1" x14ac:dyDescent="0.25">
      <c r="A429" s="131" t="s">
        <v>2051</v>
      </c>
      <c r="B429" s="187">
        <v>1119</v>
      </c>
      <c r="C429" s="187">
        <v>876</v>
      </c>
      <c r="D429" s="145">
        <v>71439</v>
      </c>
      <c r="E429" s="307">
        <v>213</v>
      </c>
    </row>
    <row r="430" spans="1:5" x14ac:dyDescent="0.2">
      <c r="A430" s="131"/>
      <c r="B430" s="145"/>
      <c r="C430" s="145"/>
      <c r="D430" s="138">
        <f>+SUM(B418:B429)</f>
        <v>71434</v>
      </c>
      <c r="E430" s="413">
        <f>+SUM(C418:C429)</f>
        <v>5212</v>
      </c>
    </row>
    <row r="431" spans="1:5" ht="29" customHeight="1" x14ac:dyDescent="0.2">
      <c r="A431" s="566" t="s">
        <v>2054</v>
      </c>
      <c r="B431" s="567"/>
      <c r="C431" s="567"/>
      <c r="D431" s="567"/>
      <c r="E431" s="568"/>
    </row>
    <row r="432" spans="1:5" x14ac:dyDescent="0.2">
      <c r="A432" s="131" t="s">
        <v>2040</v>
      </c>
      <c r="B432" s="145">
        <v>81953</v>
      </c>
      <c r="C432" s="145">
        <v>103</v>
      </c>
      <c r="D432" s="145"/>
      <c r="E432" s="307"/>
    </row>
    <row r="433" spans="1:5" x14ac:dyDescent="0.2">
      <c r="A433" s="131" t="s">
        <v>2041</v>
      </c>
      <c r="B433" s="145">
        <v>1683</v>
      </c>
      <c r="C433" s="145">
        <v>865</v>
      </c>
      <c r="D433" s="145"/>
      <c r="E433" s="307"/>
    </row>
    <row r="434" spans="1:5" x14ac:dyDescent="0.2">
      <c r="A434" s="131" t="s">
        <v>2042</v>
      </c>
      <c r="B434" s="145">
        <v>211</v>
      </c>
      <c r="C434" s="145">
        <v>466</v>
      </c>
      <c r="D434" s="145"/>
      <c r="E434" s="307"/>
    </row>
    <row r="435" spans="1:5" x14ac:dyDescent="0.2">
      <c r="A435" s="131" t="s">
        <v>2043</v>
      </c>
      <c r="B435" s="145">
        <v>764</v>
      </c>
      <c r="C435" s="145">
        <v>645</v>
      </c>
      <c r="D435" s="145"/>
      <c r="E435" s="307"/>
    </row>
    <row r="436" spans="1:5" x14ac:dyDescent="0.2">
      <c r="A436" s="131" t="s">
        <v>2044</v>
      </c>
      <c r="B436" s="145">
        <v>138</v>
      </c>
      <c r="C436" s="145">
        <v>888</v>
      </c>
      <c r="D436" s="145"/>
      <c r="E436" s="307"/>
    </row>
    <row r="437" spans="1:5" x14ac:dyDescent="0.2">
      <c r="A437" s="131" t="s">
        <v>2045</v>
      </c>
      <c r="B437" s="145">
        <v>2714</v>
      </c>
      <c r="C437" s="145">
        <v>458</v>
      </c>
      <c r="D437" s="145"/>
      <c r="E437" s="307"/>
    </row>
    <row r="438" spans="1:5" x14ac:dyDescent="0.2">
      <c r="A438" s="131" t="s">
        <v>2055</v>
      </c>
      <c r="B438" s="145">
        <v>20</v>
      </c>
      <c r="C438" s="145">
        <v>625</v>
      </c>
      <c r="D438" s="145"/>
      <c r="E438" s="307"/>
    </row>
    <row r="439" spans="1:5" x14ac:dyDescent="0.2">
      <c r="A439" s="131" t="s">
        <v>2046</v>
      </c>
      <c r="B439" s="145">
        <v>10790</v>
      </c>
      <c r="C439" s="145">
        <v>277</v>
      </c>
      <c r="D439" s="145"/>
      <c r="E439" s="307"/>
    </row>
    <row r="440" spans="1:5" x14ac:dyDescent="0.2">
      <c r="A440" s="131" t="s">
        <v>2047</v>
      </c>
      <c r="B440" s="145">
        <v>1449</v>
      </c>
      <c r="C440" s="145">
        <v>996</v>
      </c>
      <c r="D440" s="145"/>
      <c r="E440" s="307"/>
    </row>
    <row r="441" spans="1:5" x14ac:dyDescent="0.2">
      <c r="A441" s="131" t="s">
        <v>2048</v>
      </c>
      <c r="B441" s="145">
        <v>12020</v>
      </c>
      <c r="C441" s="145">
        <v>63</v>
      </c>
      <c r="D441" s="145"/>
      <c r="E441" s="307"/>
    </row>
    <row r="442" spans="1:5" x14ac:dyDescent="0.2">
      <c r="A442" s="131" t="s">
        <v>2049</v>
      </c>
      <c r="B442" s="145">
        <v>7812</v>
      </c>
      <c r="C442" s="145">
        <v>451</v>
      </c>
      <c r="D442" s="145"/>
      <c r="E442" s="307"/>
    </row>
    <row r="443" spans="1:5" ht="16" thickBot="1" x14ac:dyDescent="0.25">
      <c r="A443" s="131" t="s">
        <v>2050</v>
      </c>
      <c r="B443" s="187">
        <v>9668</v>
      </c>
      <c r="C443" s="187">
        <v>659</v>
      </c>
      <c r="D443" s="145">
        <v>129228</v>
      </c>
      <c r="E443" s="307">
        <v>496</v>
      </c>
    </row>
    <row r="444" spans="1:5" x14ac:dyDescent="0.2">
      <c r="A444" s="131"/>
      <c r="B444" s="145"/>
      <c r="C444" s="145"/>
      <c r="D444" s="138">
        <f>+SUM(B432:B443)</f>
        <v>129222</v>
      </c>
      <c r="E444" s="138">
        <f>+SUM(C432:C443)</f>
        <v>6496</v>
      </c>
    </row>
    <row r="445" spans="1:5" ht="29" customHeight="1" x14ac:dyDescent="0.2">
      <c r="A445" s="566" t="s">
        <v>2056</v>
      </c>
      <c r="B445" s="567"/>
      <c r="C445" s="567"/>
      <c r="D445" s="567"/>
      <c r="E445" s="568"/>
    </row>
    <row r="446" spans="1:5" x14ac:dyDescent="0.2">
      <c r="A446" s="131" t="s">
        <v>2040</v>
      </c>
      <c r="B446" s="145">
        <v>230364</v>
      </c>
      <c r="C446" s="145">
        <v>375</v>
      </c>
      <c r="D446" s="145"/>
      <c r="E446" s="307"/>
    </row>
    <row r="447" spans="1:5" x14ac:dyDescent="0.2">
      <c r="A447" s="131" t="s">
        <v>2041</v>
      </c>
      <c r="B447" s="145">
        <v>21177</v>
      </c>
      <c r="C447" s="145">
        <v>587</v>
      </c>
      <c r="D447" s="145"/>
      <c r="E447" s="307"/>
    </row>
    <row r="448" spans="1:5" x14ac:dyDescent="0.2">
      <c r="A448" s="131" t="s">
        <v>2042</v>
      </c>
      <c r="B448" s="145">
        <v>9152</v>
      </c>
      <c r="C448" s="145">
        <v>872</v>
      </c>
      <c r="D448" s="145"/>
      <c r="E448" s="307"/>
    </row>
    <row r="449" spans="1:5" x14ac:dyDescent="0.2">
      <c r="A449" s="131" t="s">
        <v>2043</v>
      </c>
      <c r="B449" s="145">
        <v>486</v>
      </c>
      <c r="C449" s="145">
        <v>586</v>
      </c>
      <c r="D449" s="145"/>
      <c r="E449" s="307"/>
    </row>
    <row r="450" spans="1:5" x14ac:dyDescent="0.2">
      <c r="A450" s="131" t="s">
        <v>2044</v>
      </c>
      <c r="B450" s="145">
        <v>18433</v>
      </c>
      <c r="C450" s="145">
        <v>491</v>
      </c>
      <c r="D450" s="145"/>
      <c r="E450" s="307"/>
    </row>
    <row r="451" spans="1:5" x14ac:dyDescent="0.2">
      <c r="A451" s="131" t="s">
        <v>2045</v>
      </c>
      <c r="B451" s="145">
        <v>97087</v>
      </c>
      <c r="C451" s="145">
        <v>535</v>
      </c>
      <c r="D451" s="145"/>
      <c r="E451" s="307"/>
    </row>
    <row r="452" spans="1:5" x14ac:dyDescent="0.2">
      <c r="A452" s="131" t="s">
        <v>2055</v>
      </c>
      <c r="B452" s="145">
        <v>2218</v>
      </c>
      <c r="C452" s="145">
        <v>840</v>
      </c>
      <c r="D452" s="145"/>
      <c r="E452" s="307"/>
    </row>
    <row r="453" spans="1:5" x14ac:dyDescent="0.2">
      <c r="A453" s="131" t="s">
        <v>2046</v>
      </c>
      <c r="B453" s="145">
        <v>38894</v>
      </c>
      <c r="C453" s="145">
        <v>483</v>
      </c>
      <c r="D453" s="145"/>
      <c r="E453" s="307"/>
    </row>
    <row r="454" spans="1:5" x14ac:dyDescent="0.2">
      <c r="A454" s="131" t="s">
        <v>2053</v>
      </c>
      <c r="B454" s="145">
        <v>968</v>
      </c>
      <c r="C454" s="145">
        <v>740</v>
      </c>
      <c r="D454" s="145"/>
      <c r="E454" s="307"/>
    </row>
    <row r="455" spans="1:5" x14ac:dyDescent="0.2">
      <c r="A455" s="131" t="s">
        <v>2047</v>
      </c>
      <c r="B455" s="145">
        <v>16777</v>
      </c>
      <c r="C455" s="145">
        <v>771</v>
      </c>
      <c r="D455" s="145"/>
      <c r="E455" s="307"/>
    </row>
    <row r="456" spans="1:5" x14ac:dyDescent="0.2">
      <c r="A456" s="131" t="s">
        <v>2048</v>
      </c>
      <c r="B456" s="145">
        <v>50327</v>
      </c>
      <c r="C456" s="145">
        <v>41</v>
      </c>
      <c r="D456" s="145"/>
      <c r="E456" s="307"/>
    </row>
    <row r="457" spans="1:5" x14ac:dyDescent="0.2">
      <c r="A457" s="131" t="s">
        <v>2049</v>
      </c>
      <c r="B457" s="145">
        <v>35638</v>
      </c>
      <c r="C457" s="145">
        <v>937</v>
      </c>
      <c r="D457" s="145"/>
      <c r="E457" s="307"/>
    </row>
    <row r="458" spans="1:5" ht="16" thickBot="1" x14ac:dyDescent="0.25">
      <c r="A458" s="131" t="s">
        <v>2050</v>
      </c>
      <c r="B458" s="187">
        <v>143507</v>
      </c>
      <c r="C458" s="187">
        <v>975</v>
      </c>
      <c r="D458" s="187">
        <v>665036</v>
      </c>
      <c r="E458" s="444">
        <v>233</v>
      </c>
    </row>
    <row r="459" spans="1:5" x14ac:dyDescent="0.2">
      <c r="A459" s="131"/>
      <c r="B459" s="145"/>
      <c r="C459" s="145"/>
      <c r="D459" s="138">
        <f>+SUM(B446:B458)</f>
        <v>665028</v>
      </c>
      <c r="E459" s="138">
        <f>+SUM(C446:C458)</f>
        <v>8233</v>
      </c>
    </row>
    <row r="460" spans="1:5" x14ac:dyDescent="0.2">
      <c r="A460" s="480" t="s">
        <v>2057</v>
      </c>
      <c r="B460" s="481"/>
      <c r="C460" s="481"/>
      <c r="D460" s="145">
        <v>896589</v>
      </c>
      <c r="E460" s="307">
        <v>81</v>
      </c>
    </row>
    <row r="461" spans="1:5" x14ac:dyDescent="0.2">
      <c r="A461" s="131" t="s">
        <v>2058</v>
      </c>
      <c r="B461" s="145">
        <v>147260</v>
      </c>
      <c r="C461" s="145">
        <v>642</v>
      </c>
      <c r="D461" s="145"/>
      <c r="E461" s="307"/>
    </row>
    <row r="462" spans="1:5" x14ac:dyDescent="0.2">
      <c r="A462" s="131" t="s">
        <v>2059</v>
      </c>
      <c r="B462" s="145">
        <v>206</v>
      </c>
      <c r="C462" s="145">
        <v>256</v>
      </c>
      <c r="D462" s="145"/>
      <c r="E462" s="307"/>
    </row>
    <row r="463" spans="1:5" x14ac:dyDescent="0.2">
      <c r="A463" s="131" t="s">
        <v>2060</v>
      </c>
      <c r="B463" s="145">
        <v>110501</v>
      </c>
      <c r="C463" s="145">
        <v>162</v>
      </c>
      <c r="D463" s="145"/>
      <c r="E463" s="307"/>
    </row>
    <row r="464" spans="1:5" x14ac:dyDescent="0.2">
      <c r="A464" s="131" t="s">
        <v>2061</v>
      </c>
      <c r="B464" s="145">
        <v>396768</v>
      </c>
      <c r="C464" s="145">
        <v>658</v>
      </c>
      <c r="D464" s="145"/>
      <c r="E464" s="307"/>
    </row>
    <row r="465" spans="1:5" ht="16" thickBot="1" x14ac:dyDescent="0.25">
      <c r="A465" s="131" t="s">
        <v>2062</v>
      </c>
      <c r="B465" s="187">
        <v>32300</v>
      </c>
      <c r="C465" s="187">
        <v>322</v>
      </c>
      <c r="D465" s="145"/>
      <c r="E465" s="307"/>
    </row>
    <row r="466" spans="1:5" ht="31" thickBot="1" x14ac:dyDescent="0.25">
      <c r="A466" s="539" t="s">
        <v>2063</v>
      </c>
      <c r="B466" s="187">
        <v>687037</v>
      </c>
      <c r="C466" s="187">
        <v>40</v>
      </c>
      <c r="D466" s="187">
        <v>687037</v>
      </c>
      <c r="E466" s="444">
        <v>40</v>
      </c>
    </row>
    <row r="467" spans="1:5" ht="16" thickBot="1" x14ac:dyDescent="0.25">
      <c r="A467" s="539"/>
      <c r="B467" s="145"/>
      <c r="C467" s="145"/>
      <c r="D467" s="584">
        <f>+SUM(B461:B465)</f>
        <v>687035</v>
      </c>
      <c r="E467" s="584">
        <f>+SUM(C461:C465)</f>
        <v>2040</v>
      </c>
    </row>
    <row r="468" spans="1:5" ht="25.25" customHeight="1" thickBot="1" x14ac:dyDescent="0.25">
      <c r="A468" s="131" t="s">
        <v>2064</v>
      </c>
      <c r="B468" s="145"/>
      <c r="C468" s="145"/>
      <c r="D468" s="448">
        <v>1583626</v>
      </c>
      <c r="E468" s="449">
        <v>121</v>
      </c>
    </row>
    <row r="469" spans="1:5" ht="25.25" customHeight="1" x14ac:dyDescent="0.2">
      <c r="A469" s="131"/>
      <c r="B469" s="145"/>
      <c r="C469" s="145"/>
      <c r="D469" s="138">
        <f>+D460+D466</f>
        <v>1583626</v>
      </c>
      <c r="E469" s="138">
        <f>+E460+E466</f>
        <v>121</v>
      </c>
    </row>
    <row r="470" spans="1:5" ht="22.25" customHeight="1" x14ac:dyDescent="0.2">
      <c r="A470" s="494" t="s">
        <v>2065</v>
      </c>
      <c r="B470" s="495"/>
      <c r="C470" s="495"/>
      <c r="D470" s="495"/>
      <c r="E470" s="550"/>
    </row>
    <row r="471" spans="1:5" x14ac:dyDescent="0.2">
      <c r="A471" s="140" t="s">
        <v>2036</v>
      </c>
      <c r="B471" s="145"/>
      <c r="C471" s="145"/>
      <c r="D471" s="145">
        <v>2009605</v>
      </c>
      <c r="E471" s="307">
        <v>938</v>
      </c>
    </row>
    <row r="472" spans="1:5" ht="16" thickBot="1" x14ac:dyDescent="0.25">
      <c r="A472" s="140" t="s">
        <v>2066</v>
      </c>
      <c r="B472" s="145"/>
      <c r="C472" s="145"/>
      <c r="D472" s="187">
        <v>1583626</v>
      </c>
      <c r="E472" s="444">
        <v>121</v>
      </c>
    </row>
    <row r="473" spans="1:5" ht="23.5" customHeight="1" thickBot="1" x14ac:dyDescent="0.25">
      <c r="A473" s="140" t="s">
        <v>2067</v>
      </c>
      <c r="B473" s="145"/>
      <c r="C473" s="145"/>
      <c r="D473" s="448">
        <v>425979</v>
      </c>
      <c r="E473" s="449">
        <v>817</v>
      </c>
    </row>
    <row r="474" spans="1:5" ht="23.5" customHeight="1" x14ac:dyDescent="0.2">
      <c r="A474" s="140"/>
      <c r="B474" s="145"/>
      <c r="C474" s="145"/>
      <c r="D474" s="138">
        <f>+D471-D472</f>
        <v>425979</v>
      </c>
      <c r="E474" s="138">
        <f>+E471-E472</f>
        <v>817</v>
      </c>
    </row>
    <row r="475" spans="1:5" ht="29" customHeight="1" x14ac:dyDescent="0.2">
      <c r="A475" s="585" t="s">
        <v>2068</v>
      </c>
      <c r="B475" s="586"/>
      <c r="C475" s="586"/>
      <c r="D475" s="586"/>
      <c r="E475" s="587"/>
    </row>
    <row r="476" spans="1:5" x14ac:dyDescent="0.2">
      <c r="A476" s="588" t="s">
        <v>2069</v>
      </c>
      <c r="B476" s="589"/>
      <c r="C476" s="589"/>
      <c r="D476" s="145">
        <v>24852</v>
      </c>
      <c r="E476" s="307">
        <v>362</v>
      </c>
    </row>
    <row r="477" spans="1:5" ht="16" thickBot="1" x14ac:dyDescent="0.25">
      <c r="A477" s="588" t="s">
        <v>2070</v>
      </c>
      <c r="B477" s="589"/>
      <c r="C477" s="589"/>
      <c r="D477" s="187">
        <v>420129</v>
      </c>
      <c r="E477" s="444">
        <v>749</v>
      </c>
    </row>
    <row r="478" spans="1:5" x14ac:dyDescent="0.2">
      <c r="A478" s="131" t="s">
        <v>2071</v>
      </c>
      <c r="B478" s="145"/>
      <c r="C478" s="145"/>
      <c r="D478" s="145">
        <v>395277</v>
      </c>
      <c r="E478" s="307">
        <v>387</v>
      </c>
    </row>
    <row r="479" spans="1:5" ht="30.5" customHeight="1" thickBot="1" x14ac:dyDescent="0.25">
      <c r="A479" s="516" t="s">
        <v>2072</v>
      </c>
      <c r="B479" s="517"/>
      <c r="C479" s="517"/>
      <c r="D479" s="187">
        <v>1300026</v>
      </c>
      <c r="E479" s="444">
        <v>575</v>
      </c>
    </row>
    <row r="480" spans="1:5" x14ac:dyDescent="0.2">
      <c r="A480" s="131"/>
      <c r="B480" s="145"/>
      <c r="C480" s="145"/>
      <c r="D480" s="145">
        <v>1695303</v>
      </c>
      <c r="E480" s="307">
        <v>962</v>
      </c>
    </row>
    <row r="481" spans="1:5" x14ac:dyDescent="0.2">
      <c r="A481" s="131" t="s">
        <v>2073</v>
      </c>
      <c r="B481" s="145"/>
      <c r="C481" s="145"/>
      <c r="D481" s="145"/>
      <c r="E481" s="307"/>
    </row>
    <row r="482" spans="1:5" ht="30" x14ac:dyDescent="0.2">
      <c r="A482" s="539" t="s">
        <v>2074</v>
      </c>
      <c r="B482" s="145">
        <v>1053781</v>
      </c>
      <c r="C482" s="145">
        <v>718</v>
      </c>
      <c r="D482" s="145"/>
      <c r="E482" s="307"/>
    </row>
    <row r="483" spans="1:5" ht="31" thickBot="1" x14ac:dyDescent="0.25">
      <c r="A483" s="539" t="s">
        <v>2075</v>
      </c>
      <c r="B483" s="187">
        <v>215542</v>
      </c>
      <c r="C483" s="187">
        <v>427</v>
      </c>
      <c r="D483" s="187">
        <v>1269324</v>
      </c>
      <c r="E483" s="444">
        <v>145</v>
      </c>
    </row>
    <row r="484" spans="1:5" ht="23" customHeight="1" thickBot="1" x14ac:dyDescent="0.25">
      <c r="A484" s="230" t="s">
        <v>2076</v>
      </c>
      <c r="B484" s="309"/>
      <c r="C484" s="309"/>
      <c r="D484" s="448">
        <v>425979</v>
      </c>
      <c r="E484" s="449">
        <v>817</v>
      </c>
    </row>
    <row r="485" spans="1:5" x14ac:dyDescent="0.2">
      <c r="D485" s="321">
        <f>+D480-D483</f>
        <v>425979</v>
      </c>
      <c r="E485" s="321">
        <f>+E480-E483</f>
        <v>817</v>
      </c>
    </row>
    <row r="488" spans="1:5" x14ac:dyDescent="0.2">
      <c r="A488" s="113" t="s">
        <v>2077</v>
      </c>
    </row>
    <row r="489" spans="1:5" ht="42.5" customHeight="1" x14ac:dyDescent="0.25">
      <c r="A489" s="590" t="s">
        <v>2078</v>
      </c>
      <c r="B489" s="591"/>
      <c r="C489" s="592"/>
    </row>
    <row r="490" spans="1:5" ht="28.25" customHeight="1" x14ac:dyDescent="0.2">
      <c r="A490" s="117" t="s">
        <v>2079</v>
      </c>
      <c r="B490" s="118"/>
      <c r="C490" s="119"/>
      <c r="D490" s="593"/>
      <c r="E490" s="594"/>
    </row>
    <row r="491" spans="1:5" x14ac:dyDescent="0.2">
      <c r="A491" s="131" t="s">
        <v>1177</v>
      </c>
      <c r="B491" s="145">
        <v>1221079</v>
      </c>
      <c r="C491" s="307">
        <v>549</v>
      </c>
    </row>
    <row r="492" spans="1:5" x14ac:dyDescent="0.2">
      <c r="A492" s="131" t="s">
        <v>1569</v>
      </c>
      <c r="B492" s="145">
        <v>482993</v>
      </c>
      <c r="C492" s="307">
        <v>307</v>
      </c>
    </row>
    <row r="493" spans="1:5" x14ac:dyDescent="0.2">
      <c r="A493" s="131" t="s">
        <v>1175</v>
      </c>
      <c r="B493" s="145">
        <v>124082</v>
      </c>
      <c r="C493" s="307">
        <v>659</v>
      </c>
    </row>
    <row r="494" spans="1:5" x14ac:dyDescent="0.2">
      <c r="A494" s="131" t="s">
        <v>1401</v>
      </c>
      <c r="B494" s="145">
        <v>80252</v>
      </c>
      <c r="C494" s="307">
        <v>461</v>
      </c>
    </row>
    <row r="495" spans="1:5" x14ac:dyDescent="0.2">
      <c r="A495" s="131" t="s">
        <v>1808</v>
      </c>
      <c r="B495" s="145">
        <v>17067</v>
      </c>
      <c r="C495" s="307">
        <v>606</v>
      </c>
    </row>
    <row r="496" spans="1:5" x14ac:dyDescent="0.2">
      <c r="A496" s="131" t="s">
        <v>1809</v>
      </c>
      <c r="B496" s="145">
        <v>2339</v>
      </c>
      <c r="C496" s="307">
        <v>226</v>
      </c>
    </row>
    <row r="497" spans="1:3" x14ac:dyDescent="0.2">
      <c r="A497" s="131" t="s">
        <v>2020</v>
      </c>
      <c r="B497" s="145">
        <v>10072</v>
      </c>
      <c r="C497" s="307">
        <v>165</v>
      </c>
    </row>
    <row r="498" spans="1:3" x14ac:dyDescent="0.2">
      <c r="A498" s="131" t="s">
        <v>1421</v>
      </c>
      <c r="B498" s="145">
        <v>74920</v>
      </c>
      <c r="C498" s="307">
        <v>511</v>
      </c>
    </row>
    <row r="499" spans="1:3" x14ac:dyDescent="0.2">
      <c r="A499" s="131" t="s">
        <v>1392</v>
      </c>
      <c r="B499" s="145">
        <v>458</v>
      </c>
      <c r="C499" s="307">
        <v>270</v>
      </c>
    </row>
    <row r="500" spans="1:3" x14ac:dyDescent="0.2">
      <c r="A500" s="131" t="s">
        <v>1810</v>
      </c>
      <c r="B500" s="145">
        <v>236427</v>
      </c>
      <c r="C500" s="307">
        <v>477</v>
      </c>
    </row>
    <row r="501" spans="1:3" x14ac:dyDescent="0.2">
      <c r="A501" s="131" t="s">
        <v>1377</v>
      </c>
      <c r="B501" s="145">
        <v>170141</v>
      </c>
      <c r="C501" s="307">
        <v>86</v>
      </c>
    </row>
    <row r="502" spans="1:3" x14ac:dyDescent="0.2">
      <c r="A502" s="131" t="s">
        <v>1174</v>
      </c>
      <c r="B502" s="145">
        <v>687950</v>
      </c>
      <c r="C502" s="307">
        <v>379</v>
      </c>
    </row>
    <row r="503" spans="1:3" x14ac:dyDescent="0.2">
      <c r="A503" s="131" t="s">
        <v>1923</v>
      </c>
      <c r="B503" s="145">
        <v>3582</v>
      </c>
      <c r="C503" s="307">
        <v>15</v>
      </c>
    </row>
    <row r="504" spans="1:3" x14ac:dyDescent="0.2">
      <c r="A504" s="131" t="s">
        <v>1811</v>
      </c>
      <c r="B504" s="145">
        <v>617</v>
      </c>
      <c r="C504" s="307">
        <v>940</v>
      </c>
    </row>
    <row r="505" spans="1:3" x14ac:dyDescent="0.2">
      <c r="A505" s="131" t="s">
        <v>2015</v>
      </c>
      <c r="B505" s="145">
        <v>22367</v>
      </c>
      <c r="C505" s="307">
        <v>877</v>
      </c>
    </row>
    <row r="506" spans="1:3" x14ac:dyDescent="0.2">
      <c r="A506" s="131" t="s">
        <v>1568</v>
      </c>
      <c r="B506" s="145">
        <v>18868</v>
      </c>
      <c r="C506" s="307">
        <v>240</v>
      </c>
    </row>
    <row r="507" spans="1:3" x14ac:dyDescent="0.2">
      <c r="A507" s="131" t="s">
        <v>2016</v>
      </c>
      <c r="B507" s="145">
        <v>11846</v>
      </c>
      <c r="C507" s="307">
        <v>899</v>
      </c>
    </row>
    <row r="508" spans="1:3" x14ac:dyDescent="0.2">
      <c r="A508" s="131" t="s">
        <v>1818</v>
      </c>
      <c r="B508" s="145">
        <v>4922</v>
      </c>
      <c r="C508" s="307">
        <v>365</v>
      </c>
    </row>
    <row r="509" spans="1:3" x14ac:dyDescent="0.2">
      <c r="A509" s="131" t="s">
        <v>2080</v>
      </c>
      <c r="B509" s="145">
        <v>105346</v>
      </c>
      <c r="C509" s="307">
        <v>176</v>
      </c>
    </row>
    <row r="510" spans="1:3" x14ac:dyDescent="0.2">
      <c r="A510" s="131" t="s">
        <v>1573</v>
      </c>
      <c r="B510" s="145">
        <v>27831</v>
      </c>
      <c r="C510" s="307">
        <v>885</v>
      </c>
    </row>
    <row r="511" spans="1:3" x14ac:dyDescent="0.2">
      <c r="A511" s="131" t="s">
        <v>2022</v>
      </c>
      <c r="B511" s="145">
        <v>1628</v>
      </c>
      <c r="C511" s="307">
        <v>66</v>
      </c>
    </row>
    <row r="512" spans="1:3" x14ac:dyDescent="0.2">
      <c r="A512" s="131" t="s">
        <v>1807</v>
      </c>
      <c r="B512" s="145">
        <v>35335</v>
      </c>
      <c r="C512" s="307">
        <v>90</v>
      </c>
    </row>
    <row r="513" spans="1:4" ht="16" thickBot="1" x14ac:dyDescent="0.25">
      <c r="A513" s="131" t="s">
        <v>2081</v>
      </c>
      <c r="B513" s="595">
        <v>3340131</v>
      </c>
      <c r="C513" s="596">
        <v>249</v>
      </c>
    </row>
    <row r="514" spans="1:4" x14ac:dyDescent="0.2">
      <c r="A514" s="131"/>
      <c r="B514" s="138">
        <f>+SUM(B491:B512)</f>
        <v>3340122</v>
      </c>
      <c r="C514" s="138">
        <f>+SUM(C491:C512)</f>
        <v>9249</v>
      </c>
    </row>
    <row r="515" spans="1:4" ht="27" customHeight="1" x14ac:dyDescent="0.2">
      <c r="A515" s="566" t="s">
        <v>2082</v>
      </c>
      <c r="B515" s="567"/>
      <c r="C515" s="568"/>
      <c r="D515" s="593"/>
    </row>
    <row r="516" spans="1:4" x14ac:dyDescent="0.2">
      <c r="A516" s="140" t="s">
        <v>2040</v>
      </c>
      <c r="B516" s="145">
        <v>338643</v>
      </c>
      <c r="C516" s="307">
        <v>150</v>
      </c>
    </row>
    <row r="517" spans="1:4" x14ac:dyDescent="0.2">
      <c r="A517" s="140" t="s">
        <v>2041</v>
      </c>
      <c r="B517" s="145">
        <v>197203</v>
      </c>
      <c r="C517" s="307">
        <v>5</v>
      </c>
    </row>
    <row r="518" spans="1:4" x14ac:dyDescent="0.2">
      <c r="A518" s="140" t="s">
        <v>2042</v>
      </c>
      <c r="B518" s="145">
        <v>41060</v>
      </c>
      <c r="C518" s="307">
        <v>862</v>
      </c>
    </row>
    <row r="519" spans="1:4" x14ac:dyDescent="0.2">
      <c r="A519" s="140" t="s">
        <v>2043</v>
      </c>
      <c r="B519" s="145">
        <v>27029</v>
      </c>
      <c r="C519" s="307">
        <v>830</v>
      </c>
    </row>
    <row r="520" spans="1:4" x14ac:dyDescent="0.2">
      <c r="A520" s="140" t="s">
        <v>2044</v>
      </c>
      <c r="B520" s="145">
        <v>96626</v>
      </c>
      <c r="C520" s="307">
        <v>481</v>
      </c>
    </row>
    <row r="521" spans="1:4" x14ac:dyDescent="0.2">
      <c r="A521" s="140" t="s">
        <v>2045</v>
      </c>
      <c r="B521" s="145">
        <v>327213</v>
      </c>
      <c r="C521" s="307">
        <v>14</v>
      </c>
    </row>
    <row r="522" spans="1:4" x14ac:dyDescent="0.2">
      <c r="A522" s="140" t="s">
        <v>2055</v>
      </c>
      <c r="B522" s="145">
        <v>3995</v>
      </c>
      <c r="C522" s="307">
        <v>795</v>
      </c>
    </row>
    <row r="523" spans="1:4" x14ac:dyDescent="0.2">
      <c r="A523" s="140" t="s">
        <v>2046</v>
      </c>
      <c r="B523" s="145">
        <v>137293</v>
      </c>
      <c r="C523" s="307">
        <v>842</v>
      </c>
    </row>
    <row r="524" spans="1:4" x14ac:dyDescent="0.2">
      <c r="A524" s="140" t="s">
        <v>2053</v>
      </c>
      <c r="B524" s="145">
        <v>2724</v>
      </c>
      <c r="C524" s="307">
        <v>805</v>
      </c>
    </row>
    <row r="525" spans="1:4" x14ac:dyDescent="0.2">
      <c r="A525" s="140" t="s">
        <v>2083</v>
      </c>
      <c r="B525" s="145">
        <v>38592</v>
      </c>
      <c r="C525" s="307">
        <v>104</v>
      </c>
    </row>
    <row r="526" spans="1:4" x14ac:dyDescent="0.2">
      <c r="A526" s="140" t="s">
        <v>2048</v>
      </c>
      <c r="B526" s="145">
        <v>99496</v>
      </c>
      <c r="C526" s="307">
        <v>761</v>
      </c>
    </row>
    <row r="527" spans="1:4" x14ac:dyDescent="0.2">
      <c r="A527" s="140" t="s">
        <v>2049</v>
      </c>
      <c r="B527" s="145">
        <v>178517</v>
      </c>
      <c r="C527" s="307">
        <v>341</v>
      </c>
    </row>
    <row r="528" spans="1:4" x14ac:dyDescent="0.2">
      <c r="A528" s="140" t="s">
        <v>2084</v>
      </c>
      <c r="B528" s="145">
        <v>987589</v>
      </c>
      <c r="C528" s="307">
        <v>695</v>
      </c>
    </row>
    <row r="529" spans="1:9" ht="16" thickBot="1" x14ac:dyDescent="0.25">
      <c r="A529" s="140" t="s">
        <v>2085</v>
      </c>
      <c r="B529" s="595">
        <v>2475986</v>
      </c>
      <c r="C529" s="596">
        <v>685</v>
      </c>
    </row>
    <row r="530" spans="1:9" x14ac:dyDescent="0.2">
      <c r="A530" s="140"/>
      <c r="B530" s="138">
        <f>+SUM(B516:B528)</f>
        <v>2475980</v>
      </c>
      <c r="C530" s="138">
        <f>+SUM(C516:C528)</f>
        <v>6685</v>
      </c>
    </row>
    <row r="531" spans="1:9" ht="28.25" customHeight="1" x14ac:dyDescent="0.2">
      <c r="A531" s="566" t="s">
        <v>2086</v>
      </c>
      <c r="B531" s="567"/>
      <c r="C531" s="568"/>
      <c r="D531" s="593"/>
    </row>
    <row r="532" spans="1:9" x14ac:dyDescent="0.2">
      <c r="A532" s="140" t="s">
        <v>2087</v>
      </c>
      <c r="B532" s="145">
        <v>3340131</v>
      </c>
      <c r="C532" s="307">
        <v>249</v>
      </c>
    </row>
    <row r="533" spans="1:9" ht="16" thickBot="1" x14ac:dyDescent="0.25">
      <c r="A533" s="140" t="s">
        <v>1722</v>
      </c>
      <c r="B533" s="187">
        <v>2475986</v>
      </c>
      <c r="C533" s="444">
        <v>685</v>
      </c>
    </row>
    <row r="534" spans="1:9" ht="16" thickBot="1" x14ac:dyDescent="0.25">
      <c r="A534" s="597" t="s">
        <v>2088</v>
      </c>
      <c r="B534" s="448">
        <v>864144</v>
      </c>
      <c r="C534" s="449">
        <v>564</v>
      </c>
    </row>
    <row r="535" spans="1:9" x14ac:dyDescent="0.2">
      <c r="B535" s="321">
        <f>+B532-B533</f>
        <v>864145</v>
      </c>
      <c r="C535" s="321">
        <f>+C532-C533</f>
        <v>-436</v>
      </c>
    </row>
    <row r="538" spans="1:9" x14ac:dyDescent="0.2">
      <c r="A538" s="113" t="s">
        <v>2089</v>
      </c>
    </row>
    <row r="539" spans="1:9" ht="36" customHeight="1" x14ac:dyDescent="0.25">
      <c r="A539" s="590" t="s">
        <v>2090</v>
      </c>
      <c r="B539" s="591"/>
      <c r="C539" s="591"/>
      <c r="D539" s="591"/>
      <c r="E539" s="591"/>
      <c r="F539" s="591"/>
      <c r="G539" s="591"/>
      <c r="H539" s="591"/>
      <c r="I539" s="592"/>
    </row>
    <row r="540" spans="1:9" ht="29" customHeight="1" x14ac:dyDescent="0.2">
      <c r="A540" s="258" t="s">
        <v>2091</v>
      </c>
      <c r="B540" s="259"/>
      <c r="C540" s="259"/>
      <c r="D540" s="259"/>
      <c r="E540" s="259"/>
      <c r="F540" s="259"/>
      <c r="G540" s="259"/>
      <c r="H540" s="259"/>
      <c r="I540" s="260"/>
    </row>
    <row r="541" spans="1:9" ht="33" customHeight="1" x14ac:dyDescent="0.2">
      <c r="A541" s="598" t="s">
        <v>2092</v>
      </c>
      <c r="B541" s="599"/>
      <c r="C541" s="599"/>
      <c r="D541" s="599"/>
      <c r="E541" s="599"/>
      <c r="F541" s="599"/>
      <c r="G541" s="599"/>
      <c r="H541" s="599"/>
      <c r="I541" s="600"/>
    </row>
    <row r="542" spans="1:9" ht="27" customHeight="1" x14ac:dyDescent="0.2">
      <c r="A542" s="158" t="s">
        <v>1800</v>
      </c>
      <c r="B542" s="159"/>
      <c r="C542" s="159"/>
      <c r="D542" s="159"/>
      <c r="E542" s="159"/>
      <c r="F542" s="159"/>
      <c r="G542" s="159"/>
      <c r="H542" s="159"/>
      <c r="I542" s="160"/>
    </row>
    <row r="543" spans="1:9" x14ac:dyDescent="0.2">
      <c r="A543" s="601" t="s">
        <v>2093</v>
      </c>
      <c r="B543" s="602" t="s">
        <v>2094</v>
      </c>
      <c r="C543" s="603"/>
      <c r="D543" s="602" t="s">
        <v>2095</v>
      </c>
      <c r="E543" s="603"/>
      <c r="F543" s="354" t="s">
        <v>1497</v>
      </c>
      <c r="G543" s="354"/>
      <c r="H543" s="354"/>
      <c r="I543" s="604"/>
    </row>
    <row r="544" spans="1:9" ht="51" customHeight="1" x14ac:dyDescent="0.2">
      <c r="A544" s="605"/>
      <c r="B544" s="606"/>
      <c r="C544" s="607"/>
      <c r="D544" s="606"/>
      <c r="E544" s="607"/>
      <c r="F544" s="608" t="s">
        <v>2096</v>
      </c>
      <c r="G544" s="609" t="s">
        <v>2097</v>
      </c>
      <c r="H544" s="608" t="s">
        <v>2098</v>
      </c>
      <c r="I544" s="609"/>
    </row>
    <row r="545" spans="1:10" x14ac:dyDescent="0.2">
      <c r="A545" s="533" t="s">
        <v>1174</v>
      </c>
      <c r="B545" s="131">
        <v>819007</v>
      </c>
      <c r="C545" s="307">
        <v>240</v>
      </c>
      <c r="D545" s="131">
        <v>552636</v>
      </c>
      <c r="E545" s="307">
        <v>990</v>
      </c>
      <c r="F545" s="131">
        <v>266370</v>
      </c>
      <c r="G545" s="307">
        <v>250</v>
      </c>
      <c r="H545" s="131"/>
      <c r="I545" s="307"/>
      <c r="J545" s="107"/>
    </row>
    <row r="546" spans="1:10" x14ac:dyDescent="0.2">
      <c r="A546" s="533" t="s">
        <v>1177</v>
      </c>
      <c r="B546" s="131">
        <v>900000</v>
      </c>
      <c r="C546" s="307"/>
      <c r="D546" s="131">
        <v>884639</v>
      </c>
      <c r="E546" s="307">
        <v>637</v>
      </c>
      <c r="F546" s="131">
        <v>15360</v>
      </c>
      <c r="G546" s="307">
        <v>363</v>
      </c>
      <c r="H546" s="131"/>
      <c r="I546" s="307"/>
    </row>
    <row r="547" spans="1:10" x14ac:dyDescent="0.2">
      <c r="A547" s="533" t="s">
        <v>1569</v>
      </c>
      <c r="B547" s="131">
        <v>524400</v>
      </c>
      <c r="C547" s="307"/>
      <c r="D547" s="131">
        <v>471597</v>
      </c>
      <c r="E547" s="307">
        <v>406</v>
      </c>
      <c r="F547" s="131">
        <v>52802</v>
      </c>
      <c r="G547" s="307">
        <v>994</v>
      </c>
      <c r="H547" s="131"/>
      <c r="I547" s="307"/>
    </row>
    <row r="548" spans="1:10" x14ac:dyDescent="0.2">
      <c r="A548" s="533" t="s">
        <v>1377</v>
      </c>
      <c r="B548" s="131">
        <v>151350</v>
      </c>
      <c r="C548" s="307"/>
      <c r="D548" s="131">
        <v>149659</v>
      </c>
      <c r="E548" s="307">
        <v>211</v>
      </c>
      <c r="F548" s="131">
        <v>1690</v>
      </c>
      <c r="G548" s="307">
        <v>789</v>
      </c>
      <c r="H548" s="131"/>
      <c r="I548" s="307"/>
    </row>
    <row r="549" spans="1:10" x14ac:dyDescent="0.2">
      <c r="A549" s="533" t="s">
        <v>1175</v>
      </c>
      <c r="B549" s="131">
        <v>49100</v>
      </c>
      <c r="C549" s="307"/>
      <c r="D549" s="131">
        <v>64986</v>
      </c>
      <c r="E549" s="307">
        <v>551</v>
      </c>
      <c r="F549" s="131"/>
      <c r="G549" s="307"/>
      <c r="H549" s="131">
        <v>15886</v>
      </c>
      <c r="I549" s="307">
        <v>551</v>
      </c>
    </row>
    <row r="550" spans="1:10" x14ac:dyDescent="0.2">
      <c r="A550" s="533" t="s">
        <v>1573</v>
      </c>
      <c r="B550" s="131">
        <v>50900</v>
      </c>
      <c r="C550" s="307"/>
      <c r="D550" s="131">
        <v>37539</v>
      </c>
      <c r="E550" s="307">
        <v>909</v>
      </c>
      <c r="F550" s="131">
        <v>13360</v>
      </c>
      <c r="G550" s="307">
        <v>991</v>
      </c>
      <c r="H550" s="131"/>
      <c r="I550" s="307"/>
    </row>
    <row r="551" spans="1:10" x14ac:dyDescent="0.2">
      <c r="A551" s="533" t="s">
        <v>1421</v>
      </c>
      <c r="B551" s="131">
        <v>150000</v>
      </c>
      <c r="C551" s="307"/>
      <c r="D551" s="131">
        <v>100154</v>
      </c>
      <c r="E551" s="307">
        <v>690</v>
      </c>
      <c r="F551" s="131">
        <v>49845</v>
      </c>
      <c r="G551" s="307">
        <v>310</v>
      </c>
      <c r="H551" s="131"/>
      <c r="I551" s="307"/>
    </row>
    <row r="552" spans="1:10" x14ac:dyDescent="0.2">
      <c r="A552" s="533" t="s">
        <v>1401</v>
      </c>
      <c r="B552" s="131">
        <v>91000</v>
      </c>
      <c r="C552" s="307"/>
      <c r="D552" s="131">
        <v>79260</v>
      </c>
      <c r="E552" s="307">
        <v>597</v>
      </c>
      <c r="F552" s="131">
        <v>11739</v>
      </c>
      <c r="G552" s="307">
        <v>403</v>
      </c>
      <c r="H552" s="131"/>
      <c r="I552" s="307"/>
    </row>
    <row r="553" spans="1:10" x14ac:dyDescent="0.2">
      <c r="A553" s="533" t="s">
        <v>1818</v>
      </c>
      <c r="B553" s="131">
        <v>3300</v>
      </c>
      <c r="C553" s="307"/>
      <c r="D553" s="131">
        <v>4853</v>
      </c>
      <c r="E553" s="307">
        <v>424</v>
      </c>
      <c r="F553" s="131"/>
      <c r="G553" s="307"/>
      <c r="H553" s="131">
        <v>1553</v>
      </c>
      <c r="I553" s="307">
        <v>424</v>
      </c>
    </row>
    <row r="554" spans="1:10" x14ac:dyDescent="0.2">
      <c r="A554" s="533" t="s">
        <v>1568</v>
      </c>
      <c r="B554" s="131">
        <v>21000</v>
      </c>
      <c r="C554" s="307"/>
      <c r="D554" s="131">
        <v>18223</v>
      </c>
      <c r="E554" s="307">
        <v>327</v>
      </c>
      <c r="F554" s="131">
        <v>2776</v>
      </c>
      <c r="G554" s="307">
        <v>673</v>
      </c>
      <c r="H554" s="131"/>
      <c r="I554" s="307"/>
    </row>
    <row r="555" spans="1:10" x14ac:dyDescent="0.2">
      <c r="A555" s="533" t="s">
        <v>1810</v>
      </c>
      <c r="B555" s="131">
        <v>307004</v>
      </c>
      <c r="C555" s="307">
        <v>400</v>
      </c>
      <c r="D555" s="131">
        <v>195149</v>
      </c>
      <c r="E555" s="307">
        <v>222</v>
      </c>
      <c r="F555" s="131">
        <v>111855</v>
      </c>
      <c r="G555" s="307">
        <v>178</v>
      </c>
      <c r="H555" s="131"/>
      <c r="I555" s="307"/>
    </row>
    <row r="556" spans="1:10" x14ac:dyDescent="0.2">
      <c r="A556" s="533" t="s">
        <v>1809</v>
      </c>
      <c r="B556" s="131">
        <v>18100</v>
      </c>
      <c r="C556" s="307"/>
      <c r="D556" s="131">
        <v>5028</v>
      </c>
      <c r="E556" s="307">
        <v>254</v>
      </c>
      <c r="F556" s="131">
        <v>13071</v>
      </c>
      <c r="G556" s="307">
        <v>746</v>
      </c>
      <c r="H556" s="131"/>
      <c r="I556" s="307"/>
    </row>
    <row r="557" spans="1:10" x14ac:dyDescent="0.2">
      <c r="A557" s="533" t="s">
        <v>2020</v>
      </c>
      <c r="B557" s="131">
        <v>16000</v>
      </c>
      <c r="C557" s="307"/>
      <c r="D557" s="131">
        <v>10339</v>
      </c>
      <c r="E557" s="307">
        <v>137</v>
      </c>
      <c r="F557" s="131">
        <v>5660</v>
      </c>
      <c r="G557" s="307">
        <v>863</v>
      </c>
      <c r="H557" s="131"/>
      <c r="I557" s="307"/>
    </row>
    <row r="558" spans="1:10" x14ac:dyDescent="0.2">
      <c r="A558" s="533" t="s">
        <v>1817</v>
      </c>
      <c r="B558" s="131">
        <v>52010</v>
      </c>
      <c r="C558" s="307"/>
      <c r="D558" s="131">
        <v>69778</v>
      </c>
      <c r="E558" s="307">
        <v>841</v>
      </c>
      <c r="F558" s="131"/>
      <c r="G558" s="307"/>
      <c r="H558" s="131">
        <v>17768</v>
      </c>
      <c r="I558" s="307">
        <v>841</v>
      </c>
    </row>
    <row r="559" spans="1:10" x14ac:dyDescent="0.2">
      <c r="A559" s="533" t="s">
        <v>2015</v>
      </c>
      <c r="B559" s="131">
        <v>42767</v>
      </c>
      <c r="C559" s="307">
        <v>300</v>
      </c>
      <c r="D559" s="131">
        <v>26905</v>
      </c>
      <c r="E559" s="307">
        <v>258</v>
      </c>
      <c r="F559" s="131">
        <v>15861</v>
      </c>
      <c r="G559" s="307">
        <v>742</v>
      </c>
      <c r="H559" s="131"/>
      <c r="I559" s="307"/>
    </row>
    <row r="560" spans="1:10" x14ac:dyDescent="0.2">
      <c r="A560" s="533" t="s">
        <v>2099</v>
      </c>
      <c r="B560" s="131">
        <v>3125</v>
      </c>
      <c r="C560" s="307">
        <v>600</v>
      </c>
      <c r="D560" s="131">
        <v>2650</v>
      </c>
      <c r="E560" s="307">
        <v>350</v>
      </c>
      <c r="F560" s="131">
        <v>474</v>
      </c>
      <c r="G560" s="307">
        <v>250</v>
      </c>
      <c r="H560" s="131"/>
      <c r="I560" s="307"/>
    </row>
    <row r="561" spans="1:9" x14ac:dyDescent="0.2">
      <c r="A561" s="533" t="s">
        <v>1811</v>
      </c>
      <c r="B561" s="131"/>
      <c r="C561" s="307"/>
      <c r="D561" s="131">
        <v>518</v>
      </c>
      <c r="E561" s="307">
        <v>725</v>
      </c>
      <c r="F561" s="131"/>
      <c r="G561" s="307"/>
      <c r="H561" s="131">
        <v>518</v>
      </c>
      <c r="I561" s="307">
        <v>725</v>
      </c>
    </row>
    <row r="562" spans="1:9" x14ac:dyDescent="0.2">
      <c r="A562" s="533" t="s">
        <v>2022</v>
      </c>
      <c r="B562" s="131"/>
      <c r="C562" s="307"/>
      <c r="D562" s="131">
        <v>2258</v>
      </c>
      <c r="E562" s="307">
        <v>936</v>
      </c>
      <c r="F562" s="131"/>
      <c r="G562" s="307"/>
      <c r="H562" s="131">
        <v>2258</v>
      </c>
      <c r="I562" s="307">
        <v>936</v>
      </c>
    </row>
    <row r="563" spans="1:9" x14ac:dyDescent="0.2">
      <c r="A563" s="533" t="s">
        <v>1807</v>
      </c>
      <c r="B563" s="131"/>
      <c r="C563" s="307"/>
      <c r="D563" s="131">
        <v>5298</v>
      </c>
      <c r="E563" s="307">
        <v>400</v>
      </c>
      <c r="F563" s="131"/>
      <c r="G563" s="307"/>
      <c r="H563" s="131">
        <v>5298</v>
      </c>
      <c r="I563" s="307">
        <v>400</v>
      </c>
    </row>
    <row r="564" spans="1:9" x14ac:dyDescent="0.2">
      <c r="A564" s="533" t="s">
        <v>1392</v>
      </c>
      <c r="B564" s="131"/>
      <c r="C564" s="307"/>
      <c r="D564" s="131">
        <v>2235</v>
      </c>
      <c r="E564" s="307">
        <v>687</v>
      </c>
      <c r="F564" s="131"/>
      <c r="G564" s="307"/>
      <c r="H564" s="131">
        <v>2235</v>
      </c>
      <c r="I564" s="307">
        <v>687</v>
      </c>
    </row>
    <row r="565" spans="1:9" x14ac:dyDescent="0.2">
      <c r="A565" s="533" t="s">
        <v>2100</v>
      </c>
      <c r="B565" s="131"/>
      <c r="C565" s="307"/>
      <c r="D565" s="131">
        <v>5067</v>
      </c>
      <c r="E565" s="307">
        <v>200</v>
      </c>
      <c r="F565" s="131"/>
      <c r="G565" s="307"/>
      <c r="H565" s="131">
        <v>5067</v>
      </c>
      <c r="I565" s="307">
        <v>200</v>
      </c>
    </row>
    <row r="566" spans="1:9" x14ac:dyDescent="0.2">
      <c r="A566" s="533" t="s">
        <v>2016</v>
      </c>
      <c r="B566" s="131">
        <v>16500</v>
      </c>
      <c r="C566" s="307"/>
      <c r="D566" s="131">
        <v>8722</v>
      </c>
      <c r="E566" s="307">
        <v>773</v>
      </c>
      <c r="F566" s="131">
        <v>7777</v>
      </c>
      <c r="G566" s="307">
        <v>227</v>
      </c>
      <c r="H566" s="131"/>
      <c r="I566" s="307"/>
    </row>
    <row r="567" spans="1:9" x14ac:dyDescent="0.2">
      <c r="A567" s="533" t="s">
        <v>2017</v>
      </c>
      <c r="B567" s="131"/>
      <c r="C567" s="307"/>
      <c r="D567" s="131">
        <v>7557</v>
      </c>
      <c r="E567" s="307">
        <v>65</v>
      </c>
      <c r="F567" s="131"/>
      <c r="G567" s="307"/>
      <c r="H567" s="131">
        <v>7557</v>
      </c>
      <c r="I567" s="307">
        <v>65</v>
      </c>
    </row>
    <row r="568" spans="1:9" x14ac:dyDescent="0.2">
      <c r="A568" s="535"/>
      <c r="B568" s="240">
        <v>3215564</v>
      </c>
      <c r="C568" s="513">
        <v>540</v>
      </c>
      <c r="D568" s="240">
        <v>2705061</v>
      </c>
      <c r="E568" s="513">
        <v>590</v>
      </c>
      <c r="F568" s="240">
        <v>568647</v>
      </c>
      <c r="G568" s="513">
        <v>779</v>
      </c>
      <c r="H568" s="240">
        <v>58144</v>
      </c>
      <c r="I568" s="513">
        <v>829</v>
      </c>
    </row>
    <row r="569" spans="1:9" x14ac:dyDescent="0.2">
      <c r="A569" s="145"/>
      <c r="B569" s="138">
        <f t="shared" ref="B569:I569" si="7">+SUM(B545:B567)</f>
        <v>3215563</v>
      </c>
      <c r="C569" s="138">
        <f t="shared" si="7"/>
        <v>1540</v>
      </c>
      <c r="D569" s="138">
        <f t="shared" si="7"/>
        <v>2705050</v>
      </c>
      <c r="E569" s="138">
        <f t="shared" si="7"/>
        <v>11590</v>
      </c>
      <c r="F569" s="138">
        <f t="shared" si="7"/>
        <v>568640</v>
      </c>
      <c r="G569" s="138">
        <f t="shared" si="7"/>
        <v>7779</v>
      </c>
      <c r="H569" s="138">
        <f t="shared" si="7"/>
        <v>58140</v>
      </c>
      <c r="I569" s="138">
        <f t="shared" si="7"/>
        <v>4829</v>
      </c>
    </row>
    <row r="570" spans="1:9" ht="16" thickBot="1" x14ac:dyDescent="0.25">
      <c r="A570" s="610" t="s">
        <v>2101</v>
      </c>
      <c r="B570" s="610"/>
      <c r="C570" s="610"/>
      <c r="D570" s="610"/>
      <c r="E570" s="610"/>
      <c r="F570" s="611">
        <v>510502</v>
      </c>
      <c r="G570" s="611"/>
      <c r="H570" s="611">
        <v>950</v>
      </c>
      <c r="I570" s="611"/>
    </row>
    <row r="571" spans="1:9" ht="16" thickTop="1" x14ac:dyDescent="0.2">
      <c r="A571" s="107"/>
      <c r="B571" s="107"/>
      <c r="C571" s="107"/>
      <c r="D571" s="107"/>
      <c r="E571" s="107"/>
      <c r="F571" s="612">
        <f>F569-H569</f>
        <v>510500</v>
      </c>
      <c r="G571" s="612"/>
      <c r="H571" s="612">
        <f>+G568-I568</f>
        <v>-50</v>
      </c>
      <c r="I571" s="612"/>
    </row>
    <row r="572" spans="1:9" x14ac:dyDescent="0.2">
      <c r="A572" s="107"/>
      <c r="B572" s="107"/>
      <c r="C572" s="107"/>
      <c r="D572" s="107"/>
      <c r="E572" s="107"/>
      <c r="F572" s="107"/>
      <c r="G572" s="107"/>
      <c r="H572" s="107"/>
      <c r="I572" s="107"/>
    </row>
    <row r="573" spans="1:9" x14ac:dyDescent="0.2">
      <c r="A573" s="107"/>
      <c r="B573" s="107"/>
      <c r="C573" s="107"/>
      <c r="D573" s="107"/>
      <c r="E573" s="107"/>
      <c r="F573" s="107"/>
      <c r="G573" s="107"/>
      <c r="H573" s="107"/>
      <c r="I573" s="107"/>
    </row>
    <row r="574" spans="1:9" x14ac:dyDescent="0.2">
      <c r="A574" s="526" t="s">
        <v>2102</v>
      </c>
      <c r="B574" s="107"/>
      <c r="C574" s="107"/>
      <c r="D574" s="107"/>
      <c r="E574" s="107"/>
      <c r="F574" s="107"/>
      <c r="G574" s="107"/>
      <c r="H574" s="107"/>
      <c r="I574" s="107"/>
    </row>
    <row r="575" spans="1:9" ht="16" x14ac:dyDescent="0.2">
      <c r="A575" s="598" t="s">
        <v>2092</v>
      </c>
      <c r="B575" s="599"/>
      <c r="C575" s="599"/>
      <c r="D575" s="599"/>
      <c r="E575" s="599"/>
      <c r="F575" s="599"/>
      <c r="G575" s="599"/>
      <c r="H575" s="599"/>
      <c r="I575" s="600"/>
    </row>
    <row r="576" spans="1:9" ht="30.5" customHeight="1" x14ac:dyDescent="0.2">
      <c r="A576" s="613" t="s">
        <v>1882</v>
      </c>
      <c r="B576" s="614"/>
      <c r="C576" s="614"/>
      <c r="D576" s="614"/>
      <c r="E576" s="614"/>
      <c r="F576" s="614"/>
      <c r="G576" s="614"/>
      <c r="H576" s="614"/>
      <c r="I576" s="615"/>
    </row>
    <row r="577" spans="1:10" x14ac:dyDescent="0.2">
      <c r="A577" s="601" t="s">
        <v>2103</v>
      </c>
      <c r="B577" s="602" t="s">
        <v>2104</v>
      </c>
      <c r="C577" s="603"/>
      <c r="D577" s="602" t="s">
        <v>2105</v>
      </c>
      <c r="E577" s="603"/>
      <c r="F577" s="616" t="s">
        <v>1497</v>
      </c>
      <c r="G577" s="617"/>
      <c r="H577" s="617"/>
      <c r="I577" s="618"/>
    </row>
    <row r="578" spans="1:10" ht="53.5" customHeight="1" x14ac:dyDescent="0.2">
      <c r="A578" s="605"/>
      <c r="B578" s="606"/>
      <c r="C578" s="607"/>
      <c r="D578" s="606"/>
      <c r="E578" s="607"/>
      <c r="F578" s="608" t="s">
        <v>2106</v>
      </c>
      <c r="G578" s="609" t="s">
        <v>2097</v>
      </c>
      <c r="H578" s="608" t="s">
        <v>2107</v>
      </c>
      <c r="I578" s="609"/>
    </row>
    <row r="579" spans="1:10" x14ac:dyDescent="0.2">
      <c r="A579" s="533" t="s">
        <v>2040</v>
      </c>
      <c r="B579" s="131">
        <v>349254</v>
      </c>
      <c r="C579" s="307">
        <v>500</v>
      </c>
      <c r="D579" s="131">
        <v>298041</v>
      </c>
      <c r="E579" s="307">
        <v>189</v>
      </c>
      <c r="F579" s="131">
        <v>51213</v>
      </c>
      <c r="G579" s="307">
        <v>311</v>
      </c>
      <c r="H579" s="131"/>
      <c r="I579" s="307"/>
    </row>
    <row r="580" spans="1:10" x14ac:dyDescent="0.2">
      <c r="A580" s="533" t="s">
        <v>2041</v>
      </c>
      <c r="B580" s="131">
        <v>230290</v>
      </c>
      <c r="C580" s="307">
        <v>400</v>
      </c>
      <c r="D580" s="131">
        <v>191109</v>
      </c>
      <c r="E580" s="307">
        <v>407</v>
      </c>
      <c r="F580" s="131">
        <v>39180</v>
      </c>
      <c r="G580" s="307">
        <v>993</v>
      </c>
      <c r="H580" s="131"/>
      <c r="I580" s="307"/>
    </row>
    <row r="581" spans="1:10" x14ac:dyDescent="0.2">
      <c r="A581" s="533" t="s">
        <v>2108</v>
      </c>
      <c r="B581" s="131">
        <v>56336</v>
      </c>
      <c r="C581" s="307"/>
      <c r="D581" s="131">
        <v>34482</v>
      </c>
      <c r="E581" s="307">
        <v>801</v>
      </c>
      <c r="F581" s="131">
        <v>21853</v>
      </c>
      <c r="G581" s="307">
        <v>199</v>
      </c>
      <c r="H581" s="131"/>
      <c r="I581" s="307"/>
    </row>
    <row r="582" spans="1:10" x14ac:dyDescent="0.2">
      <c r="A582" s="533" t="s">
        <v>2043</v>
      </c>
      <c r="B582" s="131">
        <v>70772</v>
      </c>
      <c r="C582" s="307">
        <v>400</v>
      </c>
      <c r="D582" s="131">
        <v>44385</v>
      </c>
      <c r="E582" s="307">
        <v>512</v>
      </c>
      <c r="F582" s="131">
        <v>26386</v>
      </c>
      <c r="G582" s="307">
        <v>888</v>
      </c>
      <c r="H582" s="131"/>
      <c r="I582" s="307"/>
    </row>
    <row r="583" spans="1:10" x14ac:dyDescent="0.2">
      <c r="A583" s="533" t="s">
        <v>2044</v>
      </c>
      <c r="B583" s="131">
        <v>177136</v>
      </c>
      <c r="C583" s="307"/>
      <c r="D583" s="131">
        <v>98514</v>
      </c>
      <c r="E583" s="307">
        <v>542</v>
      </c>
      <c r="F583" s="131">
        <v>18621</v>
      </c>
      <c r="G583" s="307">
        <v>458</v>
      </c>
      <c r="H583" s="131"/>
      <c r="I583" s="307"/>
    </row>
    <row r="584" spans="1:10" x14ac:dyDescent="0.2">
      <c r="A584" s="533" t="s">
        <v>2045</v>
      </c>
      <c r="B584" s="131">
        <v>842752</v>
      </c>
      <c r="C584" s="307"/>
      <c r="D584" s="131">
        <v>575545</v>
      </c>
      <c r="E584" s="307">
        <v>815</v>
      </c>
      <c r="F584" s="131">
        <v>267206</v>
      </c>
      <c r="G584" s="307">
        <v>185</v>
      </c>
      <c r="H584" s="131"/>
      <c r="I584" s="307"/>
    </row>
    <row r="585" spans="1:10" x14ac:dyDescent="0.2">
      <c r="A585" s="533" t="s">
        <v>2055</v>
      </c>
      <c r="B585" s="131">
        <v>9383</v>
      </c>
      <c r="C585" s="307">
        <v>200</v>
      </c>
      <c r="D585" s="131">
        <v>7199</v>
      </c>
      <c r="E585" s="307">
        <v>489</v>
      </c>
      <c r="F585" s="131">
        <v>2183</v>
      </c>
      <c r="G585" s="307">
        <v>711</v>
      </c>
      <c r="H585" s="131"/>
      <c r="I585" s="307"/>
    </row>
    <row r="586" spans="1:10" x14ac:dyDescent="0.2">
      <c r="A586" s="533" t="s">
        <v>2046</v>
      </c>
      <c r="B586" s="131">
        <v>236524</v>
      </c>
      <c r="C586" s="307">
        <v>600</v>
      </c>
      <c r="D586" s="131">
        <v>176598</v>
      </c>
      <c r="E586" s="307">
        <v>85</v>
      </c>
      <c r="F586" s="131">
        <v>59926</v>
      </c>
      <c r="G586" s="307">
        <v>515</v>
      </c>
      <c r="H586" s="131"/>
      <c r="I586" s="307"/>
    </row>
    <row r="587" spans="1:10" x14ac:dyDescent="0.2">
      <c r="A587" s="533" t="s">
        <v>2109</v>
      </c>
      <c r="B587" s="131">
        <v>167589</v>
      </c>
      <c r="C587" s="307">
        <v>300</v>
      </c>
      <c r="D587" s="131">
        <v>3174</v>
      </c>
      <c r="E587" s="307">
        <v>163</v>
      </c>
      <c r="F587" s="131">
        <v>164415</v>
      </c>
      <c r="G587" s="307">
        <v>137</v>
      </c>
      <c r="H587" s="131"/>
      <c r="I587" s="307"/>
    </row>
    <row r="588" spans="1:10" x14ac:dyDescent="0.2">
      <c r="A588" s="533" t="s">
        <v>2047</v>
      </c>
      <c r="B588" s="131">
        <v>32317</v>
      </c>
      <c r="C588" s="307"/>
      <c r="D588" s="131">
        <v>28137</v>
      </c>
      <c r="E588" s="307">
        <v>586</v>
      </c>
      <c r="F588" s="131">
        <v>4179</v>
      </c>
      <c r="G588" s="307">
        <v>414</v>
      </c>
      <c r="H588" s="131"/>
      <c r="I588" s="307"/>
    </row>
    <row r="589" spans="1:10" x14ac:dyDescent="0.2">
      <c r="A589" s="533" t="s">
        <v>2048</v>
      </c>
      <c r="B589" s="131">
        <v>150744</v>
      </c>
      <c r="C589" s="307"/>
      <c r="D589" s="131">
        <v>83599</v>
      </c>
      <c r="E589" s="307">
        <v>792</v>
      </c>
      <c r="F589" s="131">
        <v>67144</v>
      </c>
      <c r="G589" s="307">
        <v>208</v>
      </c>
      <c r="H589" s="131"/>
      <c r="I589" s="307"/>
    </row>
    <row r="590" spans="1:10" x14ac:dyDescent="0.2">
      <c r="A590" s="533" t="s">
        <v>2049</v>
      </c>
      <c r="B590" s="131">
        <v>125327</v>
      </c>
      <c r="C590" s="307">
        <v>800</v>
      </c>
      <c r="D590" s="131">
        <v>81314</v>
      </c>
      <c r="E590" s="307">
        <v>525</v>
      </c>
      <c r="F590" s="131">
        <v>44013</v>
      </c>
      <c r="G590" s="307">
        <v>275</v>
      </c>
      <c r="H590" s="131"/>
      <c r="I590" s="307"/>
    </row>
    <row r="591" spans="1:10" x14ac:dyDescent="0.2">
      <c r="A591" s="533" t="s">
        <v>2110</v>
      </c>
      <c r="B591" s="131">
        <v>1088324</v>
      </c>
      <c r="C591" s="307">
        <v>200</v>
      </c>
      <c r="D591" s="131">
        <v>1161834</v>
      </c>
      <c r="E591" s="307">
        <v>612</v>
      </c>
      <c r="F591" s="131"/>
      <c r="G591" s="307"/>
      <c r="H591" s="131">
        <v>73510</v>
      </c>
      <c r="I591" s="307">
        <v>412</v>
      </c>
    </row>
    <row r="592" spans="1:10" ht="16" thickBot="1" x14ac:dyDescent="0.25">
      <c r="A592" s="535"/>
      <c r="B592" s="372">
        <v>3476751</v>
      </c>
      <c r="C592" s="363">
        <v>400</v>
      </c>
      <c r="D592" s="372">
        <v>2783937</v>
      </c>
      <c r="E592" s="363">
        <v>518</v>
      </c>
      <c r="F592" s="372">
        <v>766324</v>
      </c>
      <c r="G592" s="363">
        <v>294</v>
      </c>
      <c r="H592" s="372">
        <v>73510</v>
      </c>
      <c r="I592" s="363">
        <v>412</v>
      </c>
      <c r="J592" s="106" t="s">
        <v>2111</v>
      </c>
    </row>
    <row r="593" spans="1:13" ht="16" thickTop="1" x14ac:dyDescent="0.2">
      <c r="A593" s="131"/>
      <c r="B593" s="413">
        <f t="shared" ref="B593:I593" si="8">+SUM(B579:B591)</f>
        <v>3536748</v>
      </c>
      <c r="C593" s="138">
        <f t="shared" si="8"/>
        <v>3400</v>
      </c>
      <c r="D593" s="138">
        <f t="shared" si="8"/>
        <v>2783931</v>
      </c>
      <c r="E593" s="138">
        <f t="shared" si="8"/>
        <v>6518</v>
      </c>
      <c r="F593" s="138">
        <f t="shared" si="8"/>
        <v>766319</v>
      </c>
      <c r="G593" s="138">
        <f t="shared" si="8"/>
        <v>5294</v>
      </c>
      <c r="H593" s="619">
        <f t="shared" si="8"/>
        <v>73510</v>
      </c>
      <c r="I593" s="620">
        <f t="shared" si="8"/>
        <v>412</v>
      </c>
    </row>
    <row r="594" spans="1:13" ht="16" thickBot="1" x14ac:dyDescent="0.25">
      <c r="A594" s="489" t="s">
        <v>2112</v>
      </c>
      <c r="B594" s="493"/>
      <c r="C594" s="493"/>
      <c r="D594" s="493"/>
      <c r="E594" s="493"/>
      <c r="F594" s="611">
        <v>692813</v>
      </c>
      <c r="G594" s="611"/>
      <c r="H594" s="611">
        <v>882</v>
      </c>
      <c r="I594" s="621"/>
    </row>
    <row r="595" spans="1:13" ht="16" thickTop="1" x14ac:dyDescent="0.2">
      <c r="A595" s="622"/>
      <c r="B595" s="623"/>
      <c r="C595" s="623"/>
      <c r="D595" s="623"/>
      <c r="E595" s="623"/>
      <c r="F595" s="612">
        <f>+F593-H593</f>
        <v>692809</v>
      </c>
      <c r="G595" s="612"/>
      <c r="H595" s="612">
        <f>+G593-I593</f>
        <v>4882</v>
      </c>
      <c r="I595" s="624"/>
    </row>
    <row r="596" spans="1:13" ht="29" customHeight="1" x14ac:dyDescent="0.2">
      <c r="A596" s="625" t="s">
        <v>2113</v>
      </c>
      <c r="B596" s="626"/>
      <c r="C596" s="626"/>
      <c r="D596" s="626"/>
      <c r="E596" s="626"/>
      <c r="F596" s="626"/>
      <c r="G596" s="626"/>
      <c r="H596" s="626"/>
      <c r="I596" s="627"/>
    </row>
    <row r="600" spans="1:13" x14ac:dyDescent="0.2">
      <c r="A600" s="113" t="s">
        <v>2114</v>
      </c>
    </row>
    <row r="601" spans="1:13" ht="33" customHeight="1" x14ac:dyDescent="0.2">
      <c r="A601" s="518" t="s">
        <v>2115</v>
      </c>
      <c r="B601" s="519"/>
      <c r="C601" s="519"/>
      <c r="D601" s="519"/>
      <c r="E601" s="519"/>
      <c r="F601" s="519"/>
      <c r="G601" s="519"/>
      <c r="H601" s="519"/>
      <c r="I601" s="520"/>
    </row>
    <row r="602" spans="1:13" ht="35" customHeight="1" x14ac:dyDescent="0.2">
      <c r="A602" s="628" t="s">
        <v>1881</v>
      </c>
      <c r="B602" s="629"/>
      <c r="C602" s="629"/>
      <c r="D602" s="629"/>
      <c r="E602" s="629"/>
      <c r="F602" s="629"/>
      <c r="G602" s="629"/>
      <c r="H602" s="629"/>
      <c r="I602" s="630"/>
    </row>
    <row r="603" spans="1:13" x14ac:dyDescent="0.2">
      <c r="A603" s="601" t="s">
        <v>2116</v>
      </c>
      <c r="B603" s="602" t="s">
        <v>2117</v>
      </c>
      <c r="C603" s="603"/>
      <c r="D603" s="602" t="s">
        <v>2118</v>
      </c>
      <c r="E603" s="603"/>
      <c r="F603" s="631" t="s">
        <v>1635</v>
      </c>
      <c r="G603" s="631"/>
      <c r="H603" s="631"/>
      <c r="I603" s="603"/>
      <c r="J603" s="107"/>
      <c r="K603" s="107"/>
      <c r="L603" s="107"/>
      <c r="M603" s="107"/>
    </row>
    <row r="604" spans="1:13" ht="32.5" customHeight="1" x14ac:dyDescent="0.2">
      <c r="A604" s="605"/>
      <c r="B604" s="606"/>
      <c r="C604" s="607"/>
      <c r="D604" s="606"/>
      <c r="E604" s="607"/>
      <c r="F604" s="608" t="s">
        <v>2119</v>
      </c>
      <c r="G604" s="609"/>
      <c r="H604" s="608" t="s">
        <v>2120</v>
      </c>
      <c r="I604" s="609"/>
      <c r="J604" s="107"/>
    </row>
    <row r="605" spans="1:13" x14ac:dyDescent="0.2">
      <c r="A605" s="534" t="s">
        <v>1569</v>
      </c>
      <c r="B605" s="131">
        <v>469000</v>
      </c>
      <c r="C605" s="307"/>
      <c r="D605" s="552">
        <v>496361</v>
      </c>
      <c r="E605" s="307">
        <v>81</v>
      </c>
      <c r="F605" s="131"/>
      <c r="G605" s="307"/>
      <c r="H605" s="131">
        <v>27361</v>
      </c>
      <c r="I605" s="307">
        <v>81</v>
      </c>
      <c r="J605" s="321">
        <f>B605-D605</f>
        <v>-27361</v>
      </c>
    </row>
    <row r="606" spans="1:13" x14ac:dyDescent="0.2">
      <c r="A606" s="533" t="s">
        <v>1177</v>
      </c>
      <c r="B606" s="131">
        <v>984900</v>
      </c>
      <c r="C606" s="307"/>
      <c r="D606" s="552">
        <v>873704</v>
      </c>
      <c r="E606" s="307">
        <v>205</v>
      </c>
      <c r="F606" s="131">
        <v>111195</v>
      </c>
      <c r="G606" s="307">
        <v>795</v>
      </c>
      <c r="H606" s="131"/>
      <c r="I606" s="307"/>
      <c r="J606" s="321"/>
    </row>
    <row r="607" spans="1:13" x14ac:dyDescent="0.2">
      <c r="A607" s="534" t="s">
        <v>1573</v>
      </c>
      <c r="B607" s="131">
        <v>144000</v>
      </c>
      <c r="C607" s="307"/>
      <c r="D607" s="552">
        <v>20269</v>
      </c>
      <c r="E607" s="307">
        <v>568</v>
      </c>
      <c r="F607" s="131">
        <v>123730</v>
      </c>
      <c r="G607" s="307">
        <v>432</v>
      </c>
      <c r="H607" s="131"/>
      <c r="I607" s="307"/>
      <c r="J607" s="321"/>
    </row>
    <row r="608" spans="1:13" x14ac:dyDescent="0.2">
      <c r="A608" s="534" t="s">
        <v>1175</v>
      </c>
      <c r="B608" s="131">
        <v>59000</v>
      </c>
      <c r="C608" s="307"/>
      <c r="D608" s="552">
        <v>70346</v>
      </c>
      <c r="E608" s="307">
        <v>587</v>
      </c>
      <c r="F608" s="131"/>
      <c r="G608" s="307"/>
      <c r="H608" s="131">
        <v>11346</v>
      </c>
      <c r="I608" s="307">
        <v>587</v>
      </c>
      <c r="J608" s="321">
        <f>B608-D608</f>
        <v>-11346</v>
      </c>
    </row>
    <row r="609" spans="1:10" x14ac:dyDescent="0.2">
      <c r="A609" s="534" t="s">
        <v>1401</v>
      </c>
      <c r="B609" s="131">
        <v>91000</v>
      </c>
      <c r="C609" s="307"/>
      <c r="D609" s="552">
        <v>75422</v>
      </c>
      <c r="E609" s="307">
        <v>880</v>
      </c>
      <c r="F609" s="131">
        <v>15577</v>
      </c>
      <c r="G609" s="307">
        <v>120</v>
      </c>
      <c r="H609" s="131"/>
      <c r="I609" s="307"/>
      <c r="J609" s="321"/>
    </row>
    <row r="610" spans="1:10" x14ac:dyDescent="0.2">
      <c r="A610" s="534" t="s">
        <v>2100</v>
      </c>
      <c r="B610" s="131">
        <v>1220</v>
      </c>
      <c r="C610" s="307"/>
      <c r="D610" s="552">
        <v>12800</v>
      </c>
      <c r="E610" s="307"/>
      <c r="F610" s="131"/>
      <c r="G610" s="307"/>
      <c r="H610" s="131">
        <v>11580</v>
      </c>
      <c r="I610" s="307"/>
      <c r="J610" s="321">
        <f>B610-D610</f>
        <v>-11580</v>
      </c>
    </row>
    <row r="611" spans="1:10" x14ac:dyDescent="0.2">
      <c r="A611" s="534" t="s">
        <v>1807</v>
      </c>
      <c r="B611" s="131">
        <v>14400</v>
      </c>
      <c r="C611" s="307"/>
      <c r="D611" s="552">
        <v>3351</v>
      </c>
      <c r="E611" s="307"/>
      <c r="F611" s="131">
        <v>11049</v>
      </c>
      <c r="G611" s="307"/>
      <c r="H611" s="131"/>
      <c r="I611" s="307"/>
      <c r="J611" s="321"/>
    </row>
    <row r="612" spans="1:10" x14ac:dyDescent="0.2">
      <c r="A612" s="534" t="s">
        <v>2022</v>
      </c>
      <c r="B612" s="131"/>
      <c r="C612" s="307"/>
      <c r="D612" s="552">
        <v>2020</v>
      </c>
      <c r="E612" s="307">
        <v>808</v>
      </c>
      <c r="F612" s="131"/>
      <c r="G612" s="307"/>
      <c r="H612" s="136">
        <v>2020</v>
      </c>
      <c r="I612" s="307">
        <v>808</v>
      </c>
      <c r="J612" s="321">
        <f>B612-D612</f>
        <v>-2020</v>
      </c>
    </row>
    <row r="613" spans="1:10" x14ac:dyDescent="0.2">
      <c r="A613" s="534" t="s">
        <v>1809</v>
      </c>
      <c r="B613" s="131">
        <v>18100</v>
      </c>
      <c r="C613" s="307"/>
      <c r="D613" s="552">
        <v>2595</v>
      </c>
      <c r="E613" s="307">
        <v>557</v>
      </c>
      <c r="F613" s="131">
        <v>15504</v>
      </c>
      <c r="G613" s="307">
        <v>443</v>
      </c>
      <c r="H613" s="131"/>
      <c r="I613" s="307"/>
      <c r="J613" s="321"/>
    </row>
    <row r="614" spans="1:10" x14ac:dyDescent="0.2">
      <c r="A614" s="534" t="s">
        <v>2020</v>
      </c>
      <c r="B614" s="131">
        <v>8880</v>
      </c>
      <c r="C614" s="307">
        <v>628</v>
      </c>
      <c r="D614" s="552">
        <v>6727</v>
      </c>
      <c r="E614" s="307">
        <v>429</v>
      </c>
      <c r="F614" s="131">
        <v>2153</v>
      </c>
      <c r="G614" s="307">
        <v>199</v>
      </c>
      <c r="H614" s="131"/>
      <c r="I614" s="307"/>
      <c r="J614" s="321"/>
    </row>
    <row r="615" spans="1:10" x14ac:dyDescent="0.2">
      <c r="A615" s="534" t="s">
        <v>1421</v>
      </c>
      <c r="B615" s="131">
        <v>125000</v>
      </c>
      <c r="C615" s="307"/>
      <c r="D615" s="552">
        <v>94888</v>
      </c>
      <c r="E615" s="307">
        <v>992</v>
      </c>
      <c r="F615" s="131">
        <v>30111</v>
      </c>
      <c r="G615" s="307">
        <v>8</v>
      </c>
      <c r="H615" s="131"/>
      <c r="I615" s="307"/>
      <c r="J615" s="321"/>
    </row>
    <row r="616" spans="1:10" x14ac:dyDescent="0.2">
      <c r="A616" s="534" t="s">
        <v>1392</v>
      </c>
      <c r="B616" s="131">
        <v>330</v>
      </c>
      <c r="C616" s="307"/>
      <c r="D616" s="552"/>
      <c r="E616" s="307"/>
      <c r="F616" s="131">
        <v>330</v>
      </c>
      <c r="G616" s="307"/>
      <c r="H616" s="131"/>
      <c r="I616" s="307"/>
      <c r="J616" s="321"/>
    </row>
    <row r="617" spans="1:10" x14ac:dyDescent="0.2">
      <c r="A617" s="534" t="s">
        <v>1810</v>
      </c>
      <c r="B617" s="131">
        <v>180000</v>
      </c>
      <c r="C617" s="307"/>
      <c r="D617" s="552">
        <v>215502</v>
      </c>
      <c r="E617" s="307">
        <v>183</v>
      </c>
      <c r="F617" s="131"/>
      <c r="G617" s="307"/>
      <c r="H617" s="131">
        <v>35502</v>
      </c>
      <c r="I617" s="307">
        <v>183</v>
      </c>
      <c r="J617" s="321">
        <f>B617-D617</f>
        <v>-35502</v>
      </c>
    </row>
    <row r="618" spans="1:10" x14ac:dyDescent="0.2">
      <c r="A618" s="534" t="s">
        <v>1377</v>
      </c>
      <c r="B618" s="131">
        <v>141100</v>
      </c>
      <c r="C618" s="307"/>
      <c r="D618" s="552">
        <v>167591</v>
      </c>
      <c r="E618" s="307">
        <v>569</v>
      </c>
      <c r="F618" s="131"/>
      <c r="G618" s="307"/>
      <c r="H618" s="131">
        <v>26491</v>
      </c>
      <c r="I618" s="307">
        <v>569</v>
      </c>
      <c r="J618" s="321">
        <f>B618-D618</f>
        <v>-26491</v>
      </c>
    </row>
    <row r="619" spans="1:10" x14ac:dyDescent="0.2">
      <c r="A619" s="534" t="s">
        <v>1174</v>
      </c>
      <c r="B619" s="131">
        <v>988200</v>
      </c>
      <c r="C619" s="307"/>
      <c r="D619" s="552">
        <v>540238</v>
      </c>
      <c r="E619" s="307">
        <v>790</v>
      </c>
      <c r="F619" s="131">
        <v>447961</v>
      </c>
      <c r="G619" s="307">
        <v>210</v>
      </c>
      <c r="H619" s="131"/>
      <c r="I619" s="307"/>
      <c r="J619" s="321"/>
    </row>
    <row r="620" spans="1:10" x14ac:dyDescent="0.2">
      <c r="A620" s="534" t="s">
        <v>2099</v>
      </c>
      <c r="B620" s="131">
        <v>4000</v>
      </c>
      <c r="C620" s="307"/>
      <c r="D620" s="552">
        <v>3382</v>
      </c>
      <c r="E620" s="307">
        <v>708</v>
      </c>
      <c r="F620" s="131">
        <v>617</v>
      </c>
      <c r="G620" s="307">
        <v>292</v>
      </c>
      <c r="H620" s="131"/>
      <c r="I620" s="307"/>
      <c r="J620" s="321"/>
    </row>
    <row r="621" spans="1:10" x14ac:dyDescent="0.2">
      <c r="A621" s="534" t="s">
        <v>1811</v>
      </c>
      <c r="B621" s="131">
        <v>760</v>
      </c>
      <c r="C621" s="307"/>
      <c r="D621" s="552">
        <v>858</v>
      </c>
      <c r="E621" s="307">
        <v>375</v>
      </c>
      <c r="F621" s="131"/>
      <c r="G621" s="307"/>
      <c r="H621" s="131">
        <v>98</v>
      </c>
      <c r="I621" s="307">
        <v>375</v>
      </c>
      <c r="J621" s="321">
        <f>B621-D621</f>
        <v>-98</v>
      </c>
    </row>
    <row r="622" spans="1:10" x14ac:dyDescent="0.2">
      <c r="A622" s="534" t="s">
        <v>2015</v>
      </c>
      <c r="B622" s="131">
        <v>42800</v>
      </c>
      <c r="C622" s="307"/>
      <c r="D622" s="552">
        <v>24232</v>
      </c>
      <c r="E622" s="307">
        <v>910</v>
      </c>
      <c r="F622" s="131">
        <v>18567</v>
      </c>
      <c r="G622" s="307">
        <v>90</v>
      </c>
      <c r="H622" s="131"/>
      <c r="I622" s="307"/>
      <c r="J622" s="321"/>
    </row>
    <row r="623" spans="1:10" x14ac:dyDescent="0.2">
      <c r="A623" s="534" t="s">
        <v>1568</v>
      </c>
      <c r="B623" s="131">
        <v>22700</v>
      </c>
      <c r="C623" s="307"/>
      <c r="D623" s="552">
        <v>18767</v>
      </c>
      <c r="E623" s="307">
        <v>499</v>
      </c>
      <c r="F623" s="131">
        <v>3932</v>
      </c>
      <c r="G623" s="307">
        <v>501</v>
      </c>
      <c r="H623" s="131"/>
      <c r="I623" s="307"/>
      <c r="J623" s="321"/>
    </row>
    <row r="624" spans="1:10" x14ac:dyDescent="0.2">
      <c r="A624" s="534" t="s">
        <v>2016</v>
      </c>
      <c r="B624" s="131">
        <v>18000</v>
      </c>
      <c r="C624" s="307"/>
      <c r="D624" s="552">
        <v>11320</v>
      </c>
      <c r="E624" s="307">
        <v>173</v>
      </c>
      <c r="F624" s="131">
        <v>6679</v>
      </c>
      <c r="G624" s="307">
        <v>827</v>
      </c>
      <c r="H624" s="131"/>
      <c r="I624" s="307"/>
      <c r="J624" s="321"/>
    </row>
    <row r="625" spans="1:13" x14ac:dyDescent="0.2">
      <c r="A625" s="534" t="s">
        <v>1818</v>
      </c>
      <c r="B625" s="131">
        <v>3300</v>
      </c>
      <c r="C625" s="307"/>
      <c r="D625" s="552">
        <v>2215</v>
      </c>
      <c r="E625" s="307">
        <v>300</v>
      </c>
      <c r="F625" s="131">
        <v>1084</v>
      </c>
      <c r="G625" s="307">
        <v>700</v>
      </c>
      <c r="H625" s="131"/>
      <c r="I625" s="307"/>
      <c r="J625" s="321"/>
    </row>
    <row r="626" spans="1:13" x14ac:dyDescent="0.2">
      <c r="A626" s="534" t="s">
        <v>2121</v>
      </c>
      <c r="B626" s="131">
        <v>2096</v>
      </c>
      <c r="C626" s="307">
        <v>738</v>
      </c>
      <c r="D626" s="552">
        <v>132910</v>
      </c>
      <c r="E626" s="307">
        <v>984</v>
      </c>
      <c r="F626" s="131"/>
      <c r="G626" s="307"/>
      <c r="H626" s="136">
        <v>130814</v>
      </c>
      <c r="I626" s="307">
        <v>246</v>
      </c>
      <c r="J626" s="321">
        <f>B626-D626</f>
        <v>-130814</v>
      </c>
    </row>
    <row r="627" spans="1:13" ht="16" thickBot="1" x14ac:dyDescent="0.25">
      <c r="A627" s="632"/>
      <c r="B627" s="240">
        <v>3318787</v>
      </c>
      <c r="C627" s="513">
        <v>366</v>
      </c>
      <c r="D627" s="240">
        <v>2775508</v>
      </c>
      <c r="E627" s="513">
        <v>598</v>
      </c>
      <c r="F627" s="372">
        <v>788493</v>
      </c>
      <c r="G627" s="363">
        <v>617</v>
      </c>
      <c r="H627" s="372">
        <v>245214</v>
      </c>
      <c r="I627" s="363">
        <v>849</v>
      </c>
      <c r="J627" s="107"/>
    </row>
    <row r="628" spans="1:13" ht="16" thickTop="1" x14ac:dyDescent="0.2">
      <c r="A628" s="597"/>
      <c r="B628" s="417">
        <f t="shared" ref="B628:I628" si="9">+SUM(B605:B626)</f>
        <v>3318786</v>
      </c>
      <c r="C628" s="417">
        <f t="shared" si="9"/>
        <v>1366</v>
      </c>
      <c r="D628" s="417">
        <f t="shared" si="9"/>
        <v>2775498</v>
      </c>
      <c r="E628" s="417">
        <f t="shared" si="9"/>
        <v>10598</v>
      </c>
      <c r="F628" s="417">
        <f t="shared" si="9"/>
        <v>788489</v>
      </c>
      <c r="G628" s="417">
        <f t="shared" si="9"/>
        <v>4617</v>
      </c>
      <c r="H628" s="633">
        <f t="shared" si="9"/>
        <v>245212</v>
      </c>
      <c r="I628" s="634">
        <f t="shared" si="9"/>
        <v>2849</v>
      </c>
      <c r="J628" s="107"/>
    </row>
    <row r="629" spans="1:13" ht="21" customHeight="1" thickBot="1" x14ac:dyDescent="0.25">
      <c r="A629" s="635" t="s">
        <v>2122</v>
      </c>
      <c r="B629" s="636"/>
      <c r="C629" s="636"/>
      <c r="D629" s="636"/>
      <c r="E629" s="636"/>
      <c r="F629" s="637">
        <v>543278</v>
      </c>
      <c r="G629" s="637"/>
      <c r="H629" s="637">
        <v>768</v>
      </c>
      <c r="I629" s="638"/>
      <c r="J629" s="107"/>
      <c r="K629" s="107"/>
      <c r="L629" s="107"/>
      <c r="M629" s="107"/>
    </row>
    <row r="630" spans="1:13" ht="21" customHeight="1" thickTop="1" x14ac:dyDescent="0.2">
      <c r="A630" s="639"/>
      <c r="B630" s="640"/>
      <c r="C630" s="640"/>
      <c r="D630" s="640"/>
      <c r="E630" s="640"/>
      <c r="F630" s="641">
        <f>+F628-H628</f>
        <v>543277</v>
      </c>
      <c r="G630" s="641"/>
      <c r="H630" s="641">
        <f>+G628-I628</f>
        <v>1768</v>
      </c>
      <c r="I630" s="642"/>
      <c r="J630" s="107"/>
      <c r="K630" s="107"/>
      <c r="L630" s="107"/>
      <c r="M630" s="107"/>
    </row>
    <row r="631" spans="1:13" ht="46.25" customHeight="1" x14ac:dyDescent="0.2">
      <c r="A631" s="528" t="s">
        <v>1882</v>
      </c>
      <c r="B631" s="643"/>
      <c r="C631" s="643"/>
      <c r="D631" s="643"/>
      <c r="E631" s="643"/>
      <c r="F631" s="643"/>
      <c r="G631" s="643"/>
      <c r="H631" s="643"/>
      <c r="I631" s="529"/>
      <c r="J631" s="107"/>
      <c r="K631" s="107"/>
      <c r="L631" s="107"/>
      <c r="M631" s="107"/>
    </row>
    <row r="632" spans="1:13" x14ac:dyDescent="0.2">
      <c r="A632" s="601" t="s">
        <v>2123</v>
      </c>
      <c r="B632" s="631" t="s">
        <v>2117</v>
      </c>
      <c r="C632" s="631"/>
      <c r="D632" s="602" t="s">
        <v>2124</v>
      </c>
      <c r="E632" s="603"/>
      <c r="F632" s="631" t="s">
        <v>1635</v>
      </c>
      <c r="G632" s="631"/>
      <c r="H632" s="631"/>
      <c r="I632" s="603"/>
      <c r="J632" s="107"/>
      <c r="K632" s="107"/>
      <c r="L632" s="107"/>
      <c r="M632" s="107"/>
    </row>
    <row r="633" spans="1:13" ht="54" customHeight="1" x14ac:dyDescent="0.2">
      <c r="A633" s="605"/>
      <c r="B633" s="644"/>
      <c r="C633" s="644"/>
      <c r="D633" s="606"/>
      <c r="E633" s="607"/>
      <c r="F633" s="608" t="s">
        <v>2125</v>
      </c>
      <c r="G633" s="609"/>
      <c r="H633" s="608" t="s">
        <v>2126</v>
      </c>
      <c r="I633" s="609"/>
      <c r="J633" s="107"/>
      <c r="K633" s="107"/>
      <c r="L633" s="107"/>
      <c r="M633" s="107"/>
    </row>
    <row r="634" spans="1:13" ht="16.25" customHeight="1" x14ac:dyDescent="0.2">
      <c r="A634" s="645" t="s">
        <v>2040</v>
      </c>
      <c r="B634" s="646">
        <v>370560</v>
      </c>
      <c r="C634" s="646"/>
      <c r="D634" s="647">
        <v>319514</v>
      </c>
      <c r="E634" s="648">
        <v>53</v>
      </c>
      <c r="F634" s="649">
        <v>51045</v>
      </c>
      <c r="G634" s="650">
        <v>947</v>
      </c>
      <c r="H634" s="649"/>
      <c r="I634" s="650"/>
      <c r="J634" s="107"/>
      <c r="K634" s="107"/>
      <c r="L634" s="107"/>
      <c r="M634" s="107"/>
    </row>
    <row r="635" spans="1:13" x14ac:dyDescent="0.2">
      <c r="A635" s="534" t="s">
        <v>2041</v>
      </c>
      <c r="B635" s="145">
        <v>192311</v>
      </c>
      <c r="C635" s="145">
        <v>400</v>
      </c>
      <c r="D635" s="552">
        <v>164761</v>
      </c>
      <c r="E635" s="651">
        <v>759</v>
      </c>
      <c r="F635" s="131">
        <v>27549</v>
      </c>
      <c r="G635" s="307">
        <v>641</v>
      </c>
      <c r="H635" s="131"/>
      <c r="I635" s="307"/>
      <c r="J635" s="107"/>
      <c r="K635" s="107"/>
      <c r="L635" s="107"/>
      <c r="M635" s="107"/>
    </row>
    <row r="636" spans="1:13" x14ac:dyDescent="0.2">
      <c r="A636" s="534" t="s">
        <v>2108</v>
      </c>
      <c r="B636" s="145">
        <v>46782</v>
      </c>
      <c r="C636" s="145">
        <v>800</v>
      </c>
      <c r="D636" s="552">
        <v>48178</v>
      </c>
      <c r="E636" s="651">
        <v>655</v>
      </c>
      <c r="F636" s="131"/>
      <c r="G636" s="307"/>
      <c r="H636" s="131">
        <v>1395</v>
      </c>
      <c r="I636" s="307">
        <v>855</v>
      </c>
      <c r="J636" s="107"/>
      <c r="K636" s="107"/>
      <c r="L636" s="107"/>
      <c r="M636" s="107"/>
    </row>
    <row r="637" spans="1:13" x14ac:dyDescent="0.2">
      <c r="A637" s="534" t="s">
        <v>2043</v>
      </c>
      <c r="B637" s="145">
        <v>7507</v>
      </c>
      <c r="C637" s="145">
        <v>300</v>
      </c>
      <c r="D637" s="552">
        <v>2362</v>
      </c>
      <c r="E637" s="651">
        <v>26</v>
      </c>
      <c r="F637" s="131">
        <v>5145</v>
      </c>
      <c r="G637" s="307">
        <v>274</v>
      </c>
      <c r="H637" s="131"/>
      <c r="I637" s="307"/>
      <c r="J637" s="107"/>
      <c r="K637" s="107"/>
      <c r="L637" s="107"/>
      <c r="M637" s="107"/>
    </row>
    <row r="638" spans="1:13" x14ac:dyDescent="0.2">
      <c r="A638" s="534" t="s">
        <v>2044</v>
      </c>
      <c r="B638" s="145">
        <v>127095</v>
      </c>
      <c r="C638" s="145">
        <v>400</v>
      </c>
      <c r="D638" s="552">
        <v>105703</v>
      </c>
      <c r="E638" s="651">
        <v>67</v>
      </c>
      <c r="F638" s="131">
        <v>21392</v>
      </c>
      <c r="G638" s="307">
        <v>333</v>
      </c>
      <c r="H638" s="131"/>
      <c r="I638" s="307"/>
      <c r="J638" s="107"/>
      <c r="K638" s="107"/>
      <c r="L638" s="107"/>
      <c r="M638" s="107"/>
    </row>
    <row r="639" spans="1:13" x14ac:dyDescent="0.2">
      <c r="A639" s="534" t="s">
        <v>2045</v>
      </c>
      <c r="B639" s="145">
        <v>534297</v>
      </c>
      <c r="C639" s="145">
        <v>462</v>
      </c>
      <c r="D639" s="552">
        <v>383256</v>
      </c>
      <c r="E639" s="651">
        <v>317</v>
      </c>
      <c r="F639" s="131">
        <v>151041</v>
      </c>
      <c r="G639" s="307">
        <v>145</v>
      </c>
      <c r="H639" s="131"/>
      <c r="I639" s="307"/>
      <c r="J639" s="107"/>
      <c r="K639" s="107"/>
      <c r="L639" s="107"/>
      <c r="M639" s="107"/>
    </row>
    <row r="640" spans="1:13" x14ac:dyDescent="0.2">
      <c r="A640" s="534" t="s">
        <v>2055</v>
      </c>
      <c r="B640" s="145">
        <v>6745</v>
      </c>
      <c r="C640" s="145">
        <v>400</v>
      </c>
      <c r="D640" s="552">
        <v>4814</v>
      </c>
      <c r="E640" s="651">
        <v>14</v>
      </c>
      <c r="F640" s="131">
        <v>1931</v>
      </c>
      <c r="G640" s="307">
        <v>386</v>
      </c>
      <c r="H640" s="131"/>
      <c r="I640" s="307"/>
      <c r="J640" s="107"/>
      <c r="K640" s="107"/>
      <c r="L640" s="107"/>
      <c r="M640" s="107"/>
    </row>
    <row r="641" spans="1:13" x14ac:dyDescent="0.2">
      <c r="A641" s="534" t="s">
        <v>2046</v>
      </c>
      <c r="B641" s="145">
        <v>229235</v>
      </c>
      <c r="C641" s="145"/>
      <c r="D641" s="552">
        <v>122791</v>
      </c>
      <c r="E641" s="651">
        <v>13</v>
      </c>
      <c r="F641" s="131">
        <v>106443</v>
      </c>
      <c r="G641" s="307">
        <v>987</v>
      </c>
      <c r="H641" s="131"/>
      <c r="I641" s="307"/>
      <c r="J641" s="107"/>
      <c r="K641" s="107"/>
      <c r="L641" s="107"/>
      <c r="M641" s="107"/>
    </row>
    <row r="642" spans="1:13" x14ac:dyDescent="0.2">
      <c r="A642" s="534" t="s">
        <v>2109</v>
      </c>
      <c r="B642" s="145">
        <v>2880</v>
      </c>
      <c r="C642" s="145"/>
      <c r="D642" s="552">
        <v>1792</v>
      </c>
      <c r="E642" s="651">
        <v>790</v>
      </c>
      <c r="F642" s="131">
        <v>1087</v>
      </c>
      <c r="G642" s="307">
        <v>210</v>
      </c>
      <c r="H642" s="131"/>
      <c r="I642" s="307"/>
      <c r="J642" s="107"/>
      <c r="K642" s="107"/>
      <c r="L642" s="107"/>
      <c r="M642" s="107"/>
    </row>
    <row r="643" spans="1:13" x14ac:dyDescent="0.2">
      <c r="A643" s="534" t="s">
        <v>2047</v>
      </c>
      <c r="B643" s="145">
        <v>56320</v>
      </c>
      <c r="C643" s="145">
        <v>334</v>
      </c>
      <c r="D643" s="552">
        <v>32151</v>
      </c>
      <c r="E643" s="651">
        <v>347</v>
      </c>
      <c r="F643" s="131">
        <v>24168</v>
      </c>
      <c r="G643" s="307">
        <v>987</v>
      </c>
      <c r="H643" s="131"/>
      <c r="I643" s="307"/>
      <c r="J643" s="107"/>
      <c r="K643" s="107"/>
      <c r="L643" s="107"/>
      <c r="M643" s="107"/>
    </row>
    <row r="644" spans="1:13" x14ac:dyDescent="0.2">
      <c r="A644" s="534" t="s">
        <v>2048</v>
      </c>
      <c r="B644" s="145">
        <v>173217</v>
      </c>
      <c r="C644" s="145">
        <v>500</v>
      </c>
      <c r="D644" s="552">
        <v>95623</v>
      </c>
      <c r="E644" s="651">
        <v>876</v>
      </c>
      <c r="F644" s="131">
        <v>77593</v>
      </c>
      <c r="G644" s="307">
        <v>624</v>
      </c>
      <c r="H644" s="131"/>
      <c r="I644" s="307"/>
      <c r="J644" s="107"/>
      <c r="K644" s="107"/>
      <c r="L644" s="107"/>
      <c r="M644" s="107"/>
    </row>
    <row r="645" spans="1:13" x14ac:dyDescent="0.2">
      <c r="A645" s="534" t="s">
        <v>2049</v>
      </c>
      <c r="B645" s="145">
        <v>233487</v>
      </c>
      <c r="C645" s="145">
        <v>200</v>
      </c>
      <c r="D645" s="552">
        <v>145302</v>
      </c>
      <c r="E645" s="651">
        <v>565</v>
      </c>
      <c r="F645" s="131">
        <v>88184</v>
      </c>
      <c r="G645" s="307">
        <v>635</v>
      </c>
      <c r="H645" s="131"/>
      <c r="I645" s="307"/>
      <c r="J645" s="107"/>
      <c r="K645" s="107"/>
      <c r="L645" s="107"/>
      <c r="M645" s="107"/>
    </row>
    <row r="646" spans="1:13" x14ac:dyDescent="0.2">
      <c r="A646" s="534" t="s">
        <v>2110</v>
      </c>
      <c r="B646" s="145">
        <v>1269570</v>
      </c>
      <c r="C646" s="145">
        <v>479</v>
      </c>
      <c r="D646" s="552">
        <v>1191793</v>
      </c>
      <c r="E646" s="651"/>
      <c r="F646" s="131">
        <v>77777</v>
      </c>
      <c r="G646" s="307">
        <v>479</v>
      </c>
      <c r="H646" s="131"/>
      <c r="I646" s="307"/>
      <c r="J646" s="107"/>
      <c r="K646" s="107"/>
      <c r="L646" s="107"/>
      <c r="M646" s="107"/>
    </row>
    <row r="647" spans="1:13" ht="16" thickBot="1" x14ac:dyDescent="0.25">
      <c r="A647" s="632"/>
      <c r="B647" s="240">
        <v>3250010</v>
      </c>
      <c r="C647" s="318">
        <v>275</v>
      </c>
      <c r="D647" s="652">
        <v>2618044</v>
      </c>
      <c r="E647" s="653">
        <v>482</v>
      </c>
      <c r="F647" s="372">
        <v>633361</v>
      </c>
      <c r="G647" s="363">
        <v>648</v>
      </c>
      <c r="H647" s="372">
        <v>1395</v>
      </c>
      <c r="I647" s="363">
        <v>855</v>
      </c>
      <c r="J647" s="107"/>
      <c r="K647" s="107"/>
      <c r="L647" s="107"/>
      <c r="M647" s="107"/>
    </row>
    <row r="648" spans="1:13" ht="16" thickTop="1" x14ac:dyDescent="0.2">
      <c r="A648" s="597"/>
      <c r="B648" s="152">
        <f t="shared" ref="B648:I648" si="10">+SUM(B634:B646)</f>
        <v>3250006</v>
      </c>
      <c r="C648" s="152">
        <f t="shared" si="10"/>
        <v>4275</v>
      </c>
      <c r="D648" s="654">
        <f t="shared" si="10"/>
        <v>2618040</v>
      </c>
      <c r="E648" s="654">
        <f t="shared" si="10"/>
        <v>4482</v>
      </c>
      <c r="F648" s="152">
        <f t="shared" si="10"/>
        <v>633355</v>
      </c>
      <c r="G648" s="152">
        <f t="shared" si="10"/>
        <v>6648</v>
      </c>
      <c r="H648" s="152">
        <f t="shared" si="10"/>
        <v>1395</v>
      </c>
      <c r="I648" s="152">
        <f t="shared" si="10"/>
        <v>855</v>
      </c>
      <c r="J648" s="107"/>
      <c r="K648" s="107"/>
      <c r="L648" s="107"/>
      <c r="M648" s="107"/>
    </row>
    <row r="649" spans="1:13" ht="24.5" customHeight="1" thickBot="1" x14ac:dyDescent="0.25">
      <c r="A649" s="655" t="s">
        <v>2127</v>
      </c>
      <c r="B649" s="656"/>
      <c r="C649" s="656"/>
      <c r="D649" s="656"/>
      <c r="E649" s="656"/>
      <c r="F649" s="637">
        <v>631965</v>
      </c>
      <c r="G649" s="637"/>
      <c r="H649" s="637">
        <v>793</v>
      </c>
      <c r="I649" s="638"/>
      <c r="J649" s="107"/>
      <c r="K649" s="107"/>
      <c r="L649" s="107"/>
      <c r="M649" s="107"/>
    </row>
    <row r="650" spans="1:13" ht="24.5" customHeight="1" thickTop="1" x14ac:dyDescent="0.2">
      <c r="A650" s="657"/>
      <c r="B650" s="657"/>
      <c r="C650" s="657"/>
      <c r="D650" s="657"/>
      <c r="E650" s="657"/>
      <c r="F650" s="612">
        <f>+F647-H647</f>
        <v>631966</v>
      </c>
      <c r="G650" s="612"/>
      <c r="H650" s="612">
        <f>+G647-I647</f>
        <v>-207</v>
      </c>
      <c r="I650" s="612"/>
      <c r="J650" s="107"/>
      <c r="K650" s="107"/>
      <c r="L650" s="107"/>
      <c r="M650" s="107"/>
    </row>
    <row r="651" spans="1:13" x14ac:dyDescent="0.2">
      <c r="A651" s="141"/>
      <c r="B651" s="107"/>
      <c r="C651" s="107"/>
      <c r="D651" s="107"/>
      <c r="E651" s="107"/>
      <c r="F651" s="107"/>
      <c r="G651" s="107"/>
      <c r="H651" s="107"/>
      <c r="I651" s="107"/>
      <c r="J651" s="107"/>
      <c r="K651" s="107"/>
      <c r="L651" s="107"/>
      <c r="M651" s="107"/>
    </row>
    <row r="652" spans="1:13" x14ac:dyDescent="0.2">
      <c r="A652" s="141"/>
      <c r="B652" s="107"/>
      <c r="C652" s="107"/>
      <c r="D652" s="107"/>
      <c r="E652" s="107"/>
      <c r="F652" s="107"/>
      <c r="G652" s="107"/>
      <c r="H652" s="107"/>
      <c r="I652" s="107"/>
      <c r="J652" s="107"/>
      <c r="K652" s="107"/>
      <c r="L652" s="107"/>
      <c r="M652" s="107"/>
    </row>
    <row r="653" spans="1:13" x14ac:dyDescent="0.2">
      <c r="A653" s="141"/>
      <c r="B653" s="107"/>
      <c r="C653" s="107"/>
      <c r="D653" s="107"/>
      <c r="E653" s="107"/>
      <c r="F653" s="107"/>
      <c r="G653" s="107"/>
      <c r="H653" s="107"/>
      <c r="I653" s="107"/>
      <c r="J653" s="107"/>
      <c r="K653" s="107"/>
      <c r="L653" s="107"/>
      <c r="M653" s="107"/>
    </row>
    <row r="654" spans="1:13" x14ac:dyDescent="0.2">
      <c r="A654" s="526" t="s">
        <v>2128</v>
      </c>
      <c r="B654" s="107"/>
      <c r="C654" s="107"/>
      <c r="D654" s="107"/>
      <c r="E654" s="107"/>
      <c r="F654" s="107"/>
      <c r="G654" s="107"/>
      <c r="H654" s="107"/>
      <c r="I654" s="107"/>
      <c r="J654" s="107"/>
      <c r="K654" s="107"/>
      <c r="L654" s="107"/>
      <c r="M654" s="107"/>
    </row>
    <row r="655" spans="1:13" ht="45" customHeight="1" x14ac:dyDescent="0.2">
      <c r="A655" s="658" t="s">
        <v>2129</v>
      </c>
      <c r="B655" s="659"/>
      <c r="C655" s="659"/>
      <c r="D655" s="659"/>
      <c r="E655" s="659"/>
      <c r="F655" s="659"/>
      <c r="G655" s="659"/>
      <c r="H655" s="659"/>
      <c r="I655" s="660"/>
      <c r="J655" s="107"/>
      <c r="K655" s="107"/>
      <c r="L655" s="107"/>
      <c r="M655" s="107"/>
    </row>
    <row r="656" spans="1:13" ht="30" customHeight="1" x14ac:dyDescent="0.2">
      <c r="A656" s="661" t="s">
        <v>1881</v>
      </c>
      <c r="B656" s="662"/>
      <c r="C656" s="662"/>
      <c r="D656" s="662"/>
      <c r="E656" s="662"/>
      <c r="F656" s="662"/>
      <c r="G656" s="662"/>
      <c r="H656" s="662"/>
      <c r="I656" s="663"/>
      <c r="J656" s="107"/>
      <c r="K656" s="107"/>
      <c r="L656" s="107"/>
      <c r="M656" s="107"/>
    </row>
    <row r="657" spans="1:13" x14ac:dyDescent="0.2">
      <c r="A657" s="601" t="s">
        <v>2116</v>
      </c>
      <c r="B657" s="602" t="s">
        <v>2117</v>
      </c>
      <c r="C657" s="603"/>
      <c r="D657" s="602" t="s">
        <v>2118</v>
      </c>
      <c r="E657" s="603"/>
      <c r="F657" s="631" t="s">
        <v>1635</v>
      </c>
      <c r="G657" s="631"/>
      <c r="H657" s="631"/>
      <c r="I657" s="603"/>
      <c r="J657" s="107"/>
      <c r="K657" s="107"/>
      <c r="L657" s="107"/>
      <c r="M657" s="107"/>
    </row>
    <row r="658" spans="1:13" ht="51.5" customHeight="1" x14ac:dyDescent="0.2">
      <c r="A658" s="605"/>
      <c r="B658" s="606"/>
      <c r="C658" s="607"/>
      <c r="D658" s="606"/>
      <c r="E658" s="607"/>
      <c r="F658" s="608" t="s">
        <v>2130</v>
      </c>
      <c r="G658" s="609"/>
      <c r="H658" s="608" t="s">
        <v>2131</v>
      </c>
      <c r="I658" s="609"/>
      <c r="J658" s="107"/>
    </row>
    <row r="659" spans="1:13" x14ac:dyDescent="0.2">
      <c r="A659" s="534" t="s">
        <v>1177</v>
      </c>
      <c r="B659" s="131">
        <v>1032710</v>
      </c>
      <c r="C659" s="307">
        <v>500</v>
      </c>
      <c r="D659" s="131">
        <v>1221079</v>
      </c>
      <c r="E659" s="307">
        <v>549</v>
      </c>
      <c r="F659" s="131"/>
      <c r="G659" s="307"/>
      <c r="H659" s="131">
        <v>188369</v>
      </c>
      <c r="I659" s="307">
        <v>49</v>
      </c>
      <c r="L659" s="107"/>
    </row>
    <row r="660" spans="1:13" x14ac:dyDescent="0.2">
      <c r="A660" s="534" t="s">
        <v>1569</v>
      </c>
      <c r="B660" s="131">
        <v>568840</v>
      </c>
      <c r="C660" s="307"/>
      <c r="D660" s="131">
        <v>482993</v>
      </c>
      <c r="E660" s="307">
        <v>307</v>
      </c>
      <c r="F660" s="131">
        <v>85846</v>
      </c>
      <c r="G660" s="307">
        <v>693</v>
      </c>
      <c r="H660" s="131"/>
      <c r="I660" s="307"/>
      <c r="K660" s="106">
        <f>D660+E660/8</f>
        <v>483031.375</v>
      </c>
      <c r="L660" s="107"/>
    </row>
    <row r="661" spans="1:13" x14ac:dyDescent="0.2">
      <c r="A661" s="534" t="s">
        <v>1813</v>
      </c>
      <c r="B661" s="131">
        <v>100000</v>
      </c>
      <c r="C661" s="307"/>
      <c r="D661" s="131">
        <v>27831</v>
      </c>
      <c r="E661" s="307">
        <v>885</v>
      </c>
      <c r="F661" s="131">
        <v>72168</v>
      </c>
      <c r="G661" s="307">
        <v>115</v>
      </c>
      <c r="H661" s="131"/>
      <c r="I661" s="307"/>
      <c r="L661" s="107"/>
    </row>
    <row r="662" spans="1:13" x14ac:dyDescent="0.2">
      <c r="A662" s="534" t="s">
        <v>1175</v>
      </c>
      <c r="B662" s="131">
        <v>50000</v>
      </c>
      <c r="C662" s="307"/>
      <c r="D662" s="131">
        <v>124082</v>
      </c>
      <c r="E662" s="307">
        <v>659</v>
      </c>
      <c r="F662" s="131"/>
      <c r="G662" s="307"/>
      <c r="H662" s="131">
        <v>74082</v>
      </c>
      <c r="I662" s="307">
        <v>659</v>
      </c>
      <c r="L662" s="107"/>
    </row>
    <row r="663" spans="1:13" x14ac:dyDescent="0.2">
      <c r="A663" s="534" t="s">
        <v>1401</v>
      </c>
      <c r="B663" s="131">
        <v>100000</v>
      </c>
      <c r="C663" s="307"/>
      <c r="D663" s="131">
        <v>80252</v>
      </c>
      <c r="E663" s="307">
        <v>461</v>
      </c>
      <c r="F663" s="131">
        <v>19747</v>
      </c>
      <c r="G663" s="307">
        <v>539</v>
      </c>
      <c r="H663" s="131"/>
      <c r="I663" s="307"/>
      <c r="L663" s="107"/>
    </row>
    <row r="664" spans="1:13" x14ac:dyDescent="0.2">
      <c r="A664" s="534" t="s">
        <v>1808</v>
      </c>
      <c r="B664" s="131">
        <v>99516</v>
      </c>
      <c r="C664" s="307">
        <v>800</v>
      </c>
      <c r="D664" s="131">
        <v>17067</v>
      </c>
      <c r="E664" s="307">
        <v>606</v>
      </c>
      <c r="F664" s="131">
        <v>82449</v>
      </c>
      <c r="G664" s="307">
        <v>194</v>
      </c>
      <c r="H664" s="131"/>
      <c r="I664" s="307"/>
      <c r="L664" s="107"/>
    </row>
    <row r="665" spans="1:13" x14ac:dyDescent="0.2">
      <c r="A665" s="534" t="s">
        <v>1809</v>
      </c>
      <c r="B665" s="131">
        <v>18100</v>
      </c>
      <c r="C665" s="307"/>
      <c r="D665" s="131">
        <v>2339</v>
      </c>
      <c r="E665" s="307">
        <v>226</v>
      </c>
      <c r="F665" s="131">
        <v>15760</v>
      </c>
      <c r="G665" s="307">
        <v>774</v>
      </c>
      <c r="H665" s="131"/>
      <c r="I665" s="307"/>
      <c r="L665" s="107"/>
    </row>
    <row r="666" spans="1:13" x14ac:dyDescent="0.2">
      <c r="A666" s="534" t="s">
        <v>1814</v>
      </c>
      <c r="B666" s="131">
        <v>8900</v>
      </c>
      <c r="C666" s="307"/>
      <c r="D666" s="131">
        <v>10072</v>
      </c>
      <c r="E666" s="307">
        <v>165</v>
      </c>
      <c r="F666" s="131"/>
      <c r="G666" s="307"/>
      <c r="H666" s="131">
        <v>1172</v>
      </c>
      <c r="I666" s="307">
        <v>165</v>
      </c>
      <c r="L666" s="107"/>
    </row>
    <row r="667" spans="1:13" x14ac:dyDescent="0.2">
      <c r="A667" s="534" t="s">
        <v>1421</v>
      </c>
      <c r="B667" s="131">
        <v>120000</v>
      </c>
      <c r="C667" s="307"/>
      <c r="D667" s="131">
        <v>74920</v>
      </c>
      <c r="E667" s="307">
        <v>511</v>
      </c>
      <c r="F667" s="131">
        <v>45079</v>
      </c>
      <c r="G667" s="307">
        <v>489</v>
      </c>
      <c r="H667" s="131"/>
      <c r="I667" s="307"/>
      <c r="L667" s="107"/>
    </row>
    <row r="668" spans="1:13" x14ac:dyDescent="0.2">
      <c r="A668" s="534" t="s">
        <v>1392</v>
      </c>
      <c r="B668" s="131">
        <v>2000</v>
      </c>
      <c r="C668" s="307"/>
      <c r="D668" s="131">
        <v>458</v>
      </c>
      <c r="E668" s="307">
        <v>270</v>
      </c>
      <c r="F668" s="131">
        <v>1541</v>
      </c>
      <c r="G668" s="307">
        <v>730</v>
      </c>
      <c r="H668" s="131"/>
      <c r="I668" s="307"/>
      <c r="L668" s="107"/>
    </row>
    <row r="669" spans="1:13" x14ac:dyDescent="0.2">
      <c r="A669" s="534" t="s">
        <v>1810</v>
      </c>
      <c r="B669" s="131">
        <v>217500</v>
      </c>
      <c r="C669" s="307"/>
      <c r="D669" s="131">
        <v>236427</v>
      </c>
      <c r="E669" s="307">
        <v>477</v>
      </c>
      <c r="F669" s="131"/>
      <c r="G669" s="307"/>
      <c r="H669" s="131">
        <v>18927</v>
      </c>
      <c r="I669" s="307">
        <v>477</v>
      </c>
      <c r="L669" s="107"/>
    </row>
    <row r="670" spans="1:13" x14ac:dyDescent="0.2">
      <c r="A670" s="534" t="s">
        <v>1377</v>
      </c>
      <c r="B670" s="131">
        <v>153500</v>
      </c>
      <c r="C670" s="307"/>
      <c r="D670" s="131">
        <v>170141</v>
      </c>
      <c r="E670" s="307">
        <v>86</v>
      </c>
      <c r="F670" s="131"/>
      <c r="G670" s="307"/>
      <c r="H670" s="131">
        <v>16641</v>
      </c>
      <c r="I670" s="307">
        <v>86</v>
      </c>
      <c r="K670" s="107"/>
    </row>
    <row r="671" spans="1:13" x14ac:dyDescent="0.2">
      <c r="A671" s="534" t="s">
        <v>1174</v>
      </c>
      <c r="B671" s="131">
        <v>874666</v>
      </c>
      <c r="C671" s="307">
        <v>600</v>
      </c>
      <c r="D671" s="131">
        <v>687950</v>
      </c>
      <c r="E671" s="307">
        <v>379</v>
      </c>
      <c r="F671" s="131">
        <v>186716</v>
      </c>
      <c r="G671" s="307">
        <v>221</v>
      </c>
      <c r="H671" s="131"/>
      <c r="I671" s="307"/>
      <c r="J671" s="107"/>
      <c r="K671" s="107"/>
    </row>
    <row r="672" spans="1:13" x14ac:dyDescent="0.2">
      <c r="A672" s="534" t="s">
        <v>2099</v>
      </c>
      <c r="B672" s="131">
        <v>3700</v>
      </c>
      <c r="C672" s="307"/>
      <c r="D672" s="131">
        <v>3582</v>
      </c>
      <c r="E672" s="307">
        <v>15</v>
      </c>
      <c r="F672" s="131">
        <v>117</v>
      </c>
      <c r="G672" s="307">
        <v>985</v>
      </c>
      <c r="H672" s="131"/>
      <c r="I672" s="307"/>
      <c r="K672" s="107"/>
    </row>
    <row r="673" spans="1:13" x14ac:dyDescent="0.2">
      <c r="A673" s="534" t="s">
        <v>1811</v>
      </c>
      <c r="B673" s="131">
        <v>460</v>
      </c>
      <c r="C673" s="307"/>
      <c r="D673" s="131">
        <v>617</v>
      </c>
      <c r="E673" s="307">
        <v>940</v>
      </c>
      <c r="F673" s="131"/>
      <c r="G673" s="307"/>
      <c r="H673" s="131">
        <v>157</v>
      </c>
      <c r="I673" s="307">
        <v>940</v>
      </c>
      <c r="K673" s="107"/>
      <c r="L673" s="107"/>
      <c r="M673" s="107"/>
    </row>
    <row r="674" spans="1:13" x14ac:dyDescent="0.2">
      <c r="A674" s="534" t="s">
        <v>2015</v>
      </c>
      <c r="B674" s="131">
        <v>52675</v>
      </c>
      <c r="C674" s="307">
        <v>800</v>
      </c>
      <c r="D674" s="131">
        <v>22367</v>
      </c>
      <c r="E674" s="307">
        <v>877</v>
      </c>
      <c r="F674" s="131">
        <v>30307</v>
      </c>
      <c r="G674" s="307">
        <v>923</v>
      </c>
      <c r="H674" s="131"/>
      <c r="I674" s="307"/>
      <c r="K674" s="107"/>
      <c r="L674" s="107"/>
      <c r="M674" s="107"/>
    </row>
    <row r="675" spans="1:13" x14ac:dyDescent="0.2">
      <c r="A675" s="534" t="s">
        <v>1568</v>
      </c>
      <c r="B675" s="131">
        <v>17000</v>
      </c>
      <c r="C675" s="307"/>
      <c r="D675" s="131">
        <v>18868</v>
      </c>
      <c r="E675" s="307">
        <v>240</v>
      </c>
      <c r="F675" s="131"/>
      <c r="G675" s="307"/>
      <c r="H675" s="131">
        <v>1868</v>
      </c>
      <c r="I675" s="307">
        <v>240</v>
      </c>
      <c r="K675" s="107"/>
    </row>
    <row r="676" spans="1:13" x14ac:dyDescent="0.2">
      <c r="A676" s="534" t="s">
        <v>2016</v>
      </c>
      <c r="B676" s="131">
        <v>8000</v>
      </c>
      <c r="C676" s="307"/>
      <c r="D676" s="131">
        <v>11846</v>
      </c>
      <c r="E676" s="307">
        <v>899</v>
      </c>
      <c r="F676" s="131"/>
      <c r="G676" s="307"/>
      <c r="H676" s="131">
        <v>3846</v>
      </c>
      <c r="I676" s="307">
        <v>899</v>
      </c>
      <c r="K676" s="107"/>
    </row>
    <row r="677" spans="1:13" x14ac:dyDescent="0.2">
      <c r="A677" s="534" t="s">
        <v>1818</v>
      </c>
      <c r="B677" s="131">
        <v>4000</v>
      </c>
      <c r="C677" s="307"/>
      <c r="D677" s="131">
        <v>4922</v>
      </c>
      <c r="E677" s="307">
        <v>365</v>
      </c>
      <c r="F677" s="131"/>
      <c r="G677" s="307"/>
      <c r="H677" s="131">
        <v>922</v>
      </c>
      <c r="I677" s="307">
        <v>365</v>
      </c>
      <c r="K677" s="107"/>
    </row>
    <row r="678" spans="1:13" x14ac:dyDescent="0.2">
      <c r="A678" s="534" t="s">
        <v>2132</v>
      </c>
      <c r="B678" s="131">
        <v>7000</v>
      </c>
      <c r="C678" s="307"/>
      <c r="D678" s="131">
        <v>105346</v>
      </c>
      <c r="E678" s="307">
        <v>176</v>
      </c>
      <c r="F678" s="131"/>
      <c r="G678" s="307"/>
      <c r="H678" s="131">
        <v>98346</v>
      </c>
      <c r="I678" s="307">
        <v>176</v>
      </c>
      <c r="K678" s="107"/>
    </row>
    <row r="679" spans="1:13" x14ac:dyDescent="0.2">
      <c r="A679" s="534" t="s">
        <v>2022</v>
      </c>
      <c r="B679" s="131"/>
      <c r="C679" s="307"/>
      <c r="D679" s="131">
        <v>1628</v>
      </c>
      <c r="E679" s="307">
        <v>66</v>
      </c>
      <c r="F679" s="131"/>
      <c r="G679" s="307"/>
      <c r="H679" s="131">
        <v>1628</v>
      </c>
      <c r="I679" s="307">
        <v>66</v>
      </c>
      <c r="K679" s="107"/>
    </row>
    <row r="680" spans="1:13" x14ac:dyDescent="0.2">
      <c r="A680" s="534" t="s">
        <v>1807</v>
      </c>
      <c r="B680" s="131"/>
      <c r="C680" s="307"/>
      <c r="D680" s="131">
        <v>35335</v>
      </c>
      <c r="E680" s="307">
        <v>90</v>
      </c>
      <c r="F680" s="131"/>
      <c r="G680" s="307"/>
      <c r="H680" s="131">
        <v>35335</v>
      </c>
      <c r="I680" s="307">
        <v>90</v>
      </c>
      <c r="L680" s="107"/>
    </row>
    <row r="681" spans="1:13" ht="16" thickBot="1" x14ac:dyDescent="0.25">
      <c r="A681" s="632"/>
      <c r="B681" s="240">
        <v>3438569</v>
      </c>
      <c r="C681" s="513">
        <v>700</v>
      </c>
      <c r="D681" s="240">
        <v>3340131</v>
      </c>
      <c r="E681" s="513">
        <v>249</v>
      </c>
      <c r="F681" s="372">
        <v>539735</v>
      </c>
      <c r="G681" s="363">
        <v>663</v>
      </c>
      <c r="H681" s="372">
        <v>441297</v>
      </c>
      <c r="I681" s="363">
        <v>212</v>
      </c>
      <c r="J681" s="107"/>
    </row>
    <row r="682" spans="1:13" ht="16" thickTop="1" x14ac:dyDescent="0.2">
      <c r="A682" s="597"/>
      <c r="B682" s="417">
        <f t="shared" ref="B682:I682" si="11">+SUM(B659:B680)</f>
        <v>3438567</v>
      </c>
      <c r="C682" s="417">
        <f t="shared" si="11"/>
        <v>2700</v>
      </c>
      <c r="D682" s="417">
        <f t="shared" si="11"/>
        <v>3340122</v>
      </c>
      <c r="E682" s="417">
        <f t="shared" si="11"/>
        <v>9249</v>
      </c>
      <c r="F682" s="417">
        <f t="shared" si="11"/>
        <v>539730</v>
      </c>
      <c r="G682" s="417">
        <f t="shared" si="11"/>
        <v>5663</v>
      </c>
      <c r="H682" s="417">
        <f t="shared" si="11"/>
        <v>441293</v>
      </c>
      <c r="I682" s="634">
        <f t="shared" si="11"/>
        <v>4212</v>
      </c>
      <c r="J682" s="107"/>
      <c r="L682" s="107"/>
    </row>
    <row r="683" spans="1:13" ht="23" customHeight="1" thickBot="1" x14ac:dyDescent="0.25">
      <c r="A683" s="635" t="s">
        <v>2122</v>
      </c>
      <c r="B683" s="636"/>
      <c r="C683" s="636"/>
      <c r="D683" s="636"/>
      <c r="E683" s="636"/>
      <c r="F683" s="637">
        <v>98438</v>
      </c>
      <c r="G683" s="637"/>
      <c r="H683" s="637">
        <v>451</v>
      </c>
      <c r="I683" s="638"/>
      <c r="J683" s="107"/>
      <c r="L683" s="107"/>
    </row>
    <row r="684" spans="1:13" ht="23" customHeight="1" thickTop="1" x14ac:dyDescent="0.2">
      <c r="A684" s="639"/>
      <c r="B684" s="640"/>
      <c r="C684" s="640"/>
      <c r="D684" s="640"/>
      <c r="E684" s="640"/>
      <c r="F684" s="641">
        <f>+F682-H682</f>
        <v>98437</v>
      </c>
      <c r="G684" s="641"/>
      <c r="H684" s="641">
        <f>+G682-I682</f>
        <v>1451</v>
      </c>
      <c r="I684" s="642"/>
      <c r="J684" s="107"/>
      <c r="L684" s="107"/>
    </row>
    <row r="685" spans="1:13" ht="46.25" customHeight="1" x14ac:dyDescent="0.2">
      <c r="A685" s="664" t="s">
        <v>1882</v>
      </c>
      <c r="B685" s="665"/>
      <c r="C685" s="665"/>
      <c r="D685" s="665"/>
      <c r="E685" s="665"/>
      <c r="F685" s="665"/>
      <c r="G685" s="665"/>
      <c r="H685" s="665"/>
      <c r="I685" s="666"/>
      <c r="J685" s="107"/>
      <c r="K685" s="107"/>
    </row>
    <row r="686" spans="1:13" x14ac:dyDescent="0.2">
      <c r="A686" s="601" t="s">
        <v>2123</v>
      </c>
      <c r="B686" s="602" t="s">
        <v>2117</v>
      </c>
      <c r="C686" s="603"/>
      <c r="D686" s="602" t="s">
        <v>2124</v>
      </c>
      <c r="E686" s="603"/>
      <c r="F686" s="631" t="s">
        <v>1635</v>
      </c>
      <c r="G686" s="631"/>
      <c r="H686" s="631"/>
      <c r="I686" s="603"/>
      <c r="J686" s="107"/>
      <c r="K686" s="107"/>
      <c r="L686" s="107"/>
      <c r="M686" s="107"/>
    </row>
    <row r="687" spans="1:13" ht="54.5" customHeight="1" x14ac:dyDescent="0.2">
      <c r="A687" s="605"/>
      <c r="B687" s="606"/>
      <c r="C687" s="607"/>
      <c r="D687" s="606"/>
      <c r="E687" s="607"/>
      <c r="F687" s="608" t="s">
        <v>2133</v>
      </c>
      <c r="G687" s="609"/>
      <c r="H687" s="608" t="s">
        <v>2134</v>
      </c>
      <c r="I687" s="609"/>
      <c r="J687" s="107"/>
      <c r="K687" s="107"/>
      <c r="L687" s="107"/>
      <c r="M687" s="107"/>
    </row>
    <row r="688" spans="1:13" x14ac:dyDescent="0.2">
      <c r="A688" s="534" t="s">
        <v>2040</v>
      </c>
      <c r="B688" s="646">
        <v>546539</v>
      </c>
      <c r="C688" s="646">
        <v>840</v>
      </c>
      <c r="D688" s="649">
        <v>338643</v>
      </c>
      <c r="E688" s="650">
        <v>150</v>
      </c>
      <c r="F688" s="649">
        <v>207896</v>
      </c>
      <c r="G688" s="650">
        <v>690</v>
      </c>
      <c r="H688" s="649"/>
      <c r="I688" s="650"/>
      <c r="J688" s="107"/>
      <c r="K688" s="107"/>
      <c r="L688" s="107"/>
      <c r="M688" s="107"/>
    </row>
    <row r="689" spans="1:13" x14ac:dyDescent="0.2">
      <c r="A689" s="534" t="s">
        <v>2041</v>
      </c>
      <c r="B689" s="145">
        <v>218707</v>
      </c>
      <c r="C689" s="145">
        <v>200</v>
      </c>
      <c r="D689" s="131">
        <v>197203</v>
      </c>
      <c r="E689" s="307">
        <v>5</v>
      </c>
      <c r="F689" s="131">
        <v>21504</v>
      </c>
      <c r="G689" s="307">
        <v>195</v>
      </c>
      <c r="H689" s="131"/>
      <c r="I689" s="307"/>
      <c r="J689" s="107"/>
      <c r="K689" s="107"/>
      <c r="L689" s="107"/>
      <c r="M689" s="107"/>
    </row>
    <row r="690" spans="1:13" x14ac:dyDescent="0.2">
      <c r="A690" s="534" t="s">
        <v>2108</v>
      </c>
      <c r="B690" s="145">
        <v>49998</v>
      </c>
      <c r="C690" s="145">
        <v>660</v>
      </c>
      <c r="D690" s="131">
        <v>41060</v>
      </c>
      <c r="E690" s="307">
        <v>862</v>
      </c>
      <c r="F690" s="131">
        <v>8937</v>
      </c>
      <c r="G690" s="307">
        <v>798</v>
      </c>
      <c r="H690" s="131"/>
      <c r="I690" s="307"/>
      <c r="J690" s="107"/>
      <c r="K690" s="107"/>
      <c r="L690" s="107"/>
      <c r="M690" s="107"/>
    </row>
    <row r="691" spans="1:13" x14ac:dyDescent="0.2">
      <c r="A691" s="534" t="s">
        <v>2043</v>
      </c>
      <c r="B691" s="145">
        <v>32962</v>
      </c>
      <c r="C691" s="145">
        <v>400</v>
      </c>
      <c r="D691" s="131">
        <v>27029</v>
      </c>
      <c r="E691" s="307">
        <v>830</v>
      </c>
      <c r="F691" s="131">
        <v>5932</v>
      </c>
      <c r="G691" s="307">
        <v>570</v>
      </c>
      <c r="H691" s="131"/>
      <c r="I691" s="307"/>
      <c r="J691" s="107"/>
      <c r="K691" s="107"/>
      <c r="L691" s="107"/>
      <c r="M691" s="107"/>
    </row>
    <row r="692" spans="1:13" x14ac:dyDescent="0.2">
      <c r="A692" s="534" t="s">
        <v>2044</v>
      </c>
      <c r="B692" s="145">
        <v>109736</v>
      </c>
      <c r="C692" s="145">
        <v>100</v>
      </c>
      <c r="D692" s="131">
        <v>96626</v>
      </c>
      <c r="E692" s="307">
        <v>481</v>
      </c>
      <c r="F692" s="131">
        <v>13109</v>
      </c>
      <c r="G692" s="307">
        <v>619</v>
      </c>
      <c r="H692" s="131"/>
      <c r="I692" s="307"/>
      <c r="J692" s="107"/>
      <c r="K692" s="107"/>
      <c r="L692" s="107"/>
      <c r="M692" s="107"/>
    </row>
    <row r="693" spans="1:13" x14ac:dyDescent="0.2">
      <c r="A693" s="534" t="s">
        <v>2045</v>
      </c>
      <c r="B693" s="145">
        <v>406707</v>
      </c>
      <c r="C693" s="145">
        <v>175</v>
      </c>
      <c r="D693" s="131">
        <v>327213</v>
      </c>
      <c r="E693" s="307">
        <v>14</v>
      </c>
      <c r="F693" s="131">
        <v>79494</v>
      </c>
      <c r="G693" s="307">
        <v>161</v>
      </c>
      <c r="H693" s="131"/>
      <c r="I693" s="307"/>
      <c r="J693" s="107"/>
      <c r="K693" s="107"/>
      <c r="L693" s="107"/>
      <c r="M693" s="107"/>
    </row>
    <row r="694" spans="1:13" x14ac:dyDescent="0.2">
      <c r="A694" s="534" t="s">
        <v>2055</v>
      </c>
      <c r="B694" s="145">
        <v>7809</v>
      </c>
      <c r="C694" s="145">
        <v>435</v>
      </c>
      <c r="D694" s="131">
        <v>3995</v>
      </c>
      <c r="E694" s="307">
        <v>795</v>
      </c>
      <c r="F694" s="131">
        <v>3813</v>
      </c>
      <c r="G694" s="307">
        <v>640</v>
      </c>
      <c r="H694" s="131"/>
      <c r="I694" s="307"/>
      <c r="J694" s="107"/>
      <c r="K694" s="107"/>
      <c r="L694" s="107"/>
      <c r="M694" s="107"/>
    </row>
    <row r="695" spans="1:13" x14ac:dyDescent="0.2">
      <c r="A695" s="534" t="s">
        <v>2046</v>
      </c>
      <c r="B695" s="145">
        <v>324695</v>
      </c>
      <c r="C695" s="145">
        <v>700</v>
      </c>
      <c r="D695" s="131">
        <v>137293</v>
      </c>
      <c r="E695" s="307">
        <v>842</v>
      </c>
      <c r="F695" s="131">
        <v>187401</v>
      </c>
      <c r="G695" s="307">
        <v>858</v>
      </c>
      <c r="H695" s="131"/>
      <c r="I695" s="307"/>
      <c r="J695" s="107"/>
      <c r="K695" s="107"/>
      <c r="L695" s="107"/>
      <c r="M695" s="107"/>
    </row>
    <row r="696" spans="1:13" x14ac:dyDescent="0.2">
      <c r="A696" s="534" t="s">
        <v>2109</v>
      </c>
      <c r="B696" s="145">
        <v>2880</v>
      </c>
      <c r="C696" s="145"/>
      <c r="D696" s="131">
        <v>2724</v>
      </c>
      <c r="E696" s="307">
        <v>805</v>
      </c>
      <c r="F696" s="131">
        <v>155</v>
      </c>
      <c r="G696" s="307">
        <v>195</v>
      </c>
      <c r="H696" s="131"/>
      <c r="I696" s="307"/>
      <c r="J696" s="107"/>
      <c r="K696" s="107"/>
      <c r="L696" s="107"/>
      <c r="M696" s="107"/>
    </row>
    <row r="697" spans="1:13" x14ac:dyDescent="0.2">
      <c r="A697" s="534" t="s">
        <v>2047</v>
      </c>
      <c r="B697" s="145">
        <v>32890</v>
      </c>
      <c r="C697" s="145">
        <v>600</v>
      </c>
      <c r="D697" s="131">
        <v>38592</v>
      </c>
      <c r="E697" s="307">
        <v>104</v>
      </c>
      <c r="F697" s="131"/>
      <c r="G697" s="307"/>
      <c r="H697" s="131">
        <v>5701</v>
      </c>
      <c r="I697" s="307">
        <v>504</v>
      </c>
      <c r="J697" s="107" t="s">
        <v>2111</v>
      </c>
      <c r="K697" s="107"/>
      <c r="L697" s="107"/>
      <c r="M697" s="107"/>
    </row>
    <row r="698" spans="1:13" x14ac:dyDescent="0.2">
      <c r="A698" s="534" t="s">
        <v>2048</v>
      </c>
      <c r="B698" s="145">
        <v>167869</v>
      </c>
      <c r="C698" s="145">
        <v>600</v>
      </c>
      <c r="D698" s="131">
        <v>99496</v>
      </c>
      <c r="E698" s="307">
        <v>761</v>
      </c>
      <c r="F698" s="131">
        <v>68372</v>
      </c>
      <c r="G698" s="307">
        <v>839</v>
      </c>
      <c r="H698" s="131"/>
      <c r="I698" s="307"/>
      <c r="J698" s="107"/>
      <c r="K698" s="107"/>
      <c r="L698" s="107"/>
      <c r="M698" s="107"/>
    </row>
    <row r="699" spans="1:13" x14ac:dyDescent="0.2">
      <c r="A699" s="534" t="s">
        <v>2049</v>
      </c>
      <c r="B699" s="145">
        <v>216854</v>
      </c>
      <c r="C699" s="145">
        <v>450</v>
      </c>
      <c r="D699" s="131">
        <v>178517</v>
      </c>
      <c r="E699" s="307">
        <v>341</v>
      </c>
      <c r="F699" s="131">
        <v>38337</v>
      </c>
      <c r="G699" s="307">
        <v>109</v>
      </c>
      <c r="H699" s="131"/>
      <c r="I699" s="307"/>
      <c r="J699" s="107"/>
      <c r="K699" s="107"/>
      <c r="L699" s="107"/>
      <c r="M699" s="107"/>
    </row>
    <row r="700" spans="1:13" x14ac:dyDescent="0.2">
      <c r="A700" s="534" t="s">
        <v>2110</v>
      </c>
      <c r="B700" s="145">
        <v>1426652</v>
      </c>
      <c r="C700" s="145">
        <v>300</v>
      </c>
      <c r="D700" s="131">
        <v>987589</v>
      </c>
      <c r="E700" s="307">
        <v>695</v>
      </c>
      <c r="F700" s="131">
        <v>439062</v>
      </c>
      <c r="G700" s="307">
        <v>605</v>
      </c>
      <c r="H700" s="131"/>
      <c r="I700" s="307"/>
      <c r="J700" s="107"/>
      <c r="K700" s="107"/>
      <c r="L700" s="107"/>
      <c r="M700" s="107"/>
    </row>
    <row r="701" spans="1:13" ht="23.5" customHeight="1" thickBot="1" x14ac:dyDescent="0.25">
      <c r="A701" s="632"/>
      <c r="B701" s="240">
        <v>3544303</v>
      </c>
      <c r="C701" s="318">
        <v>460</v>
      </c>
      <c r="D701" s="240">
        <v>2475986</v>
      </c>
      <c r="E701" s="513">
        <v>685</v>
      </c>
      <c r="F701" s="372">
        <v>1074018</v>
      </c>
      <c r="G701" s="363">
        <v>279</v>
      </c>
      <c r="H701" s="372">
        <v>5701</v>
      </c>
      <c r="I701" s="363">
        <v>504</v>
      </c>
      <c r="J701" s="107"/>
      <c r="K701" s="107"/>
      <c r="L701" s="107"/>
      <c r="M701" s="107"/>
    </row>
    <row r="702" spans="1:13" ht="23.5" customHeight="1" thickTop="1" x14ac:dyDescent="0.2">
      <c r="A702" s="597"/>
      <c r="B702" s="152">
        <f t="shared" ref="B702:I702" si="12">+SUM(B688:B700)</f>
        <v>3544298</v>
      </c>
      <c r="C702" s="152">
        <f t="shared" si="12"/>
        <v>5460</v>
      </c>
      <c r="D702" s="152">
        <f t="shared" si="12"/>
        <v>2475980</v>
      </c>
      <c r="E702" s="152">
        <f t="shared" si="12"/>
        <v>6685</v>
      </c>
      <c r="F702" s="152">
        <f t="shared" si="12"/>
        <v>1074012</v>
      </c>
      <c r="G702" s="152">
        <f t="shared" si="12"/>
        <v>6279</v>
      </c>
      <c r="H702" s="152">
        <f t="shared" si="12"/>
        <v>5701</v>
      </c>
      <c r="I702" s="152">
        <f t="shared" si="12"/>
        <v>504</v>
      </c>
      <c r="J702" s="107"/>
      <c r="K702" s="107"/>
      <c r="L702" s="107"/>
      <c r="M702" s="107"/>
    </row>
    <row r="703" spans="1:13" ht="26" customHeight="1" thickBot="1" x14ac:dyDescent="0.25">
      <c r="A703" s="655" t="s">
        <v>2127</v>
      </c>
      <c r="B703" s="656"/>
      <c r="C703" s="656"/>
      <c r="D703" s="656"/>
      <c r="E703" s="656"/>
      <c r="F703" s="637">
        <v>1068316</v>
      </c>
      <c r="G703" s="637"/>
      <c r="H703" s="637">
        <v>775</v>
      </c>
      <c r="I703" s="638"/>
      <c r="J703" s="107"/>
      <c r="K703" s="107"/>
      <c r="L703" s="107"/>
      <c r="M703" s="107"/>
    </row>
    <row r="704" spans="1:13" ht="26" customHeight="1" thickTop="1" x14ac:dyDescent="0.2">
      <c r="A704" s="657"/>
      <c r="B704" s="657"/>
      <c r="C704" s="657"/>
      <c r="D704" s="657"/>
      <c r="E704" s="657"/>
      <c r="F704" s="612">
        <f>+F701-H701</f>
        <v>1068317</v>
      </c>
      <c r="G704" s="612"/>
      <c r="H704" s="612">
        <f>+G701-I701</f>
        <v>-225</v>
      </c>
      <c r="I704" s="612"/>
      <c r="J704" s="107"/>
      <c r="K704" s="107"/>
      <c r="L704" s="107"/>
      <c r="M704" s="107"/>
    </row>
    <row r="705" spans="1:14" ht="32" customHeight="1" x14ac:dyDescent="0.2">
      <c r="A705" s="667" t="s">
        <v>2135</v>
      </c>
      <c r="B705" s="668"/>
      <c r="C705" s="668"/>
      <c r="D705" s="668"/>
      <c r="E705" s="668"/>
      <c r="F705" s="668"/>
      <c r="G705" s="668"/>
      <c r="H705" s="668"/>
      <c r="I705" s="669"/>
      <c r="J705" s="107"/>
      <c r="K705" s="107"/>
      <c r="L705" s="107"/>
      <c r="M705" s="107"/>
    </row>
    <row r="706" spans="1:14" x14ac:dyDescent="0.2">
      <c r="A706" s="141"/>
      <c r="B706" s="107"/>
      <c r="C706" s="107"/>
      <c r="D706" s="107"/>
      <c r="E706" s="107"/>
      <c r="F706" s="107"/>
      <c r="G706" s="107"/>
      <c r="H706" s="107"/>
      <c r="I706" s="107"/>
      <c r="J706" s="107"/>
      <c r="K706" s="107"/>
      <c r="L706" s="107"/>
      <c r="M706" s="107"/>
    </row>
    <row r="707" spans="1:14" x14ac:dyDescent="0.2">
      <c r="A707" s="141"/>
      <c r="B707" s="107"/>
      <c r="C707" s="107"/>
      <c r="D707" s="107"/>
      <c r="E707" s="107"/>
      <c r="F707" s="107"/>
      <c r="G707" s="107"/>
      <c r="H707" s="107"/>
      <c r="I707" s="107"/>
      <c r="J707" s="107"/>
      <c r="K707" s="107"/>
      <c r="L707" s="107"/>
      <c r="M707" s="107"/>
    </row>
    <row r="708" spans="1:14" x14ac:dyDescent="0.2">
      <c r="A708" s="141"/>
      <c r="B708" s="107"/>
      <c r="C708" s="107"/>
      <c r="D708" s="107"/>
      <c r="E708" s="107"/>
      <c r="F708" s="107"/>
      <c r="G708" s="107"/>
      <c r="H708" s="107"/>
      <c r="I708" s="107"/>
      <c r="J708" s="107"/>
      <c r="K708" s="107"/>
      <c r="L708" s="107"/>
      <c r="M708" s="107"/>
    </row>
    <row r="709" spans="1:14" x14ac:dyDescent="0.2">
      <c r="A709" s="526" t="s">
        <v>2136</v>
      </c>
      <c r="B709" s="107"/>
      <c r="C709" s="107"/>
      <c r="D709" s="107"/>
      <c r="E709" s="107"/>
      <c r="F709" s="107"/>
      <c r="G709" s="107"/>
      <c r="H709" s="107"/>
      <c r="I709" s="107"/>
      <c r="J709" s="107"/>
      <c r="K709" s="107"/>
      <c r="L709" s="107"/>
      <c r="M709" s="107"/>
    </row>
    <row r="710" spans="1:14" ht="26.5" customHeight="1" x14ac:dyDescent="0.2">
      <c r="A710" s="670" t="s">
        <v>2137</v>
      </c>
      <c r="B710" s="671"/>
      <c r="C710" s="672"/>
      <c r="D710" s="672"/>
      <c r="E710" s="672"/>
      <c r="F710" s="672"/>
      <c r="G710" s="672"/>
      <c r="H710" s="672"/>
      <c r="I710" s="672"/>
      <c r="J710" s="673"/>
      <c r="K710" s="107"/>
      <c r="L710" s="107"/>
      <c r="M710" s="107"/>
      <c r="N710" s="107"/>
    </row>
    <row r="711" spans="1:14" ht="26.5" customHeight="1" x14ac:dyDescent="0.2">
      <c r="A711" s="674"/>
      <c r="B711" s="675"/>
      <c r="C711" s="354"/>
      <c r="D711" s="354"/>
      <c r="E711" s="354"/>
      <c r="F711" s="604"/>
      <c r="G711" s="353" t="s">
        <v>2138</v>
      </c>
      <c r="H711" s="604"/>
      <c r="I711" s="353" t="s">
        <v>2139</v>
      </c>
      <c r="J711" s="604"/>
      <c r="K711" s="107"/>
      <c r="L711" s="107"/>
      <c r="M711" s="107"/>
      <c r="N711" s="107"/>
    </row>
    <row r="712" spans="1:14" x14ac:dyDescent="0.2">
      <c r="A712" s="140">
        <v>182310</v>
      </c>
      <c r="B712" s="395">
        <v>932</v>
      </c>
      <c r="C712" s="481" t="s">
        <v>2140</v>
      </c>
      <c r="D712" s="481"/>
      <c r="E712" s="481"/>
      <c r="F712" s="676"/>
      <c r="G712" s="131">
        <v>510502</v>
      </c>
      <c r="H712" s="307">
        <v>950</v>
      </c>
      <c r="I712" s="131">
        <v>692813</v>
      </c>
      <c r="J712" s="307">
        <v>882</v>
      </c>
      <c r="K712" s="107"/>
      <c r="L712" s="107"/>
      <c r="M712" s="107"/>
      <c r="N712" s="107"/>
    </row>
    <row r="713" spans="1:14" x14ac:dyDescent="0.2">
      <c r="A713" s="140">
        <v>88687</v>
      </c>
      <c r="B713" s="395">
        <v>25</v>
      </c>
      <c r="C713" s="481" t="s">
        <v>2141</v>
      </c>
      <c r="D713" s="481"/>
      <c r="E713" s="481"/>
      <c r="F713" s="676"/>
      <c r="G713" s="131">
        <v>543278</v>
      </c>
      <c r="H713" s="307">
        <v>768</v>
      </c>
      <c r="I713" s="131">
        <v>631965</v>
      </c>
      <c r="J713" s="307">
        <v>793</v>
      </c>
      <c r="K713" s="107"/>
      <c r="L713" s="107"/>
      <c r="M713" s="107"/>
      <c r="N713" s="107"/>
    </row>
    <row r="714" spans="1:14" x14ac:dyDescent="0.2">
      <c r="A714" s="140">
        <v>969878</v>
      </c>
      <c r="B714" s="395">
        <v>324</v>
      </c>
      <c r="C714" s="481" t="s">
        <v>2142</v>
      </c>
      <c r="D714" s="481"/>
      <c r="E714" s="481"/>
      <c r="F714" s="676"/>
      <c r="G714" s="230">
        <v>98438</v>
      </c>
      <c r="H714" s="364">
        <v>451</v>
      </c>
      <c r="I714" s="230">
        <v>1068316</v>
      </c>
      <c r="J714" s="364">
        <v>775</v>
      </c>
      <c r="K714" s="107"/>
      <c r="L714" s="107"/>
      <c r="M714" s="107"/>
      <c r="N714" s="107"/>
    </row>
    <row r="715" spans="1:14" ht="16" thickBot="1" x14ac:dyDescent="0.25">
      <c r="A715" s="677">
        <v>1240876</v>
      </c>
      <c r="B715" s="678">
        <v>281</v>
      </c>
      <c r="C715" s="481"/>
      <c r="D715" s="481"/>
      <c r="E715" s="481"/>
      <c r="F715" s="676"/>
      <c r="G715" s="372">
        <v>1152220</v>
      </c>
      <c r="H715" s="362">
        <v>169</v>
      </c>
      <c r="I715" s="362">
        <v>2393096</v>
      </c>
      <c r="J715" s="363">
        <v>450</v>
      </c>
      <c r="K715" s="107"/>
      <c r="L715" s="107"/>
      <c r="M715" s="107"/>
      <c r="N715" s="107"/>
    </row>
    <row r="716" spans="1:14" ht="17" thickTop="1" thickBot="1" x14ac:dyDescent="0.25">
      <c r="A716" s="299">
        <f>+SUM(A712:A714)</f>
        <v>1240875</v>
      </c>
      <c r="B716" s="299">
        <f>+SUM(B712:B714)</f>
        <v>1281</v>
      </c>
      <c r="C716" s="495"/>
      <c r="D716" s="495"/>
      <c r="E716" s="495"/>
      <c r="F716" s="495"/>
      <c r="G716" s="138">
        <f>+SUM(G712:G714)</f>
        <v>1152218</v>
      </c>
      <c r="H716" s="138">
        <f>+SUM(H712:H714)</f>
        <v>2169</v>
      </c>
      <c r="I716" s="138">
        <f>+SUM(I712:I714)</f>
        <v>2393094</v>
      </c>
      <c r="J716" s="138">
        <f>+SUM(J712:J714)</f>
        <v>2450</v>
      </c>
      <c r="K716" s="107"/>
      <c r="L716" s="107"/>
      <c r="M716" s="107"/>
      <c r="N716" s="107"/>
    </row>
    <row r="717" spans="1:14" ht="16" thickTop="1" x14ac:dyDescent="0.2">
      <c r="A717" s="355" t="s">
        <v>2143</v>
      </c>
      <c r="B717" s="356"/>
      <c r="C717" s="356"/>
      <c r="D717" s="356"/>
      <c r="E717" s="356"/>
      <c r="F717" s="356"/>
      <c r="G717" s="679">
        <v>1240876</v>
      </c>
      <c r="H717" s="679"/>
      <c r="I717" s="679">
        <v>281</v>
      </c>
      <c r="J717" s="680"/>
      <c r="K717" s="107"/>
      <c r="L717" s="107"/>
      <c r="M717" s="107"/>
      <c r="N717" s="107"/>
    </row>
    <row r="718" spans="1:14" x14ac:dyDescent="0.2">
      <c r="A718" s="141"/>
      <c r="B718" s="107"/>
      <c r="C718" s="107"/>
      <c r="D718" s="107"/>
      <c r="E718" s="107"/>
      <c r="F718" s="107"/>
      <c r="G718" s="681">
        <f>+I716-G716</f>
        <v>1240876</v>
      </c>
      <c r="H718" s="681"/>
      <c r="I718" s="681">
        <f>+J716-H716</f>
        <v>281</v>
      </c>
      <c r="J718" s="681"/>
      <c r="K718" s="107"/>
      <c r="L718" s="107"/>
      <c r="M718" s="107"/>
    </row>
    <row r="719" spans="1:14" x14ac:dyDescent="0.2">
      <c r="A719" s="141"/>
      <c r="B719" s="107"/>
      <c r="C719" s="107"/>
      <c r="D719" s="107"/>
      <c r="E719" s="107"/>
      <c r="F719" s="107"/>
      <c r="G719" s="107"/>
      <c r="H719" s="107"/>
      <c r="I719" s="107"/>
      <c r="J719" s="107"/>
      <c r="K719" s="107"/>
      <c r="L719" s="107"/>
      <c r="M719" s="107"/>
    </row>
    <row r="720" spans="1:14" x14ac:dyDescent="0.2">
      <c r="A720" s="141"/>
      <c r="B720" s="107"/>
      <c r="C720" s="107"/>
      <c r="D720" s="107"/>
      <c r="E720" s="107"/>
      <c r="F720" s="107"/>
      <c r="G720" s="107"/>
      <c r="H720" s="107"/>
      <c r="I720" s="107"/>
      <c r="J720" s="107"/>
      <c r="K720" s="107"/>
      <c r="L720" s="107"/>
      <c r="M720" s="107"/>
    </row>
    <row r="721" spans="1:13" x14ac:dyDescent="0.2">
      <c r="A721" s="526" t="s">
        <v>2144</v>
      </c>
      <c r="B721" s="107"/>
      <c r="C721" s="107"/>
      <c r="D721" s="107"/>
      <c r="E721" s="107"/>
      <c r="F721" s="107"/>
      <c r="G721" s="107"/>
      <c r="H721" s="107"/>
      <c r="I721" s="107"/>
      <c r="J721" s="107"/>
      <c r="K721" s="107"/>
      <c r="L721" s="107"/>
      <c r="M721" s="107"/>
    </row>
    <row r="722" spans="1:13" ht="58.25" customHeight="1" x14ac:dyDescent="0.2">
      <c r="A722" s="682" t="s">
        <v>2145</v>
      </c>
      <c r="B722" s="682"/>
      <c r="C722" s="682"/>
      <c r="D722" s="107"/>
      <c r="E722" s="107"/>
      <c r="F722" s="107"/>
      <c r="G722" s="107"/>
      <c r="H722" s="107"/>
      <c r="I722" s="107"/>
      <c r="J722" s="107"/>
      <c r="K722" s="107"/>
      <c r="L722" s="107"/>
      <c r="M722" s="107"/>
    </row>
    <row r="723" spans="1:13" ht="28.25" customHeight="1" x14ac:dyDescent="0.2">
      <c r="A723" s="573" t="s">
        <v>2146</v>
      </c>
      <c r="B723" s="573"/>
      <c r="C723" s="573"/>
      <c r="D723" s="107"/>
      <c r="E723" s="107"/>
      <c r="F723" s="107"/>
      <c r="G723" s="107"/>
      <c r="H723" s="107"/>
      <c r="I723" s="107"/>
      <c r="J723" s="107"/>
      <c r="K723" s="107"/>
      <c r="L723" s="107"/>
      <c r="M723" s="107"/>
    </row>
    <row r="724" spans="1:13" x14ac:dyDescent="0.2">
      <c r="A724" s="141" t="s">
        <v>2147</v>
      </c>
      <c r="B724" s="107">
        <v>3215564</v>
      </c>
      <c r="C724" s="107">
        <v>540</v>
      </c>
      <c r="D724" s="107"/>
      <c r="E724" s="107"/>
      <c r="F724" s="107"/>
      <c r="G724" s="107"/>
      <c r="H724" s="107"/>
      <c r="I724" s="107"/>
      <c r="J724" s="107"/>
      <c r="K724" s="107"/>
      <c r="L724" s="107"/>
      <c r="M724" s="107"/>
    </row>
    <row r="725" spans="1:13" ht="16" thickBot="1" x14ac:dyDescent="0.25">
      <c r="A725" s="141" t="s">
        <v>2148</v>
      </c>
      <c r="B725" s="187">
        <v>3476751</v>
      </c>
      <c r="C725" s="187">
        <v>400</v>
      </c>
      <c r="D725" s="107"/>
      <c r="E725" s="107"/>
      <c r="F725" s="107"/>
      <c r="G725" s="107"/>
      <c r="H725" s="107"/>
      <c r="I725" s="107"/>
      <c r="J725" s="107"/>
      <c r="K725" s="107"/>
      <c r="L725" s="107"/>
      <c r="M725" s="107"/>
    </row>
    <row r="726" spans="1:13" x14ac:dyDescent="0.2">
      <c r="A726" s="141" t="s">
        <v>2149</v>
      </c>
      <c r="B726" s="107">
        <v>261186</v>
      </c>
      <c r="C726" s="107">
        <v>860</v>
      </c>
      <c r="D726" s="107"/>
      <c r="E726" s="107"/>
      <c r="F726" s="107"/>
      <c r="G726" s="107"/>
      <c r="H726" s="107"/>
      <c r="I726" s="107"/>
      <c r="J726" s="107"/>
      <c r="K726" s="107"/>
      <c r="L726" s="107"/>
      <c r="M726" s="107"/>
    </row>
    <row r="727" spans="1:13" ht="16" thickBot="1" x14ac:dyDescent="0.25">
      <c r="A727" s="141" t="s">
        <v>2150</v>
      </c>
      <c r="B727" s="187">
        <v>182310</v>
      </c>
      <c r="C727" s="187">
        <v>932</v>
      </c>
      <c r="D727" s="107"/>
      <c r="E727" s="107"/>
      <c r="F727" s="107"/>
      <c r="G727" s="107"/>
      <c r="H727" s="107"/>
      <c r="I727" s="107"/>
      <c r="J727" s="107"/>
      <c r="K727" s="107"/>
      <c r="L727" s="107"/>
      <c r="M727" s="107"/>
    </row>
    <row r="728" spans="1:13" ht="45" x14ac:dyDescent="0.2">
      <c r="A728" s="683" t="s">
        <v>2151</v>
      </c>
      <c r="B728" s="107"/>
      <c r="C728" s="107"/>
      <c r="D728" s="107"/>
      <c r="E728" s="107"/>
      <c r="F728" s="107"/>
      <c r="G728" s="107"/>
      <c r="H728" s="107"/>
      <c r="I728" s="107"/>
      <c r="J728" s="107"/>
      <c r="K728" s="107"/>
      <c r="L728" s="107"/>
      <c r="M728" s="107"/>
    </row>
    <row r="729" spans="1:13" ht="16" thickBot="1" x14ac:dyDescent="0.25">
      <c r="A729" s="141" t="s">
        <v>2152</v>
      </c>
      <c r="B729" s="187">
        <v>78875</v>
      </c>
      <c r="C729" s="187">
        <v>928</v>
      </c>
      <c r="D729" s="107"/>
      <c r="E729" s="107"/>
      <c r="F729" s="107"/>
      <c r="G729" s="107"/>
      <c r="H729" s="107"/>
      <c r="I729" s="107"/>
      <c r="J729" s="107"/>
      <c r="K729" s="107"/>
      <c r="L729" s="107"/>
      <c r="M729" s="107"/>
    </row>
    <row r="730" spans="1:13" x14ac:dyDescent="0.2">
      <c r="A730" s="141" t="s">
        <v>2153</v>
      </c>
      <c r="B730" s="107">
        <v>3318787</v>
      </c>
      <c r="C730" s="107">
        <v>366</v>
      </c>
      <c r="D730" s="107"/>
      <c r="E730" s="107"/>
      <c r="F730" s="107"/>
      <c r="G730" s="107"/>
      <c r="H730" s="107"/>
      <c r="I730" s="107"/>
      <c r="J730" s="107"/>
      <c r="K730" s="107"/>
      <c r="L730" s="107"/>
      <c r="M730" s="107"/>
    </row>
    <row r="731" spans="1:13" ht="16" thickBot="1" x14ac:dyDescent="0.25">
      <c r="A731" s="141" t="s">
        <v>2154</v>
      </c>
      <c r="B731" s="187">
        <v>3250010</v>
      </c>
      <c r="C731" s="187">
        <v>275</v>
      </c>
      <c r="D731" s="107"/>
      <c r="E731" s="107"/>
      <c r="F731" s="107"/>
      <c r="G731" s="107"/>
      <c r="H731" s="107"/>
      <c r="I731" s="107"/>
      <c r="J731" s="107"/>
      <c r="K731" s="107"/>
      <c r="L731" s="107"/>
      <c r="M731" s="107"/>
    </row>
    <row r="732" spans="1:13" x14ac:dyDescent="0.2">
      <c r="A732" s="141" t="s">
        <v>2155</v>
      </c>
      <c r="B732" s="107">
        <v>6877</v>
      </c>
      <c r="C732" s="107">
        <v>91</v>
      </c>
      <c r="D732" s="107"/>
      <c r="E732" s="107"/>
      <c r="F732" s="107"/>
      <c r="G732" s="107"/>
      <c r="H732" s="107"/>
      <c r="I732" s="107"/>
      <c r="J732" s="107"/>
      <c r="K732" s="107"/>
      <c r="L732" s="107"/>
      <c r="M732" s="107"/>
    </row>
    <row r="733" spans="1:13" x14ac:dyDescent="0.2">
      <c r="A733" s="141" t="s">
        <v>2156</v>
      </c>
      <c r="B733" s="107">
        <v>88687</v>
      </c>
      <c r="C733" s="107">
        <v>25</v>
      </c>
      <c r="D733" s="107"/>
      <c r="E733" s="107"/>
      <c r="F733" s="107"/>
      <c r="G733" s="107"/>
      <c r="H733" s="107"/>
      <c r="I733" s="107"/>
      <c r="J733" s="107"/>
      <c r="K733" s="107"/>
      <c r="L733" s="107"/>
      <c r="M733" s="107"/>
    </row>
    <row r="734" spans="1:13" ht="31" thickBot="1" x14ac:dyDescent="0.25">
      <c r="A734" s="683" t="s">
        <v>2157</v>
      </c>
      <c r="B734" s="187"/>
      <c r="C734" s="187"/>
      <c r="D734" s="107"/>
      <c r="E734" s="107"/>
      <c r="F734" s="107"/>
      <c r="G734" s="107"/>
      <c r="H734" s="107"/>
      <c r="I734" s="107"/>
      <c r="J734" s="107"/>
      <c r="K734" s="107"/>
      <c r="L734" s="107"/>
      <c r="M734" s="107"/>
    </row>
    <row r="735" spans="1:13" ht="23" customHeight="1" thickBot="1" x14ac:dyDescent="0.25">
      <c r="A735" s="141" t="s">
        <v>2158</v>
      </c>
      <c r="B735" s="448">
        <v>157464</v>
      </c>
      <c r="C735" s="448">
        <v>116</v>
      </c>
      <c r="D735" s="107"/>
      <c r="E735" s="107"/>
      <c r="F735" s="107"/>
      <c r="G735" s="107"/>
      <c r="H735" s="107"/>
      <c r="I735" s="107"/>
      <c r="J735" s="107"/>
      <c r="K735" s="107"/>
      <c r="L735" s="107"/>
      <c r="M735" s="107"/>
    </row>
    <row r="736" spans="1:13" x14ac:dyDescent="0.2">
      <c r="A736" s="141" t="s">
        <v>2159</v>
      </c>
      <c r="B736" s="107">
        <v>3438569</v>
      </c>
      <c r="C736" s="107">
        <v>700</v>
      </c>
      <c r="D736" s="107"/>
      <c r="E736" s="107"/>
      <c r="F736" s="107"/>
      <c r="G736" s="107"/>
      <c r="H736" s="107"/>
      <c r="I736" s="107"/>
      <c r="J736" s="107"/>
      <c r="K736" s="107"/>
      <c r="L736" s="107"/>
      <c r="M736" s="107"/>
    </row>
    <row r="737" spans="1:13" ht="16" thickBot="1" x14ac:dyDescent="0.25">
      <c r="A737" s="141" t="s">
        <v>2160</v>
      </c>
      <c r="B737" s="187">
        <v>3544303</v>
      </c>
      <c r="C737" s="187">
        <v>460</v>
      </c>
      <c r="D737" s="107"/>
      <c r="E737" s="107"/>
      <c r="F737" s="107"/>
      <c r="G737" s="107"/>
      <c r="H737" s="107"/>
      <c r="I737" s="107"/>
      <c r="J737" s="107"/>
      <c r="K737" s="107"/>
      <c r="L737" s="107"/>
      <c r="M737" s="107"/>
    </row>
    <row r="738" spans="1:13" x14ac:dyDescent="0.2">
      <c r="A738" s="141" t="s">
        <v>2149</v>
      </c>
      <c r="B738" s="107">
        <v>105733</v>
      </c>
      <c r="C738" s="107">
        <v>760</v>
      </c>
      <c r="D738" s="107"/>
      <c r="E738" s="107"/>
      <c r="F738" s="107"/>
      <c r="G738" s="107"/>
      <c r="H738" s="107"/>
      <c r="I738" s="107"/>
      <c r="J738" s="107"/>
      <c r="K738" s="107"/>
      <c r="L738" s="107"/>
      <c r="M738" s="107"/>
    </row>
    <row r="739" spans="1:13" x14ac:dyDescent="0.2">
      <c r="A739" s="141" t="s">
        <v>2161</v>
      </c>
      <c r="B739" s="107">
        <v>969878</v>
      </c>
      <c r="C739" s="107">
        <v>324</v>
      </c>
      <c r="D739" s="107"/>
      <c r="E739" s="107"/>
      <c r="F739" s="107"/>
      <c r="G739" s="107"/>
      <c r="H739" s="107"/>
      <c r="I739" s="107"/>
      <c r="J739" s="107"/>
      <c r="K739" s="107"/>
      <c r="L739" s="107"/>
      <c r="M739" s="107"/>
    </row>
    <row r="740" spans="1:13" ht="31" thickBot="1" x14ac:dyDescent="0.25">
      <c r="A740" s="683" t="s">
        <v>2157</v>
      </c>
      <c r="B740" s="187"/>
      <c r="C740" s="187"/>
      <c r="D740" s="107"/>
      <c r="E740" s="107"/>
      <c r="F740" s="107"/>
      <c r="G740" s="107"/>
      <c r="H740" s="107"/>
      <c r="I740" s="107"/>
      <c r="J740" s="107"/>
      <c r="K740" s="107"/>
      <c r="L740" s="107"/>
      <c r="M740" s="107"/>
    </row>
    <row r="741" spans="1:13" ht="26.5" customHeight="1" thickBot="1" x14ac:dyDescent="0.25">
      <c r="A741" s="141" t="s">
        <v>2162</v>
      </c>
      <c r="B741" s="448">
        <v>864144</v>
      </c>
      <c r="C741" s="448">
        <v>564</v>
      </c>
      <c r="D741" s="107"/>
      <c r="E741" s="107"/>
      <c r="F741" s="107"/>
      <c r="G741" s="107"/>
      <c r="H741" s="107"/>
      <c r="I741" s="107"/>
      <c r="J741" s="107"/>
      <c r="K741" s="107"/>
      <c r="L741" s="107"/>
      <c r="M741" s="107"/>
    </row>
    <row r="742" spans="1:13" ht="33" customHeight="1" x14ac:dyDescent="0.2">
      <c r="A742" s="573" t="s">
        <v>2086</v>
      </c>
      <c r="B742" s="573"/>
      <c r="C742" s="573"/>
      <c r="D742" s="107"/>
      <c r="E742" s="107"/>
      <c r="F742" s="107"/>
      <c r="G742" s="107"/>
      <c r="H742" s="107"/>
      <c r="I742" s="107"/>
      <c r="J742" s="107"/>
      <c r="K742" s="107"/>
      <c r="L742" s="107"/>
      <c r="M742" s="107"/>
    </row>
    <row r="743" spans="1:13" x14ac:dyDescent="0.2">
      <c r="A743" s="141" t="s">
        <v>2163</v>
      </c>
      <c r="B743" s="107">
        <v>157464</v>
      </c>
      <c r="C743" s="107">
        <v>116</v>
      </c>
      <c r="D743" s="107"/>
      <c r="E743" s="107"/>
      <c r="F743" s="107"/>
      <c r="G743" s="107"/>
      <c r="H743" s="107"/>
      <c r="I743" s="107"/>
      <c r="J743" s="107"/>
      <c r="K743" s="107"/>
      <c r="L743" s="107"/>
      <c r="M743" s="107"/>
    </row>
    <row r="744" spans="1:13" ht="16" thickBot="1" x14ac:dyDescent="0.25">
      <c r="A744" s="141" t="s">
        <v>2164</v>
      </c>
      <c r="B744" s="187">
        <v>864144</v>
      </c>
      <c r="C744" s="187">
        <v>564</v>
      </c>
      <c r="D744" s="107"/>
      <c r="E744" s="107"/>
      <c r="F744" s="107"/>
      <c r="G744" s="107"/>
      <c r="H744" s="107"/>
      <c r="I744" s="107"/>
      <c r="J744" s="107"/>
      <c r="K744" s="107"/>
      <c r="L744" s="107"/>
      <c r="M744" s="107"/>
    </row>
    <row r="745" spans="1:13" x14ac:dyDescent="0.2">
      <c r="A745" s="141" t="s">
        <v>2165</v>
      </c>
      <c r="B745" s="107">
        <v>1021608</v>
      </c>
      <c r="C745" s="107">
        <v>680</v>
      </c>
      <c r="D745" s="107"/>
      <c r="E745" s="107"/>
      <c r="F745" s="107"/>
      <c r="G745" s="107"/>
      <c r="H745" s="107"/>
      <c r="I745" s="107"/>
      <c r="J745" s="107"/>
      <c r="K745" s="107"/>
      <c r="L745" s="107"/>
      <c r="M745" s="107"/>
    </row>
    <row r="746" spans="1:13" ht="16" thickBot="1" x14ac:dyDescent="0.25">
      <c r="A746" s="141" t="s">
        <v>2166</v>
      </c>
      <c r="B746" s="187">
        <v>78875</v>
      </c>
      <c r="C746" s="187">
        <v>928</v>
      </c>
      <c r="D746" s="107"/>
      <c r="E746" s="107"/>
      <c r="F746" s="107"/>
      <c r="G746" s="107"/>
      <c r="H746" s="107"/>
      <c r="I746" s="107"/>
      <c r="J746" s="107"/>
      <c r="K746" s="107"/>
      <c r="L746" s="107"/>
      <c r="M746" s="107"/>
    </row>
    <row r="747" spans="1:13" ht="27" customHeight="1" x14ac:dyDescent="0.2">
      <c r="A747" s="684" t="s">
        <v>2167</v>
      </c>
      <c r="B747" s="684"/>
      <c r="C747" s="684"/>
      <c r="D747" s="107"/>
      <c r="E747" s="107"/>
      <c r="F747" s="107"/>
      <c r="G747" s="107"/>
      <c r="H747" s="107"/>
      <c r="I747" s="107"/>
      <c r="J747" s="107"/>
      <c r="K747" s="107"/>
      <c r="L747" s="107"/>
      <c r="M747" s="107"/>
    </row>
    <row r="748" spans="1:13" x14ac:dyDescent="0.2">
      <c r="A748" s="141" t="s">
        <v>2168</v>
      </c>
      <c r="B748" s="107">
        <v>425979</v>
      </c>
      <c r="C748" s="107">
        <v>817</v>
      </c>
      <c r="D748" s="107"/>
      <c r="E748" s="107"/>
      <c r="F748" s="107"/>
      <c r="G748" s="107"/>
      <c r="H748" s="107"/>
      <c r="I748" s="107"/>
      <c r="J748" s="107"/>
      <c r="K748" s="107"/>
      <c r="L748" s="107"/>
      <c r="M748" s="107"/>
    </row>
    <row r="749" spans="1:13" ht="31" thickBot="1" x14ac:dyDescent="0.25">
      <c r="A749" s="683" t="s">
        <v>2169</v>
      </c>
      <c r="B749" s="187">
        <v>30702</v>
      </c>
      <c r="C749" s="187">
        <v>430</v>
      </c>
      <c r="D749" s="107"/>
      <c r="E749" s="107"/>
      <c r="F749" s="107"/>
      <c r="G749" s="107"/>
      <c r="H749" s="107"/>
      <c r="I749" s="107"/>
      <c r="J749" s="107"/>
      <c r="K749" s="107"/>
      <c r="L749" s="107"/>
      <c r="M749" s="107"/>
    </row>
    <row r="750" spans="1:13" x14ac:dyDescent="0.2">
      <c r="A750" s="141" t="s">
        <v>2170</v>
      </c>
      <c r="B750" s="107">
        <v>395277</v>
      </c>
      <c r="C750" s="107">
        <v>387</v>
      </c>
      <c r="D750" s="107"/>
      <c r="E750" s="107"/>
      <c r="F750" s="107"/>
      <c r="G750" s="107"/>
      <c r="H750" s="107"/>
      <c r="I750" s="107"/>
      <c r="J750" s="107"/>
      <c r="K750" s="107"/>
      <c r="L750" s="107"/>
      <c r="M750" s="107"/>
    </row>
    <row r="751" spans="1:13" ht="16" thickBot="1" x14ac:dyDescent="0.25">
      <c r="A751" s="141" t="s">
        <v>2171</v>
      </c>
      <c r="B751" s="187">
        <v>942732</v>
      </c>
      <c r="C751" s="187">
        <v>752</v>
      </c>
      <c r="D751" s="107"/>
      <c r="E751" s="107"/>
      <c r="F751" s="107"/>
      <c r="G751" s="107"/>
      <c r="H751" s="107"/>
      <c r="I751" s="107"/>
      <c r="J751" s="107"/>
      <c r="K751" s="107"/>
      <c r="L751" s="107"/>
      <c r="M751" s="107"/>
    </row>
    <row r="752" spans="1:13" x14ac:dyDescent="0.2">
      <c r="A752" s="141"/>
      <c r="B752" s="107">
        <v>1338010</v>
      </c>
      <c r="C752" s="107">
        <v>139</v>
      </c>
      <c r="D752" s="107"/>
      <c r="E752" s="107"/>
      <c r="F752" s="107"/>
      <c r="G752" s="107"/>
      <c r="H752" s="107"/>
      <c r="I752" s="107"/>
      <c r="J752" s="107"/>
      <c r="K752" s="107"/>
      <c r="L752" s="107"/>
      <c r="M752" s="107"/>
    </row>
    <row r="753" spans="1:13" ht="31" thickBot="1" x14ac:dyDescent="0.25">
      <c r="A753" s="683" t="s">
        <v>2172</v>
      </c>
      <c r="B753" s="187">
        <v>47885</v>
      </c>
      <c r="C753" s="187">
        <v>758</v>
      </c>
      <c r="D753" s="107"/>
      <c r="E753" s="107"/>
      <c r="F753" s="107"/>
      <c r="G753" s="107"/>
      <c r="H753" s="107"/>
      <c r="I753" s="107"/>
      <c r="J753" s="107"/>
      <c r="K753" s="107"/>
      <c r="L753" s="107"/>
      <c r="M753" s="107"/>
    </row>
    <row r="754" spans="1:13" x14ac:dyDescent="0.2">
      <c r="A754" s="683"/>
      <c r="B754" s="107">
        <v>1290124</v>
      </c>
      <c r="C754" s="107">
        <v>381</v>
      </c>
      <c r="D754" s="107"/>
      <c r="E754" s="107"/>
      <c r="F754" s="107"/>
      <c r="G754" s="107"/>
      <c r="H754" s="107"/>
      <c r="I754" s="107"/>
      <c r="J754" s="107"/>
      <c r="K754" s="107"/>
      <c r="L754" s="107"/>
      <c r="M754" s="107"/>
    </row>
    <row r="755" spans="1:13" ht="16" thickBot="1" x14ac:dyDescent="0.25">
      <c r="A755" s="683" t="s">
        <v>2173</v>
      </c>
      <c r="B755" s="187">
        <v>22320</v>
      </c>
      <c r="C755" s="187">
        <v>813</v>
      </c>
      <c r="D755" s="107"/>
      <c r="E755" s="107"/>
      <c r="F755" s="107"/>
      <c r="G755" s="107"/>
      <c r="H755" s="107"/>
      <c r="I755" s="107"/>
      <c r="J755" s="107"/>
      <c r="K755" s="107"/>
      <c r="L755" s="107"/>
      <c r="M755" s="107"/>
    </row>
    <row r="756" spans="1:13" ht="23" customHeight="1" thickBot="1" x14ac:dyDescent="0.25">
      <c r="A756" s="141" t="s">
        <v>2174</v>
      </c>
      <c r="B756" s="448">
        <v>1267803</v>
      </c>
      <c r="C756" s="448">
        <v>568</v>
      </c>
      <c r="D756" s="107"/>
      <c r="E756" s="107"/>
      <c r="F756" s="107"/>
      <c r="G756" s="107"/>
      <c r="H756" s="107"/>
      <c r="I756" s="107"/>
      <c r="J756" s="107"/>
      <c r="K756" s="107"/>
      <c r="L756" s="107"/>
      <c r="M756" s="107"/>
    </row>
    <row r="757" spans="1:13" ht="17.5" customHeight="1" x14ac:dyDescent="0.2">
      <c r="A757" s="141"/>
      <c r="B757" s="145"/>
      <c r="C757" s="145"/>
      <c r="D757" s="107"/>
      <c r="E757" s="107"/>
      <c r="F757" s="107"/>
      <c r="G757" s="107"/>
      <c r="H757" s="107"/>
      <c r="I757" s="107"/>
      <c r="J757" s="107"/>
      <c r="K757" s="107"/>
      <c r="L757" s="107"/>
      <c r="M757" s="107"/>
    </row>
    <row r="758" spans="1:13" ht="17.5" customHeight="1" x14ac:dyDescent="0.2">
      <c r="A758" s="141"/>
      <c r="B758" s="145"/>
      <c r="C758" s="145"/>
      <c r="D758" s="107"/>
      <c r="E758" s="107"/>
      <c r="F758" s="107"/>
      <c r="G758" s="107"/>
      <c r="H758" s="107"/>
      <c r="I758" s="107"/>
      <c r="J758" s="107"/>
      <c r="K758" s="107"/>
      <c r="L758" s="107"/>
      <c r="M758" s="107"/>
    </row>
    <row r="759" spans="1:13" ht="17.5" customHeight="1" x14ac:dyDescent="0.2">
      <c r="A759" s="141"/>
      <c r="B759" s="145"/>
      <c r="C759" s="145"/>
      <c r="D759" s="107"/>
      <c r="E759" s="107"/>
      <c r="F759" s="107"/>
      <c r="G759" s="107"/>
      <c r="H759" s="107"/>
      <c r="I759" s="107"/>
      <c r="J759" s="107"/>
      <c r="K759" s="107"/>
      <c r="L759" s="107"/>
      <c r="M759" s="107"/>
    </row>
    <row r="760" spans="1:13" ht="17.5" customHeight="1" x14ac:dyDescent="0.2">
      <c r="A760" s="526" t="s">
        <v>2175</v>
      </c>
      <c r="B760" s="145"/>
      <c r="C760" s="145"/>
      <c r="D760" s="107"/>
      <c r="E760" s="107"/>
      <c r="F760" s="107"/>
      <c r="G760" s="107"/>
      <c r="H760" s="107"/>
      <c r="I760" s="107"/>
      <c r="J760" s="107"/>
      <c r="K760" s="107"/>
      <c r="L760" s="107"/>
      <c r="M760" s="107"/>
    </row>
    <row r="761" spans="1:13" ht="38.5" customHeight="1" x14ac:dyDescent="0.2">
      <c r="A761" s="682" t="s">
        <v>2176</v>
      </c>
      <c r="B761" s="682"/>
      <c r="C761" s="682"/>
      <c r="D761" s="682"/>
      <c r="E761" s="682"/>
      <c r="F761" s="107"/>
      <c r="G761" s="107"/>
      <c r="H761" s="107"/>
      <c r="I761" s="107"/>
      <c r="J761" s="107"/>
      <c r="K761" s="107"/>
      <c r="L761" s="107"/>
      <c r="M761" s="107"/>
    </row>
    <row r="762" spans="1:13" ht="32.5" customHeight="1" x14ac:dyDescent="0.2">
      <c r="A762" s="573" t="s">
        <v>2177</v>
      </c>
      <c r="B762" s="573"/>
      <c r="C762" s="573"/>
      <c r="D762" s="573"/>
      <c r="E762" s="573"/>
      <c r="F762" s="107"/>
      <c r="G762" s="107"/>
      <c r="H762" s="107"/>
      <c r="I762" s="107"/>
      <c r="J762" s="107"/>
      <c r="K762" s="107"/>
      <c r="L762" s="107"/>
      <c r="M762" s="107"/>
    </row>
    <row r="763" spans="1:13" x14ac:dyDescent="0.2">
      <c r="A763" s="141" t="s">
        <v>2178</v>
      </c>
      <c r="B763" s="107"/>
      <c r="C763" s="107"/>
      <c r="D763" s="107">
        <v>318143</v>
      </c>
      <c r="E763" s="107">
        <v>445</v>
      </c>
      <c r="F763" s="107"/>
      <c r="G763" s="107"/>
      <c r="H763" s="107"/>
      <c r="I763" s="107"/>
      <c r="J763" s="107"/>
      <c r="K763" s="107"/>
      <c r="L763" s="107"/>
      <c r="M763" s="107"/>
    </row>
    <row r="764" spans="1:13" x14ac:dyDescent="0.2">
      <c r="A764" s="141" t="s">
        <v>2179</v>
      </c>
      <c r="B764" s="107"/>
      <c r="C764" s="107"/>
      <c r="D764" s="107"/>
      <c r="E764" s="107"/>
      <c r="F764" s="107"/>
      <c r="G764" s="107"/>
      <c r="H764" s="107"/>
      <c r="I764" s="107"/>
      <c r="J764" s="107"/>
      <c r="K764" s="107"/>
      <c r="L764" s="107"/>
      <c r="M764" s="107"/>
    </row>
    <row r="765" spans="1:13" x14ac:dyDescent="0.2">
      <c r="A765" s="141" t="s">
        <v>2180</v>
      </c>
      <c r="B765" s="107">
        <v>623875</v>
      </c>
      <c r="C765" s="107">
        <v>972</v>
      </c>
      <c r="D765" s="107"/>
      <c r="E765" s="107"/>
      <c r="F765" s="107"/>
      <c r="G765" s="107"/>
      <c r="H765" s="107"/>
      <c r="I765" s="107"/>
      <c r="J765" s="107"/>
      <c r="K765" s="107"/>
      <c r="L765" s="107"/>
      <c r="M765" s="107"/>
    </row>
    <row r="766" spans="1:13" x14ac:dyDescent="0.2">
      <c r="A766" s="141" t="s">
        <v>2181</v>
      </c>
      <c r="B766" s="107">
        <v>1140</v>
      </c>
      <c r="C766" s="107">
        <v>930</v>
      </c>
      <c r="D766" s="107"/>
      <c r="E766" s="107"/>
      <c r="F766" s="107"/>
      <c r="G766" s="107"/>
      <c r="H766" s="107"/>
      <c r="I766" s="107"/>
      <c r="J766" s="107"/>
      <c r="K766" s="107"/>
      <c r="L766" s="107"/>
      <c r="M766" s="107"/>
    </row>
    <row r="767" spans="1:13" ht="16" thickBot="1" x14ac:dyDescent="0.25">
      <c r="A767" s="141" t="s">
        <v>2182</v>
      </c>
      <c r="B767" s="187">
        <v>994</v>
      </c>
      <c r="C767" s="187">
        <v>125</v>
      </c>
      <c r="D767" s="187">
        <v>626011</v>
      </c>
      <c r="E767" s="187">
        <v>27</v>
      </c>
      <c r="F767" s="107"/>
      <c r="G767" s="107"/>
      <c r="H767" s="107"/>
      <c r="I767" s="107"/>
      <c r="J767" s="107"/>
      <c r="K767" s="107"/>
      <c r="L767" s="107"/>
      <c r="M767" s="107"/>
    </row>
    <row r="768" spans="1:13" x14ac:dyDescent="0.2">
      <c r="A768" s="141"/>
      <c r="B768" s="145"/>
      <c r="C768" s="145"/>
      <c r="D768" s="138">
        <f>+SUM(B765:B767)</f>
        <v>626009</v>
      </c>
      <c r="E768" s="138">
        <f>+SUM(C765:C767)</f>
        <v>2027</v>
      </c>
      <c r="F768" s="107"/>
      <c r="G768" s="107"/>
      <c r="H768" s="107"/>
      <c r="I768" s="107"/>
      <c r="J768" s="107"/>
      <c r="K768" s="107"/>
      <c r="L768" s="107"/>
      <c r="M768" s="107"/>
    </row>
    <row r="769" spans="1:13" x14ac:dyDescent="0.2">
      <c r="A769" s="589" t="s">
        <v>2183</v>
      </c>
      <c r="B769" s="589"/>
      <c r="C769" s="589"/>
      <c r="D769" s="107"/>
      <c r="E769" s="107"/>
      <c r="F769" s="107"/>
      <c r="G769" s="107"/>
      <c r="H769" s="107"/>
      <c r="I769" s="107"/>
      <c r="J769" s="107"/>
      <c r="K769" s="107"/>
      <c r="L769" s="107"/>
      <c r="M769" s="107"/>
    </row>
    <row r="770" spans="1:13" x14ac:dyDescent="0.2">
      <c r="A770" s="141" t="s">
        <v>2184</v>
      </c>
      <c r="B770" s="107">
        <v>276770</v>
      </c>
      <c r="C770" s="107">
        <v>424</v>
      </c>
      <c r="D770" s="107"/>
      <c r="E770" s="107"/>
      <c r="F770" s="107"/>
      <c r="G770" s="107"/>
      <c r="H770" s="107"/>
      <c r="I770" s="107"/>
      <c r="J770" s="107"/>
      <c r="K770" s="107"/>
      <c r="L770" s="107"/>
      <c r="M770" s="107"/>
    </row>
    <row r="771" spans="1:13" x14ac:dyDescent="0.2">
      <c r="A771" s="141" t="s">
        <v>2185</v>
      </c>
      <c r="B771" s="107">
        <v>210</v>
      </c>
      <c r="C771" s="107">
        <v>300</v>
      </c>
      <c r="D771" s="107"/>
      <c r="E771" s="107"/>
      <c r="F771" s="107"/>
      <c r="G771" s="107"/>
      <c r="H771" s="107"/>
      <c r="I771" s="107"/>
      <c r="J771" s="107"/>
      <c r="K771" s="107"/>
      <c r="L771" s="107"/>
      <c r="M771" s="107"/>
    </row>
    <row r="772" spans="1:13" x14ac:dyDescent="0.2">
      <c r="A772" s="141" t="s">
        <v>2186</v>
      </c>
      <c r="B772" s="107">
        <v>326</v>
      </c>
      <c r="C772" s="107">
        <v>845</v>
      </c>
      <c r="D772" s="107"/>
      <c r="E772" s="107"/>
      <c r="F772" s="107"/>
      <c r="G772" s="107"/>
      <c r="H772" s="107"/>
      <c r="I772" s="107"/>
      <c r="J772" s="107"/>
      <c r="K772" s="107"/>
      <c r="L772" s="107"/>
      <c r="M772" s="107"/>
    </row>
    <row r="773" spans="1:13" x14ac:dyDescent="0.2">
      <c r="A773" s="141" t="s">
        <v>2187</v>
      </c>
      <c r="B773" s="107">
        <v>588</v>
      </c>
      <c r="C773" s="107">
        <v>400</v>
      </c>
      <c r="D773" s="107"/>
      <c r="E773" s="107"/>
      <c r="F773" s="107"/>
      <c r="G773" s="107"/>
      <c r="H773" s="107"/>
      <c r="I773" s="107"/>
      <c r="J773" s="107"/>
      <c r="K773" s="107"/>
      <c r="L773" s="107"/>
      <c r="M773" s="107"/>
    </row>
    <row r="774" spans="1:13" x14ac:dyDescent="0.2">
      <c r="A774" s="141" t="s">
        <v>2181</v>
      </c>
      <c r="B774" s="107">
        <v>91</v>
      </c>
      <c r="C774" s="107">
        <v>775</v>
      </c>
      <c r="D774" s="107"/>
      <c r="E774" s="107"/>
      <c r="F774" s="107"/>
      <c r="G774" s="107"/>
      <c r="H774" s="107"/>
      <c r="I774" s="107"/>
      <c r="J774" s="107"/>
      <c r="K774" s="107"/>
      <c r="L774" s="107"/>
      <c r="M774" s="107"/>
    </row>
    <row r="775" spans="1:13" x14ac:dyDescent="0.2">
      <c r="A775" s="141" t="s">
        <v>2188</v>
      </c>
      <c r="B775" s="107">
        <v>34591</v>
      </c>
      <c r="C775" s="107">
        <v>159</v>
      </c>
      <c r="D775" s="107"/>
      <c r="E775" s="107"/>
      <c r="F775" s="107"/>
      <c r="G775" s="107"/>
      <c r="H775" s="107"/>
      <c r="I775" s="107"/>
      <c r="J775" s="107"/>
      <c r="K775" s="107"/>
      <c r="L775" s="107"/>
      <c r="M775" s="107"/>
    </row>
    <row r="776" spans="1:13" x14ac:dyDescent="0.2">
      <c r="A776" s="141" t="s">
        <v>2182</v>
      </c>
      <c r="B776" s="107">
        <v>33</v>
      </c>
      <c r="C776" s="107">
        <v>320</v>
      </c>
      <c r="D776" s="107"/>
      <c r="E776" s="107"/>
      <c r="F776" s="107"/>
      <c r="G776" s="107"/>
      <c r="H776" s="107"/>
      <c r="I776" s="107"/>
      <c r="J776" s="107"/>
      <c r="K776" s="107"/>
      <c r="L776" s="107"/>
      <c r="M776" s="107"/>
    </row>
    <row r="777" spans="1:13" ht="16" thickBot="1" x14ac:dyDescent="0.25">
      <c r="A777" s="141" t="s">
        <v>2189</v>
      </c>
      <c r="B777" s="187">
        <v>30</v>
      </c>
      <c r="C777" s="187">
        <v>20</v>
      </c>
      <c r="D777" s="107">
        <v>312642</v>
      </c>
      <c r="E777" s="107">
        <v>243</v>
      </c>
      <c r="F777" s="107"/>
      <c r="G777" s="107"/>
      <c r="H777" s="107"/>
      <c r="I777" s="107"/>
      <c r="J777" s="107"/>
      <c r="K777" s="107"/>
      <c r="L777" s="107"/>
      <c r="M777" s="107"/>
    </row>
    <row r="778" spans="1:13" x14ac:dyDescent="0.2">
      <c r="A778" s="141"/>
      <c r="B778" s="145"/>
      <c r="C778" s="145"/>
      <c r="D778" s="321">
        <f>+SUM(B770:B777)</f>
        <v>312639</v>
      </c>
      <c r="E778" s="321">
        <f>+SUM(C770:C777)</f>
        <v>3243</v>
      </c>
      <c r="F778" s="107"/>
      <c r="G778" s="107"/>
      <c r="H778" s="107"/>
      <c r="I778" s="107"/>
      <c r="J778" s="107"/>
      <c r="K778" s="107"/>
      <c r="L778" s="107"/>
      <c r="M778" s="107"/>
    </row>
    <row r="779" spans="1:13" x14ac:dyDescent="0.2">
      <c r="A779" s="589" t="s">
        <v>2190</v>
      </c>
      <c r="B779" s="589"/>
      <c r="C779" s="589"/>
      <c r="D779" s="107"/>
      <c r="E779" s="107"/>
      <c r="F779" s="107"/>
      <c r="G779" s="107"/>
      <c r="H779" s="107"/>
      <c r="I779" s="107"/>
      <c r="J779" s="107"/>
      <c r="K779" s="107"/>
      <c r="L779" s="107"/>
      <c r="M779" s="107"/>
    </row>
    <row r="780" spans="1:13" x14ac:dyDescent="0.2">
      <c r="A780" s="141" t="s">
        <v>2184</v>
      </c>
      <c r="B780" s="107">
        <v>1031524</v>
      </c>
      <c r="C780" s="107">
        <v>96</v>
      </c>
      <c r="D780" s="107"/>
      <c r="E780" s="107"/>
      <c r="F780" s="107"/>
      <c r="G780" s="107"/>
      <c r="H780" s="107"/>
      <c r="I780" s="107"/>
      <c r="J780" s="107"/>
      <c r="K780" s="107"/>
      <c r="L780" s="107"/>
      <c r="M780" s="107"/>
    </row>
    <row r="781" spans="1:13" x14ac:dyDescent="0.2">
      <c r="A781" s="141" t="s">
        <v>2191</v>
      </c>
      <c r="B781" s="107">
        <v>1823</v>
      </c>
      <c r="C781" s="107">
        <v>34</v>
      </c>
      <c r="D781" s="107"/>
      <c r="E781" s="107"/>
      <c r="F781" s="107"/>
      <c r="G781" s="107"/>
      <c r="H781" s="107"/>
      <c r="I781" s="107"/>
      <c r="J781" s="107"/>
      <c r="K781" s="107"/>
      <c r="L781" s="107"/>
      <c r="M781" s="107"/>
    </row>
    <row r="782" spans="1:13" x14ac:dyDescent="0.2">
      <c r="A782" s="141" t="s">
        <v>2192</v>
      </c>
      <c r="B782" s="107">
        <v>24580</v>
      </c>
      <c r="C782" s="107"/>
      <c r="D782" s="107"/>
      <c r="E782" s="107"/>
      <c r="F782" s="107"/>
      <c r="G782" s="107"/>
      <c r="H782" s="107"/>
      <c r="I782" s="107"/>
      <c r="J782" s="107"/>
      <c r="K782" s="107"/>
      <c r="L782" s="107"/>
      <c r="M782" s="107"/>
    </row>
    <row r="783" spans="1:13" x14ac:dyDescent="0.2">
      <c r="A783" s="141" t="s">
        <v>2193</v>
      </c>
      <c r="B783" s="107">
        <v>351</v>
      </c>
      <c r="C783" s="107">
        <v>755</v>
      </c>
      <c r="D783" s="107"/>
      <c r="E783" s="107"/>
      <c r="F783" s="107"/>
      <c r="G783" s="107"/>
      <c r="H783" s="107"/>
      <c r="I783" s="107"/>
      <c r="J783" s="107"/>
      <c r="K783" s="107"/>
      <c r="L783" s="107"/>
      <c r="M783" s="107"/>
    </row>
    <row r="784" spans="1:13" x14ac:dyDescent="0.2">
      <c r="A784" s="141" t="s">
        <v>2194</v>
      </c>
      <c r="B784" s="107">
        <v>5589</v>
      </c>
      <c r="C784" s="107">
        <v>125</v>
      </c>
      <c r="D784" s="107"/>
      <c r="E784" s="107"/>
      <c r="F784" s="107"/>
      <c r="G784" s="107"/>
      <c r="H784" s="107"/>
      <c r="I784" s="107"/>
      <c r="J784" s="107"/>
      <c r="K784" s="107"/>
      <c r="L784" s="107"/>
      <c r="M784" s="107"/>
    </row>
    <row r="785" spans="1:13" x14ac:dyDescent="0.2">
      <c r="A785" s="141" t="s">
        <v>2195</v>
      </c>
      <c r="B785" s="107">
        <v>32486</v>
      </c>
      <c r="C785" s="107">
        <v>209</v>
      </c>
      <c r="D785" s="107"/>
      <c r="E785" s="107"/>
      <c r="F785" s="107"/>
      <c r="G785" s="107"/>
      <c r="H785" s="107"/>
      <c r="I785" s="107"/>
      <c r="J785" s="107"/>
      <c r="K785" s="107"/>
      <c r="L785" s="107"/>
      <c r="M785" s="107"/>
    </row>
    <row r="786" spans="1:13" x14ac:dyDescent="0.2">
      <c r="A786" s="141" t="s">
        <v>2196</v>
      </c>
      <c r="B786" s="107">
        <v>1144</v>
      </c>
      <c r="C786" s="107">
        <v>842</v>
      </c>
      <c r="D786" s="107"/>
      <c r="E786" s="107"/>
      <c r="F786" s="107"/>
      <c r="G786" s="107"/>
      <c r="H786" s="107"/>
      <c r="I786" s="107"/>
      <c r="J786" s="107"/>
      <c r="K786" s="107"/>
      <c r="L786" s="107"/>
      <c r="M786" s="107"/>
    </row>
    <row r="787" spans="1:13" x14ac:dyDescent="0.2">
      <c r="A787" s="141" t="s">
        <v>2197</v>
      </c>
      <c r="B787" s="107">
        <v>75778</v>
      </c>
      <c r="C787" s="107">
        <v>493</v>
      </c>
      <c r="D787" s="107"/>
      <c r="E787" s="107"/>
      <c r="F787" s="107"/>
      <c r="G787" s="107"/>
      <c r="H787" s="107"/>
      <c r="I787" s="107"/>
      <c r="J787" s="107"/>
      <c r="K787" s="107"/>
      <c r="L787" s="107"/>
      <c r="M787" s="107"/>
    </row>
    <row r="788" spans="1:13" x14ac:dyDescent="0.2">
      <c r="A788" s="141" t="s">
        <v>2181</v>
      </c>
      <c r="B788" s="107">
        <v>99100</v>
      </c>
      <c r="C788" s="107">
        <v>378</v>
      </c>
      <c r="D788" s="107"/>
      <c r="E788" s="107"/>
      <c r="F788" s="107"/>
      <c r="G788" s="107"/>
      <c r="H788" s="107"/>
      <c r="I788" s="107"/>
      <c r="J788" s="107"/>
      <c r="K788" s="107"/>
      <c r="L788" s="107"/>
      <c r="M788" s="107"/>
    </row>
    <row r="789" spans="1:13" x14ac:dyDescent="0.2">
      <c r="A789" s="141" t="s">
        <v>2198</v>
      </c>
      <c r="B789" s="107">
        <v>288984</v>
      </c>
      <c r="C789" s="107">
        <v>421</v>
      </c>
      <c r="D789" s="107"/>
      <c r="E789" s="107"/>
      <c r="F789" s="107"/>
      <c r="G789" s="107"/>
      <c r="H789" s="107"/>
      <c r="I789" s="107"/>
      <c r="J789" s="107"/>
      <c r="K789" s="107"/>
      <c r="L789" s="107"/>
      <c r="M789" s="107"/>
    </row>
    <row r="790" spans="1:13" x14ac:dyDescent="0.2">
      <c r="A790" s="141" t="s">
        <v>2188</v>
      </c>
      <c r="B790" s="107">
        <v>700742</v>
      </c>
      <c r="C790" s="107">
        <v>836</v>
      </c>
      <c r="D790" s="107"/>
      <c r="E790" s="107"/>
      <c r="F790" s="107"/>
      <c r="G790" s="107"/>
      <c r="H790" s="107"/>
      <c r="I790" s="107"/>
      <c r="J790" s="107"/>
      <c r="K790" s="107"/>
      <c r="L790" s="107"/>
      <c r="M790" s="107"/>
    </row>
    <row r="791" spans="1:13" ht="16" thickBot="1" x14ac:dyDescent="0.25">
      <c r="A791" s="141" t="s">
        <v>2199</v>
      </c>
      <c r="B791" s="187">
        <v>52</v>
      </c>
      <c r="C791" s="187">
        <v>100</v>
      </c>
      <c r="D791" s="107">
        <v>2262157</v>
      </c>
      <c r="E791" s="107">
        <v>289</v>
      </c>
      <c r="F791" s="107"/>
      <c r="G791" s="107"/>
      <c r="H791" s="107"/>
      <c r="I791" s="107"/>
      <c r="J791" s="107"/>
      <c r="K791" s="107"/>
      <c r="L791" s="107"/>
      <c r="M791" s="107"/>
    </row>
    <row r="792" spans="1:13" x14ac:dyDescent="0.2">
      <c r="A792" s="141"/>
      <c r="B792" s="145"/>
      <c r="C792" s="145"/>
      <c r="D792" s="321">
        <f>+SUM(B780:B791)</f>
        <v>2262153</v>
      </c>
      <c r="E792" s="321">
        <f>+SUM(C780:C791)</f>
        <v>4289</v>
      </c>
      <c r="F792" s="107"/>
      <c r="G792" s="107"/>
      <c r="H792" s="107"/>
      <c r="I792" s="107"/>
      <c r="J792" s="107"/>
      <c r="K792" s="107"/>
      <c r="L792" s="107"/>
      <c r="M792" s="107"/>
    </row>
    <row r="793" spans="1:13" x14ac:dyDescent="0.2">
      <c r="A793" s="685" t="s">
        <v>2200</v>
      </c>
      <c r="B793" s="685"/>
      <c r="C793" s="685"/>
      <c r="D793" s="107"/>
      <c r="E793" s="107"/>
      <c r="F793" s="107"/>
      <c r="G793" s="107"/>
      <c r="H793" s="107"/>
      <c r="I793" s="107"/>
      <c r="J793" s="107"/>
      <c r="K793" s="107"/>
      <c r="L793" s="107"/>
      <c r="M793" s="107"/>
    </row>
    <row r="794" spans="1:13" x14ac:dyDescent="0.2">
      <c r="A794" s="141" t="s">
        <v>2201</v>
      </c>
      <c r="B794" s="107">
        <v>469869</v>
      </c>
      <c r="C794" s="107">
        <v>300</v>
      </c>
      <c r="D794" s="107"/>
      <c r="E794" s="107"/>
      <c r="F794" s="107"/>
      <c r="G794" s="107"/>
      <c r="H794" s="107"/>
      <c r="I794" s="107"/>
      <c r="J794" s="107"/>
      <c r="K794" s="107"/>
      <c r="L794" s="107"/>
      <c r="M794" s="107"/>
    </row>
    <row r="795" spans="1:13" x14ac:dyDescent="0.2">
      <c r="A795" s="141" t="s">
        <v>2181</v>
      </c>
      <c r="B795" s="107">
        <v>1840</v>
      </c>
      <c r="C795" s="107"/>
      <c r="D795" s="107"/>
      <c r="E795" s="107"/>
      <c r="F795" s="107"/>
      <c r="G795" s="107"/>
      <c r="H795" s="107"/>
      <c r="I795" s="107"/>
      <c r="J795" s="107"/>
      <c r="K795" s="107"/>
      <c r="L795" s="107"/>
      <c r="M795" s="107"/>
    </row>
    <row r="796" spans="1:13" x14ac:dyDescent="0.2">
      <c r="A796" s="141" t="s">
        <v>2191</v>
      </c>
      <c r="B796" s="107">
        <v>20</v>
      </c>
      <c r="C796" s="107"/>
      <c r="D796" s="107"/>
      <c r="E796" s="107"/>
      <c r="F796" s="107"/>
      <c r="G796" s="107"/>
      <c r="H796" s="107"/>
      <c r="I796" s="107"/>
      <c r="J796" s="107"/>
      <c r="K796" s="107"/>
      <c r="L796" s="107"/>
      <c r="M796" s="107"/>
    </row>
    <row r="797" spans="1:13" ht="16" thickBot="1" x14ac:dyDescent="0.25">
      <c r="A797" s="141" t="s">
        <v>2202</v>
      </c>
      <c r="B797" s="187">
        <v>1950</v>
      </c>
      <c r="C797" s="187"/>
      <c r="D797" s="107">
        <v>473679</v>
      </c>
      <c r="E797" s="107">
        <v>300</v>
      </c>
      <c r="F797" s="107"/>
      <c r="G797" s="107"/>
      <c r="H797" s="107"/>
      <c r="I797" s="107"/>
      <c r="J797" s="107"/>
      <c r="K797" s="107"/>
      <c r="L797" s="107"/>
      <c r="M797" s="107"/>
    </row>
    <row r="798" spans="1:13" x14ac:dyDescent="0.2">
      <c r="A798" s="141"/>
      <c r="B798" s="145"/>
      <c r="C798" s="145"/>
      <c r="D798" s="321">
        <f>+SUM(B794:B797)</f>
        <v>473679</v>
      </c>
      <c r="E798" s="321">
        <f>+SUM(C794:C797)</f>
        <v>300</v>
      </c>
      <c r="F798" s="107"/>
      <c r="G798" s="107"/>
      <c r="H798" s="107"/>
      <c r="I798" s="107"/>
      <c r="J798" s="107"/>
      <c r="K798" s="107"/>
      <c r="L798" s="107"/>
      <c r="M798" s="107"/>
    </row>
    <row r="799" spans="1:13" x14ac:dyDescent="0.2">
      <c r="A799" s="589" t="s">
        <v>2203</v>
      </c>
      <c r="B799" s="589"/>
      <c r="C799" s="589"/>
      <c r="D799" s="107"/>
      <c r="E799" s="107"/>
      <c r="F799" s="107"/>
      <c r="G799" s="107"/>
      <c r="H799" s="107"/>
      <c r="I799" s="107"/>
      <c r="J799" s="107"/>
      <c r="K799" s="107"/>
      <c r="L799" s="107"/>
      <c r="M799" s="107"/>
    </row>
    <row r="800" spans="1:13" x14ac:dyDescent="0.2">
      <c r="A800" s="141" t="s">
        <v>2201</v>
      </c>
      <c r="B800" s="107">
        <v>40773</v>
      </c>
      <c r="C800" s="107">
        <v>205</v>
      </c>
      <c r="D800" s="107"/>
      <c r="E800" s="107"/>
      <c r="F800" s="107"/>
      <c r="G800" s="107"/>
      <c r="H800" s="107"/>
      <c r="I800" s="107"/>
      <c r="J800" s="107"/>
      <c r="K800" s="107"/>
      <c r="L800" s="107"/>
      <c r="M800" s="107"/>
    </row>
    <row r="801" spans="1:13" x14ac:dyDescent="0.2">
      <c r="A801" s="141" t="s">
        <v>2181</v>
      </c>
      <c r="B801" s="107">
        <v>2</v>
      </c>
      <c r="C801" s="107">
        <v>720</v>
      </c>
      <c r="D801" s="107"/>
      <c r="E801" s="107"/>
      <c r="F801" s="107"/>
      <c r="G801" s="107"/>
      <c r="H801" s="107"/>
      <c r="I801" s="107"/>
      <c r="J801" s="107"/>
      <c r="K801" s="107"/>
      <c r="L801" s="107"/>
      <c r="M801" s="107"/>
    </row>
    <row r="802" spans="1:13" x14ac:dyDescent="0.2">
      <c r="A802" s="141" t="s">
        <v>2188</v>
      </c>
      <c r="B802" s="107">
        <v>9705</v>
      </c>
      <c r="C802" s="107">
        <v>542</v>
      </c>
      <c r="D802" s="107"/>
      <c r="E802" s="107"/>
      <c r="F802" s="107"/>
      <c r="G802" s="107"/>
      <c r="H802" s="107"/>
      <c r="I802" s="107"/>
      <c r="J802" s="107"/>
      <c r="K802" s="107"/>
      <c r="L802" s="107"/>
      <c r="M802" s="107"/>
    </row>
    <row r="803" spans="1:13" ht="16" thickBot="1" x14ac:dyDescent="0.25">
      <c r="A803" s="141" t="s">
        <v>2191</v>
      </c>
      <c r="B803" s="187">
        <v>230</v>
      </c>
      <c r="C803" s="187">
        <v>200</v>
      </c>
      <c r="D803" s="107">
        <v>50711</v>
      </c>
      <c r="E803" s="107">
        <v>667</v>
      </c>
      <c r="F803" s="107"/>
      <c r="G803" s="107"/>
      <c r="H803" s="107"/>
      <c r="I803" s="107"/>
      <c r="J803" s="107"/>
      <c r="K803" s="107"/>
      <c r="L803" s="107"/>
      <c r="M803" s="107"/>
    </row>
    <row r="804" spans="1:13" x14ac:dyDescent="0.2">
      <c r="A804" s="141"/>
      <c r="B804" s="145"/>
      <c r="C804" s="145"/>
      <c r="D804" s="321">
        <f>+SUM(B800:B803)</f>
        <v>50710</v>
      </c>
      <c r="E804" s="321">
        <f>+SUM(C800:C803)</f>
        <v>1667</v>
      </c>
      <c r="F804" s="107"/>
      <c r="G804" s="107"/>
      <c r="H804" s="107"/>
      <c r="I804" s="107"/>
      <c r="J804" s="107"/>
      <c r="K804" s="107"/>
      <c r="L804" s="107"/>
      <c r="M804" s="107"/>
    </row>
    <row r="805" spans="1:13" x14ac:dyDescent="0.2">
      <c r="A805" s="589" t="s">
        <v>2204</v>
      </c>
      <c r="B805" s="589"/>
      <c r="C805" s="589"/>
      <c r="D805" s="107"/>
      <c r="E805" s="107"/>
      <c r="F805" s="107"/>
      <c r="G805" s="107"/>
      <c r="H805" s="107"/>
      <c r="I805" s="107"/>
      <c r="J805" s="107"/>
      <c r="K805" s="107"/>
      <c r="L805" s="107"/>
      <c r="M805" s="107"/>
    </row>
    <row r="806" spans="1:13" x14ac:dyDescent="0.2">
      <c r="A806" s="141" t="s">
        <v>2205</v>
      </c>
      <c r="B806" s="107">
        <v>30958</v>
      </c>
      <c r="C806" s="107">
        <v>183</v>
      </c>
      <c r="D806" s="107"/>
      <c r="E806" s="107"/>
      <c r="F806" s="107"/>
      <c r="G806" s="107"/>
      <c r="H806" s="107"/>
      <c r="I806" s="107"/>
      <c r="J806" s="107"/>
      <c r="K806" s="107"/>
      <c r="L806" s="107"/>
      <c r="M806" s="107"/>
    </row>
    <row r="807" spans="1:13" x14ac:dyDescent="0.2">
      <c r="A807" s="141" t="s">
        <v>2181</v>
      </c>
      <c r="B807" s="107">
        <v>950962</v>
      </c>
      <c r="C807" s="107">
        <v>432</v>
      </c>
      <c r="D807" s="107"/>
      <c r="E807" s="107"/>
      <c r="F807" s="107"/>
      <c r="G807" s="107"/>
      <c r="H807" s="107"/>
      <c r="I807" s="107"/>
      <c r="J807" s="107"/>
      <c r="K807" s="107"/>
      <c r="L807" s="107"/>
      <c r="M807" s="107"/>
    </row>
    <row r="808" spans="1:13" x14ac:dyDescent="0.2">
      <c r="A808" s="141" t="s">
        <v>2206</v>
      </c>
      <c r="B808" s="107">
        <v>232</v>
      </c>
      <c r="C808" s="107">
        <v>884</v>
      </c>
      <c r="D808" s="107"/>
      <c r="E808" s="107"/>
      <c r="F808" s="107"/>
      <c r="G808" s="107"/>
      <c r="H808" s="107"/>
      <c r="I808" s="107"/>
      <c r="J808" s="107"/>
      <c r="K808" s="107"/>
      <c r="L808" s="107"/>
      <c r="M808" s="107"/>
    </row>
    <row r="809" spans="1:13" ht="16" thickBot="1" x14ac:dyDescent="0.25">
      <c r="A809" s="141" t="s">
        <v>2188</v>
      </c>
      <c r="B809" s="187">
        <v>95776</v>
      </c>
      <c r="C809" s="187">
        <v>746</v>
      </c>
      <c r="D809" s="107">
        <v>1077930</v>
      </c>
      <c r="E809" s="107">
        <v>245</v>
      </c>
      <c r="F809" s="107"/>
      <c r="G809" s="107"/>
      <c r="H809" s="107"/>
      <c r="I809" s="107"/>
      <c r="J809" s="107"/>
      <c r="K809" s="107"/>
      <c r="L809" s="107"/>
      <c r="M809" s="107"/>
    </row>
    <row r="810" spans="1:13" x14ac:dyDescent="0.2">
      <c r="A810" s="141"/>
      <c r="B810" s="145"/>
      <c r="C810" s="145"/>
      <c r="D810" s="321">
        <f>+SUM(B806:B809)</f>
        <v>1077928</v>
      </c>
      <c r="E810" s="321">
        <f>+SUM(C806:C809)</f>
        <v>2245</v>
      </c>
      <c r="F810" s="107"/>
      <c r="G810" s="107"/>
      <c r="H810" s="107"/>
      <c r="I810" s="107"/>
      <c r="J810" s="107"/>
      <c r="K810" s="107"/>
      <c r="L810" s="107"/>
      <c r="M810" s="107"/>
    </row>
    <row r="811" spans="1:13" x14ac:dyDescent="0.2">
      <c r="A811" s="589" t="s">
        <v>2207</v>
      </c>
      <c r="B811" s="589"/>
      <c r="C811" s="589"/>
      <c r="D811" s="107"/>
      <c r="E811" s="107"/>
      <c r="F811" s="107"/>
      <c r="G811" s="107"/>
      <c r="H811" s="107"/>
      <c r="I811" s="107"/>
      <c r="J811" s="107"/>
      <c r="K811" s="107"/>
      <c r="L811" s="107"/>
      <c r="M811" s="107"/>
    </row>
    <row r="812" spans="1:13" x14ac:dyDescent="0.2">
      <c r="A812" s="141" t="s">
        <v>2184</v>
      </c>
      <c r="B812" s="107">
        <v>8547</v>
      </c>
      <c r="C812" s="107">
        <v>721</v>
      </c>
      <c r="D812" s="107"/>
      <c r="E812" s="107"/>
      <c r="F812" s="107"/>
      <c r="G812" s="107"/>
      <c r="H812" s="107"/>
      <c r="I812" s="107"/>
      <c r="J812" s="107"/>
      <c r="K812" s="107"/>
      <c r="L812" s="107"/>
      <c r="M812" s="107"/>
    </row>
    <row r="813" spans="1:13" x14ac:dyDescent="0.2">
      <c r="A813" s="141" t="s">
        <v>2191</v>
      </c>
      <c r="B813" s="107">
        <v>5965</v>
      </c>
      <c r="C813" s="107">
        <v>30</v>
      </c>
      <c r="D813" s="107"/>
      <c r="E813" s="107"/>
      <c r="F813" s="107"/>
      <c r="G813" s="107"/>
      <c r="H813" s="107"/>
      <c r="I813" s="107"/>
      <c r="J813" s="107"/>
      <c r="K813" s="107"/>
      <c r="L813" s="107"/>
      <c r="M813" s="107"/>
    </row>
    <row r="814" spans="1:13" x14ac:dyDescent="0.2">
      <c r="A814" s="141" t="s">
        <v>2181</v>
      </c>
      <c r="B814" s="107">
        <v>18939</v>
      </c>
      <c r="C814" s="107">
        <v>508</v>
      </c>
      <c r="D814" s="107"/>
      <c r="E814" s="107"/>
      <c r="F814" s="107"/>
      <c r="G814" s="107"/>
      <c r="H814" s="107"/>
      <c r="I814" s="107"/>
      <c r="J814" s="107"/>
      <c r="K814" s="107"/>
      <c r="L814" s="107"/>
      <c r="M814" s="107"/>
    </row>
    <row r="815" spans="1:13" x14ac:dyDescent="0.2">
      <c r="A815" s="141" t="s">
        <v>2208</v>
      </c>
      <c r="B815" s="107">
        <v>4543</v>
      </c>
      <c r="C815" s="107">
        <v>611</v>
      </c>
      <c r="D815" s="107"/>
      <c r="E815" s="107"/>
      <c r="F815" s="107"/>
      <c r="G815" s="107"/>
      <c r="H815" s="107"/>
      <c r="I815" s="107"/>
      <c r="J815" s="107"/>
      <c r="K815" s="107"/>
      <c r="L815" s="107"/>
      <c r="M815" s="107"/>
    </row>
    <row r="816" spans="1:13" x14ac:dyDescent="0.2">
      <c r="A816" s="141" t="s">
        <v>2209</v>
      </c>
      <c r="B816" s="107">
        <v>478</v>
      </c>
      <c r="C816" s="107">
        <v>906</v>
      </c>
      <c r="D816" s="107"/>
      <c r="E816" s="107"/>
      <c r="F816" s="107"/>
      <c r="G816" s="107"/>
      <c r="H816" s="107"/>
      <c r="I816" s="107"/>
      <c r="J816" s="107"/>
      <c r="K816" s="107"/>
      <c r="L816" s="107"/>
      <c r="M816" s="107"/>
    </row>
    <row r="817" spans="1:13" x14ac:dyDescent="0.2">
      <c r="A817" s="141" t="s">
        <v>2210</v>
      </c>
      <c r="B817" s="107">
        <v>5620</v>
      </c>
      <c r="C817" s="107"/>
      <c r="D817" s="107"/>
      <c r="E817" s="107"/>
      <c r="F817" s="107"/>
      <c r="G817" s="107"/>
      <c r="H817" s="107"/>
      <c r="I817" s="107"/>
      <c r="J817" s="107"/>
      <c r="K817" s="107"/>
      <c r="L817" s="107"/>
      <c r="M817" s="107"/>
    </row>
    <row r="818" spans="1:13" x14ac:dyDescent="0.2">
      <c r="A818" s="141" t="s">
        <v>2187</v>
      </c>
      <c r="B818" s="107">
        <v>67295</v>
      </c>
      <c r="C818" s="107">
        <v>749</v>
      </c>
      <c r="D818" s="107"/>
      <c r="E818" s="107"/>
      <c r="F818" s="107"/>
      <c r="G818" s="107"/>
      <c r="H818" s="107"/>
      <c r="I818" s="107"/>
      <c r="J818" s="107"/>
      <c r="K818" s="107"/>
      <c r="L818" s="107"/>
      <c r="M818" s="107"/>
    </row>
    <row r="819" spans="1:13" ht="16" thickBot="1" x14ac:dyDescent="0.25">
      <c r="A819" s="141" t="s">
        <v>2188</v>
      </c>
      <c r="B819" s="187">
        <v>345237</v>
      </c>
      <c r="C819" s="187">
        <v>820</v>
      </c>
      <c r="D819" s="107">
        <v>456628</v>
      </c>
      <c r="E819" s="107">
        <v>345</v>
      </c>
      <c r="F819" s="107"/>
      <c r="G819" s="107"/>
      <c r="H819" s="107"/>
      <c r="I819" s="107"/>
      <c r="J819" s="107"/>
      <c r="K819" s="107"/>
      <c r="L819" s="107"/>
      <c r="M819" s="107"/>
    </row>
    <row r="820" spans="1:13" x14ac:dyDescent="0.2">
      <c r="A820" s="141"/>
      <c r="B820" s="145"/>
      <c r="C820" s="145"/>
      <c r="D820" s="321">
        <f>+SUM(B812:B819)</f>
        <v>456624</v>
      </c>
      <c r="E820" s="321">
        <f>+SUM(C812:C819)</f>
        <v>4345</v>
      </c>
      <c r="F820" s="107"/>
      <c r="G820" s="107"/>
      <c r="H820" s="107"/>
      <c r="I820" s="107"/>
      <c r="J820" s="107"/>
      <c r="K820" s="107"/>
      <c r="L820" s="107"/>
      <c r="M820" s="107"/>
    </row>
    <row r="821" spans="1:13" x14ac:dyDescent="0.2">
      <c r="A821" s="589" t="s">
        <v>2211</v>
      </c>
      <c r="B821" s="589"/>
      <c r="C821" s="589"/>
      <c r="F821" s="107"/>
      <c r="G821" s="107"/>
      <c r="H821" s="107"/>
      <c r="I821" s="107"/>
      <c r="J821" s="107"/>
      <c r="K821" s="107"/>
      <c r="L821" s="107"/>
      <c r="M821" s="107"/>
    </row>
    <row r="822" spans="1:13" x14ac:dyDescent="0.2">
      <c r="A822" s="141" t="s">
        <v>2212</v>
      </c>
      <c r="B822" s="107"/>
      <c r="C822" s="107"/>
      <c r="D822" s="107">
        <v>1151</v>
      </c>
      <c r="E822" s="107">
        <v>265</v>
      </c>
      <c r="F822" s="107"/>
      <c r="G822" s="107"/>
      <c r="H822" s="107"/>
      <c r="I822" s="107"/>
      <c r="J822" s="107"/>
      <c r="K822" s="107"/>
      <c r="L822" s="107"/>
      <c r="M822" s="107"/>
    </row>
    <row r="823" spans="1:13" x14ac:dyDescent="0.2">
      <c r="A823" s="589" t="s">
        <v>2213</v>
      </c>
      <c r="B823" s="589"/>
      <c r="C823" s="589"/>
      <c r="D823" s="107"/>
      <c r="E823" s="107"/>
      <c r="F823" s="107"/>
      <c r="G823" s="107"/>
      <c r="H823" s="107"/>
      <c r="I823" s="107"/>
      <c r="J823" s="107"/>
      <c r="K823" s="107"/>
      <c r="L823" s="107"/>
      <c r="M823" s="107"/>
    </row>
    <row r="824" spans="1:13" x14ac:dyDescent="0.2">
      <c r="A824" s="141" t="s">
        <v>2214</v>
      </c>
      <c r="B824" s="107">
        <v>52296</v>
      </c>
      <c r="C824" s="107">
        <v>824</v>
      </c>
      <c r="D824" s="107"/>
      <c r="E824" s="107"/>
      <c r="F824" s="107"/>
      <c r="G824" s="107"/>
      <c r="H824" s="107"/>
      <c r="I824" s="107"/>
      <c r="J824" s="107"/>
      <c r="K824" s="107"/>
      <c r="L824" s="107"/>
      <c r="M824" s="107"/>
    </row>
    <row r="825" spans="1:13" x14ac:dyDescent="0.2">
      <c r="A825" s="141" t="s">
        <v>2191</v>
      </c>
      <c r="B825" s="107">
        <v>9927</v>
      </c>
      <c r="C825" s="107">
        <v>435</v>
      </c>
      <c r="D825" s="107"/>
      <c r="E825" s="107"/>
      <c r="F825" s="107"/>
      <c r="G825" s="107"/>
      <c r="H825" s="107"/>
      <c r="I825" s="107"/>
      <c r="J825" s="107"/>
      <c r="K825" s="107"/>
      <c r="L825" s="107"/>
      <c r="M825" s="107"/>
    </row>
    <row r="826" spans="1:13" x14ac:dyDescent="0.2">
      <c r="A826" s="141" t="s">
        <v>2188</v>
      </c>
      <c r="B826" s="107">
        <v>312349</v>
      </c>
      <c r="C826" s="107">
        <v>542</v>
      </c>
      <c r="D826" s="107"/>
      <c r="E826" s="107"/>
      <c r="F826" s="107"/>
      <c r="G826" s="107"/>
      <c r="H826" s="107"/>
      <c r="I826" s="107"/>
      <c r="J826" s="107"/>
      <c r="K826" s="107"/>
      <c r="L826" s="107"/>
      <c r="M826" s="107"/>
    </row>
    <row r="827" spans="1:13" ht="16" thickBot="1" x14ac:dyDescent="0.25">
      <c r="A827" s="141" t="s">
        <v>2215</v>
      </c>
      <c r="B827" s="187">
        <v>106</v>
      </c>
      <c r="C827" s="187">
        <v>796</v>
      </c>
      <c r="D827" s="107">
        <v>374680</v>
      </c>
      <c r="E827" s="107">
        <v>597</v>
      </c>
      <c r="F827" s="107"/>
      <c r="G827" s="107"/>
      <c r="H827" s="107"/>
      <c r="I827" s="107"/>
      <c r="J827" s="107"/>
      <c r="K827" s="107"/>
      <c r="L827" s="107"/>
      <c r="M827" s="107"/>
    </row>
    <row r="828" spans="1:13" x14ac:dyDescent="0.2">
      <c r="A828" s="141"/>
      <c r="B828" s="145"/>
      <c r="C828" s="145"/>
      <c r="D828" s="321">
        <f>+SUM(B824:B827)</f>
        <v>374678</v>
      </c>
      <c r="E828" s="321">
        <f>+SUM(C824:C827)</f>
        <v>2597</v>
      </c>
      <c r="F828" s="107"/>
      <c r="G828" s="107"/>
      <c r="H828" s="107"/>
      <c r="I828" s="107"/>
      <c r="J828" s="107"/>
      <c r="K828" s="107"/>
      <c r="L828" s="107"/>
      <c r="M828" s="107"/>
    </row>
    <row r="829" spans="1:13" ht="29" customHeight="1" x14ac:dyDescent="0.2">
      <c r="A829" s="586" t="s">
        <v>2216</v>
      </c>
      <c r="B829" s="586"/>
      <c r="C829" s="586"/>
      <c r="D829" s="107"/>
      <c r="F829" s="107"/>
      <c r="G829" s="107"/>
      <c r="H829" s="107"/>
      <c r="I829" s="107"/>
      <c r="J829" s="107"/>
      <c r="K829" s="107"/>
      <c r="L829" s="107"/>
      <c r="M829" s="107"/>
    </row>
    <row r="830" spans="1:13" x14ac:dyDescent="0.2">
      <c r="A830" s="586" t="s">
        <v>2217</v>
      </c>
      <c r="B830" s="586"/>
      <c r="C830" s="586"/>
      <c r="D830" s="107">
        <v>8000</v>
      </c>
      <c r="E830" s="107"/>
      <c r="F830" s="107"/>
      <c r="G830" s="107"/>
      <c r="H830" s="107"/>
      <c r="I830" s="107"/>
      <c r="J830" s="107"/>
      <c r="K830" s="107"/>
      <c r="L830" s="107"/>
      <c r="M830" s="107"/>
    </row>
    <row r="831" spans="1:13" x14ac:dyDescent="0.2">
      <c r="A831" s="586" t="s">
        <v>2218</v>
      </c>
      <c r="B831" s="586"/>
      <c r="C831" s="586"/>
      <c r="D831" s="107"/>
      <c r="E831" s="107"/>
      <c r="F831" s="107"/>
      <c r="G831" s="107"/>
      <c r="H831" s="107"/>
      <c r="I831" s="107"/>
      <c r="J831" s="107"/>
      <c r="K831" s="107"/>
      <c r="L831" s="107"/>
      <c r="M831" s="107"/>
    </row>
    <row r="832" spans="1:13" x14ac:dyDescent="0.2">
      <c r="A832" s="586" t="s">
        <v>2219</v>
      </c>
      <c r="B832" s="586"/>
      <c r="C832" s="586"/>
      <c r="D832" s="107">
        <v>1300</v>
      </c>
      <c r="E832" s="107"/>
      <c r="F832" s="107"/>
      <c r="G832" s="107"/>
      <c r="H832" s="107"/>
      <c r="I832" s="107"/>
      <c r="J832" s="107"/>
      <c r="K832" s="107"/>
      <c r="L832" s="107"/>
      <c r="M832" s="107"/>
    </row>
    <row r="833" spans="1:13" x14ac:dyDescent="0.2">
      <c r="A833" s="586" t="s">
        <v>2220</v>
      </c>
      <c r="B833" s="586"/>
      <c r="C833" s="586"/>
      <c r="D833" s="107"/>
      <c r="E833" s="107"/>
      <c r="F833" s="107"/>
      <c r="G833" s="107"/>
      <c r="H833" s="107"/>
      <c r="I833" s="107"/>
      <c r="J833" s="107"/>
      <c r="K833" s="107"/>
      <c r="L833" s="107"/>
      <c r="M833" s="107"/>
    </row>
    <row r="834" spans="1:13" ht="16" thickBot="1" x14ac:dyDescent="0.25">
      <c r="A834" s="586" t="s">
        <v>2217</v>
      </c>
      <c r="B834" s="586"/>
      <c r="C834" s="586"/>
      <c r="D834" s="187">
        <v>23411</v>
      </c>
      <c r="E834" s="187">
        <v>292</v>
      </c>
      <c r="F834" s="107"/>
      <c r="G834" s="107"/>
      <c r="H834" s="107"/>
      <c r="I834" s="107"/>
      <c r="J834" s="107"/>
      <c r="K834" s="107"/>
      <c r="L834" s="107"/>
      <c r="M834" s="107"/>
    </row>
    <row r="835" spans="1:13" ht="30.5" customHeight="1" thickBot="1" x14ac:dyDescent="0.25">
      <c r="A835" s="686" t="s">
        <v>2221</v>
      </c>
      <c r="B835" s="686"/>
      <c r="C835" s="686"/>
      <c r="D835" s="448">
        <v>5986446</v>
      </c>
      <c r="E835" s="448">
        <v>715</v>
      </c>
      <c r="F835" s="107"/>
      <c r="G835" s="107"/>
      <c r="H835" s="107"/>
      <c r="I835" s="107"/>
      <c r="J835" s="107"/>
      <c r="K835" s="107"/>
      <c r="L835" s="107"/>
      <c r="M835" s="107"/>
    </row>
    <row r="836" spans="1:13" ht="36" customHeight="1" x14ac:dyDescent="0.2">
      <c r="A836" s="573" t="s">
        <v>2222</v>
      </c>
      <c r="B836" s="573"/>
      <c r="C836" s="573"/>
      <c r="D836" s="107"/>
      <c r="E836" s="107"/>
      <c r="F836" s="107"/>
      <c r="G836" s="107"/>
      <c r="H836" s="107"/>
      <c r="I836" s="107"/>
      <c r="J836" s="107"/>
      <c r="K836" s="107"/>
      <c r="L836" s="107"/>
      <c r="M836" s="107"/>
    </row>
    <row r="837" spans="1:13" x14ac:dyDescent="0.2">
      <c r="A837" s="141" t="s">
        <v>2223</v>
      </c>
      <c r="B837" s="107"/>
      <c r="C837" s="107"/>
      <c r="D837" s="107">
        <v>318143</v>
      </c>
      <c r="E837" s="107">
        <v>445</v>
      </c>
      <c r="F837" s="107"/>
      <c r="G837" s="107"/>
      <c r="H837" s="107"/>
      <c r="I837" s="107"/>
      <c r="J837" s="107"/>
      <c r="K837" s="107"/>
      <c r="L837" s="107"/>
      <c r="M837" s="107"/>
    </row>
    <row r="838" spans="1:13" x14ac:dyDescent="0.2">
      <c r="A838" s="141" t="s">
        <v>2224</v>
      </c>
      <c r="B838" s="107">
        <v>2534615</v>
      </c>
      <c r="C838" s="107">
        <v>725</v>
      </c>
      <c r="D838" s="107"/>
      <c r="E838" s="107"/>
      <c r="F838" s="107"/>
      <c r="G838" s="107"/>
      <c r="H838" s="107"/>
      <c r="I838" s="107"/>
      <c r="J838" s="107"/>
      <c r="K838" s="107"/>
      <c r="L838" s="107"/>
      <c r="M838" s="107"/>
    </row>
    <row r="839" spans="1:13" x14ac:dyDescent="0.2">
      <c r="A839" s="141" t="s">
        <v>2225</v>
      </c>
      <c r="B839" s="107">
        <v>1072077</v>
      </c>
      <c r="C839" s="107">
        <v>743</v>
      </c>
      <c r="D839" s="107"/>
      <c r="E839" s="107"/>
      <c r="F839" s="107"/>
      <c r="G839" s="107"/>
      <c r="H839" s="107"/>
      <c r="I839" s="107"/>
      <c r="J839" s="107"/>
      <c r="K839" s="107"/>
      <c r="L839" s="107"/>
      <c r="M839" s="107"/>
    </row>
    <row r="840" spans="1:13" x14ac:dyDescent="0.2">
      <c r="A840" s="141" t="s">
        <v>1844</v>
      </c>
      <c r="B840" s="107">
        <v>19226</v>
      </c>
      <c r="C840" s="107">
        <v>28</v>
      </c>
      <c r="D840" s="107"/>
      <c r="E840" s="107"/>
      <c r="F840" s="107"/>
      <c r="G840" s="107"/>
      <c r="H840" s="107"/>
      <c r="I840" s="107"/>
      <c r="J840" s="107"/>
      <c r="K840" s="107"/>
      <c r="L840" s="107"/>
      <c r="M840" s="107"/>
    </row>
    <row r="841" spans="1:13" x14ac:dyDescent="0.2">
      <c r="A841" s="141" t="s">
        <v>2226</v>
      </c>
      <c r="B841" s="107">
        <v>210</v>
      </c>
      <c r="C841" s="107">
        <v>300</v>
      </c>
      <c r="D841" s="107"/>
      <c r="E841" s="107"/>
      <c r="F841" s="107"/>
      <c r="G841" s="107"/>
      <c r="H841" s="107"/>
      <c r="I841" s="107"/>
      <c r="J841" s="107"/>
      <c r="K841" s="107"/>
      <c r="L841" s="107"/>
      <c r="M841" s="107"/>
    </row>
    <row r="842" spans="1:13" x14ac:dyDescent="0.2">
      <c r="A842" s="141" t="s">
        <v>2227</v>
      </c>
      <c r="B842" s="107">
        <v>356868</v>
      </c>
      <c r="C842" s="107">
        <v>570</v>
      </c>
      <c r="D842" s="107"/>
      <c r="E842" s="107"/>
      <c r="F842" s="107"/>
      <c r="G842" s="107"/>
      <c r="H842" s="107"/>
      <c r="I842" s="107"/>
      <c r="J842" s="107"/>
      <c r="K842" s="107"/>
      <c r="L842" s="107"/>
      <c r="M842" s="107"/>
    </row>
    <row r="843" spans="1:13" x14ac:dyDescent="0.2">
      <c r="A843" s="141" t="s">
        <v>2228</v>
      </c>
      <c r="B843" s="107">
        <v>1498403</v>
      </c>
      <c r="C843" s="107">
        <v>645</v>
      </c>
      <c r="D843" s="107"/>
      <c r="E843" s="107"/>
      <c r="F843" s="107"/>
      <c r="G843" s="107"/>
      <c r="H843" s="107"/>
      <c r="I843" s="107"/>
      <c r="J843" s="107"/>
      <c r="K843" s="107"/>
      <c r="L843" s="107"/>
      <c r="M843" s="107"/>
    </row>
    <row r="844" spans="1:13" x14ac:dyDescent="0.2">
      <c r="A844" s="141" t="s">
        <v>2229</v>
      </c>
      <c r="B844" s="107">
        <v>30200</v>
      </c>
      <c r="C844" s="107"/>
      <c r="D844" s="107"/>
      <c r="E844" s="107"/>
      <c r="F844" s="107"/>
      <c r="G844" s="107"/>
      <c r="H844" s="107"/>
      <c r="I844" s="107"/>
      <c r="J844" s="107"/>
      <c r="K844" s="107"/>
      <c r="L844" s="107"/>
      <c r="M844" s="107"/>
    </row>
    <row r="845" spans="1:13" x14ac:dyDescent="0.2">
      <c r="A845" s="141" t="s">
        <v>2230</v>
      </c>
      <c r="B845" s="107">
        <v>52</v>
      </c>
      <c r="C845" s="107">
        <v>100</v>
      </c>
      <c r="D845" s="107"/>
      <c r="E845" s="107"/>
      <c r="F845" s="107"/>
      <c r="G845" s="107"/>
      <c r="H845" s="107"/>
      <c r="I845" s="107"/>
      <c r="J845" s="107"/>
      <c r="K845" s="107"/>
      <c r="L845" s="107"/>
      <c r="M845" s="107"/>
    </row>
    <row r="846" spans="1:13" x14ac:dyDescent="0.2">
      <c r="A846" s="141" t="s">
        <v>2231</v>
      </c>
      <c r="B846" s="107">
        <v>30</v>
      </c>
      <c r="C846" s="107">
        <v>20</v>
      </c>
      <c r="D846" s="107"/>
      <c r="E846" s="107"/>
      <c r="F846" s="107"/>
      <c r="G846" s="107"/>
      <c r="H846" s="107"/>
      <c r="I846" s="107"/>
      <c r="J846" s="107"/>
      <c r="K846" s="107"/>
      <c r="L846" s="107"/>
      <c r="M846" s="107"/>
    </row>
    <row r="847" spans="1:13" ht="16" thickBot="1" x14ac:dyDescent="0.25">
      <c r="A847" s="141" t="s">
        <v>2232</v>
      </c>
      <c r="B847" s="187">
        <v>156619</v>
      </c>
      <c r="C847" s="187">
        <v>139</v>
      </c>
      <c r="D847" s="187">
        <v>5668303</v>
      </c>
      <c r="E847" s="187">
        <v>270</v>
      </c>
      <c r="F847" s="107"/>
      <c r="G847" s="107"/>
      <c r="H847" s="107"/>
      <c r="I847" s="107"/>
      <c r="J847" s="107"/>
      <c r="K847" s="107"/>
      <c r="L847" s="107"/>
      <c r="M847" s="107"/>
    </row>
    <row r="848" spans="1:13" ht="16" thickBot="1" x14ac:dyDescent="0.25">
      <c r="A848" s="685" t="s">
        <v>2233</v>
      </c>
      <c r="B848" s="685"/>
      <c r="C848" s="685"/>
      <c r="D848" s="448">
        <v>5986446</v>
      </c>
      <c r="E848" s="448">
        <v>715</v>
      </c>
      <c r="F848" s="107">
        <v>715</v>
      </c>
      <c r="G848" s="107"/>
      <c r="H848" s="107"/>
      <c r="I848" s="107"/>
      <c r="J848" s="107"/>
      <c r="K848" s="107"/>
      <c r="L848" s="107"/>
      <c r="M848" s="107"/>
    </row>
    <row r="849" spans="1:13" x14ac:dyDescent="0.2">
      <c r="A849" s="687"/>
      <c r="B849" s="687"/>
      <c r="C849" s="687"/>
      <c r="D849" s="138">
        <f>+D837+SUM(B838:B847)</f>
        <v>5986443</v>
      </c>
      <c r="E849" s="138">
        <f>+E837+SUM(C838:C847)</f>
        <v>3715</v>
      </c>
      <c r="F849" s="107"/>
      <c r="G849" s="107"/>
      <c r="H849" s="107"/>
      <c r="I849" s="107"/>
      <c r="J849" s="107"/>
      <c r="K849" s="107"/>
      <c r="L849" s="107"/>
      <c r="M849" s="107"/>
    </row>
    <row r="850" spans="1:13" ht="37.25" customHeight="1" x14ac:dyDescent="0.2">
      <c r="A850" s="688" t="s">
        <v>1496</v>
      </c>
      <c r="B850" s="688"/>
      <c r="C850" s="688"/>
      <c r="D850" s="688"/>
      <c r="E850" s="688"/>
      <c r="F850" s="107"/>
      <c r="G850" s="107"/>
      <c r="H850" s="107"/>
      <c r="I850" s="107"/>
      <c r="J850" s="107"/>
      <c r="K850" s="107"/>
      <c r="L850" s="107"/>
      <c r="M850" s="107"/>
    </row>
    <row r="851" spans="1:13" x14ac:dyDescent="0.2">
      <c r="A851" s="589" t="s">
        <v>2234</v>
      </c>
      <c r="B851" s="589"/>
      <c r="C851" s="589"/>
      <c r="D851" s="107"/>
      <c r="E851" s="107"/>
      <c r="F851" s="107"/>
      <c r="G851" s="107"/>
      <c r="H851" s="107"/>
      <c r="I851" s="107"/>
      <c r="J851" s="107"/>
      <c r="K851" s="107"/>
      <c r="L851" s="107"/>
      <c r="M851" s="107"/>
    </row>
    <row r="852" spans="1:13" x14ac:dyDescent="0.2">
      <c r="A852" s="141" t="s">
        <v>2235</v>
      </c>
      <c r="B852" s="107">
        <v>27911</v>
      </c>
      <c r="C852" s="107">
        <v>289</v>
      </c>
      <c r="D852" s="107"/>
      <c r="E852" s="107"/>
      <c r="F852" s="107"/>
      <c r="G852" s="107"/>
      <c r="H852" s="107"/>
      <c r="I852" s="107"/>
      <c r="J852" s="107"/>
      <c r="K852" s="107"/>
      <c r="L852" s="107"/>
      <c r="M852" s="107"/>
    </row>
    <row r="853" spans="1:13" x14ac:dyDescent="0.2">
      <c r="A853" s="141" t="s">
        <v>2236</v>
      </c>
      <c r="B853" s="107">
        <v>122515</v>
      </c>
      <c r="C853" s="107">
        <v>98</v>
      </c>
      <c r="D853" s="107"/>
      <c r="E853" s="107"/>
      <c r="F853" s="107"/>
      <c r="G853" s="107"/>
      <c r="H853" s="107"/>
      <c r="I853" s="107"/>
      <c r="J853" s="107"/>
      <c r="K853" s="107"/>
      <c r="L853" s="107"/>
      <c r="M853" s="107"/>
    </row>
    <row r="854" spans="1:13" x14ac:dyDescent="0.2">
      <c r="A854" s="141" t="s">
        <v>2237</v>
      </c>
      <c r="B854" s="107">
        <v>1308</v>
      </c>
      <c r="C854" s="107">
        <v>585</v>
      </c>
      <c r="D854" s="107"/>
      <c r="E854" s="107"/>
      <c r="F854" s="107"/>
      <c r="G854" s="107"/>
      <c r="H854" s="107"/>
      <c r="I854" s="107"/>
      <c r="J854" s="107"/>
      <c r="K854" s="107"/>
      <c r="L854" s="107"/>
      <c r="M854" s="107"/>
    </row>
    <row r="855" spans="1:13" x14ac:dyDescent="0.2">
      <c r="A855" s="141" t="s">
        <v>2238</v>
      </c>
      <c r="B855" s="107">
        <v>6496</v>
      </c>
      <c r="C855" s="107">
        <v>358</v>
      </c>
      <c r="D855" s="107"/>
      <c r="E855" s="107"/>
      <c r="F855" s="107"/>
      <c r="G855" s="107"/>
      <c r="H855" s="107"/>
      <c r="I855" s="107"/>
      <c r="J855" s="107"/>
      <c r="K855" s="107"/>
      <c r="L855" s="107"/>
      <c r="M855" s="107"/>
    </row>
    <row r="856" spans="1:13" x14ac:dyDescent="0.2">
      <c r="A856" s="141" t="s">
        <v>2239</v>
      </c>
      <c r="B856" s="107">
        <v>41339</v>
      </c>
      <c r="C856" s="107">
        <v>975</v>
      </c>
      <c r="D856" s="107"/>
      <c r="E856" s="107"/>
      <c r="F856" s="107"/>
      <c r="G856" s="107"/>
      <c r="H856" s="107"/>
      <c r="I856" s="107"/>
      <c r="J856" s="107"/>
      <c r="K856" s="107"/>
      <c r="L856" s="107"/>
      <c r="M856" s="107"/>
    </row>
    <row r="857" spans="1:13" x14ac:dyDescent="0.2">
      <c r="A857" s="141" t="s">
        <v>2240</v>
      </c>
      <c r="B857" s="107">
        <v>34429</v>
      </c>
      <c r="C857" s="107">
        <v>360</v>
      </c>
      <c r="D857" s="107"/>
      <c r="E857" s="107"/>
      <c r="F857" s="107"/>
      <c r="G857" s="107"/>
      <c r="H857" s="107"/>
      <c r="I857" s="107"/>
      <c r="J857" s="107"/>
      <c r="K857" s="107"/>
      <c r="L857" s="107"/>
      <c r="M857" s="107"/>
    </row>
    <row r="858" spans="1:13" x14ac:dyDescent="0.2">
      <c r="A858" s="141" t="s">
        <v>2241</v>
      </c>
      <c r="B858" s="107">
        <v>31213</v>
      </c>
      <c r="C858" s="107">
        <v>12</v>
      </c>
      <c r="D858" s="107"/>
      <c r="E858" s="107"/>
      <c r="F858" s="107"/>
      <c r="G858" s="107"/>
      <c r="H858" s="107"/>
      <c r="I858" s="107"/>
      <c r="J858" s="107"/>
      <c r="K858" s="107"/>
      <c r="L858" s="107"/>
      <c r="M858" s="107"/>
    </row>
    <row r="859" spans="1:13" x14ac:dyDescent="0.2">
      <c r="A859" s="141" t="s">
        <v>2242</v>
      </c>
      <c r="B859" s="107">
        <v>962</v>
      </c>
      <c r="C859" s="107">
        <v>734</v>
      </c>
      <c r="D859" s="107"/>
      <c r="E859" s="107"/>
      <c r="F859" s="107"/>
      <c r="G859" s="107"/>
      <c r="H859" s="107"/>
      <c r="I859" s="107"/>
      <c r="J859" s="107"/>
      <c r="K859" s="107"/>
      <c r="L859" s="107"/>
      <c r="M859" s="107"/>
    </row>
    <row r="860" spans="1:13" x14ac:dyDescent="0.2">
      <c r="A860" s="141" t="s">
        <v>2243</v>
      </c>
      <c r="B860" s="107">
        <v>4942</v>
      </c>
      <c r="C860" s="107">
        <v>379</v>
      </c>
      <c r="D860" s="107"/>
      <c r="E860" s="107"/>
      <c r="F860" s="107"/>
      <c r="G860" s="107"/>
      <c r="H860" s="107"/>
      <c r="I860" s="107"/>
      <c r="J860" s="107"/>
      <c r="K860" s="107"/>
      <c r="L860" s="107"/>
      <c r="M860" s="107"/>
    </row>
    <row r="861" spans="1:13" x14ac:dyDescent="0.2">
      <c r="A861" s="141" t="s">
        <v>2244</v>
      </c>
      <c r="B861" s="107">
        <v>1099</v>
      </c>
      <c r="C861" s="107">
        <v>338</v>
      </c>
      <c r="D861" s="107"/>
      <c r="E861" s="107"/>
      <c r="F861" s="107"/>
      <c r="G861" s="107"/>
      <c r="H861" s="107"/>
      <c r="I861" s="107"/>
      <c r="J861" s="107"/>
      <c r="K861" s="107"/>
      <c r="L861" s="107"/>
      <c r="M861" s="107"/>
    </row>
    <row r="862" spans="1:13" x14ac:dyDescent="0.2">
      <c r="A862" s="141" t="s">
        <v>2245</v>
      </c>
      <c r="B862" s="145">
        <v>24513</v>
      </c>
      <c r="C862" s="145">
        <v>191</v>
      </c>
      <c r="D862" s="107"/>
      <c r="E862" s="107"/>
      <c r="F862" s="107"/>
      <c r="G862" s="107"/>
      <c r="H862" s="107"/>
      <c r="I862" s="107"/>
      <c r="J862" s="107"/>
      <c r="K862" s="107"/>
      <c r="L862" s="107"/>
      <c r="M862" s="107"/>
    </row>
    <row r="863" spans="1:13" ht="16" thickBot="1" x14ac:dyDescent="0.25">
      <c r="A863" s="141" t="s">
        <v>2246</v>
      </c>
      <c r="B863" s="187">
        <v>326182</v>
      </c>
      <c r="C863" s="187">
        <v>788</v>
      </c>
      <c r="D863" s="107">
        <v>623914</v>
      </c>
      <c r="E863" s="107">
        <v>107</v>
      </c>
      <c r="F863" s="107"/>
      <c r="G863" s="107"/>
      <c r="H863" s="107"/>
      <c r="I863" s="107"/>
      <c r="J863" s="107"/>
      <c r="K863" s="107"/>
      <c r="L863" s="107"/>
      <c r="M863" s="107"/>
    </row>
    <row r="864" spans="1:13" x14ac:dyDescent="0.2">
      <c r="A864" s="141"/>
      <c r="B864" s="145"/>
      <c r="C864" s="145"/>
      <c r="D864" s="477">
        <f>+SUM(B852:B863)</f>
        <v>622909</v>
      </c>
      <c r="E864" s="321">
        <f>+SUM(C852:C863)</f>
        <v>5107</v>
      </c>
      <c r="F864" s="107"/>
      <c r="G864" s="107"/>
      <c r="H864" s="107"/>
      <c r="I864" s="107"/>
      <c r="J864" s="107"/>
      <c r="K864" s="107"/>
      <c r="L864" s="107"/>
      <c r="M864" s="107"/>
    </row>
    <row r="865" spans="1:13" x14ac:dyDescent="0.2">
      <c r="A865" s="589" t="s">
        <v>2247</v>
      </c>
      <c r="B865" s="589"/>
      <c r="C865" s="589"/>
      <c r="D865" s="107"/>
      <c r="E865" s="107"/>
      <c r="F865" s="107"/>
      <c r="G865" s="107"/>
      <c r="H865" s="107"/>
      <c r="I865" s="107"/>
      <c r="J865" s="107"/>
      <c r="K865" s="107"/>
      <c r="L865" s="107"/>
      <c r="M865" s="107"/>
    </row>
    <row r="866" spans="1:13" x14ac:dyDescent="0.2">
      <c r="A866" s="141" t="s">
        <v>2248</v>
      </c>
      <c r="B866" s="107">
        <v>49198</v>
      </c>
      <c r="C866" s="107">
        <v>320</v>
      </c>
      <c r="D866" s="107"/>
      <c r="E866" s="107"/>
      <c r="F866" s="107"/>
      <c r="G866" s="107"/>
      <c r="H866" s="107"/>
      <c r="I866" s="107"/>
      <c r="J866" s="107"/>
      <c r="K866" s="107"/>
      <c r="L866" s="107"/>
      <c r="M866" s="107"/>
    </row>
    <row r="867" spans="1:13" x14ac:dyDescent="0.2">
      <c r="A867" s="141" t="s">
        <v>2236</v>
      </c>
      <c r="B867" s="107">
        <v>10354</v>
      </c>
      <c r="C867" s="107">
        <v>397</v>
      </c>
      <c r="D867" s="107"/>
      <c r="E867" s="107"/>
      <c r="F867" s="107"/>
      <c r="G867" s="107"/>
      <c r="H867" s="107"/>
      <c r="I867" s="107"/>
      <c r="J867" s="107"/>
      <c r="K867" s="107"/>
      <c r="L867" s="107"/>
      <c r="M867" s="107"/>
    </row>
    <row r="868" spans="1:13" x14ac:dyDescent="0.2">
      <c r="A868" s="141" t="s">
        <v>2249</v>
      </c>
      <c r="B868" s="107">
        <v>289</v>
      </c>
      <c r="C868" s="107">
        <v>100</v>
      </c>
      <c r="D868" s="107"/>
      <c r="E868" s="107"/>
      <c r="F868" s="107"/>
      <c r="G868" s="107"/>
      <c r="H868" s="107"/>
      <c r="I868" s="107"/>
      <c r="J868" s="107"/>
      <c r="K868" s="107"/>
      <c r="L868" s="107"/>
      <c r="M868" s="107"/>
    </row>
    <row r="869" spans="1:13" x14ac:dyDescent="0.2">
      <c r="A869" s="141" t="s">
        <v>2238</v>
      </c>
      <c r="B869" s="107">
        <v>1827</v>
      </c>
      <c r="C869" s="107">
        <v>912</v>
      </c>
      <c r="D869" s="107"/>
      <c r="E869" s="107"/>
      <c r="F869" s="107"/>
      <c r="G869" s="107"/>
      <c r="H869" s="107"/>
      <c r="I869" s="107"/>
      <c r="J869" s="107"/>
      <c r="K869" s="107"/>
      <c r="L869" s="107"/>
      <c r="M869" s="107"/>
    </row>
    <row r="870" spans="1:13" x14ac:dyDescent="0.2">
      <c r="A870" s="141" t="s">
        <v>2239</v>
      </c>
      <c r="B870" s="107">
        <v>859</v>
      </c>
      <c r="C870" s="107">
        <v>749</v>
      </c>
      <c r="D870" s="107"/>
      <c r="E870" s="107"/>
      <c r="F870" s="107"/>
      <c r="G870" s="107"/>
      <c r="H870" s="107"/>
      <c r="I870" s="107"/>
      <c r="J870" s="107"/>
      <c r="K870" s="107"/>
      <c r="L870" s="107"/>
      <c r="M870" s="107"/>
    </row>
    <row r="871" spans="1:13" x14ac:dyDescent="0.2">
      <c r="A871" s="141" t="s">
        <v>2250</v>
      </c>
      <c r="B871" s="107">
        <v>62</v>
      </c>
      <c r="C871" s="107">
        <v>310</v>
      </c>
      <c r="D871" s="107"/>
      <c r="E871" s="107"/>
      <c r="F871" s="107"/>
      <c r="G871" s="107"/>
      <c r="H871" s="107"/>
      <c r="I871" s="107"/>
      <c r="J871" s="107"/>
      <c r="K871" s="107"/>
      <c r="L871" s="107"/>
      <c r="M871" s="107"/>
    </row>
    <row r="872" spans="1:13" x14ac:dyDescent="0.2">
      <c r="A872" s="141" t="s">
        <v>2245</v>
      </c>
      <c r="B872" s="107">
        <v>8580</v>
      </c>
      <c r="C872" s="107">
        <v>788</v>
      </c>
      <c r="D872" s="107"/>
      <c r="E872" s="107"/>
      <c r="F872" s="107"/>
      <c r="G872" s="107"/>
      <c r="H872" s="107"/>
      <c r="I872" s="107"/>
      <c r="J872" s="107"/>
      <c r="K872" s="107"/>
      <c r="L872" s="107"/>
      <c r="M872" s="107"/>
    </row>
    <row r="873" spans="1:13" x14ac:dyDescent="0.2">
      <c r="A873" s="141" t="s">
        <v>2246</v>
      </c>
      <c r="B873" s="107">
        <v>225220</v>
      </c>
      <c r="C873" s="107">
        <v>948</v>
      </c>
      <c r="D873" s="107"/>
      <c r="E873" s="107"/>
      <c r="F873" s="107"/>
      <c r="G873" s="107"/>
      <c r="H873" s="107"/>
      <c r="I873" s="107"/>
      <c r="J873" s="107"/>
      <c r="K873" s="107"/>
      <c r="L873" s="107"/>
      <c r="M873" s="107"/>
    </row>
    <row r="874" spans="1:13" x14ac:dyDescent="0.2">
      <c r="A874" s="141" t="s">
        <v>2243</v>
      </c>
      <c r="B874" s="107">
        <v>3718</v>
      </c>
      <c r="C874" s="107">
        <v>885</v>
      </c>
      <c r="D874" s="107"/>
      <c r="E874" s="107"/>
      <c r="F874" s="107"/>
      <c r="G874" s="107"/>
      <c r="H874" s="107"/>
      <c r="I874" s="107"/>
      <c r="J874" s="107"/>
      <c r="K874" s="107"/>
      <c r="L874" s="107"/>
      <c r="M874" s="107"/>
    </row>
    <row r="875" spans="1:13" ht="16" thickBot="1" x14ac:dyDescent="0.25">
      <c r="A875" s="141" t="s">
        <v>2251</v>
      </c>
      <c r="B875" s="187">
        <v>1144</v>
      </c>
      <c r="C875" s="187">
        <v>842</v>
      </c>
      <c r="D875" s="107">
        <v>301257</v>
      </c>
      <c r="E875" s="107">
        <v>251</v>
      </c>
      <c r="F875" s="107"/>
      <c r="G875" s="107"/>
      <c r="H875" s="107"/>
      <c r="I875" s="107"/>
      <c r="J875" s="107"/>
      <c r="K875" s="107"/>
      <c r="L875" s="107"/>
      <c r="M875" s="107"/>
    </row>
    <row r="876" spans="1:13" x14ac:dyDescent="0.2">
      <c r="A876" s="141"/>
      <c r="B876" s="145"/>
      <c r="C876" s="145"/>
      <c r="D876" s="321">
        <f>+SUM(B866:B875)</f>
        <v>301251</v>
      </c>
      <c r="E876" s="321">
        <f>+SUM(C866:C875)</f>
        <v>6251</v>
      </c>
      <c r="F876" s="107"/>
      <c r="G876" s="107"/>
      <c r="H876" s="107"/>
      <c r="I876" s="107"/>
      <c r="J876" s="107"/>
      <c r="K876" s="107"/>
      <c r="L876" s="107"/>
      <c r="M876" s="107"/>
    </row>
    <row r="877" spans="1:13" x14ac:dyDescent="0.2">
      <c r="A877" s="589" t="s">
        <v>2252</v>
      </c>
      <c r="B877" s="589"/>
      <c r="C877" s="589"/>
      <c r="D877" s="107"/>
      <c r="E877" s="107"/>
      <c r="F877" s="107"/>
      <c r="G877" s="107"/>
      <c r="H877" s="107"/>
      <c r="I877" s="107"/>
      <c r="J877" s="107"/>
      <c r="K877" s="107"/>
      <c r="L877" s="107"/>
      <c r="M877" s="107"/>
    </row>
    <row r="878" spans="1:13" x14ac:dyDescent="0.2">
      <c r="A878" s="141" t="s">
        <v>2253</v>
      </c>
      <c r="B878" s="107">
        <v>1335829</v>
      </c>
      <c r="C878" s="107">
        <v>901</v>
      </c>
      <c r="D878" s="107"/>
      <c r="E878" s="107"/>
      <c r="F878" s="107"/>
      <c r="G878" s="107"/>
      <c r="H878" s="107"/>
      <c r="I878" s="107"/>
      <c r="J878" s="107"/>
      <c r="K878" s="107"/>
      <c r="L878" s="107"/>
      <c r="M878" s="107"/>
    </row>
    <row r="879" spans="1:13" x14ac:dyDescent="0.2">
      <c r="A879" s="141" t="s">
        <v>2236</v>
      </c>
      <c r="B879" s="107">
        <v>127060</v>
      </c>
      <c r="C879" s="107">
        <v>414</v>
      </c>
      <c r="D879" s="107"/>
      <c r="E879" s="107"/>
      <c r="F879" s="107"/>
      <c r="G879" s="107"/>
      <c r="H879" s="107"/>
      <c r="I879" s="107"/>
      <c r="J879" s="107"/>
      <c r="K879" s="107"/>
      <c r="L879" s="107"/>
      <c r="M879" s="107"/>
    </row>
    <row r="880" spans="1:13" x14ac:dyDescent="0.2">
      <c r="A880" s="141" t="s">
        <v>2241</v>
      </c>
      <c r="B880" s="107">
        <v>50427</v>
      </c>
      <c r="C880" s="107">
        <v>452</v>
      </c>
      <c r="D880" s="107"/>
      <c r="E880" s="107"/>
      <c r="F880" s="107"/>
      <c r="G880" s="107"/>
      <c r="H880" s="107"/>
      <c r="I880" s="107"/>
      <c r="J880" s="107"/>
      <c r="K880" s="107"/>
      <c r="L880" s="107"/>
      <c r="M880" s="107"/>
    </row>
    <row r="881" spans="1:13" x14ac:dyDescent="0.2">
      <c r="A881" s="141" t="s">
        <v>2254</v>
      </c>
      <c r="B881" s="107">
        <v>10</v>
      </c>
      <c r="C881" s="107">
        <v>928</v>
      </c>
      <c r="D881" s="107"/>
      <c r="E881" s="107"/>
      <c r="F881" s="107"/>
      <c r="G881" s="107"/>
      <c r="H881" s="107"/>
      <c r="I881" s="107"/>
      <c r="J881" s="107"/>
      <c r="K881" s="107"/>
      <c r="L881" s="107"/>
      <c r="M881" s="107"/>
    </row>
    <row r="882" spans="1:13" x14ac:dyDescent="0.2">
      <c r="A882" s="141" t="s">
        <v>2255</v>
      </c>
      <c r="B882" s="107">
        <v>11226</v>
      </c>
      <c r="C882" s="107">
        <v>750</v>
      </c>
      <c r="D882" s="107"/>
      <c r="E882" s="107"/>
      <c r="F882" s="107"/>
      <c r="G882" s="107"/>
      <c r="H882" s="107"/>
      <c r="I882" s="107"/>
      <c r="J882" s="107"/>
      <c r="K882" s="107"/>
      <c r="L882" s="107"/>
      <c r="M882" s="107"/>
    </row>
    <row r="883" spans="1:13" x14ac:dyDescent="0.2">
      <c r="A883" s="141" t="s">
        <v>2256</v>
      </c>
      <c r="B883" s="107">
        <v>3504</v>
      </c>
      <c r="C883" s="107">
        <v>145</v>
      </c>
      <c r="D883" s="107"/>
      <c r="E883" s="107"/>
      <c r="F883" s="107"/>
      <c r="G883" s="107"/>
      <c r="H883" s="107"/>
      <c r="I883" s="107"/>
      <c r="J883" s="107"/>
      <c r="K883" s="107"/>
      <c r="L883" s="107"/>
      <c r="M883" s="107"/>
    </row>
    <row r="884" spans="1:13" x14ac:dyDescent="0.2">
      <c r="A884" s="141" t="s">
        <v>2257</v>
      </c>
      <c r="B884" s="107">
        <v>128</v>
      </c>
      <c r="C884" s="107"/>
      <c r="D884" s="107"/>
      <c r="E884" s="107"/>
      <c r="F884" s="107"/>
      <c r="G884" s="107"/>
      <c r="H884" s="107"/>
      <c r="I884" s="107"/>
      <c r="J884" s="107"/>
      <c r="K884" s="107"/>
      <c r="L884" s="107"/>
      <c r="M884" s="107"/>
    </row>
    <row r="885" spans="1:13" x14ac:dyDescent="0.2">
      <c r="A885" s="141" t="s">
        <v>2258</v>
      </c>
      <c r="B885" s="107">
        <v>13242</v>
      </c>
      <c r="C885" s="107">
        <v>800</v>
      </c>
      <c r="D885" s="107"/>
      <c r="E885" s="107"/>
      <c r="F885" s="107"/>
      <c r="G885" s="107"/>
      <c r="H885" s="107"/>
      <c r="I885" s="107"/>
      <c r="J885" s="107"/>
      <c r="K885" s="107"/>
      <c r="L885" s="107"/>
      <c r="M885" s="107"/>
    </row>
    <row r="886" spans="1:13" x14ac:dyDescent="0.2">
      <c r="A886" s="141" t="s">
        <v>2245</v>
      </c>
      <c r="B886" s="107">
        <v>28807</v>
      </c>
      <c r="C886" s="107">
        <v>550</v>
      </c>
      <c r="D886" s="107"/>
      <c r="E886" s="107"/>
      <c r="F886" s="107"/>
      <c r="G886" s="107"/>
      <c r="H886" s="107"/>
      <c r="I886" s="107"/>
      <c r="J886" s="107"/>
      <c r="K886" s="107"/>
      <c r="L886" s="107"/>
      <c r="M886" s="107"/>
    </row>
    <row r="887" spans="1:13" x14ac:dyDescent="0.2">
      <c r="A887" s="141" t="s">
        <v>2259</v>
      </c>
      <c r="B887" s="107">
        <v>3173</v>
      </c>
      <c r="C887" s="107">
        <v>175</v>
      </c>
      <c r="D887" s="107"/>
      <c r="E887" s="107"/>
      <c r="F887" s="107"/>
      <c r="G887" s="107"/>
      <c r="H887" s="107"/>
      <c r="I887" s="107"/>
      <c r="J887" s="107"/>
      <c r="K887" s="107"/>
      <c r="L887" s="107"/>
      <c r="M887" s="107"/>
    </row>
    <row r="888" spans="1:13" x14ac:dyDescent="0.2">
      <c r="A888" s="141" t="s">
        <v>2260</v>
      </c>
      <c r="B888" s="107">
        <v>9614</v>
      </c>
      <c r="C888" s="107">
        <v>144</v>
      </c>
      <c r="D888" s="107"/>
      <c r="E888" s="107"/>
      <c r="F888" s="107"/>
      <c r="G888" s="107"/>
      <c r="H888" s="107"/>
      <c r="I888" s="107"/>
      <c r="J888" s="107"/>
      <c r="K888" s="107"/>
      <c r="L888" s="107"/>
      <c r="M888" s="107"/>
    </row>
    <row r="889" spans="1:13" x14ac:dyDescent="0.2">
      <c r="A889" s="141" t="s">
        <v>2243</v>
      </c>
      <c r="B889" s="107">
        <v>122134</v>
      </c>
      <c r="C889" s="107">
        <v>340</v>
      </c>
      <c r="D889" s="107"/>
      <c r="E889" s="107"/>
      <c r="F889" s="107"/>
      <c r="G889" s="107"/>
      <c r="H889" s="107"/>
      <c r="I889" s="107"/>
      <c r="J889" s="107"/>
      <c r="K889" s="107"/>
      <c r="L889" s="107"/>
      <c r="M889" s="107"/>
    </row>
    <row r="890" spans="1:13" x14ac:dyDescent="0.2">
      <c r="A890" s="141" t="s">
        <v>2251</v>
      </c>
      <c r="B890" s="107">
        <v>31411</v>
      </c>
      <c r="C890" s="107">
        <v>292</v>
      </c>
      <c r="D890" s="107"/>
      <c r="E890" s="107"/>
      <c r="F890" s="107"/>
      <c r="G890" s="107"/>
      <c r="H890" s="107"/>
      <c r="I890" s="107"/>
      <c r="J890" s="107"/>
      <c r="K890" s="107"/>
      <c r="L890" s="107"/>
      <c r="M890" s="107"/>
    </row>
    <row r="891" spans="1:13" x14ac:dyDescent="0.2">
      <c r="A891" s="141" t="s">
        <v>2246</v>
      </c>
      <c r="B891" s="107">
        <v>460144</v>
      </c>
      <c r="C891" s="107">
        <v>998</v>
      </c>
      <c r="D891" s="107"/>
      <c r="E891" s="107"/>
      <c r="F891" s="107"/>
      <c r="G891" s="107"/>
      <c r="H891" s="107"/>
      <c r="I891" s="107"/>
      <c r="J891" s="107"/>
      <c r="K891" s="107"/>
      <c r="L891" s="107"/>
      <c r="M891" s="107"/>
    </row>
    <row r="892" spans="1:13" ht="16" thickBot="1" x14ac:dyDescent="0.25">
      <c r="A892" s="141" t="s">
        <v>2199</v>
      </c>
      <c r="B892" s="187">
        <v>45</v>
      </c>
      <c r="C892" s="187">
        <v>600</v>
      </c>
      <c r="D892" s="107">
        <v>2196761</v>
      </c>
      <c r="E892" s="107">
        <v>489</v>
      </c>
      <c r="F892" s="107"/>
      <c r="G892" s="107"/>
      <c r="H892" s="107"/>
      <c r="I892" s="107"/>
      <c r="J892" s="107"/>
      <c r="K892" s="107"/>
      <c r="L892" s="107"/>
      <c r="M892" s="107"/>
    </row>
    <row r="893" spans="1:13" x14ac:dyDescent="0.2">
      <c r="A893" s="141"/>
      <c r="B893" s="145"/>
      <c r="C893" s="145"/>
      <c r="D893" s="321">
        <f>+SUM(B878:B892)</f>
        <v>2196754</v>
      </c>
      <c r="E893" s="321">
        <f>+SUM(C878:C892)</f>
        <v>7489</v>
      </c>
      <c r="F893" s="107"/>
      <c r="G893" s="107"/>
      <c r="H893" s="107"/>
      <c r="I893" s="107"/>
      <c r="J893" s="107"/>
      <c r="K893" s="107"/>
      <c r="L893" s="107"/>
      <c r="M893" s="107"/>
    </row>
    <row r="894" spans="1:13" x14ac:dyDescent="0.2">
      <c r="A894" s="589" t="s">
        <v>2261</v>
      </c>
      <c r="B894" s="589"/>
      <c r="C894" s="589"/>
      <c r="D894" s="107"/>
      <c r="E894" s="107"/>
      <c r="F894" s="107"/>
      <c r="G894" s="107"/>
      <c r="H894" s="107"/>
      <c r="I894" s="107"/>
      <c r="J894" s="107"/>
      <c r="K894" s="107"/>
      <c r="L894" s="107"/>
      <c r="M894" s="107"/>
    </row>
    <row r="895" spans="1:13" x14ac:dyDescent="0.2">
      <c r="A895" s="141" t="s">
        <v>2235</v>
      </c>
      <c r="B895" s="107">
        <v>131931</v>
      </c>
      <c r="C895" s="107">
        <v>513</v>
      </c>
      <c r="D895" s="107"/>
      <c r="E895" s="107"/>
      <c r="F895" s="107"/>
      <c r="G895" s="107"/>
      <c r="H895" s="107"/>
      <c r="I895" s="107"/>
      <c r="J895" s="107"/>
      <c r="K895" s="107"/>
      <c r="L895" s="107"/>
      <c r="M895" s="107"/>
    </row>
    <row r="896" spans="1:13" x14ac:dyDescent="0.2">
      <c r="A896" s="141" t="s">
        <v>2243</v>
      </c>
      <c r="B896" s="107">
        <v>3170</v>
      </c>
      <c r="C896" s="107">
        <v>750</v>
      </c>
      <c r="D896" s="107"/>
      <c r="E896" s="107"/>
      <c r="F896" s="107"/>
      <c r="G896" s="107"/>
      <c r="H896" s="107"/>
      <c r="I896" s="107"/>
      <c r="J896" s="107"/>
      <c r="K896" s="107"/>
      <c r="L896" s="107"/>
      <c r="M896" s="107"/>
    </row>
    <row r="897" spans="1:13" x14ac:dyDescent="0.2">
      <c r="A897" s="141" t="s">
        <v>2262</v>
      </c>
      <c r="B897" s="107">
        <v>37134</v>
      </c>
      <c r="C897" s="107">
        <v>256</v>
      </c>
      <c r="D897" s="107"/>
      <c r="E897" s="107"/>
      <c r="F897" s="107"/>
      <c r="G897" s="107"/>
      <c r="H897" s="107"/>
      <c r="I897" s="107"/>
      <c r="J897" s="107"/>
      <c r="K897" s="107"/>
      <c r="L897" s="107"/>
      <c r="M897" s="107"/>
    </row>
    <row r="898" spans="1:13" x14ac:dyDescent="0.2">
      <c r="A898" s="141" t="s">
        <v>2246</v>
      </c>
      <c r="B898" s="107">
        <v>292466</v>
      </c>
      <c r="C898" s="107">
        <v>988</v>
      </c>
      <c r="D898" s="107"/>
      <c r="E898" s="107"/>
      <c r="F898" s="107"/>
      <c r="G898" s="107"/>
      <c r="H898" s="107"/>
      <c r="I898" s="107"/>
      <c r="J898" s="107"/>
      <c r="K898" s="107"/>
      <c r="L898" s="107"/>
      <c r="M898" s="107"/>
    </row>
    <row r="899" spans="1:13" ht="16" thickBot="1" x14ac:dyDescent="0.25">
      <c r="A899" s="141" t="s">
        <v>2251</v>
      </c>
      <c r="B899" s="187">
        <v>1300</v>
      </c>
      <c r="C899" s="187"/>
      <c r="D899" s="107">
        <v>466003</v>
      </c>
      <c r="E899" s="107">
        <v>507</v>
      </c>
      <c r="F899" s="107"/>
      <c r="G899" s="107"/>
      <c r="H899" s="107"/>
      <c r="I899" s="107"/>
      <c r="J899" s="107"/>
      <c r="K899" s="107"/>
      <c r="L899" s="107"/>
      <c r="M899" s="107"/>
    </row>
    <row r="900" spans="1:13" x14ac:dyDescent="0.2">
      <c r="A900" s="141"/>
      <c r="B900" s="145"/>
      <c r="C900" s="145"/>
      <c r="D900" s="321">
        <f>+SUM(B895:B899)</f>
        <v>466001</v>
      </c>
      <c r="E900" s="321">
        <f>+SUM(C895:C899)</f>
        <v>2507</v>
      </c>
      <c r="F900" s="107"/>
      <c r="G900" s="107"/>
      <c r="H900" s="107"/>
      <c r="I900" s="107"/>
      <c r="J900" s="107"/>
      <c r="K900" s="107"/>
      <c r="L900" s="107"/>
      <c r="M900" s="107"/>
    </row>
    <row r="901" spans="1:13" x14ac:dyDescent="0.2">
      <c r="A901" s="589" t="s">
        <v>2263</v>
      </c>
      <c r="B901" s="589"/>
      <c r="C901" s="589"/>
      <c r="D901" s="107"/>
      <c r="E901" s="107"/>
      <c r="F901" s="107"/>
      <c r="G901" s="107"/>
      <c r="H901" s="107"/>
      <c r="I901" s="107"/>
      <c r="J901" s="107"/>
      <c r="K901" s="107"/>
      <c r="L901" s="107"/>
      <c r="M901" s="107"/>
    </row>
    <row r="902" spans="1:13" x14ac:dyDescent="0.2">
      <c r="A902" s="141" t="s">
        <v>2235</v>
      </c>
      <c r="B902" s="107">
        <v>26907</v>
      </c>
      <c r="C902" s="107">
        <v>373</v>
      </c>
      <c r="D902" s="107"/>
      <c r="E902" s="107"/>
      <c r="F902" s="107"/>
      <c r="G902" s="107"/>
      <c r="H902" s="107"/>
      <c r="I902" s="107"/>
      <c r="J902" s="107"/>
      <c r="K902" s="107"/>
      <c r="L902" s="107"/>
      <c r="M902" s="107"/>
    </row>
    <row r="903" spans="1:13" x14ac:dyDescent="0.2">
      <c r="A903" s="141" t="s">
        <v>2246</v>
      </c>
      <c r="B903" s="107">
        <v>22030</v>
      </c>
      <c r="C903" s="107">
        <v>851</v>
      </c>
      <c r="D903" s="107"/>
      <c r="E903" s="107"/>
      <c r="F903" s="107"/>
      <c r="G903" s="107"/>
      <c r="H903" s="107"/>
      <c r="I903" s="107"/>
      <c r="J903" s="107"/>
      <c r="K903" s="107"/>
      <c r="L903" s="107"/>
      <c r="M903" s="107"/>
    </row>
    <row r="904" spans="1:13" ht="16" thickBot="1" x14ac:dyDescent="0.25">
      <c r="A904" s="141" t="s">
        <v>2243</v>
      </c>
      <c r="B904" s="187">
        <v>528</v>
      </c>
      <c r="C904" s="187">
        <v>400</v>
      </c>
      <c r="D904" s="107">
        <v>49466</v>
      </c>
      <c r="E904" s="107">
        <v>624</v>
      </c>
      <c r="F904" s="107"/>
      <c r="G904" s="107"/>
      <c r="H904" s="107"/>
      <c r="I904" s="107"/>
      <c r="J904" s="107"/>
      <c r="K904" s="107"/>
      <c r="L904" s="107"/>
      <c r="M904" s="107"/>
    </row>
    <row r="905" spans="1:13" x14ac:dyDescent="0.2">
      <c r="A905" s="141"/>
      <c r="B905" s="145"/>
      <c r="C905" s="145"/>
      <c r="D905" s="321">
        <f>+SUM(B902:B904)</f>
        <v>49465</v>
      </c>
      <c r="E905" s="321">
        <f>+SUM(C902:C904)</f>
        <v>1624</v>
      </c>
      <c r="F905" s="107"/>
      <c r="G905" s="107"/>
      <c r="H905" s="107"/>
      <c r="I905" s="107"/>
      <c r="J905" s="107"/>
      <c r="K905" s="107"/>
      <c r="L905" s="107"/>
      <c r="M905" s="107"/>
    </row>
    <row r="906" spans="1:13" x14ac:dyDescent="0.2">
      <c r="A906" s="589" t="s">
        <v>2264</v>
      </c>
      <c r="B906" s="589"/>
      <c r="C906" s="589"/>
      <c r="D906" s="107"/>
      <c r="E906" s="107"/>
      <c r="F906" s="107"/>
      <c r="G906" s="107"/>
      <c r="H906" s="107"/>
      <c r="I906" s="107"/>
      <c r="J906" s="107"/>
      <c r="K906" s="107"/>
      <c r="L906" s="107"/>
      <c r="M906" s="107"/>
    </row>
    <row r="907" spans="1:13" x14ac:dyDescent="0.2">
      <c r="A907" s="141" t="s">
        <v>2235</v>
      </c>
      <c r="B907" s="107">
        <v>50949</v>
      </c>
      <c r="C907" s="107">
        <v>564</v>
      </c>
      <c r="D907" s="107"/>
      <c r="E907" s="107"/>
      <c r="F907" s="107"/>
      <c r="G907" s="107"/>
      <c r="H907" s="107"/>
      <c r="I907" s="107"/>
      <c r="J907" s="107"/>
      <c r="K907" s="107"/>
      <c r="L907" s="107"/>
      <c r="M907" s="107"/>
    </row>
    <row r="908" spans="1:13" x14ac:dyDescent="0.2">
      <c r="A908" s="141" t="s">
        <v>2262</v>
      </c>
      <c r="B908" s="107">
        <v>10133</v>
      </c>
      <c r="C908" s="107">
        <v>950</v>
      </c>
      <c r="D908" s="107"/>
      <c r="E908" s="107"/>
      <c r="F908" s="107"/>
      <c r="G908" s="107"/>
      <c r="H908" s="107"/>
      <c r="I908" s="107"/>
      <c r="J908" s="107"/>
      <c r="K908" s="107"/>
      <c r="L908" s="107"/>
      <c r="M908" s="107"/>
    </row>
    <row r="909" spans="1:13" x14ac:dyDescent="0.2">
      <c r="A909" s="141" t="s">
        <v>2265</v>
      </c>
      <c r="B909" s="107">
        <v>1001065</v>
      </c>
      <c r="C909" s="107">
        <v>545</v>
      </c>
      <c r="D909" s="107"/>
      <c r="E909" s="107"/>
      <c r="F909" s="107"/>
      <c r="G909" s="107"/>
      <c r="H909" s="107"/>
      <c r="I909" s="107"/>
      <c r="J909" s="107"/>
      <c r="K909" s="107"/>
      <c r="L909" s="107"/>
      <c r="M909" s="107"/>
    </row>
    <row r="910" spans="1:13" x14ac:dyDescent="0.2">
      <c r="A910" s="141" t="s">
        <v>2243</v>
      </c>
      <c r="B910" s="107">
        <v>135</v>
      </c>
      <c r="C910" s="107">
        <v>500</v>
      </c>
      <c r="D910" s="107"/>
      <c r="E910" s="107"/>
      <c r="F910" s="107"/>
      <c r="G910" s="107"/>
      <c r="H910" s="107"/>
      <c r="I910" s="107"/>
      <c r="J910" s="107"/>
      <c r="K910" s="107"/>
      <c r="L910" s="107"/>
      <c r="M910" s="107"/>
    </row>
    <row r="911" spans="1:13" ht="16" thickBot="1" x14ac:dyDescent="0.25">
      <c r="A911" s="141" t="s">
        <v>2246</v>
      </c>
      <c r="B911" s="187">
        <v>58636</v>
      </c>
      <c r="C911" s="187">
        <v>5</v>
      </c>
      <c r="D911" s="107">
        <v>1120920</v>
      </c>
      <c r="E911" s="107">
        <v>564</v>
      </c>
      <c r="F911" s="107"/>
      <c r="G911" s="107"/>
      <c r="H911" s="107"/>
      <c r="I911" s="107"/>
      <c r="J911" s="107"/>
      <c r="K911" s="107"/>
      <c r="L911" s="107"/>
      <c r="M911" s="107"/>
    </row>
    <row r="912" spans="1:13" x14ac:dyDescent="0.2">
      <c r="A912" s="141"/>
      <c r="B912" s="145"/>
      <c r="C912" s="145"/>
      <c r="D912" s="321">
        <f>+SUM(B907:B911)</f>
        <v>1120918</v>
      </c>
      <c r="E912" s="321">
        <f>+SUM(C907:C911)</f>
        <v>2564</v>
      </c>
      <c r="F912" s="107"/>
      <c r="G912" s="107"/>
      <c r="H912" s="107"/>
      <c r="I912" s="107"/>
      <c r="J912" s="107"/>
      <c r="K912" s="107"/>
      <c r="L912" s="107"/>
      <c r="M912" s="107"/>
    </row>
    <row r="913" spans="1:13" x14ac:dyDescent="0.2">
      <c r="A913" s="685" t="s">
        <v>2266</v>
      </c>
      <c r="B913" s="685"/>
      <c r="C913" s="685"/>
      <c r="D913" s="107"/>
      <c r="E913" s="107"/>
      <c r="F913" s="107"/>
      <c r="G913" s="107"/>
      <c r="H913" s="107"/>
      <c r="I913" s="107"/>
      <c r="J913" s="107"/>
      <c r="K913" s="107"/>
      <c r="L913" s="107"/>
      <c r="M913" s="107"/>
    </row>
    <row r="914" spans="1:13" x14ac:dyDescent="0.2">
      <c r="A914" s="141" t="s">
        <v>2253</v>
      </c>
      <c r="B914" s="107">
        <v>271146</v>
      </c>
      <c r="C914" s="107">
        <v>639</v>
      </c>
      <c r="D914" s="107"/>
      <c r="E914" s="107"/>
      <c r="F914" s="107"/>
      <c r="G914" s="107"/>
      <c r="H914" s="107"/>
      <c r="I914" s="107"/>
      <c r="J914" s="107"/>
      <c r="K914" s="107"/>
      <c r="L914" s="107"/>
      <c r="M914" s="107"/>
    </row>
    <row r="915" spans="1:13" x14ac:dyDescent="0.2">
      <c r="A915" s="141" t="s">
        <v>2244</v>
      </c>
      <c r="B915" s="107">
        <v>803</v>
      </c>
      <c r="C915" s="107">
        <v>107</v>
      </c>
      <c r="D915" s="107"/>
      <c r="E915" s="107"/>
      <c r="F915" s="107"/>
      <c r="G915" s="107"/>
      <c r="H915" s="107"/>
      <c r="I915" s="107"/>
      <c r="J915" s="107"/>
      <c r="K915" s="107"/>
      <c r="L915" s="107"/>
      <c r="M915" s="107"/>
    </row>
    <row r="916" spans="1:13" x14ac:dyDescent="0.2">
      <c r="A916" s="141" t="s">
        <v>2243</v>
      </c>
      <c r="B916" s="107">
        <v>29772</v>
      </c>
      <c r="C916" s="107">
        <v>683</v>
      </c>
      <c r="D916" s="107"/>
      <c r="E916" s="107"/>
      <c r="F916" s="107"/>
      <c r="G916" s="107"/>
      <c r="H916" s="107"/>
      <c r="I916" s="107"/>
      <c r="J916" s="107"/>
      <c r="K916" s="107"/>
      <c r="L916" s="107"/>
      <c r="M916" s="107"/>
    </row>
    <row r="917" spans="1:13" x14ac:dyDescent="0.2">
      <c r="A917" s="141" t="s">
        <v>2249</v>
      </c>
      <c r="B917" s="107">
        <v>1740</v>
      </c>
      <c r="C917" s="107">
        <v>604</v>
      </c>
      <c r="D917" s="107"/>
      <c r="E917" s="107"/>
      <c r="F917" s="107"/>
      <c r="G917" s="107"/>
      <c r="H917" s="107"/>
      <c r="I917" s="107"/>
      <c r="J917" s="107"/>
      <c r="K917" s="107"/>
      <c r="L917" s="107"/>
      <c r="M917" s="107"/>
    </row>
    <row r="918" spans="1:13" x14ac:dyDescent="0.2">
      <c r="A918" s="141" t="s">
        <v>2238</v>
      </c>
      <c r="B918" s="107">
        <v>62</v>
      </c>
      <c r="C918" s="107">
        <v>530</v>
      </c>
      <c r="D918" s="107"/>
      <c r="E918" s="107"/>
      <c r="F918" s="107"/>
      <c r="G918" s="107"/>
      <c r="H918" s="107"/>
      <c r="I918" s="107"/>
      <c r="J918" s="107"/>
      <c r="K918" s="107"/>
      <c r="L918" s="107"/>
      <c r="M918" s="107"/>
    </row>
    <row r="919" spans="1:13" x14ac:dyDescent="0.2">
      <c r="A919" s="141" t="s">
        <v>2262</v>
      </c>
      <c r="B919" s="107">
        <v>58299</v>
      </c>
      <c r="C919" s="107">
        <v>488</v>
      </c>
      <c r="D919" s="107"/>
      <c r="E919" s="107"/>
      <c r="F919" s="107"/>
      <c r="G919" s="107"/>
      <c r="H919" s="107"/>
      <c r="I919" s="107"/>
      <c r="J919" s="107"/>
      <c r="K919" s="107"/>
      <c r="L919" s="107"/>
      <c r="M919" s="107"/>
    </row>
    <row r="920" spans="1:13" x14ac:dyDescent="0.2">
      <c r="A920" s="141" t="s">
        <v>2251</v>
      </c>
      <c r="B920" s="107">
        <v>78857</v>
      </c>
      <c r="C920" s="107">
        <v>993</v>
      </c>
      <c r="D920" s="107"/>
      <c r="E920" s="107"/>
      <c r="F920" s="107"/>
      <c r="G920" s="107"/>
      <c r="H920" s="107"/>
      <c r="I920" s="107"/>
      <c r="J920" s="107"/>
      <c r="K920" s="107"/>
      <c r="L920" s="107"/>
      <c r="M920" s="107"/>
    </row>
    <row r="921" spans="1:13" ht="16" thickBot="1" x14ac:dyDescent="0.25">
      <c r="A921" s="141" t="s">
        <v>2246</v>
      </c>
      <c r="B921" s="187">
        <v>96075</v>
      </c>
      <c r="C921" s="187">
        <v>60</v>
      </c>
      <c r="D921" s="107">
        <v>536758</v>
      </c>
      <c r="E921" s="107">
        <v>104</v>
      </c>
      <c r="F921" s="107"/>
      <c r="G921" s="107"/>
      <c r="H921" s="107"/>
      <c r="I921" s="107"/>
      <c r="J921" s="107"/>
      <c r="K921" s="107"/>
      <c r="L921" s="107"/>
      <c r="M921" s="107"/>
    </row>
    <row r="922" spans="1:13" x14ac:dyDescent="0.2">
      <c r="A922" s="141"/>
      <c r="B922" s="145"/>
      <c r="C922" s="145"/>
      <c r="D922" s="321">
        <f>+SUM(B914:B921)</f>
        <v>536754</v>
      </c>
      <c r="E922" s="321">
        <f>+SUM(C914:C921)</f>
        <v>4104</v>
      </c>
      <c r="F922" s="107"/>
      <c r="G922" s="107"/>
      <c r="H922" s="107"/>
      <c r="I922" s="107"/>
      <c r="J922" s="107"/>
      <c r="K922" s="107"/>
      <c r="L922" s="107"/>
      <c r="M922" s="107"/>
    </row>
    <row r="923" spans="1:13" x14ac:dyDescent="0.2">
      <c r="A923" s="141" t="s">
        <v>2267</v>
      </c>
      <c r="B923" s="107"/>
      <c r="C923" s="107"/>
      <c r="D923" s="107"/>
      <c r="E923" s="107"/>
      <c r="F923" s="107"/>
      <c r="G923" s="107"/>
      <c r="H923" s="107"/>
      <c r="I923" s="107"/>
      <c r="J923" s="107"/>
      <c r="K923" s="107"/>
      <c r="L923" s="107"/>
      <c r="M923" s="107"/>
    </row>
    <row r="924" spans="1:13" x14ac:dyDescent="0.2">
      <c r="A924" s="141" t="s">
        <v>2251</v>
      </c>
      <c r="B924" s="107"/>
      <c r="C924" s="107"/>
      <c r="D924" s="107">
        <v>34492</v>
      </c>
      <c r="E924" s="107">
        <v>752</v>
      </c>
      <c r="F924" s="107"/>
      <c r="G924" s="107"/>
      <c r="H924" s="107"/>
      <c r="I924" s="107"/>
      <c r="J924" s="107"/>
      <c r="K924" s="107"/>
      <c r="L924" s="107"/>
      <c r="M924" s="107"/>
    </row>
    <row r="925" spans="1:13" x14ac:dyDescent="0.2">
      <c r="A925" s="141" t="s">
        <v>2268</v>
      </c>
      <c r="B925" s="107"/>
      <c r="C925" s="107"/>
      <c r="D925" s="107"/>
      <c r="E925" s="107"/>
      <c r="F925" s="107"/>
      <c r="G925" s="107"/>
      <c r="H925" s="107"/>
      <c r="I925" s="107"/>
      <c r="J925" s="107"/>
      <c r="K925" s="107"/>
      <c r="L925" s="107"/>
      <c r="M925" s="107"/>
    </row>
    <row r="926" spans="1:13" x14ac:dyDescent="0.2">
      <c r="A926" s="141" t="s">
        <v>2251</v>
      </c>
      <c r="B926" s="107"/>
      <c r="C926" s="107"/>
      <c r="D926" s="107">
        <v>478</v>
      </c>
      <c r="E926" s="107">
        <v>906</v>
      </c>
      <c r="F926" s="107"/>
      <c r="G926" s="107"/>
      <c r="H926" s="107"/>
      <c r="I926" s="107"/>
      <c r="J926" s="107"/>
      <c r="K926" s="107"/>
      <c r="L926" s="107"/>
      <c r="M926" s="107"/>
    </row>
    <row r="927" spans="1:13" x14ac:dyDescent="0.2">
      <c r="A927" s="141" t="s">
        <v>2269</v>
      </c>
      <c r="B927" s="107"/>
      <c r="C927" s="107"/>
      <c r="D927" s="107"/>
      <c r="E927" s="107"/>
      <c r="F927" s="107"/>
      <c r="G927" s="107"/>
      <c r="H927" s="107"/>
      <c r="I927" s="107"/>
      <c r="J927" s="107"/>
      <c r="K927" s="107"/>
      <c r="L927" s="107"/>
      <c r="M927" s="107"/>
    </row>
    <row r="928" spans="1:13" x14ac:dyDescent="0.2">
      <c r="A928" s="141" t="s">
        <v>2248</v>
      </c>
      <c r="B928" s="107">
        <v>262358</v>
      </c>
      <c r="C928" s="107">
        <v>736</v>
      </c>
      <c r="D928" s="107"/>
      <c r="E928" s="107"/>
      <c r="F928" s="107"/>
      <c r="G928" s="107"/>
      <c r="H928" s="107"/>
      <c r="I928" s="107"/>
      <c r="J928" s="107"/>
      <c r="K928" s="107"/>
      <c r="L928" s="107"/>
      <c r="M928" s="107"/>
    </row>
    <row r="929" spans="1:13" x14ac:dyDescent="0.2">
      <c r="A929" s="141" t="s">
        <v>2243</v>
      </c>
      <c r="B929" s="107">
        <v>92397</v>
      </c>
      <c r="C929" s="107">
        <v>444</v>
      </c>
      <c r="D929" s="107"/>
      <c r="E929" s="107"/>
      <c r="F929" s="107"/>
      <c r="G929" s="107"/>
      <c r="H929" s="107"/>
      <c r="I929" s="107"/>
      <c r="J929" s="107"/>
      <c r="K929" s="107"/>
      <c r="L929" s="107"/>
      <c r="M929" s="107"/>
    </row>
    <row r="930" spans="1:13" x14ac:dyDescent="0.2">
      <c r="A930" s="141" t="s">
        <v>2262</v>
      </c>
      <c r="B930" s="107">
        <v>1286</v>
      </c>
      <c r="C930" s="107"/>
      <c r="D930" s="107"/>
      <c r="E930" s="107"/>
      <c r="F930" s="107"/>
      <c r="G930" s="107"/>
      <c r="H930" s="107"/>
      <c r="I930" s="107"/>
      <c r="J930" s="107"/>
      <c r="K930" s="107"/>
      <c r="L930" s="107"/>
      <c r="M930" s="107"/>
    </row>
    <row r="931" spans="1:13" x14ac:dyDescent="0.2">
      <c r="A931" s="141" t="s">
        <v>2246</v>
      </c>
      <c r="B931" s="107">
        <v>46809</v>
      </c>
      <c r="C931" s="107">
        <v>688</v>
      </c>
      <c r="D931" s="107"/>
      <c r="E931" s="107"/>
      <c r="F931" s="107"/>
      <c r="G931" s="107"/>
      <c r="H931" s="107"/>
      <c r="I931" s="107"/>
      <c r="J931" s="107"/>
      <c r="K931" s="107"/>
      <c r="L931" s="107"/>
      <c r="M931" s="107"/>
    </row>
    <row r="932" spans="1:13" ht="16" thickBot="1" x14ac:dyDescent="0.25">
      <c r="A932" s="141" t="s">
        <v>2251</v>
      </c>
      <c r="B932" s="187">
        <v>1394</v>
      </c>
      <c r="C932" s="187">
        <v>229</v>
      </c>
      <c r="D932" s="107">
        <v>404246</v>
      </c>
      <c r="E932" s="107">
        <v>97</v>
      </c>
      <c r="F932" s="107"/>
      <c r="G932" s="107"/>
      <c r="H932" s="107"/>
      <c r="I932" s="107"/>
      <c r="J932" s="107"/>
      <c r="K932" s="107"/>
      <c r="L932" s="107"/>
      <c r="M932" s="107"/>
    </row>
    <row r="933" spans="1:13" x14ac:dyDescent="0.2">
      <c r="A933" s="141"/>
      <c r="B933" s="145"/>
      <c r="C933" s="145"/>
      <c r="D933" s="321">
        <f>+SUM(B928:B932)</f>
        <v>404244</v>
      </c>
      <c r="E933" s="321">
        <f>+SUM(C928:C932)</f>
        <v>2097</v>
      </c>
      <c r="F933" s="107"/>
      <c r="G933" s="107"/>
      <c r="H933" s="107"/>
      <c r="I933" s="107"/>
      <c r="J933" s="107"/>
      <c r="K933" s="107"/>
      <c r="L933" s="107"/>
      <c r="M933" s="107"/>
    </row>
    <row r="934" spans="1:13" x14ac:dyDescent="0.2">
      <c r="A934" s="589" t="s">
        <v>2270</v>
      </c>
      <c r="B934" s="589"/>
      <c r="C934" s="589"/>
      <c r="D934" s="107"/>
      <c r="E934" s="107"/>
      <c r="F934" s="107"/>
      <c r="G934" s="107"/>
      <c r="H934" s="107"/>
      <c r="I934" s="107"/>
      <c r="J934" s="107"/>
      <c r="K934" s="107"/>
      <c r="L934" s="107"/>
      <c r="M934" s="107"/>
    </row>
    <row r="935" spans="1:13" x14ac:dyDescent="0.2">
      <c r="A935" s="589" t="s">
        <v>2251</v>
      </c>
      <c r="B935" s="589"/>
      <c r="C935" s="589"/>
      <c r="D935" s="107">
        <v>1950</v>
      </c>
      <c r="E935" s="107"/>
      <c r="F935" s="107"/>
      <c r="G935" s="107"/>
      <c r="H935" s="107"/>
      <c r="I935" s="107"/>
      <c r="J935" s="107"/>
      <c r="K935" s="107"/>
      <c r="L935" s="107"/>
      <c r="M935" s="107"/>
    </row>
    <row r="936" spans="1:13" x14ac:dyDescent="0.2">
      <c r="A936" s="589" t="s">
        <v>2271</v>
      </c>
      <c r="B936" s="589"/>
      <c r="C936" s="589"/>
      <c r="D936" s="107"/>
      <c r="E936" s="107"/>
      <c r="F936" s="107"/>
      <c r="G936" s="107"/>
      <c r="H936" s="107"/>
      <c r="I936" s="107"/>
      <c r="J936" s="107"/>
      <c r="K936" s="107"/>
      <c r="L936" s="107"/>
      <c r="M936" s="107"/>
    </row>
    <row r="937" spans="1:13" ht="16" thickBot="1" x14ac:dyDescent="0.25">
      <c r="A937" s="589" t="s">
        <v>2251</v>
      </c>
      <c r="B937" s="589"/>
      <c r="C937" s="589"/>
      <c r="D937" s="187">
        <v>5589</v>
      </c>
      <c r="E937" s="187">
        <v>125</v>
      </c>
      <c r="F937" s="107"/>
      <c r="G937" s="107"/>
      <c r="H937" s="107"/>
      <c r="I937" s="107"/>
      <c r="J937" s="107"/>
      <c r="K937" s="107"/>
      <c r="L937" s="107"/>
      <c r="M937" s="107"/>
    </row>
    <row r="938" spans="1:13" ht="22.25" customHeight="1" x14ac:dyDescent="0.2">
      <c r="A938" s="689" t="s">
        <v>2272</v>
      </c>
      <c r="B938" s="690"/>
      <c r="C938" s="690"/>
      <c r="D938" s="107">
        <v>5741838</v>
      </c>
      <c r="E938" s="107">
        <v>526</v>
      </c>
      <c r="F938" s="107"/>
      <c r="G938" s="107"/>
      <c r="H938" s="107"/>
      <c r="I938" s="107"/>
      <c r="J938" s="107"/>
      <c r="K938" s="107"/>
      <c r="L938" s="107"/>
      <c r="M938" s="107"/>
    </row>
    <row r="939" spans="1:13" x14ac:dyDescent="0.2">
      <c r="A939" s="141" t="s">
        <v>2273</v>
      </c>
      <c r="B939" s="107"/>
      <c r="C939" s="107"/>
      <c r="D939" s="107"/>
      <c r="E939" s="107"/>
      <c r="F939" s="107"/>
      <c r="G939" s="107"/>
      <c r="H939" s="107"/>
      <c r="I939" s="107"/>
      <c r="J939" s="107"/>
      <c r="K939" s="107"/>
      <c r="L939" s="107"/>
      <c r="M939" s="107"/>
    </row>
    <row r="940" spans="1:13" x14ac:dyDescent="0.2">
      <c r="A940" s="141" t="s">
        <v>1191</v>
      </c>
      <c r="B940" s="107">
        <v>188283</v>
      </c>
      <c r="C940" s="107">
        <v>822</v>
      </c>
      <c r="D940" s="107"/>
      <c r="E940" s="107"/>
      <c r="F940" s="107"/>
      <c r="G940" s="107"/>
      <c r="H940" s="107"/>
      <c r="I940" s="107"/>
      <c r="J940" s="107"/>
      <c r="K940" s="107"/>
      <c r="L940" s="107"/>
      <c r="M940" s="107"/>
    </row>
    <row r="941" spans="1:13" ht="16" thickBot="1" x14ac:dyDescent="0.25">
      <c r="A941" s="141" t="s">
        <v>2274</v>
      </c>
      <c r="B941" s="187">
        <v>56324</v>
      </c>
      <c r="C941" s="187">
        <v>367</v>
      </c>
      <c r="D941" s="107">
        <v>244608</v>
      </c>
      <c r="E941" s="107">
        <v>189</v>
      </c>
      <c r="F941" s="107"/>
      <c r="G941" s="107"/>
      <c r="H941" s="107"/>
      <c r="I941" s="107"/>
      <c r="J941" s="107"/>
      <c r="K941" s="107"/>
      <c r="L941" s="107"/>
      <c r="M941" s="107"/>
    </row>
    <row r="942" spans="1:13" ht="21" customHeight="1" thickBot="1" x14ac:dyDescent="0.25">
      <c r="A942" s="589" t="s">
        <v>2275</v>
      </c>
      <c r="B942" s="589"/>
      <c r="C942" s="589"/>
      <c r="D942" s="448">
        <v>5986446</v>
      </c>
      <c r="E942" s="448">
        <v>715</v>
      </c>
      <c r="F942" s="107"/>
      <c r="G942" s="107"/>
      <c r="H942" s="107"/>
      <c r="I942" s="107"/>
      <c r="J942" s="107"/>
      <c r="K942" s="107"/>
      <c r="L942" s="107"/>
      <c r="M942" s="107"/>
    </row>
    <row r="943" spans="1:13" ht="32.5" customHeight="1" x14ac:dyDescent="0.2">
      <c r="A943" s="691" t="s">
        <v>2276</v>
      </c>
      <c r="B943" s="691"/>
      <c r="C943" s="691"/>
      <c r="D943" s="692"/>
      <c r="E943" s="692"/>
      <c r="F943" s="107"/>
      <c r="G943" s="107"/>
      <c r="H943" s="107"/>
      <c r="I943" s="107"/>
      <c r="J943" s="107"/>
      <c r="K943" s="107"/>
      <c r="L943" s="107"/>
      <c r="M943" s="107"/>
    </row>
    <row r="944" spans="1:13" x14ac:dyDescent="0.2">
      <c r="A944" s="141" t="s">
        <v>2277</v>
      </c>
      <c r="B944" s="107">
        <v>2156233</v>
      </c>
      <c r="C944" s="107">
        <v>335</v>
      </c>
      <c r="D944" s="107"/>
      <c r="E944" s="107"/>
      <c r="F944" s="107"/>
      <c r="G944" s="107"/>
      <c r="H944" s="107"/>
      <c r="I944" s="107"/>
      <c r="J944" s="107"/>
      <c r="K944" s="107"/>
      <c r="L944" s="107"/>
      <c r="M944" s="107"/>
    </row>
    <row r="945" spans="1:13" x14ac:dyDescent="0.2">
      <c r="A945" s="141" t="s">
        <v>2278</v>
      </c>
      <c r="B945" s="107">
        <v>366783</v>
      </c>
      <c r="C945" s="107">
        <v>603</v>
      </c>
      <c r="D945" s="107"/>
      <c r="E945" s="107"/>
      <c r="F945" s="107"/>
      <c r="G945" s="107"/>
      <c r="H945" s="107"/>
      <c r="I945" s="107"/>
      <c r="J945" s="107"/>
      <c r="K945" s="107"/>
      <c r="L945" s="107"/>
      <c r="M945" s="107"/>
    </row>
    <row r="946" spans="1:13" x14ac:dyDescent="0.2">
      <c r="A946" s="141" t="s">
        <v>2279</v>
      </c>
      <c r="B946" s="107">
        <v>1308</v>
      </c>
      <c r="C946" s="107">
        <v>585</v>
      </c>
      <c r="D946" s="107"/>
      <c r="E946" s="107"/>
      <c r="F946" s="107"/>
      <c r="G946" s="107"/>
      <c r="H946" s="107"/>
      <c r="I946" s="107"/>
      <c r="J946" s="107"/>
      <c r="K946" s="107"/>
      <c r="L946" s="107"/>
      <c r="M946" s="107"/>
    </row>
    <row r="947" spans="1:13" x14ac:dyDescent="0.2">
      <c r="A947" s="141" t="s">
        <v>2280</v>
      </c>
      <c r="B947" s="107">
        <v>19613</v>
      </c>
      <c r="C947" s="107">
        <v>550</v>
      </c>
      <c r="D947" s="107"/>
      <c r="E947" s="107"/>
      <c r="F947" s="107"/>
      <c r="G947" s="107"/>
      <c r="H947" s="107"/>
      <c r="I947" s="107"/>
      <c r="J947" s="107"/>
      <c r="K947" s="107"/>
      <c r="L947" s="107"/>
      <c r="M947" s="107"/>
    </row>
    <row r="948" spans="1:13" x14ac:dyDescent="0.2">
      <c r="A948" s="141" t="s">
        <v>2281</v>
      </c>
      <c r="B948" s="107">
        <v>42210</v>
      </c>
      <c r="C948" s="107">
        <v>652</v>
      </c>
      <c r="D948" s="107"/>
      <c r="E948" s="107"/>
      <c r="F948" s="107"/>
      <c r="G948" s="107"/>
      <c r="H948" s="107"/>
      <c r="I948" s="107"/>
      <c r="J948" s="107"/>
      <c r="K948" s="107"/>
      <c r="L948" s="107"/>
      <c r="M948" s="107"/>
    </row>
    <row r="949" spans="1:13" x14ac:dyDescent="0.2">
      <c r="A949" s="141" t="s">
        <v>2282</v>
      </c>
      <c r="B949" s="107">
        <v>35491</v>
      </c>
      <c r="C949" s="107">
        <v>670</v>
      </c>
      <c r="D949" s="107"/>
      <c r="E949" s="107"/>
      <c r="F949" s="107"/>
      <c r="G949" s="107"/>
      <c r="H949" s="107"/>
      <c r="I949" s="107"/>
      <c r="J949" s="107"/>
      <c r="K949" s="107"/>
      <c r="L949" s="107"/>
      <c r="M949" s="107"/>
    </row>
    <row r="950" spans="1:13" x14ac:dyDescent="0.2">
      <c r="A950" s="141" t="s">
        <v>2283</v>
      </c>
      <c r="B950" s="107">
        <v>83670</v>
      </c>
      <c r="C950" s="107">
        <v>168</v>
      </c>
      <c r="D950" s="107"/>
      <c r="E950" s="107"/>
      <c r="F950" s="107"/>
      <c r="G950" s="107"/>
      <c r="H950" s="107"/>
      <c r="I950" s="107"/>
      <c r="J950" s="107"/>
      <c r="K950" s="107"/>
      <c r="L950" s="107"/>
      <c r="M950" s="107"/>
    </row>
    <row r="951" spans="1:13" x14ac:dyDescent="0.2">
      <c r="A951" s="141" t="s">
        <v>2284</v>
      </c>
      <c r="B951" s="107">
        <v>962</v>
      </c>
      <c r="C951" s="107">
        <v>734</v>
      </c>
      <c r="D951" s="107"/>
      <c r="E951" s="107"/>
      <c r="F951" s="107"/>
      <c r="G951" s="107"/>
      <c r="H951" s="107"/>
      <c r="I951" s="107"/>
      <c r="J951" s="107"/>
      <c r="K951" s="107"/>
      <c r="L951" s="107"/>
      <c r="M951" s="107"/>
    </row>
    <row r="952" spans="1:13" x14ac:dyDescent="0.2">
      <c r="A952" s="141" t="s">
        <v>2285</v>
      </c>
      <c r="B952" s="107">
        <v>3504</v>
      </c>
      <c r="C952" s="107">
        <v>145</v>
      </c>
      <c r="D952" s="107"/>
      <c r="E952" s="107"/>
      <c r="F952" s="107"/>
      <c r="G952" s="107"/>
      <c r="H952" s="107"/>
      <c r="I952" s="107"/>
      <c r="J952" s="107"/>
      <c r="K952" s="107"/>
      <c r="L952" s="107"/>
      <c r="M952" s="107"/>
    </row>
    <row r="953" spans="1:13" x14ac:dyDescent="0.2">
      <c r="A953" s="141" t="s">
        <v>2286</v>
      </c>
      <c r="B953" s="107">
        <v>128</v>
      </c>
      <c r="C953" s="107"/>
      <c r="D953" s="107"/>
      <c r="E953" s="107"/>
      <c r="F953" s="107"/>
      <c r="G953" s="107"/>
      <c r="H953" s="107"/>
      <c r="I953" s="107"/>
      <c r="J953" s="107"/>
      <c r="K953" s="107"/>
      <c r="L953" s="107"/>
      <c r="M953" s="107"/>
    </row>
    <row r="954" spans="1:13" x14ac:dyDescent="0.2">
      <c r="A954" s="141" t="s">
        <v>2030</v>
      </c>
      <c r="B954" s="107">
        <v>13242</v>
      </c>
      <c r="C954" s="107">
        <v>800</v>
      </c>
      <c r="D954" s="107"/>
      <c r="E954" s="107"/>
      <c r="F954" s="107"/>
      <c r="G954" s="107"/>
      <c r="H954" s="107"/>
      <c r="I954" s="107"/>
      <c r="J954" s="107"/>
      <c r="K954" s="107"/>
      <c r="L954" s="107"/>
      <c r="M954" s="107"/>
    </row>
    <row r="955" spans="1:13" x14ac:dyDescent="0.2">
      <c r="A955" s="141" t="s">
        <v>2287</v>
      </c>
      <c r="B955" s="107">
        <v>61901</v>
      </c>
      <c r="C955" s="107">
        <v>529</v>
      </c>
      <c r="D955" s="107"/>
      <c r="E955" s="107"/>
      <c r="F955" s="107"/>
      <c r="G955" s="107"/>
      <c r="H955" s="107"/>
      <c r="I955" s="107"/>
      <c r="J955" s="107"/>
      <c r="K955" s="107"/>
      <c r="L955" s="107"/>
      <c r="M955" s="107"/>
    </row>
    <row r="956" spans="1:13" x14ac:dyDescent="0.2">
      <c r="A956" s="141" t="s">
        <v>2288</v>
      </c>
      <c r="B956" s="107">
        <v>3173</v>
      </c>
      <c r="C956" s="107">
        <v>175</v>
      </c>
      <c r="D956" s="107"/>
      <c r="E956" s="107"/>
      <c r="F956" s="107"/>
      <c r="G956" s="107"/>
      <c r="H956" s="107"/>
      <c r="I956" s="107"/>
      <c r="J956" s="107"/>
      <c r="K956" s="107"/>
      <c r="L956" s="107"/>
      <c r="M956" s="107"/>
    </row>
    <row r="957" spans="1:13" x14ac:dyDescent="0.2">
      <c r="A957" s="141" t="s">
        <v>2225</v>
      </c>
      <c r="B957" s="107">
        <v>1012582</v>
      </c>
      <c r="C957" s="107">
        <v>134</v>
      </c>
      <c r="D957" s="107"/>
      <c r="E957" s="107"/>
      <c r="F957" s="107"/>
      <c r="G957" s="107"/>
      <c r="H957" s="107"/>
      <c r="I957" s="107"/>
      <c r="J957" s="107"/>
      <c r="K957" s="107"/>
      <c r="L957" s="107"/>
      <c r="M957" s="107"/>
    </row>
    <row r="958" spans="1:13" x14ac:dyDescent="0.2">
      <c r="A958" s="141" t="s">
        <v>1844</v>
      </c>
      <c r="B958" s="107">
        <v>256800</v>
      </c>
      <c r="C958" s="107">
        <v>381</v>
      </c>
      <c r="D958" s="107"/>
      <c r="E958" s="107"/>
      <c r="F958" s="107"/>
      <c r="G958" s="107"/>
      <c r="H958" s="107"/>
      <c r="I958" s="107"/>
      <c r="J958" s="107"/>
      <c r="K958" s="107"/>
      <c r="L958" s="107"/>
      <c r="M958" s="107"/>
    </row>
    <row r="959" spans="1:13" x14ac:dyDescent="0.2">
      <c r="A959" s="141" t="s">
        <v>2228</v>
      </c>
      <c r="B959" s="107">
        <v>1527567</v>
      </c>
      <c r="C959" s="107">
        <v>326</v>
      </c>
      <c r="D959" s="107"/>
      <c r="E959" s="107"/>
      <c r="F959" s="107"/>
      <c r="G959" s="107"/>
      <c r="H959" s="107"/>
      <c r="I959" s="107"/>
      <c r="J959" s="107"/>
      <c r="K959" s="107"/>
      <c r="L959" s="107"/>
      <c r="M959" s="107"/>
    </row>
    <row r="960" spans="1:13" x14ac:dyDescent="0.2">
      <c r="A960" s="141" t="s">
        <v>2289</v>
      </c>
      <c r="B960" s="107">
        <v>45</v>
      </c>
      <c r="C960" s="107">
        <v>600</v>
      </c>
      <c r="D960" s="107"/>
      <c r="E960" s="107"/>
      <c r="F960" s="107"/>
      <c r="G960" s="107"/>
      <c r="H960" s="107"/>
      <c r="I960" s="107"/>
      <c r="J960" s="107"/>
      <c r="K960" s="107"/>
      <c r="L960" s="107"/>
      <c r="M960" s="107"/>
    </row>
    <row r="961" spans="1:13" ht="16" thickBot="1" x14ac:dyDescent="0.25">
      <c r="A961" s="141" t="s">
        <v>2290</v>
      </c>
      <c r="B961" s="187">
        <v>156619</v>
      </c>
      <c r="C961" s="187">
        <v>139</v>
      </c>
      <c r="D961" s="187">
        <v>5741838</v>
      </c>
      <c r="E961" s="187">
        <v>526</v>
      </c>
      <c r="F961" s="107"/>
      <c r="G961" s="107"/>
      <c r="H961" s="107"/>
      <c r="I961" s="107"/>
      <c r="J961" s="107"/>
      <c r="K961" s="107"/>
      <c r="L961" s="107"/>
      <c r="M961" s="107"/>
    </row>
    <row r="962" spans="1:13" x14ac:dyDescent="0.2">
      <c r="A962" s="141"/>
      <c r="B962" s="145"/>
      <c r="C962" s="145"/>
      <c r="D962" s="145">
        <v>5741838</v>
      </c>
      <c r="E962" s="145">
        <v>526</v>
      </c>
      <c r="F962" s="107"/>
      <c r="G962" s="107"/>
      <c r="H962" s="107"/>
      <c r="I962" s="107"/>
      <c r="J962" s="107"/>
      <c r="K962" s="107"/>
      <c r="L962" s="107"/>
      <c r="M962" s="107"/>
    </row>
    <row r="963" spans="1:13" ht="16" thickBot="1" x14ac:dyDescent="0.25">
      <c r="A963" s="141" t="s">
        <v>2273</v>
      </c>
      <c r="B963" s="107"/>
      <c r="C963" s="107"/>
      <c r="D963" s="187">
        <v>244608</v>
      </c>
      <c r="E963" s="187">
        <v>189</v>
      </c>
      <c r="F963" s="107"/>
      <c r="G963" s="107"/>
      <c r="H963" s="107"/>
      <c r="I963" s="107"/>
      <c r="J963" s="107"/>
      <c r="K963" s="107"/>
      <c r="L963" s="107"/>
      <c r="M963" s="107"/>
    </row>
    <row r="964" spans="1:13" ht="16" thickBot="1" x14ac:dyDescent="0.25">
      <c r="A964" s="589" t="s">
        <v>2291</v>
      </c>
      <c r="B964" s="589"/>
      <c r="C964" s="589"/>
      <c r="D964" s="448">
        <v>5986446</v>
      </c>
      <c r="E964" s="448">
        <v>715</v>
      </c>
      <c r="F964" s="107"/>
      <c r="G964" s="107"/>
      <c r="H964" s="107"/>
      <c r="I964" s="107"/>
      <c r="J964" s="107"/>
      <c r="K964" s="107"/>
      <c r="L964" s="107"/>
      <c r="M964" s="107"/>
    </row>
    <row r="965" spans="1:13" x14ac:dyDescent="0.2">
      <c r="A965" s="693"/>
      <c r="B965" s="693"/>
      <c r="C965" s="693"/>
      <c r="D965" s="138">
        <f>+SUM(B944:B961)+D963</f>
        <v>5986439</v>
      </c>
      <c r="E965" s="138">
        <f>+SUM(C944:C961)+E963</f>
        <v>7715</v>
      </c>
      <c r="F965" s="107"/>
      <c r="G965" s="107"/>
      <c r="H965" s="107"/>
      <c r="I965" s="107"/>
      <c r="J965" s="107"/>
      <c r="K965" s="107"/>
      <c r="L965" s="107"/>
      <c r="M965" s="107"/>
    </row>
    <row r="966" spans="1:13" x14ac:dyDescent="0.2">
      <c r="A966" s="693"/>
      <c r="B966" s="693"/>
      <c r="C966" s="693"/>
      <c r="D966" s="145"/>
      <c r="E966" s="145"/>
      <c r="F966" s="107"/>
      <c r="G966" s="107"/>
      <c r="H966" s="107"/>
      <c r="I966" s="107"/>
      <c r="J966" s="107"/>
      <c r="K966" s="107"/>
      <c r="L966" s="107"/>
      <c r="M966" s="107"/>
    </row>
    <row r="967" spans="1:13" x14ac:dyDescent="0.2">
      <c r="A967" s="693"/>
      <c r="B967" s="693"/>
      <c r="C967" s="693"/>
      <c r="D967" s="145"/>
      <c r="E967" s="145"/>
      <c r="F967" s="107"/>
      <c r="G967" s="107"/>
      <c r="H967" s="107"/>
      <c r="I967" s="107"/>
      <c r="J967" s="107"/>
      <c r="K967" s="107"/>
      <c r="L967" s="107"/>
      <c r="M967" s="107"/>
    </row>
    <row r="968" spans="1:13" x14ac:dyDescent="0.2">
      <c r="A968" s="526" t="s">
        <v>2292</v>
      </c>
      <c r="B968" s="693"/>
      <c r="C968" s="693"/>
      <c r="D968" s="145"/>
      <c r="E968" s="145"/>
      <c r="F968" s="107"/>
      <c r="G968" s="107"/>
      <c r="H968" s="107"/>
      <c r="I968" s="107"/>
      <c r="J968" s="107"/>
      <c r="K968" s="107"/>
      <c r="L968" s="107"/>
      <c r="M968" s="107"/>
    </row>
    <row r="969" spans="1:13" ht="34.25" customHeight="1" x14ac:dyDescent="0.2">
      <c r="A969" s="694" t="s">
        <v>2293</v>
      </c>
      <c r="B969" s="695"/>
      <c r="C969" s="695"/>
      <c r="D969" s="695"/>
      <c r="E969" s="696"/>
      <c r="F969" s="107"/>
      <c r="G969" s="107"/>
      <c r="H969" s="107"/>
      <c r="I969" s="107"/>
      <c r="J969" s="107"/>
      <c r="K969" s="107"/>
      <c r="L969" s="107"/>
      <c r="M969" s="107"/>
    </row>
    <row r="970" spans="1:13" x14ac:dyDescent="0.2">
      <c r="A970" s="697" t="s">
        <v>2294</v>
      </c>
      <c r="B970" s="685"/>
      <c r="C970" s="685"/>
      <c r="D970" s="685"/>
      <c r="E970" s="307"/>
      <c r="F970" s="107"/>
      <c r="G970" s="107"/>
      <c r="H970" s="107"/>
      <c r="I970" s="107"/>
      <c r="J970" s="107"/>
      <c r="K970" s="107"/>
      <c r="L970" s="107"/>
      <c r="M970" s="107"/>
    </row>
    <row r="971" spans="1:13" ht="32" customHeight="1" x14ac:dyDescent="0.2">
      <c r="A971" s="698" t="s">
        <v>2011</v>
      </c>
      <c r="B971" s="691"/>
      <c r="C971" s="691"/>
      <c r="D971" s="691"/>
      <c r="E971" s="307"/>
      <c r="F971" s="107"/>
      <c r="G971" s="107"/>
      <c r="H971" s="107"/>
      <c r="I971" s="107"/>
      <c r="J971" s="107"/>
      <c r="K971" s="107"/>
      <c r="L971" s="107"/>
      <c r="M971" s="107"/>
    </row>
    <row r="972" spans="1:13" x14ac:dyDescent="0.2">
      <c r="A972" s="140" t="s">
        <v>2295</v>
      </c>
      <c r="B972" s="145"/>
      <c r="C972" s="145"/>
      <c r="D972" s="145">
        <v>1387965</v>
      </c>
      <c r="E972" s="307">
        <v>336</v>
      </c>
      <c r="F972" s="107"/>
      <c r="G972" s="107"/>
      <c r="H972" s="107"/>
      <c r="I972" s="107"/>
      <c r="J972" s="107"/>
      <c r="K972" s="107"/>
      <c r="L972" s="107"/>
      <c r="M972" s="107"/>
    </row>
    <row r="973" spans="1:13" x14ac:dyDescent="0.2">
      <c r="A973" s="140" t="s">
        <v>2296</v>
      </c>
      <c r="B973" s="145">
        <v>7206</v>
      </c>
      <c r="C973" s="145">
        <v>25</v>
      </c>
      <c r="D973" s="145"/>
      <c r="E973" s="307"/>
      <c r="F973" s="107"/>
      <c r="G973" s="107"/>
      <c r="H973" s="107"/>
      <c r="I973" s="107"/>
      <c r="J973" s="107"/>
      <c r="K973" s="107"/>
      <c r="L973" s="107"/>
      <c r="M973" s="107"/>
    </row>
    <row r="974" spans="1:13" x14ac:dyDescent="0.2">
      <c r="A974" s="140" t="s">
        <v>2297</v>
      </c>
      <c r="B974" s="145">
        <v>751811</v>
      </c>
      <c r="C974" s="145">
        <v>281</v>
      </c>
      <c r="D974" s="145"/>
      <c r="E974" s="307"/>
      <c r="F974" s="107"/>
      <c r="G974" s="107"/>
      <c r="H974" s="107"/>
      <c r="I974" s="107"/>
      <c r="J974" s="107"/>
      <c r="K974" s="107"/>
      <c r="L974" s="107"/>
      <c r="M974" s="107"/>
    </row>
    <row r="975" spans="1:13" x14ac:dyDescent="0.2">
      <c r="A975" s="140" t="s">
        <v>2298</v>
      </c>
      <c r="B975" s="145">
        <v>1618</v>
      </c>
      <c r="C975" s="145">
        <v>700</v>
      </c>
      <c r="D975" s="145"/>
      <c r="E975" s="307"/>
      <c r="F975" s="107"/>
      <c r="G975" s="107"/>
      <c r="H975" s="107"/>
      <c r="I975" s="107"/>
      <c r="J975" s="107"/>
      <c r="K975" s="107"/>
      <c r="L975" s="107"/>
      <c r="M975" s="107"/>
    </row>
    <row r="976" spans="1:13" x14ac:dyDescent="0.2">
      <c r="A976" s="140" t="s">
        <v>2030</v>
      </c>
      <c r="B976" s="145">
        <v>28383</v>
      </c>
      <c r="C976" s="145">
        <v>180</v>
      </c>
      <c r="D976" s="145"/>
      <c r="E976" s="307"/>
      <c r="F976" s="107"/>
      <c r="G976" s="107"/>
      <c r="H976" s="107"/>
      <c r="I976" s="107"/>
      <c r="J976" s="107"/>
      <c r="K976" s="107"/>
      <c r="L976" s="107"/>
      <c r="M976" s="107"/>
    </row>
    <row r="977" spans="1:13" x14ac:dyDescent="0.2">
      <c r="A977" s="140" t="s">
        <v>2299</v>
      </c>
      <c r="B977" s="145">
        <v>244608</v>
      </c>
      <c r="C977" s="145">
        <v>189</v>
      </c>
      <c r="D977" s="145"/>
      <c r="E977" s="307"/>
      <c r="F977" s="107"/>
      <c r="G977" s="107"/>
      <c r="H977" s="107"/>
      <c r="I977" s="107"/>
      <c r="J977" s="107"/>
      <c r="K977" s="107"/>
      <c r="L977" s="107"/>
      <c r="M977" s="107"/>
    </row>
    <row r="978" spans="1:13" x14ac:dyDescent="0.2">
      <c r="A978" s="140" t="s">
        <v>2300</v>
      </c>
      <c r="B978" s="145">
        <v>85913</v>
      </c>
      <c r="C978" s="145">
        <v>813</v>
      </c>
      <c r="D978" s="145"/>
      <c r="E978" s="307"/>
      <c r="F978" s="107"/>
      <c r="G978" s="107"/>
      <c r="H978" s="107"/>
      <c r="I978" s="107"/>
      <c r="J978" s="107"/>
      <c r="K978" s="107"/>
      <c r="L978" s="107"/>
      <c r="M978" s="107"/>
    </row>
    <row r="979" spans="1:13" x14ac:dyDescent="0.2">
      <c r="A979" s="140" t="s">
        <v>2289</v>
      </c>
      <c r="B979" s="145">
        <v>4501</v>
      </c>
      <c r="C979" s="145">
        <v>71</v>
      </c>
      <c r="D979" s="145"/>
      <c r="E979" s="307"/>
      <c r="F979" s="107"/>
      <c r="G979" s="107"/>
      <c r="H979" s="107"/>
      <c r="I979" s="107"/>
      <c r="J979" s="107"/>
      <c r="K979" s="107"/>
      <c r="L979" s="107"/>
      <c r="M979" s="107"/>
    </row>
    <row r="980" spans="1:13" x14ac:dyDescent="0.2">
      <c r="A980" s="140" t="s">
        <v>2301</v>
      </c>
      <c r="B980" s="145">
        <v>505</v>
      </c>
      <c r="C980" s="145">
        <v>800</v>
      </c>
      <c r="D980" s="145"/>
      <c r="E980" s="307"/>
      <c r="F980" s="107"/>
      <c r="G980" s="107"/>
      <c r="H980" s="107"/>
      <c r="I980" s="107"/>
      <c r="J980" s="107"/>
      <c r="K980" s="107"/>
      <c r="L980" s="107"/>
      <c r="M980" s="107"/>
    </row>
    <row r="981" spans="1:13" x14ac:dyDescent="0.2">
      <c r="A981" s="140" t="s">
        <v>2302</v>
      </c>
      <c r="B981" s="145">
        <v>773</v>
      </c>
      <c r="C981" s="145">
        <v>150</v>
      </c>
      <c r="D981" s="145"/>
      <c r="E981" s="307"/>
      <c r="F981" s="107"/>
      <c r="G981" s="107"/>
      <c r="H981" s="107"/>
      <c r="I981" s="107"/>
      <c r="J981" s="107"/>
      <c r="K981" s="107"/>
      <c r="L981" s="107"/>
      <c r="M981" s="107"/>
    </row>
    <row r="982" spans="1:13" ht="16" x14ac:dyDescent="0.2">
      <c r="A982" s="699" t="s">
        <v>2303</v>
      </c>
      <c r="B982" s="700"/>
      <c r="C982" s="700"/>
      <c r="D982" s="700"/>
      <c r="E982" s="307"/>
      <c r="F982" s="107"/>
      <c r="G982" s="107"/>
      <c r="H982" s="107"/>
      <c r="I982" s="107"/>
      <c r="J982" s="107"/>
      <c r="K982" s="107"/>
      <c r="L982" s="107"/>
      <c r="M982" s="107"/>
    </row>
    <row r="983" spans="1:13" x14ac:dyDescent="0.2">
      <c r="A983" s="576" t="s">
        <v>2304</v>
      </c>
      <c r="B983" s="145">
        <v>285025</v>
      </c>
      <c r="C983" s="145">
        <v>335</v>
      </c>
      <c r="D983" s="145"/>
      <c r="E983" s="307"/>
      <c r="F983" s="107"/>
      <c r="G983" s="107"/>
      <c r="H983" s="107"/>
      <c r="I983" s="107"/>
      <c r="J983" s="107"/>
      <c r="K983" s="107"/>
      <c r="L983" s="107"/>
      <c r="M983" s="107"/>
    </row>
    <row r="984" spans="1:13" x14ac:dyDescent="0.2">
      <c r="A984" s="140" t="s">
        <v>2305</v>
      </c>
      <c r="B984" s="145">
        <v>26357</v>
      </c>
      <c r="C984" s="145">
        <v>90</v>
      </c>
      <c r="D984" s="145"/>
      <c r="E984" s="307"/>
      <c r="F984" s="107"/>
      <c r="G984" s="107"/>
      <c r="H984" s="107"/>
      <c r="I984" s="107"/>
      <c r="J984" s="107"/>
      <c r="K984" s="107"/>
      <c r="L984" s="107"/>
      <c r="M984" s="107"/>
    </row>
    <row r="985" spans="1:13" ht="30" x14ac:dyDescent="0.2">
      <c r="A985" s="576" t="s">
        <v>2306</v>
      </c>
      <c r="B985" s="145">
        <v>29875</v>
      </c>
      <c r="C985" s="145">
        <v>875</v>
      </c>
      <c r="D985" s="145"/>
      <c r="E985" s="307"/>
      <c r="F985" s="107"/>
      <c r="G985" s="107"/>
      <c r="H985" s="107"/>
      <c r="I985" s="107"/>
      <c r="J985" s="107"/>
      <c r="K985" s="107"/>
      <c r="L985" s="107"/>
      <c r="M985" s="107"/>
    </row>
    <row r="986" spans="1:13" x14ac:dyDescent="0.2">
      <c r="A986" s="140" t="s">
        <v>2307</v>
      </c>
      <c r="B986" s="145">
        <v>19917</v>
      </c>
      <c r="C986" s="145">
        <v>250</v>
      </c>
      <c r="D986" s="145"/>
      <c r="E986" s="307"/>
      <c r="F986" s="107"/>
      <c r="G986" s="107"/>
      <c r="H986" s="107"/>
      <c r="I986" s="107"/>
      <c r="J986" s="107"/>
      <c r="K986" s="107"/>
      <c r="L986" s="107"/>
      <c r="M986" s="107"/>
    </row>
    <row r="987" spans="1:13" x14ac:dyDescent="0.2">
      <c r="A987" s="140" t="s">
        <v>2308</v>
      </c>
      <c r="B987" s="145">
        <v>39144</v>
      </c>
      <c r="C987" s="145">
        <v>667</v>
      </c>
      <c r="D987" s="145"/>
      <c r="E987" s="307"/>
      <c r="F987" s="107"/>
      <c r="G987" s="107"/>
      <c r="H987" s="107"/>
      <c r="I987" s="107"/>
      <c r="J987" s="107"/>
      <c r="K987" s="107"/>
      <c r="L987" s="107"/>
      <c r="M987" s="107"/>
    </row>
    <row r="988" spans="1:13" x14ac:dyDescent="0.2">
      <c r="A988" s="140" t="s">
        <v>2309</v>
      </c>
      <c r="B988" s="145">
        <v>27458</v>
      </c>
      <c r="C988" s="145">
        <v>395</v>
      </c>
      <c r="D988" s="145"/>
      <c r="E988" s="307"/>
      <c r="F988" s="107"/>
      <c r="G988" s="107"/>
      <c r="H988" s="107"/>
      <c r="I988" s="107"/>
      <c r="J988" s="107"/>
      <c r="K988" s="107"/>
      <c r="L988" s="107"/>
      <c r="M988" s="107"/>
    </row>
    <row r="989" spans="1:13" ht="16" thickBot="1" x14ac:dyDescent="0.25">
      <c r="A989" s="140" t="s">
        <v>2310</v>
      </c>
      <c r="B989" s="187">
        <v>2487</v>
      </c>
      <c r="C989" s="187">
        <v>20</v>
      </c>
      <c r="D989" s="187">
        <v>1555586</v>
      </c>
      <c r="E989" s="444">
        <v>841</v>
      </c>
      <c r="F989" s="107"/>
      <c r="G989" s="107"/>
      <c r="H989" s="107"/>
      <c r="I989" s="107"/>
      <c r="J989" s="107"/>
      <c r="K989" s="107"/>
      <c r="L989" s="107"/>
      <c r="M989" s="107"/>
    </row>
    <row r="990" spans="1:13" ht="24" customHeight="1" thickBot="1" x14ac:dyDescent="0.25">
      <c r="A990" s="588" t="s">
        <v>2311</v>
      </c>
      <c r="B990" s="589"/>
      <c r="C990" s="589"/>
      <c r="D990" s="448">
        <v>2943552</v>
      </c>
      <c r="E990" s="449">
        <v>177</v>
      </c>
      <c r="F990" s="107"/>
      <c r="G990" s="107"/>
      <c r="H990" s="107"/>
      <c r="I990" s="107"/>
      <c r="J990" s="107"/>
      <c r="K990" s="107"/>
      <c r="L990" s="107"/>
      <c r="M990" s="107"/>
    </row>
    <row r="991" spans="1:13" ht="28.25" customHeight="1" x14ac:dyDescent="0.2">
      <c r="A991" s="572" t="s">
        <v>2037</v>
      </c>
      <c r="B991" s="573"/>
      <c r="C991" s="573"/>
      <c r="D991" s="573"/>
      <c r="E991" s="574"/>
      <c r="F991" s="107"/>
      <c r="G991" s="107"/>
      <c r="H991" s="107"/>
      <c r="I991" s="107"/>
      <c r="J991" s="107"/>
      <c r="K991" s="107"/>
      <c r="L991" s="107"/>
      <c r="M991" s="107"/>
    </row>
    <row r="992" spans="1:13" x14ac:dyDescent="0.2">
      <c r="A992" s="140" t="s">
        <v>2312</v>
      </c>
      <c r="B992" s="145"/>
      <c r="C992" s="145"/>
      <c r="D992" s="145">
        <v>1124794</v>
      </c>
      <c r="E992" s="307">
        <v>436</v>
      </c>
      <c r="F992" s="107"/>
      <c r="G992" s="107"/>
      <c r="H992" s="107"/>
      <c r="I992" s="107"/>
      <c r="J992" s="107"/>
      <c r="K992" s="107"/>
      <c r="L992" s="107"/>
      <c r="M992" s="107"/>
    </row>
    <row r="993" spans="1:13" x14ac:dyDescent="0.2">
      <c r="A993" s="140" t="s">
        <v>2313</v>
      </c>
      <c r="B993" s="145">
        <v>152153</v>
      </c>
      <c r="C993" s="145">
        <v>991</v>
      </c>
      <c r="D993" s="145"/>
      <c r="E993" s="307"/>
      <c r="F993" s="107"/>
      <c r="G993" s="107"/>
      <c r="H993" s="107"/>
      <c r="I993" s="107"/>
      <c r="J993" s="107"/>
      <c r="K993" s="107"/>
      <c r="L993" s="107"/>
      <c r="M993" s="107"/>
    </row>
    <row r="994" spans="1:13" x14ac:dyDescent="0.2">
      <c r="A994" s="140" t="s">
        <v>2314</v>
      </c>
      <c r="B994" s="145">
        <v>208969</v>
      </c>
      <c r="C994" s="145">
        <v>401</v>
      </c>
      <c r="D994" s="145"/>
      <c r="E994" s="307"/>
      <c r="F994" s="107"/>
      <c r="G994" s="107"/>
      <c r="H994" s="107"/>
      <c r="I994" s="107"/>
      <c r="J994" s="107"/>
      <c r="K994" s="107"/>
      <c r="L994" s="107"/>
      <c r="M994" s="107"/>
    </row>
    <row r="995" spans="1:13" x14ac:dyDescent="0.2">
      <c r="A995" s="140" t="s">
        <v>2315</v>
      </c>
      <c r="B995" s="145">
        <v>236</v>
      </c>
      <c r="C995" s="145">
        <v>276</v>
      </c>
      <c r="D995" s="145"/>
      <c r="E995" s="307"/>
      <c r="F995" s="107"/>
      <c r="G995" s="107"/>
      <c r="H995" s="107"/>
      <c r="I995" s="107"/>
      <c r="J995" s="107"/>
      <c r="K995" s="107"/>
      <c r="L995" s="107"/>
      <c r="M995" s="107"/>
    </row>
    <row r="996" spans="1:13" x14ac:dyDescent="0.2">
      <c r="A996" s="576" t="s">
        <v>2316</v>
      </c>
      <c r="B996" s="145">
        <v>18168</v>
      </c>
      <c r="C996" s="145">
        <v>952</v>
      </c>
      <c r="D996" s="145"/>
      <c r="E996" s="307"/>
      <c r="F996" s="107"/>
      <c r="G996" s="107"/>
      <c r="H996" s="107"/>
      <c r="I996" s="107"/>
      <c r="J996" s="107"/>
      <c r="K996" s="107"/>
      <c r="L996" s="107"/>
      <c r="M996" s="107"/>
    </row>
    <row r="997" spans="1:13" x14ac:dyDescent="0.2">
      <c r="A997" s="576" t="s">
        <v>2317</v>
      </c>
      <c r="B997" s="145">
        <v>807</v>
      </c>
      <c r="C997" s="145">
        <v>912</v>
      </c>
      <c r="D997" s="145"/>
      <c r="E997" s="307"/>
      <c r="F997" s="107"/>
      <c r="G997" s="107"/>
      <c r="H997" s="107"/>
      <c r="I997" s="107"/>
      <c r="J997" s="107"/>
      <c r="K997" s="107"/>
      <c r="L997" s="107"/>
      <c r="M997" s="107"/>
    </row>
    <row r="998" spans="1:13" x14ac:dyDescent="0.2">
      <c r="A998" s="140" t="s">
        <v>2318</v>
      </c>
      <c r="B998" s="145">
        <v>33692</v>
      </c>
      <c r="C998" s="145">
        <v>697</v>
      </c>
      <c r="D998" s="145"/>
      <c r="E998" s="307"/>
      <c r="F998" s="107"/>
      <c r="G998" s="107"/>
      <c r="H998" s="107"/>
      <c r="I998" s="107"/>
      <c r="J998" s="107"/>
      <c r="K998" s="107"/>
      <c r="L998" s="107"/>
      <c r="M998" s="107"/>
    </row>
    <row r="999" spans="1:13" x14ac:dyDescent="0.2">
      <c r="A999" s="140" t="s">
        <v>2319</v>
      </c>
      <c r="B999" s="145">
        <v>6425</v>
      </c>
      <c r="C999" s="145">
        <v>559</v>
      </c>
      <c r="D999" s="145"/>
      <c r="E999" s="307"/>
      <c r="F999" s="107"/>
      <c r="G999" s="107"/>
      <c r="H999" s="107"/>
      <c r="I999" s="107"/>
      <c r="J999" s="107"/>
      <c r="K999" s="107"/>
      <c r="L999" s="107"/>
      <c r="M999" s="107"/>
    </row>
    <row r="1000" spans="1:13" x14ac:dyDescent="0.2">
      <c r="A1000" s="576" t="s">
        <v>2320</v>
      </c>
      <c r="B1000" s="145">
        <v>23938</v>
      </c>
      <c r="C1000" s="145">
        <v>650</v>
      </c>
      <c r="D1000" s="145"/>
      <c r="E1000" s="307"/>
      <c r="F1000" s="107"/>
      <c r="G1000" s="107"/>
      <c r="H1000" s="107"/>
      <c r="I1000" s="107"/>
      <c r="J1000" s="107"/>
      <c r="K1000" s="107"/>
      <c r="L1000" s="107"/>
      <c r="M1000" s="107"/>
    </row>
    <row r="1001" spans="1:13" x14ac:dyDescent="0.2">
      <c r="A1001" s="140" t="s">
        <v>2321</v>
      </c>
      <c r="B1001" s="145">
        <v>10777</v>
      </c>
      <c r="C1001" s="145">
        <v>269</v>
      </c>
      <c r="D1001" s="145"/>
      <c r="E1001" s="307"/>
      <c r="F1001" s="107"/>
      <c r="G1001" s="107"/>
      <c r="H1001" s="107"/>
      <c r="I1001" s="107"/>
      <c r="J1001" s="107"/>
      <c r="K1001" s="107"/>
      <c r="L1001" s="107"/>
      <c r="M1001" s="107"/>
    </row>
    <row r="1002" spans="1:13" x14ac:dyDescent="0.2">
      <c r="A1002" s="140" t="s">
        <v>2322</v>
      </c>
      <c r="B1002" s="145">
        <v>69903</v>
      </c>
      <c r="C1002" s="145">
        <v>965</v>
      </c>
      <c r="D1002" s="145"/>
      <c r="E1002" s="307"/>
      <c r="F1002" s="107"/>
      <c r="G1002" s="107"/>
      <c r="H1002" s="107"/>
      <c r="I1002" s="107"/>
      <c r="J1002" s="107"/>
      <c r="K1002" s="107"/>
      <c r="L1002" s="107"/>
      <c r="M1002" s="107"/>
    </row>
    <row r="1003" spans="1:13" ht="16" thickBot="1" x14ac:dyDescent="0.25">
      <c r="A1003" s="140" t="s">
        <v>2323</v>
      </c>
      <c r="B1003" s="187">
        <v>25879</v>
      </c>
      <c r="C1003" s="187">
        <v>501</v>
      </c>
      <c r="D1003" s="187">
        <v>550954</v>
      </c>
      <c r="E1003" s="444">
        <v>173</v>
      </c>
      <c r="F1003" s="107"/>
      <c r="G1003" s="107"/>
      <c r="H1003" s="107"/>
      <c r="I1003" s="107"/>
      <c r="J1003" s="107"/>
      <c r="K1003" s="107"/>
      <c r="L1003" s="107"/>
      <c r="M1003" s="107"/>
    </row>
    <row r="1004" spans="1:13" x14ac:dyDescent="0.2">
      <c r="A1004" s="140"/>
      <c r="B1004" s="145"/>
      <c r="C1004" s="145"/>
      <c r="D1004" s="138">
        <f>+SUM(B993:B1003)</f>
        <v>550947</v>
      </c>
      <c r="E1004" s="138">
        <f>+SUM(C993:C1003)</f>
        <v>7173</v>
      </c>
      <c r="F1004" s="107"/>
      <c r="G1004" s="107"/>
      <c r="H1004" s="107"/>
      <c r="I1004" s="107"/>
      <c r="J1004" s="107"/>
      <c r="K1004" s="107"/>
      <c r="L1004" s="107"/>
      <c r="M1004" s="107"/>
    </row>
    <row r="1005" spans="1:13" ht="20.5" customHeight="1" x14ac:dyDescent="0.2">
      <c r="A1005" s="588" t="s">
        <v>2324</v>
      </c>
      <c r="B1005" s="589"/>
      <c r="C1005" s="589"/>
      <c r="D1005" s="145">
        <v>1675748</v>
      </c>
      <c r="E1005" s="307">
        <v>609</v>
      </c>
      <c r="F1005" s="107"/>
      <c r="G1005" s="107"/>
      <c r="H1005" s="107"/>
      <c r="I1005" s="107"/>
      <c r="J1005" s="107"/>
      <c r="K1005" s="107"/>
      <c r="L1005" s="107"/>
      <c r="M1005" s="107"/>
    </row>
    <row r="1006" spans="1:13" ht="31" thickBot="1" x14ac:dyDescent="0.25">
      <c r="A1006" s="576" t="s">
        <v>2325</v>
      </c>
      <c r="B1006" s="145"/>
      <c r="C1006" s="145"/>
      <c r="D1006" s="187">
        <v>1267803</v>
      </c>
      <c r="E1006" s="444">
        <v>568</v>
      </c>
      <c r="F1006" s="107"/>
      <c r="G1006" s="107"/>
      <c r="H1006" s="107"/>
      <c r="I1006" s="107"/>
      <c r="J1006" s="107"/>
      <c r="K1006" s="107"/>
      <c r="L1006" s="107"/>
      <c r="M1006" s="107"/>
    </row>
    <row r="1007" spans="1:13" ht="23.5" customHeight="1" x14ac:dyDescent="0.2">
      <c r="A1007" s="597" t="s">
        <v>2326</v>
      </c>
      <c r="B1007" s="309"/>
      <c r="C1007" s="309"/>
      <c r="D1007" s="701">
        <v>2943552</v>
      </c>
      <c r="E1007" s="702">
        <v>177</v>
      </c>
      <c r="F1007" s="107"/>
      <c r="G1007" s="107"/>
      <c r="H1007" s="107"/>
      <c r="I1007" s="107"/>
      <c r="J1007" s="107"/>
      <c r="K1007" s="107"/>
      <c r="L1007" s="107"/>
      <c r="M1007" s="107"/>
    </row>
    <row r="1008" spans="1:13" ht="23.5" customHeight="1" x14ac:dyDescent="0.2">
      <c r="A1008" s="141"/>
      <c r="B1008" s="107"/>
      <c r="C1008" s="107"/>
      <c r="D1008" s="145"/>
      <c r="E1008" s="145"/>
      <c r="F1008" s="107"/>
      <c r="G1008" s="107"/>
      <c r="H1008" s="107"/>
      <c r="I1008" s="107"/>
      <c r="J1008" s="107"/>
      <c r="K1008" s="107"/>
      <c r="L1008" s="107"/>
      <c r="M1008" s="107"/>
    </row>
    <row r="1009" spans="1:13" ht="23.5" customHeight="1" x14ac:dyDescent="0.2">
      <c r="A1009" s="141"/>
      <c r="B1009" s="107"/>
      <c r="C1009" s="107"/>
      <c r="D1009" s="145"/>
      <c r="E1009" s="145"/>
      <c r="F1009" s="107"/>
      <c r="G1009" s="107"/>
      <c r="H1009" s="107"/>
      <c r="I1009" s="107"/>
      <c r="J1009" s="107"/>
      <c r="K1009" s="107"/>
      <c r="L1009" s="107"/>
      <c r="M1009" s="107"/>
    </row>
    <row r="1010" spans="1:13" ht="23.5" customHeight="1" x14ac:dyDescent="0.2">
      <c r="A1010" s="141"/>
      <c r="B1010" s="107"/>
      <c r="C1010" s="107"/>
      <c r="D1010" s="145"/>
      <c r="E1010" s="145"/>
      <c r="F1010" s="107"/>
      <c r="G1010" s="107"/>
      <c r="H1010" s="107"/>
      <c r="I1010" s="107"/>
      <c r="J1010" s="107"/>
      <c r="K1010" s="107"/>
      <c r="L1010" s="107"/>
      <c r="M1010" s="107"/>
    </row>
    <row r="1011" spans="1:13" ht="17.5" customHeight="1" x14ac:dyDescent="0.2">
      <c r="A1011" s="526" t="s">
        <v>2327</v>
      </c>
      <c r="B1011" s="107"/>
      <c r="C1011" s="107"/>
      <c r="D1011" s="145"/>
      <c r="E1011" s="145"/>
      <c r="F1011" s="107"/>
      <c r="G1011" s="107"/>
      <c r="H1011" s="107"/>
      <c r="I1011" s="107"/>
      <c r="J1011" s="107"/>
      <c r="K1011" s="107"/>
      <c r="L1011" s="107"/>
      <c r="M1011" s="107"/>
    </row>
    <row r="1012" spans="1:13" ht="39" customHeight="1" x14ac:dyDescent="0.2">
      <c r="A1012" s="703" t="s">
        <v>2328</v>
      </c>
      <c r="B1012" s="703"/>
      <c r="C1012" s="703"/>
      <c r="D1012" s="703"/>
      <c r="E1012" s="703"/>
      <c r="F1012" s="107"/>
      <c r="G1012" s="107"/>
      <c r="H1012" s="107"/>
      <c r="I1012" s="107"/>
      <c r="J1012" s="107"/>
      <c r="K1012" s="107"/>
      <c r="L1012" s="107"/>
      <c r="M1012" s="107"/>
    </row>
    <row r="1013" spans="1:13" x14ac:dyDescent="0.2">
      <c r="A1013" s="685" t="s">
        <v>2329</v>
      </c>
      <c r="B1013" s="685"/>
      <c r="C1013" s="685"/>
      <c r="D1013" s="107"/>
      <c r="E1013" s="107"/>
      <c r="F1013" s="107"/>
      <c r="G1013" s="107"/>
      <c r="H1013" s="107"/>
      <c r="I1013" s="107"/>
      <c r="J1013" s="107"/>
      <c r="K1013" s="107"/>
      <c r="L1013" s="107"/>
      <c r="M1013" s="107"/>
    </row>
    <row r="1014" spans="1:13" x14ac:dyDescent="0.2">
      <c r="A1014" s="685" t="s">
        <v>2010</v>
      </c>
      <c r="B1014" s="685"/>
      <c r="C1014" s="685"/>
      <c r="D1014" s="107"/>
      <c r="E1014" s="107"/>
      <c r="F1014" s="107"/>
      <c r="G1014" s="107"/>
      <c r="H1014" s="107"/>
      <c r="I1014" s="107"/>
      <c r="J1014" s="107"/>
      <c r="K1014" s="107"/>
      <c r="L1014" s="107"/>
      <c r="M1014" s="107"/>
    </row>
    <row r="1015" spans="1:13" ht="30" x14ac:dyDescent="0.2">
      <c r="A1015" s="683" t="s">
        <v>2330</v>
      </c>
      <c r="B1015" s="107">
        <v>2943552</v>
      </c>
      <c r="C1015" s="107">
        <v>177</v>
      </c>
      <c r="D1015" s="107"/>
      <c r="E1015" s="107"/>
      <c r="F1015" s="107"/>
      <c r="G1015" s="107"/>
      <c r="H1015" s="107"/>
      <c r="I1015" s="107"/>
      <c r="J1015" s="107"/>
      <c r="K1015" s="107"/>
      <c r="L1015" s="107"/>
      <c r="M1015" s="107"/>
    </row>
    <row r="1016" spans="1:13" ht="16" thickBot="1" x14ac:dyDescent="0.25">
      <c r="A1016" s="141" t="s">
        <v>2331</v>
      </c>
      <c r="B1016" s="187">
        <v>1675748</v>
      </c>
      <c r="C1016" s="187">
        <v>609</v>
      </c>
      <c r="D1016" s="107"/>
      <c r="E1016" s="107"/>
      <c r="F1016" s="107"/>
      <c r="G1016" s="107"/>
      <c r="H1016" s="107"/>
      <c r="I1016" s="107"/>
      <c r="J1016" s="107"/>
      <c r="K1016" s="107"/>
      <c r="L1016" s="107"/>
      <c r="M1016" s="107"/>
    </row>
    <row r="1017" spans="1:13" ht="25.25" customHeight="1" thickBot="1" x14ac:dyDescent="0.25">
      <c r="A1017" s="693" t="s">
        <v>2332</v>
      </c>
      <c r="B1017" s="448">
        <v>1267803</v>
      </c>
      <c r="C1017" s="448">
        <v>568</v>
      </c>
      <c r="D1017" s="107"/>
      <c r="E1017" s="107"/>
      <c r="F1017" s="107"/>
      <c r="G1017" s="107"/>
      <c r="H1017" s="107"/>
      <c r="I1017" s="107"/>
      <c r="J1017" s="107"/>
      <c r="K1017" s="107"/>
      <c r="L1017" s="107"/>
      <c r="M1017" s="107"/>
    </row>
    <row r="1018" spans="1:13" ht="41" customHeight="1" x14ac:dyDescent="0.2">
      <c r="A1018" s="703" t="s">
        <v>2333</v>
      </c>
      <c r="B1018" s="703"/>
      <c r="C1018" s="703"/>
      <c r="D1018" s="703"/>
      <c r="E1018" s="703"/>
      <c r="F1018" s="107"/>
      <c r="G1018" s="107"/>
      <c r="H1018" s="107"/>
      <c r="I1018" s="107"/>
      <c r="J1018" s="107"/>
      <c r="K1018" s="107"/>
      <c r="L1018" s="107"/>
      <c r="M1018" s="107"/>
    </row>
    <row r="1019" spans="1:13" ht="30" customHeight="1" x14ac:dyDescent="0.2">
      <c r="A1019" s="684" t="s">
        <v>2334</v>
      </c>
      <c r="B1019" s="684"/>
      <c r="C1019" s="684"/>
      <c r="D1019" s="684"/>
      <c r="E1019" s="684"/>
      <c r="F1019" s="107"/>
      <c r="G1019" s="107"/>
      <c r="H1019" s="107"/>
      <c r="I1019" s="107"/>
      <c r="J1019" s="107"/>
      <c r="K1019" s="107"/>
      <c r="L1019" s="107"/>
      <c r="M1019" s="107"/>
    </row>
    <row r="1020" spans="1:13" ht="16" x14ac:dyDescent="0.2">
      <c r="A1020" s="700" t="s">
        <v>2335</v>
      </c>
      <c r="B1020" s="700"/>
      <c r="C1020" s="700"/>
      <c r="D1020" s="700"/>
      <c r="E1020" s="700"/>
      <c r="F1020" s="107"/>
      <c r="I1020" s="107"/>
      <c r="J1020" s="107"/>
      <c r="K1020" s="107"/>
      <c r="L1020" s="107"/>
      <c r="M1020" s="107"/>
    </row>
    <row r="1021" spans="1:13" x14ac:dyDescent="0.2">
      <c r="A1021" s="141" t="s">
        <v>1175</v>
      </c>
      <c r="B1021" s="107">
        <v>127767</v>
      </c>
      <c r="C1021" s="107">
        <v>302</v>
      </c>
      <c r="D1021" s="107"/>
      <c r="E1021" s="107"/>
      <c r="F1021" s="107"/>
      <c r="I1021" s="107"/>
      <c r="J1021" s="107"/>
      <c r="K1021" s="107"/>
      <c r="L1021" s="107"/>
      <c r="M1021" s="107"/>
    </row>
    <row r="1022" spans="1:13" x14ac:dyDescent="0.2">
      <c r="A1022" s="141" t="s">
        <v>1569</v>
      </c>
      <c r="B1022" s="107">
        <v>456998</v>
      </c>
      <c r="C1022" s="107">
        <v>380</v>
      </c>
      <c r="D1022" s="107"/>
      <c r="E1022" s="107"/>
      <c r="F1022" s="107"/>
      <c r="I1022" s="107"/>
      <c r="J1022" s="107"/>
      <c r="K1022" s="107"/>
      <c r="L1022" s="107"/>
      <c r="M1022" s="107"/>
    </row>
    <row r="1023" spans="1:13" x14ac:dyDescent="0.2">
      <c r="A1023" s="141" t="s">
        <v>1401</v>
      </c>
      <c r="B1023" s="107">
        <v>69942</v>
      </c>
      <c r="C1023" s="107">
        <v>689</v>
      </c>
      <c r="D1023" s="107"/>
      <c r="E1023" s="107"/>
      <c r="F1023" s="107"/>
      <c r="I1023" s="107"/>
      <c r="J1023" s="107"/>
      <c r="K1023" s="107"/>
      <c r="L1023" s="107"/>
      <c r="M1023" s="107"/>
    </row>
    <row r="1024" spans="1:13" x14ac:dyDescent="0.2">
      <c r="A1024" s="141" t="s">
        <v>1813</v>
      </c>
      <c r="B1024" s="107">
        <v>26062</v>
      </c>
      <c r="C1024" s="107">
        <v>813</v>
      </c>
      <c r="D1024" s="107"/>
      <c r="E1024" s="107"/>
      <c r="F1024" s="107"/>
      <c r="I1024" s="107"/>
      <c r="J1024" s="107"/>
      <c r="K1024" s="107"/>
      <c r="L1024" s="107"/>
      <c r="M1024" s="107"/>
    </row>
    <row r="1025" spans="1:13" x14ac:dyDescent="0.2">
      <c r="A1025" s="141" t="s">
        <v>2336</v>
      </c>
      <c r="B1025" s="107">
        <v>19373</v>
      </c>
      <c r="C1025" s="107">
        <v>682</v>
      </c>
      <c r="D1025" s="107"/>
      <c r="E1025" s="107"/>
      <c r="F1025" s="107"/>
      <c r="I1025" s="107"/>
      <c r="J1025" s="107"/>
      <c r="K1025" s="107"/>
      <c r="L1025" s="107"/>
      <c r="M1025" s="107"/>
    </row>
    <row r="1026" spans="1:13" x14ac:dyDescent="0.2">
      <c r="A1026" s="141" t="s">
        <v>2337</v>
      </c>
      <c r="B1026" s="107">
        <v>15949</v>
      </c>
      <c r="C1026" s="107">
        <v>650</v>
      </c>
      <c r="D1026" s="107"/>
      <c r="E1026" s="107"/>
      <c r="F1026" s="107"/>
      <c r="I1026" s="107"/>
      <c r="J1026" s="107"/>
      <c r="K1026" s="107"/>
      <c r="L1026" s="107"/>
      <c r="M1026" s="107"/>
    </row>
    <row r="1027" spans="1:13" x14ac:dyDescent="0.2">
      <c r="A1027" s="141" t="s">
        <v>1177</v>
      </c>
      <c r="B1027" s="107">
        <v>83008</v>
      </c>
      <c r="C1027" s="107">
        <v>386</v>
      </c>
      <c r="D1027" s="107"/>
      <c r="E1027" s="107"/>
      <c r="F1027" s="107"/>
      <c r="I1027" s="107"/>
      <c r="J1027" s="107"/>
      <c r="K1027" s="107"/>
      <c r="L1027" s="107"/>
      <c r="M1027" s="107"/>
    </row>
    <row r="1028" spans="1:13" x14ac:dyDescent="0.2">
      <c r="A1028" s="141" t="s">
        <v>1809</v>
      </c>
      <c r="B1028" s="107">
        <v>4578</v>
      </c>
      <c r="C1028" s="107">
        <v>747</v>
      </c>
      <c r="D1028" s="107"/>
      <c r="E1028" s="107"/>
      <c r="F1028" s="107"/>
      <c r="I1028" s="107"/>
      <c r="J1028" s="107"/>
      <c r="K1028" s="107"/>
      <c r="L1028" s="107"/>
      <c r="M1028" s="107"/>
    </row>
    <row r="1029" spans="1:13" x14ac:dyDescent="0.2">
      <c r="A1029" s="141" t="s">
        <v>2020</v>
      </c>
      <c r="B1029" s="107">
        <v>6292</v>
      </c>
      <c r="C1029" s="107">
        <v>361</v>
      </c>
      <c r="D1029" s="107"/>
      <c r="E1029" s="107"/>
      <c r="F1029" s="107"/>
      <c r="I1029" s="107"/>
      <c r="J1029" s="107"/>
      <c r="K1029" s="107"/>
      <c r="L1029" s="107"/>
      <c r="M1029" s="107"/>
    </row>
    <row r="1030" spans="1:13" x14ac:dyDescent="0.2">
      <c r="A1030" s="141" t="s">
        <v>1421</v>
      </c>
      <c r="B1030" s="107">
        <v>18498</v>
      </c>
      <c r="C1030" s="107">
        <v>595</v>
      </c>
      <c r="D1030" s="107"/>
      <c r="E1030" s="107"/>
      <c r="F1030" s="107"/>
      <c r="I1030" s="107"/>
      <c r="J1030" s="107"/>
      <c r="K1030" s="107"/>
      <c r="L1030" s="107"/>
      <c r="M1030" s="107"/>
    </row>
    <row r="1031" spans="1:13" x14ac:dyDescent="0.2">
      <c r="A1031" s="141" t="s">
        <v>1377</v>
      </c>
      <c r="B1031" s="107">
        <v>52716</v>
      </c>
      <c r="C1031" s="107">
        <v>469</v>
      </c>
      <c r="D1031" s="107"/>
      <c r="E1031" s="107"/>
      <c r="F1031" s="107"/>
      <c r="I1031" s="107"/>
      <c r="J1031" s="107"/>
      <c r="K1031" s="107"/>
      <c r="L1031" s="107"/>
      <c r="M1031" s="107"/>
    </row>
    <row r="1032" spans="1:13" x14ac:dyDescent="0.2">
      <c r="A1032" s="141" t="s">
        <v>1174</v>
      </c>
      <c r="B1032" s="107">
        <v>710057</v>
      </c>
      <c r="C1032" s="107">
        <v>185</v>
      </c>
      <c r="D1032" s="107"/>
      <c r="E1032" s="107"/>
      <c r="F1032" s="107"/>
      <c r="I1032" s="107"/>
      <c r="J1032" s="107"/>
      <c r="K1032" s="107"/>
      <c r="L1032" s="107"/>
      <c r="M1032" s="107"/>
    </row>
    <row r="1033" spans="1:13" x14ac:dyDescent="0.2">
      <c r="A1033" s="141" t="s">
        <v>1810</v>
      </c>
      <c r="B1033" s="107">
        <v>102962</v>
      </c>
      <c r="C1033" s="107">
        <v>829</v>
      </c>
      <c r="D1033" s="107"/>
      <c r="E1033" s="107"/>
      <c r="F1033" s="107"/>
      <c r="I1033" s="107"/>
      <c r="J1033" s="107"/>
      <c r="K1033" s="107"/>
      <c r="L1033" s="107"/>
      <c r="M1033" s="107"/>
    </row>
    <row r="1034" spans="1:13" x14ac:dyDescent="0.2">
      <c r="A1034" s="141" t="s">
        <v>1811</v>
      </c>
      <c r="B1034" s="107">
        <v>1302</v>
      </c>
      <c r="C1034" s="107">
        <v>800</v>
      </c>
      <c r="D1034" s="107"/>
      <c r="E1034" s="107"/>
      <c r="F1034" s="107"/>
      <c r="I1034" s="107"/>
      <c r="J1034" s="107"/>
      <c r="K1034" s="107"/>
      <c r="L1034" s="107"/>
      <c r="M1034" s="107"/>
    </row>
    <row r="1035" spans="1:13" x14ac:dyDescent="0.2">
      <c r="A1035" s="141" t="s">
        <v>2015</v>
      </c>
      <c r="B1035" s="107">
        <v>15922</v>
      </c>
      <c r="C1035" s="107">
        <v>52</v>
      </c>
      <c r="D1035" s="107"/>
      <c r="E1035" s="107"/>
      <c r="F1035" s="107"/>
      <c r="I1035" s="107"/>
      <c r="J1035" s="107"/>
      <c r="K1035" s="107"/>
      <c r="L1035" s="107"/>
      <c r="M1035" s="107"/>
    </row>
    <row r="1036" spans="1:13" x14ac:dyDescent="0.2">
      <c r="A1036" s="141" t="s">
        <v>1568</v>
      </c>
      <c r="B1036" s="107">
        <v>6577</v>
      </c>
      <c r="C1036" s="107">
        <v>604</v>
      </c>
      <c r="D1036" s="107"/>
      <c r="E1036" s="107"/>
      <c r="F1036" s="107"/>
      <c r="I1036" s="107"/>
      <c r="J1036" s="107"/>
      <c r="K1036" s="107"/>
      <c r="L1036" s="107"/>
      <c r="M1036" s="107"/>
    </row>
    <row r="1037" spans="1:13" x14ac:dyDescent="0.2">
      <c r="A1037" s="141" t="s">
        <v>1818</v>
      </c>
      <c r="B1037" s="107">
        <v>3955</v>
      </c>
      <c r="C1037" s="107">
        <v>201</v>
      </c>
      <c r="D1037" s="107"/>
      <c r="E1037" s="107"/>
      <c r="F1037" s="107"/>
      <c r="I1037" s="107"/>
      <c r="J1037" s="107"/>
      <c r="K1037" s="107"/>
      <c r="L1037" s="107"/>
      <c r="M1037" s="107"/>
    </row>
    <row r="1038" spans="1:13" x14ac:dyDescent="0.2">
      <c r="A1038" s="141" t="s">
        <v>1400</v>
      </c>
      <c r="B1038" s="107">
        <v>494</v>
      </c>
      <c r="C1038" s="107">
        <v>175</v>
      </c>
      <c r="D1038" s="107"/>
      <c r="E1038" s="107"/>
      <c r="F1038" s="107"/>
      <c r="I1038" s="107"/>
      <c r="J1038" s="107"/>
      <c r="K1038" s="107"/>
      <c r="L1038" s="107"/>
      <c r="M1038" s="107"/>
    </row>
    <row r="1039" spans="1:13" x14ac:dyDescent="0.2">
      <c r="A1039" s="141" t="s">
        <v>1812</v>
      </c>
      <c r="B1039" s="107">
        <v>22119</v>
      </c>
      <c r="C1039" s="107">
        <v>713</v>
      </c>
      <c r="D1039" s="107"/>
      <c r="E1039" s="107"/>
      <c r="F1039" s="107"/>
      <c r="I1039" s="107"/>
      <c r="J1039" s="107"/>
      <c r="K1039" s="107"/>
      <c r="L1039" s="107"/>
      <c r="M1039" s="107"/>
    </row>
    <row r="1040" spans="1:13" x14ac:dyDescent="0.2">
      <c r="A1040" s="141" t="s">
        <v>1817</v>
      </c>
      <c r="B1040" s="107">
        <v>9330</v>
      </c>
      <c r="C1040" s="107">
        <v>834</v>
      </c>
      <c r="D1040" s="107"/>
      <c r="E1040" s="107"/>
      <c r="F1040" s="107"/>
      <c r="I1040" s="107"/>
      <c r="J1040" s="107"/>
      <c r="K1040" s="107"/>
      <c r="L1040" s="107"/>
      <c r="M1040" s="107"/>
    </row>
    <row r="1041" spans="1:13" x14ac:dyDescent="0.2">
      <c r="A1041" s="141" t="s">
        <v>1816</v>
      </c>
      <c r="B1041" s="107">
        <v>37176</v>
      </c>
      <c r="C1041" s="107">
        <v>250</v>
      </c>
      <c r="D1041" s="107"/>
      <c r="E1041" s="107"/>
      <c r="F1041" s="107"/>
      <c r="I1041" s="107"/>
      <c r="J1041" s="107"/>
      <c r="K1041" s="107"/>
      <c r="L1041" s="107"/>
      <c r="M1041" s="107"/>
    </row>
    <row r="1042" spans="1:13" ht="16" thickBot="1" x14ac:dyDescent="0.25">
      <c r="A1042" s="141" t="s">
        <v>2338</v>
      </c>
      <c r="B1042" s="187">
        <v>12184</v>
      </c>
      <c r="C1042" s="187">
        <v>436</v>
      </c>
      <c r="D1042" s="187">
        <v>1803272</v>
      </c>
      <c r="E1042" s="187">
        <v>153</v>
      </c>
      <c r="F1042" s="107"/>
      <c r="I1042" s="107"/>
      <c r="J1042" s="107"/>
      <c r="K1042" s="107"/>
      <c r="L1042" s="107"/>
      <c r="M1042" s="107"/>
    </row>
    <row r="1043" spans="1:13" x14ac:dyDescent="0.2">
      <c r="A1043" s="141"/>
      <c r="B1043" s="145"/>
      <c r="C1043" s="145"/>
      <c r="D1043" s="321">
        <f>+SUM(B1021:B1042)</f>
        <v>1803261</v>
      </c>
      <c r="E1043" s="321">
        <f>+SUM(C1021:C1042)</f>
        <v>11153</v>
      </c>
      <c r="F1043" s="107"/>
      <c r="G1043" s="107"/>
      <c r="H1043" s="107"/>
      <c r="I1043" s="107"/>
      <c r="J1043" s="107"/>
      <c r="K1043" s="107"/>
      <c r="L1043" s="107"/>
      <c r="M1043" s="107"/>
    </row>
    <row r="1044" spans="1:13" ht="16" x14ac:dyDescent="0.2">
      <c r="A1044" s="704" t="s">
        <v>2339</v>
      </c>
      <c r="B1044" s="704"/>
      <c r="C1044" s="704"/>
      <c r="D1044" s="704"/>
      <c r="E1044" s="704"/>
      <c r="F1044" s="107"/>
      <c r="G1044" s="107"/>
    </row>
    <row r="1045" spans="1:13" x14ac:dyDescent="0.2">
      <c r="A1045" s="141" t="s">
        <v>1175</v>
      </c>
      <c r="B1045" s="107">
        <v>66126</v>
      </c>
      <c r="C1045" s="107">
        <v>89</v>
      </c>
      <c r="D1045" s="107"/>
      <c r="E1045" s="107"/>
      <c r="F1045" s="107"/>
      <c r="G1045" s="107"/>
    </row>
    <row r="1046" spans="1:13" x14ac:dyDescent="0.2">
      <c r="A1046" s="141" t="s">
        <v>1569</v>
      </c>
      <c r="B1046" s="107">
        <v>400457</v>
      </c>
      <c r="C1046" s="107">
        <v>500</v>
      </c>
      <c r="D1046" s="107"/>
      <c r="E1046" s="107"/>
      <c r="F1046" s="107"/>
      <c r="G1046" s="107"/>
    </row>
    <row r="1047" spans="1:13" x14ac:dyDescent="0.2">
      <c r="A1047" s="141" t="s">
        <v>1813</v>
      </c>
      <c r="B1047" s="107">
        <v>26734</v>
      </c>
      <c r="C1047" s="107">
        <v>289</v>
      </c>
      <c r="D1047" s="107"/>
      <c r="E1047" s="107"/>
      <c r="I1047" s="107"/>
      <c r="J1047" s="107"/>
      <c r="K1047" s="107"/>
      <c r="L1047" s="107"/>
      <c r="M1047" s="107"/>
    </row>
    <row r="1048" spans="1:13" x14ac:dyDescent="0.2">
      <c r="A1048" s="141" t="s">
        <v>1401</v>
      </c>
      <c r="B1048" s="107">
        <v>75001</v>
      </c>
      <c r="C1048" s="107"/>
      <c r="D1048" s="107"/>
      <c r="E1048" s="107"/>
    </row>
    <row r="1049" spans="1:13" x14ac:dyDescent="0.2">
      <c r="A1049" s="141" t="s">
        <v>1808</v>
      </c>
      <c r="B1049" s="107">
        <v>25349</v>
      </c>
      <c r="C1049" s="107">
        <v>168</v>
      </c>
      <c r="D1049" s="107"/>
      <c r="E1049" s="107"/>
      <c r="J1049" s="107"/>
      <c r="K1049" s="107"/>
      <c r="L1049" s="107"/>
      <c r="M1049" s="107"/>
    </row>
    <row r="1050" spans="1:13" x14ac:dyDescent="0.2">
      <c r="A1050" s="141" t="s">
        <v>2340</v>
      </c>
      <c r="B1050" s="107">
        <v>14200</v>
      </c>
      <c r="C1050" s="107"/>
      <c r="D1050" s="107"/>
      <c r="E1050" s="107"/>
      <c r="F1050" s="107"/>
    </row>
    <row r="1051" spans="1:13" x14ac:dyDescent="0.2">
      <c r="A1051" s="141" t="s">
        <v>1809</v>
      </c>
      <c r="B1051" s="107">
        <v>19581</v>
      </c>
      <c r="C1051" s="107">
        <v>33</v>
      </c>
      <c r="D1051" s="107"/>
      <c r="E1051" s="107"/>
      <c r="F1051" s="107"/>
    </row>
    <row r="1052" spans="1:13" x14ac:dyDescent="0.2">
      <c r="A1052" s="141" t="s">
        <v>1816</v>
      </c>
      <c r="B1052" s="107">
        <v>305979</v>
      </c>
      <c r="C1052" s="107">
        <v>142</v>
      </c>
      <c r="D1052" s="107"/>
      <c r="E1052" s="107"/>
      <c r="F1052" s="107"/>
    </row>
    <row r="1053" spans="1:13" x14ac:dyDescent="0.2">
      <c r="A1053" s="141" t="s">
        <v>1174</v>
      </c>
      <c r="B1053" s="107">
        <v>714977</v>
      </c>
      <c r="C1053" s="107">
        <v>437</v>
      </c>
      <c r="D1053" s="107"/>
      <c r="E1053" s="107"/>
    </row>
    <row r="1054" spans="1:13" x14ac:dyDescent="0.2">
      <c r="A1054" s="141" t="s">
        <v>1818</v>
      </c>
      <c r="B1054" s="107">
        <v>3352</v>
      </c>
      <c r="C1054" s="107">
        <v>179</v>
      </c>
      <c r="D1054" s="107"/>
      <c r="E1054" s="107"/>
      <c r="F1054" s="107"/>
      <c r="G1054" s="107"/>
      <c r="H1054" s="107"/>
    </row>
    <row r="1055" spans="1:13" x14ac:dyDescent="0.2">
      <c r="A1055" s="141" t="s">
        <v>2015</v>
      </c>
      <c r="B1055" s="107">
        <v>5012</v>
      </c>
      <c r="C1055" s="107">
        <v>965</v>
      </c>
      <c r="D1055" s="107"/>
      <c r="E1055" s="107"/>
      <c r="F1055" s="107"/>
      <c r="G1055" s="141"/>
      <c r="H1055" s="107"/>
      <c r="K1055" s="107"/>
      <c r="L1055" s="107"/>
      <c r="M1055" s="107"/>
    </row>
    <row r="1056" spans="1:13" x14ac:dyDescent="0.2">
      <c r="A1056" s="141" t="s">
        <v>2020</v>
      </c>
      <c r="B1056" s="107">
        <v>4467</v>
      </c>
      <c r="C1056" s="107">
        <v>906</v>
      </c>
      <c r="D1056" s="107"/>
      <c r="E1056" s="107"/>
      <c r="F1056" s="107"/>
      <c r="G1056" s="107"/>
      <c r="H1056" s="107"/>
      <c r="L1056" s="107"/>
      <c r="M1056" s="107"/>
    </row>
    <row r="1057" spans="1:13" x14ac:dyDescent="0.2">
      <c r="A1057" s="141" t="s">
        <v>1400</v>
      </c>
      <c r="B1057" s="107">
        <v>565</v>
      </c>
      <c r="C1057" s="107">
        <v>347</v>
      </c>
      <c r="D1057" s="107"/>
      <c r="E1057" s="107"/>
      <c r="F1057" s="107"/>
      <c r="H1057" s="107"/>
      <c r="M1057" s="107"/>
    </row>
    <row r="1058" spans="1:13" x14ac:dyDescent="0.2">
      <c r="A1058" s="141" t="s">
        <v>1817</v>
      </c>
      <c r="B1058" s="107">
        <v>1636</v>
      </c>
      <c r="C1058" s="107">
        <v>713</v>
      </c>
      <c r="D1058" s="107"/>
      <c r="E1058" s="107"/>
      <c r="F1058" s="107"/>
      <c r="L1058" s="107"/>
      <c r="M1058" s="107"/>
    </row>
    <row r="1059" spans="1:13" x14ac:dyDescent="0.2">
      <c r="A1059" s="141" t="s">
        <v>2338</v>
      </c>
      <c r="B1059" s="107">
        <v>38183</v>
      </c>
      <c r="C1059" s="107">
        <v>670</v>
      </c>
      <c r="D1059" s="107"/>
      <c r="E1059" s="107"/>
      <c r="F1059" s="107"/>
      <c r="G1059" s="107"/>
      <c r="M1059" s="107"/>
    </row>
    <row r="1060" spans="1:13" x14ac:dyDescent="0.2">
      <c r="A1060" s="141" t="s">
        <v>1812</v>
      </c>
      <c r="B1060" s="107">
        <v>39994</v>
      </c>
      <c r="C1060" s="107">
        <v>229</v>
      </c>
      <c r="D1060" s="107"/>
      <c r="E1060" s="107"/>
      <c r="F1060" s="107"/>
      <c r="G1060" s="107"/>
      <c r="J1060" s="107"/>
      <c r="K1060" s="107"/>
      <c r="L1060" s="107"/>
      <c r="M1060" s="107"/>
    </row>
    <row r="1061" spans="1:13" ht="16" thickBot="1" x14ac:dyDescent="0.25">
      <c r="A1061" s="141" t="s">
        <v>2341</v>
      </c>
      <c r="B1061" s="187">
        <v>25298</v>
      </c>
      <c r="C1061" s="187"/>
      <c r="D1061" s="107">
        <v>1766916</v>
      </c>
      <c r="E1061" s="107">
        <v>667</v>
      </c>
      <c r="F1061" s="107"/>
      <c r="M1061" s="107"/>
    </row>
    <row r="1062" spans="1:13" x14ac:dyDescent="0.2">
      <c r="A1062" s="141"/>
      <c r="B1062" s="145"/>
      <c r="C1062" s="145"/>
      <c r="D1062" s="321">
        <f>+SUM(B1045:B1061)</f>
        <v>1766911</v>
      </c>
      <c r="E1062" s="321">
        <f>+SUM(C1045:C1061)</f>
        <v>5667</v>
      </c>
      <c r="F1062" s="107"/>
      <c r="G1062" s="107"/>
      <c r="M1062" s="107"/>
    </row>
    <row r="1063" spans="1:13" ht="16" x14ac:dyDescent="0.2">
      <c r="A1063" s="704" t="s">
        <v>2342</v>
      </c>
      <c r="B1063" s="704"/>
      <c r="C1063" s="704"/>
      <c r="D1063" s="704"/>
      <c r="E1063" s="704"/>
    </row>
    <row r="1064" spans="1:13" x14ac:dyDescent="0.2">
      <c r="A1064" s="141" t="s">
        <v>1816</v>
      </c>
      <c r="B1064" s="107">
        <v>235754</v>
      </c>
      <c r="C1064" s="107">
        <v>875</v>
      </c>
      <c r="D1064" s="107"/>
      <c r="E1064" s="107"/>
    </row>
    <row r="1065" spans="1:13" x14ac:dyDescent="0.2">
      <c r="A1065" s="141" t="s">
        <v>1569</v>
      </c>
      <c r="B1065" s="107">
        <v>386890</v>
      </c>
      <c r="C1065" s="107">
        <v>400</v>
      </c>
      <c r="D1065" s="107"/>
      <c r="E1065" s="107"/>
    </row>
    <row r="1066" spans="1:13" x14ac:dyDescent="0.2">
      <c r="A1066" s="141" t="s">
        <v>1175</v>
      </c>
      <c r="B1066" s="107">
        <v>63670</v>
      </c>
      <c r="C1066" s="107">
        <v>609</v>
      </c>
      <c r="D1066" s="107"/>
      <c r="E1066" s="107"/>
    </row>
    <row r="1067" spans="1:13" x14ac:dyDescent="0.2">
      <c r="A1067" s="141" t="s">
        <v>1813</v>
      </c>
      <c r="B1067" s="107">
        <v>18131</v>
      </c>
      <c r="C1067" s="107">
        <v>504</v>
      </c>
      <c r="D1067" s="107"/>
      <c r="E1067" s="107"/>
    </row>
    <row r="1068" spans="1:13" x14ac:dyDescent="0.2">
      <c r="A1068" s="141" t="s">
        <v>1401</v>
      </c>
      <c r="B1068" s="107">
        <v>79548</v>
      </c>
      <c r="C1068" s="107">
        <v>328</v>
      </c>
      <c r="D1068" s="107"/>
      <c r="E1068" s="107"/>
    </row>
    <row r="1069" spans="1:13" x14ac:dyDescent="0.2">
      <c r="A1069" s="141" t="s">
        <v>1808</v>
      </c>
      <c r="B1069" s="107">
        <v>16463</v>
      </c>
      <c r="C1069" s="107">
        <v>435</v>
      </c>
      <c r="D1069" s="107"/>
      <c r="E1069" s="107"/>
    </row>
    <row r="1070" spans="1:13" x14ac:dyDescent="0.2">
      <c r="A1070" s="141" t="s">
        <v>1807</v>
      </c>
      <c r="B1070" s="107">
        <v>14316</v>
      </c>
      <c r="C1070" s="107">
        <v>825</v>
      </c>
      <c r="D1070" s="107"/>
      <c r="E1070" s="107"/>
    </row>
    <row r="1071" spans="1:13" x14ac:dyDescent="0.2">
      <c r="A1071" s="141" t="s">
        <v>1809</v>
      </c>
      <c r="B1071" s="107">
        <v>14510</v>
      </c>
      <c r="C1071" s="107">
        <v>21</v>
      </c>
      <c r="D1071" s="107"/>
      <c r="E1071" s="107"/>
      <c r="F1071" s="107"/>
      <c r="G1071" s="107"/>
      <c r="H1071" s="107"/>
      <c r="I1071" s="107"/>
      <c r="K1071" s="107"/>
      <c r="L1071" s="107"/>
      <c r="M1071" s="107"/>
    </row>
    <row r="1072" spans="1:13" x14ac:dyDescent="0.2">
      <c r="A1072" s="141" t="s">
        <v>1814</v>
      </c>
      <c r="B1072" s="107">
        <v>4473</v>
      </c>
      <c r="C1072" s="107">
        <v>320</v>
      </c>
      <c r="D1072" s="107"/>
      <c r="E1072" s="107"/>
      <c r="F1072" s="107"/>
      <c r="G1072" s="107"/>
      <c r="H1072" s="107"/>
      <c r="I1072" s="107"/>
      <c r="K1072" s="107"/>
      <c r="L1072" s="107"/>
      <c r="M1072" s="107"/>
    </row>
    <row r="1073" spans="1:13" x14ac:dyDescent="0.2">
      <c r="A1073" s="141" t="s">
        <v>1174</v>
      </c>
      <c r="B1073" s="107">
        <v>1054775</v>
      </c>
      <c r="C1073" s="107">
        <v>409</v>
      </c>
      <c r="D1073" s="107"/>
      <c r="E1073" s="107"/>
      <c r="F1073" s="107"/>
      <c r="G1073" s="107"/>
      <c r="H1073" s="107"/>
      <c r="I1073" s="107"/>
      <c r="K1073" s="107"/>
      <c r="L1073" s="107"/>
      <c r="M1073" s="107"/>
    </row>
    <row r="1074" spans="1:13" x14ac:dyDescent="0.2">
      <c r="A1074" s="141" t="s">
        <v>1811</v>
      </c>
      <c r="B1074" s="107">
        <v>242</v>
      </c>
      <c r="C1074" s="107"/>
      <c r="D1074" s="107"/>
      <c r="E1074" s="107"/>
      <c r="F1074" s="107"/>
      <c r="G1074" s="107"/>
      <c r="H1074" s="107"/>
      <c r="I1074" s="107"/>
      <c r="K1074" s="107"/>
      <c r="L1074" s="107"/>
      <c r="M1074" s="107"/>
    </row>
    <row r="1075" spans="1:13" x14ac:dyDescent="0.2">
      <c r="A1075" s="141" t="s">
        <v>2015</v>
      </c>
      <c r="B1075" s="107">
        <v>11388</v>
      </c>
      <c r="C1075" s="107">
        <v>900</v>
      </c>
      <c r="D1075" s="107"/>
      <c r="E1075" s="107"/>
      <c r="F1075" s="107"/>
      <c r="G1075" s="107"/>
      <c r="H1075" s="107"/>
      <c r="I1075" s="107"/>
      <c r="K1075" s="107"/>
      <c r="L1075" s="107"/>
      <c r="M1075" s="107"/>
    </row>
    <row r="1076" spans="1:13" x14ac:dyDescent="0.2">
      <c r="A1076" s="141" t="s">
        <v>1818</v>
      </c>
      <c r="B1076" s="107">
        <v>3459</v>
      </c>
      <c r="C1076" s="107">
        <v>898</v>
      </c>
      <c r="D1076" s="107"/>
      <c r="E1076" s="107"/>
      <c r="F1076" s="107"/>
      <c r="G1076" s="107"/>
      <c r="H1076" s="107"/>
      <c r="I1076" s="107"/>
      <c r="K1076" s="107"/>
      <c r="L1076" s="107"/>
      <c r="M1076" s="107"/>
    </row>
    <row r="1077" spans="1:13" x14ac:dyDescent="0.2">
      <c r="A1077" s="141" t="s">
        <v>1400</v>
      </c>
      <c r="B1077" s="107">
        <v>395</v>
      </c>
      <c r="C1077" s="107">
        <v>390</v>
      </c>
      <c r="D1077" s="107"/>
      <c r="E1077" s="107"/>
      <c r="F1077" s="107"/>
      <c r="G1077" s="107"/>
      <c r="H1077" s="107"/>
      <c r="I1077" s="107"/>
      <c r="K1077" s="107"/>
      <c r="L1077" s="107"/>
      <c r="M1077" s="107"/>
    </row>
    <row r="1078" spans="1:13" x14ac:dyDescent="0.2">
      <c r="A1078" s="141" t="s">
        <v>2341</v>
      </c>
      <c r="B1078" s="107">
        <v>173800</v>
      </c>
      <c r="C1078" s="107">
        <v>310</v>
      </c>
      <c r="D1078" s="107"/>
      <c r="E1078" s="107"/>
      <c r="F1078" s="107"/>
      <c r="G1078" s="107"/>
      <c r="H1078" s="107"/>
      <c r="I1078" s="107"/>
      <c r="K1078" s="107"/>
      <c r="L1078" s="107"/>
      <c r="M1078" s="107"/>
    </row>
    <row r="1079" spans="1:13" x14ac:dyDescent="0.2">
      <c r="A1079" s="141" t="s">
        <v>1812</v>
      </c>
      <c r="B1079" s="107">
        <v>5097</v>
      </c>
      <c r="C1079" s="107">
        <v>374</v>
      </c>
      <c r="D1079" s="107"/>
      <c r="E1079" s="107"/>
      <c r="F1079" s="107"/>
      <c r="G1079" s="107"/>
      <c r="H1079" s="107"/>
      <c r="I1079" s="107"/>
      <c r="K1079" s="107"/>
      <c r="L1079" s="107"/>
      <c r="M1079" s="107"/>
    </row>
    <row r="1080" spans="1:13" x14ac:dyDescent="0.2">
      <c r="A1080" s="141" t="s">
        <v>2338</v>
      </c>
      <c r="B1080" s="107">
        <v>40043</v>
      </c>
      <c r="C1080" s="107">
        <v>132</v>
      </c>
      <c r="D1080" s="107"/>
      <c r="E1080" s="107"/>
      <c r="F1080" s="107"/>
      <c r="G1080" s="107"/>
      <c r="H1080" s="107"/>
      <c r="I1080" s="107"/>
      <c r="K1080" s="107"/>
      <c r="L1080" s="107"/>
      <c r="M1080" s="107"/>
    </row>
    <row r="1081" spans="1:13" ht="16" thickBot="1" x14ac:dyDescent="0.25">
      <c r="A1081" s="141" t="s">
        <v>1817</v>
      </c>
      <c r="B1081" s="187">
        <v>523</v>
      </c>
      <c r="C1081" s="187">
        <v>975</v>
      </c>
      <c r="D1081" s="107">
        <v>2123485</v>
      </c>
      <c r="E1081" s="107">
        <v>705</v>
      </c>
      <c r="F1081" s="107"/>
      <c r="G1081" s="107"/>
      <c r="H1081" s="107"/>
      <c r="I1081" s="107"/>
      <c r="K1081" s="107"/>
      <c r="L1081" s="107"/>
      <c r="M1081" s="107"/>
    </row>
    <row r="1082" spans="1:13" x14ac:dyDescent="0.2">
      <c r="A1082" s="141"/>
      <c r="B1082" s="145"/>
      <c r="C1082" s="145"/>
      <c r="D1082" s="321">
        <f>+SUM(B1064:B1081)</f>
        <v>2123477</v>
      </c>
      <c r="E1082" s="321">
        <f>+SUM(C1064:C1081)</f>
        <v>8705</v>
      </c>
      <c r="F1082" s="107"/>
      <c r="G1082" s="107"/>
      <c r="H1082" s="107"/>
      <c r="I1082" s="107"/>
      <c r="J1082" s="107"/>
      <c r="K1082" s="107"/>
      <c r="L1082" s="107"/>
      <c r="M1082" s="107"/>
    </row>
    <row r="1083" spans="1:13" ht="16" x14ac:dyDescent="0.2">
      <c r="A1083" s="704" t="s">
        <v>2343</v>
      </c>
      <c r="B1083" s="704"/>
      <c r="C1083" s="704"/>
      <c r="D1083" s="704"/>
      <c r="E1083" s="704"/>
      <c r="F1083" s="107"/>
      <c r="G1083" s="107"/>
      <c r="H1083" s="107"/>
      <c r="I1083" s="107"/>
      <c r="J1083" s="107"/>
      <c r="K1083" s="107"/>
      <c r="L1083" s="107"/>
      <c r="M1083" s="107"/>
    </row>
    <row r="1084" spans="1:13" x14ac:dyDescent="0.2">
      <c r="A1084" s="141" t="s">
        <v>1174</v>
      </c>
      <c r="B1084" s="107">
        <v>947673</v>
      </c>
      <c r="C1084" s="107">
        <v>114</v>
      </c>
      <c r="D1084" s="107"/>
      <c r="E1084" s="107"/>
      <c r="F1084" s="107"/>
      <c r="G1084" s="107"/>
      <c r="K1084" s="107"/>
      <c r="L1084" s="107"/>
      <c r="M1084" s="107"/>
    </row>
    <row r="1085" spans="1:13" x14ac:dyDescent="0.2">
      <c r="A1085" s="141" t="s">
        <v>1175</v>
      </c>
      <c r="B1085" s="107">
        <v>53714</v>
      </c>
      <c r="C1085" s="107">
        <v>38</v>
      </c>
      <c r="D1085" s="107"/>
      <c r="E1085" s="107"/>
      <c r="F1085" s="107"/>
      <c r="G1085" s="107"/>
      <c r="K1085" s="107"/>
      <c r="L1085" s="107"/>
      <c r="M1085" s="107"/>
    </row>
    <row r="1086" spans="1:13" x14ac:dyDescent="0.2">
      <c r="A1086" s="141" t="s">
        <v>1569</v>
      </c>
      <c r="B1086" s="107">
        <v>253584</v>
      </c>
      <c r="C1086" s="107">
        <v>315</v>
      </c>
      <c r="D1086" s="107"/>
      <c r="E1086" s="107"/>
      <c r="F1086" s="107"/>
      <c r="G1086" s="107"/>
      <c r="K1086" s="107"/>
      <c r="L1086" s="107"/>
      <c r="M1086" s="107"/>
    </row>
    <row r="1087" spans="1:13" x14ac:dyDescent="0.2">
      <c r="A1087" s="141" t="s">
        <v>1813</v>
      </c>
      <c r="B1087" s="107">
        <v>6484</v>
      </c>
      <c r="C1087" s="107">
        <v>157</v>
      </c>
      <c r="D1087" s="107"/>
      <c r="E1087" s="107"/>
      <c r="F1087" s="107"/>
      <c r="G1087" s="107"/>
      <c r="K1087" s="107"/>
      <c r="L1087" s="107"/>
      <c r="M1087" s="107"/>
    </row>
    <row r="1088" spans="1:13" x14ac:dyDescent="0.2">
      <c r="A1088" s="141" t="s">
        <v>1401</v>
      </c>
      <c r="B1088" s="107">
        <v>65350</v>
      </c>
      <c r="C1088" s="107">
        <v>660</v>
      </c>
      <c r="D1088" s="107"/>
      <c r="E1088" s="107"/>
      <c r="F1088" s="107"/>
      <c r="G1088" s="107"/>
      <c r="K1088" s="107"/>
      <c r="L1088" s="107"/>
      <c r="M1088" s="107"/>
    </row>
    <row r="1089" spans="1:13" x14ac:dyDescent="0.2">
      <c r="A1089" s="141" t="s">
        <v>1808</v>
      </c>
      <c r="B1089" s="107">
        <v>57773</v>
      </c>
      <c r="C1089" s="107">
        <v>325</v>
      </c>
      <c r="D1089" s="107"/>
      <c r="E1089" s="107"/>
      <c r="F1089" s="107"/>
      <c r="G1089" s="107"/>
      <c r="K1089" s="107"/>
      <c r="L1089" s="107"/>
      <c r="M1089" s="107"/>
    </row>
    <row r="1090" spans="1:13" x14ac:dyDescent="0.2">
      <c r="A1090" s="141" t="s">
        <v>1807</v>
      </c>
      <c r="B1090" s="107">
        <v>12366</v>
      </c>
      <c r="C1090" s="107">
        <v>825</v>
      </c>
      <c r="D1090" s="107"/>
      <c r="E1090" s="107"/>
      <c r="F1090" s="107"/>
      <c r="G1090" s="107"/>
      <c r="K1090" s="107"/>
      <c r="L1090" s="107"/>
      <c r="M1090" s="107"/>
    </row>
    <row r="1091" spans="1:13" x14ac:dyDescent="0.2">
      <c r="A1091" s="141" t="s">
        <v>1809</v>
      </c>
      <c r="B1091" s="107">
        <v>21423</v>
      </c>
      <c r="C1091" s="107">
        <v>765</v>
      </c>
      <c r="D1091" s="107"/>
      <c r="E1091" s="107"/>
      <c r="F1091" s="107"/>
      <c r="G1091" s="107"/>
      <c r="K1091" s="107"/>
      <c r="L1091" s="107"/>
      <c r="M1091" s="107"/>
    </row>
    <row r="1092" spans="1:13" x14ac:dyDescent="0.2">
      <c r="A1092" s="141" t="s">
        <v>2020</v>
      </c>
      <c r="B1092" s="107">
        <v>7</v>
      </c>
      <c r="C1092" s="107">
        <v>45</v>
      </c>
      <c r="D1092" s="107"/>
      <c r="E1092" s="107"/>
      <c r="F1092" s="107"/>
      <c r="G1092" s="107"/>
      <c r="I1092" s="107"/>
      <c r="J1092" s="107"/>
      <c r="K1092" s="107"/>
      <c r="L1092" s="107"/>
      <c r="M1092" s="107"/>
    </row>
    <row r="1093" spans="1:13" x14ac:dyDescent="0.2">
      <c r="A1093" s="141" t="s">
        <v>1811</v>
      </c>
      <c r="B1093" s="107">
        <v>123</v>
      </c>
      <c r="C1093" s="107">
        <v>220</v>
      </c>
      <c r="D1093" s="107"/>
      <c r="E1093" s="107"/>
      <c r="F1093" s="107"/>
      <c r="G1093" s="107"/>
      <c r="I1093" s="107"/>
      <c r="J1093" s="107"/>
      <c r="K1093" s="107"/>
      <c r="L1093" s="107"/>
      <c r="M1093" s="107"/>
    </row>
    <row r="1094" spans="1:13" x14ac:dyDescent="0.2">
      <c r="A1094" s="141" t="s">
        <v>2015</v>
      </c>
      <c r="B1094" s="107">
        <v>1255</v>
      </c>
      <c r="C1094" s="107">
        <v>425</v>
      </c>
      <c r="D1094" s="107"/>
      <c r="E1094" s="107"/>
      <c r="F1094" s="107"/>
      <c r="G1094" s="107"/>
      <c r="J1094" s="107"/>
      <c r="K1094" s="107"/>
      <c r="L1094" s="107"/>
      <c r="M1094" s="107"/>
    </row>
    <row r="1095" spans="1:13" x14ac:dyDescent="0.2">
      <c r="A1095" s="141" t="s">
        <v>1818</v>
      </c>
      <c r="B1095" s="107">
        <v>2541</v>
      </c>
      <c r="C1095" s="107">
        <v>600</v>
      </c>
      <c r="D1095" s="107"/>
      <c r="E1095" s="107"/>
      <c r="F1095" s="107"/>
      <c r="G1095" s="107"/>
      <c r="I1095" s="107"/>
      <c r="J1095" s="107"/>
      <c r="K1095" s="107"/>
      <c r="L1095" s="107"/>
      <c r="M1095" s="107"/>
    </row>
    <row r="1096" spans="1:13" x14ac:dyDescent="0.2">
      <c r="A1096" s="141" t="s">
        <v>1400</v>
      </c>
      <c r="B1096" s="107">
        <v>63</v>
      </c>
      <c r="C1096" s="107">
        <v>800</v>
      </c>
      <c r="D1096" s="107"/>
      <c r="E1096" s="107"/>
      <c r="F1096" s="107"/>
      <c r="G1096" s="107"/>
      <c r="I1096" s="107"/>
      <c r="J1096" s="107"/>
      <c r="K1096" s="107"/>
      <c r="L1096" s="107"/>
      <c r="M1096" s="107"/>
    </row>
    <row r="1097" spans="1:13" x14ac:dyDescent="0.2">
      <c r="A1097" s="141" t="s">
        <v>1816</v>
      </c>
      <c r="B1097" s="107">
        <v>104302</v>
      </c>
      <c r="C1097" s="107">
        <v>710</v>
      </c>
      <c r="D1097" s="107"/>
      <c r="E1097" s="107"/>
      <c r="F1097" s="107"/>
      <c r="G1097" s="107"/>
      <c r="J1097" s="107"/>
      <c r="K1097" s="107"/>
      <c r="L1097" s="107"/>
      <c r="M1097" s="107"/>
    </row>
    <row r="1098" spans="1:13" x14ac:dyDescent="0.2">
      <c r="A1098" s="141" t="s">
        <v>2338</v>
      </c>
      <c r="B1098" s="107">
        <v>43203</v>
      </c>
      <c r="C1098" s="107">
        <v>100</v>
      </c>
      <c r="D1098" s="107"/>
      <c r="E1098" s="107"/>
      <c r="F1098" s="107"/>
      <c r="G1098" s="107"/>
      <c r="K1098" s="107"/>
      <c r="L1098" s="107"/>
      <c r="M1098" s="107"/>
    </row>
    <row r="1099" spans="1:13" x14ac:dyDescent="0.2">
      <c r="A1099" s="141" t="s">
        <v>1817</v>
      </c>
      <c r="B1099" s="107">
        <v>1419</v>
      </c>
      <c r="C1099" s="107">
        <v>75</v>
      </c>
      <c r="D1099" s="107"/>
      <c r="E1099" s="107"/>
      <c r="F1099" s="107"/>
      <c r="G1099" s="107"/>
      <c r="K1099" s="107"/>
      <c r="L1099" s="107"/>
      <c r="M1099" s="107"/>
    </row>
    <row r="1100" spans="1:13" x14ac:dyDescent="0.2">
      <c r="A1100" s="141" t="s">
        <v>2344</v>
      </c>
      <c r="B1100" s="107">
        <v>204000</v>
      </c>
      <c r="C1100" s="107"/>
      <c r="D1100" s="107"/>
      <c r="E1100" s="107"/>
      <c r="F1100" s="107"/>
      <c r="G1100" s="107"/>
      <c r="J1100" s="107"/>
      <c r="K1100" s="107"/>
      <c r="L1100" s="107"/>
      <c r="M1100" s="107"/>
    </row>
    <row r="1101" spans="1:13" ht="16" thickBot="1" x14ac:dyDescent="0.25">
      <c r="A1101" s="141" t="s">
        <v>1812</v>
      </c>
      <c r="B1101" s="187">
        <v>15539</v>
      </c>
      <c r="C1101" s="187">
        <v>965</v>
      </c>
      <c r="D1101" s="107">
        <v>1790926</v>
      </c>
      <c r="E1101" s="107">
        <v>139</v>
      </c>
      <c r="F1101" s="107"/>
      <c r="G1101" s="107"/>
      <c r="K1101" s="107"/>
      <c r="L1101" s="107"/>
      <c r="M1101" s="107"/>
    </row>
    <row r="1102" spans="1:13" x14ac:dyDescent="0.2">
      <c r="A1102" s="141"/>
      <c r="B1102" s="145"/>
      <c r="C1102" s="145"/>
      <c r="D1102" s="705">
        <f>+SUM(B1084:B1101)</f>
        <v>1790819</v>
      </c>
      <c r="E1102" s="705">
        <f>+SUM(C1084:C1101)</f>
        <v>7139</v>
      </c>
      <c r="F1102" s="107"/>
      <c r="G1102" s="107"/>
      <c r="H1102" s="107"/>
      <c r="J1102" s="107"/>
      <c r="K1102" s="107"/>
      <c r="L1102" s="107"/>
      <c r="M1102" s="107"/>
    </row>
    <row r="1103" spans="1:13" ht="16" x14ac:dyDescent="0.2">
      <c r="A1103" s="704" t="s">
        <v>2345</v>
      </c>
      <c r="B1103" s="704"/>
      <c r="C1103" s="704"/>
      <c r="D1103" s="704"/>
      <c r="E1103" s="704"/>
      <c r="F1103" s="107"/>
      <c r="G1103" s="107"/>
      <c r="H1103" s="107"/>
      <c r="I1103" s="107"/>
      <c r="J1103" s="107"/>
      <c r="K1103" s="107"/>
      <c r="L1103" s="107"/>
      <c r="M1103" s="107"/>
    </row>
    <row r="1104" spans="1:13" x14ac:dyDescent="0.2">
      <c r="A1104" s="141" t="s">
        <v>1817</v>
      </c>
      <c r="B1104" s="107">
        <v>2310</v>
      </c>
      <c r="C1104" s="107">
        <v>190</v>
      </c>
      <c r="D1104" s="107"/>
      <c r="E1104" s="107"/>
      <c r="F1104" s="107"/>
      <c r="G1104" s="107"/>
      <c r="J1104" s="107"/>
      <c r="K1104" s="107"/>
      <c r="L1104" s="107"/>
      <c r="M1104" s="107"/>
    </row>
    <row r="1105" spans="1:13" x14ac:dyDescent="0.2">
      <c r="A1105" s="141" t="s">
        <v>1174</v>
      </c>
      <c r="B1105" s="107">
        <v>757894</v>
      </c>
      <c r="C1105" s="107">
        <v>745</v>
      </c>
      <c r="D1105" s="107"/>
      <c r="E1105" s="107"/>
      <c r="F1105" s="107"/>
      <c r="G1105" s="107"/>
      <c r="J1105" s="107"/>
      <c r="K1105" s="107"/>
      <c r="L1105" s="107"/>
      <c r="M1105" s="107"/>
    </row>
    <row r="1106" spans="1:13" x14ac:dyDescent="0.2">
      <c r="A1106" s="141" t="s">
        <v>1569</v>
      </c>
      <c r="B1106" s="107">
        <v>436185</v>
      </c>
      <c r="C1106" s="107">
        <v>300</v>
      </c>
      <c r="D1106" s="107"/>
      <c r="E1106" s="107"/>
      <c r="F1106" s="107"/>
      <c r="G1106" s="107"/>
      <c r="J1106" s="107"/>
      <c r="K1106" s="107"/>
      <c r="L1106" s="107"/>
      <c r="M1106" s="107"/>
    </row>
    <row r="1107" spans="1:13" x14ac:dyDescent="0.2">
      <c r="A1107" s="141" t="s">
        <v>1401</v>
      </c>
      <c r="B1107" s="107">
        <v>66872</v>
      </c>
      <c r="C1107" s="107">
        <v>795</v>
      </c>
      <c r="D1107" s="107"/>
      <c r="E1107" s="107"/>
      <c r="F1107" s="107"/>
      <c r="G1107" s="107"/>
      <c r="J1107" s="107"/>
      <c r="K1107" s="107"/>
      <c r="L1107" s="107"/>
      <c r="M1107" s="107"/>
    </row>
    <row r="1108" spans="1:13" x14ac:dyDescent="0.2">
      <c r="A1108" s="141" t="s">
        <v>1175</v>
      </c>
      <c r="B1108" s="107">
        <v>49957</v>
      </c>
      <c r="C1108" s="107">
        <v>590</v>
      </c>
      <c r="D1108" s="107"/>
      <c r="E1108" s="107"/>
      <c r="F1108" s="107"/>
      <c r="G1108" s="107"/>
      <c r="J1108" s="107"/>
      <c r="K1108" s="107"/>
      <c r="L1108" s="107"/>
      <c r="M1108" s="107"/>
    </row>
    <row r="1109" spans="1:13" x14ac:dyDescent="0.2">
      <c r="A1109" s="141" t="s">
        <v>1573</v>
      </c>
      <c r="B1109" s="107">
        <v>14412</v>
      </c>
      <c r="C1109" s="107">
        <v>58</v>
      </c>
      <c r="D1109" s="107"/>
      <c r="E1109" s="107"/>
      <c r="F1109" s="107"/>
      <c r="G1109" s="107"/>
      <c r="J1109" s="107"/>
      <c r="K1109" s="107"/>
      <c r="L1109" s="107"/>
      <c r="M1109" s="107"/>
    </row>
    <row r="1110" spans="1:13" x14ac:dyDescent="0.2">
      <c r="A1110" s="141" t="s">
        <v>1808</v>
      </c>
      <c r="B1110" s="107">
        <v>30528</v>
      </c>
      <c r="C1110" s="107">
        <v>145</v>
      </c>
      <c r="D1110" s="107"/>
      <c r="E1110" s="107"/>
      <c r="F1110" s="107"/>
      <c r="G1110" s="107"/>
      <c r="J1110" s="107"/>
      <c r="K1110" s="107"/>
      <c r="L1110" s="107"/>
      <c r="M1110" s="107"/>
    </row>
    <row r="1111" spans="1:13" x14ac:dyDescent="0.2">
      <c r="A1111" s="141" t="s">
        <v>2346</v>
      </c>
      <c r="B1111" s="107">
        <v>11083</v>
      </c>
      <c r="C1111" s="107">
        <v>275</v>
      </c>
      <c r="D1111" s="107"/>
      <c r="E1111" s="107"/>
      <c r="F1111" s="107"/>
      <c r="G1111" s="107"/>
      <c r="J1111" s="107"/>
      <c r="K1111" s="107"/>
      <c r="L1111" s="107"/>
      <c r="M1111" s="107"/>
    </row>
    <row r="1112" spans="1:13" x14ac:dyDescent="0.2">
      <c r="A1112" s="141" t="s">
        <v>1816</v>
      </c>
      <c r="B1112" s="107">
        <v>131226</v>
      </c>
      <c r="C1112" s="107">
        <v>815</v>
      </c>
      <c r="D1112" s="107"/>
      <c r="E1112" s="107"/>
      <c r="F1112" s="107"/>
      <c r="G1112" s="107"/>
      <c r="I1112" s="107"/>
      <c r="J1112" s="107"/>
      <c r="K1112" s="107"/>
      <c r="L1112" s="107"/>
      <c r="M1112" s="107"/>
    </row>
    <row r="1113" spans="1:13" x14ac:dyDescent="0.2">
      <c r="A1113" s="141" t="s">
        <v>2344</v>
      </c>
      <c r="B1113" s="107">
        <v>84852</v>
      </c>
      <c r="C1113" s="107">
        <v>250</v>
      </c>
      <c r="D1113" s="107"/>
      <c r="E1113" s="107"/>
      <c r="F1113" s="107"/>
      <c r="G1113" s="107"/>
      <c r="I1113" s="107"/>
      <c r="J1113" s="107"/>
      <c r="K1113" s="107"/>
      <c r="L1113" s="107"/>
      <c r="M1113" s="107"/>
    </row>
    <row r="1114" spans="1:13" x14ac:dyDescent="0.2">
      <c r="A1114" s="141" t="s">
        <v>2347</v>
      </c>
      <c r="B1114" s="107">
        <v>1711147</v>
      </c>
      <c r="C1114" s="107">
        <v>750</v>
      </c>
      <c r="D1114" s="107"/>
      <c r="E1114" s="107"/>
      <c r="F1114" s="107"/>
      <c r="G1114" s="107"/>
      <c r="H1114" s="107"/>
      <c r="I1114" s="107"/>
      <c r="J1114" s="107"/>
      <c r="K1114" s="107"/>
      <c r="L1114" s="107"/>
      <c r="M1114" s="107"/>
    </row>
    <row r="1115" spans="1:13" x14ac:dyDescent="0.2">
      <c r="A1115" s="141" t="s">
        <v>1812</v>
      </c>
      <c r="B1115" s="107">
        <v>20725</v>
      </c>
      <c r="C1115" s="107">
        <v>165</v>
      </c>
      <c r="D1115" s="107"/>
      <c r="E1115" s="107"/>
      <c r="F1115" s="107"/>
      <c r="G1115" s="107"/>
      <c r="J1115" s="107"/>
      <c r="K1115" s="107"/>
      <c r="L1115" s="107"/>
      <c r="M1115" s="107"/>
    </row>
    <row r="1116" spans="1:13" x14ac:dyDescent="0.2">
      <c r="A1116" s="141" t="s">
        <v>2348</v>
      </c>
      <c r="B1116" s="107">
        <v>556</v>
      </c>
      <c r="C1116" s="107">
        <v>950</v>
      </c>
      <c r="D1116" s="107"/>
      <c r="E1116" s="107"/>
      <c r="F1116" s="107"/>
      <c r="G1116" s="107"/>
      <c r="I1116" s="107"/>
      <c r="J1116" s="107"/>
      <c r="K1116" s="107"/>
      <c r="L1116" s="107"/>
      <c r="M1116" s="107"/>
    </row>
    <row r="1117" spans="1:13" x14ac:dyDescent="0.2">
      <c r="A1117" s="141" t="s">
        <v>1807</v>
      </c>
      <c r="B1117" s="107">
        <v>12319</v>
      </c>
      <c r="C1117" s="107">
        <v>525</v>
      </c>
      <c r="D1117" s="107"/>
      <c r="E1117" s="107"/>
      <c r="F1117" s="107"/>
      <c r="G1117" s="107"/>
      <c r="J1117" s="107"/>
      <c r="K1117" s="107"/>
      <c r="L1117" s="107"/>
      <c r="M1117" s="107"/>
    </row>
    <row r="1118" spans="1:13" ht="16" thickBot="1" x14ac:dyDescent="0.25">
      <c r="A1118" s="141" t="s">
        <v>2338</v>
      </c>
      <c r="B1118" s="187">
        <v>47151</v>
      </c>
      <c r="C1118" s="187">
        <v>125</v>
      </c>
      <c r="D1118" s="107">
        <v>3377223</v>
      </c>
      <c r="E1118" s="107">
        <v>673</v>
      </c>
      <c r="F1118" s="107"/>
      <c r="G1118" s="107"/>
      <c r="J1118" s="107"/>
      <c r="K1118" s="107"/>
      <c r="L1118" s="107"/>
      <c r="M1118" s="107"/>
    </row>
    <row r="1119" spans="1:13" x14ac:dyDescent="0.2">
      <c r="A1119" s="141"/>
      <c r="B1119" s="145"/>
      <c r="C1119" s="145"/>
      <c r="D1119" s="321">
        <f>+SUM(B1104:B1118)</f>
        <v>3377217</v>
      </c>
      <c r="E1119" s="705">
        <f>+SUM(C1104:C1118)</f>
        <v>6678</v>
      </c>
      <c r="F1119" s="107"/>
      <c r="J1119" s="107"/>
      <c r="K1119" s="107"/>
      <c r="L1119" s="107"/>
      <c r="M1119" s="107"/>
    </row>
    <row r="1120" spans="1:13" ht="16" x14ac:dyDescent="0.2">
      <c r="A1120" s="704" t="s">
        <v>2349</v>
      </c>
      <c r="B1120" s="704"/>
      <c r="C1120" s="704"/>
      <c r="D1120" s="704"/>
      <c r="E1120" s="704"/>
      <c r="F1120" s="107"/>
      <c r="G1120" s="107"/>
      <c r="H1120" s="107"/>
      <c r="I1120" s="107"/>
      <c r="J1120" s="107"/>
      <c r="K1120" s="107"/>
      <c r="L1120" s="107"/>
      <c r="M1120" s="107"/>
    </row>
    <row r="1121" spans="1:13" x14ac:dyDescent="0.2">
      <c r="A1121" s="141" t="s">
        <v>1174</v>
      </c>
      <c r="B1121" s="107">
        <v>1097611</v>
      </c>
      <c r="C1121" s="107">
        <v>255</v>
      </c>
      <c r="D1121" s="107"/>
      <c r="E1121" s="107"/>
      <c r="F1121" s="107"/>
      <c r="G1121" s="107"/>
      <c r="I1121" s="107"/>
      <c r="J1121" s="107"/>
      <c r="K1121" s="107"/>
      <c r="L1121" s="107"/>
      <c r="M1121" s="107"/>
    </row>
    <row r="1122" spans="1:13" x14ac:dyDescent="0.2">
      <c r="A1122" s="141" t="s">
        <v>1573</v>
      </c>
      <c r="B1122" s="107">
        <v>14825</v>
      </c>
      <c r="C1122" s="107">
        <v>401</v>
      </c>
      <c r="D1122" s="107"/>
      <c r="E1122" s="107"/>
      <c r="F1122" s="107"/>
      <c r="G1122" s="107"/>
      <c r="I1122" s="107"/>
      <c r="J1122" s="107"/>
      <c r="K1122" s="107"/>
      <c r="L1122" s="107"/>
      <c r="M1122" s="107"/>
    </row>
    <row r="1123" spans="1:13" x14ac:dyDescent="0.2">
      <c r="A1123" s="141" t="s">
        <v>1808</v>
      </c>
      <c r="B1123" s="107">
        <v>45813</v>
      </c>
      <c r="C1123" s="107">
        <v>430</v>
      </c>
      <c r="D1123" s="107"/>
      <c r="E1123" s="107"/>
      <c r="F1123" s="107"/>
      <c r="G1123" s="107"/>
      <c r="I1123" s="107"/>
      <c r="J1123" s="107"/>
      <c r="K1123" s="107"/>
      <c r="L1123" s="107"/>
      <c r="M1123" s="107"/>
    </row>
    <row r="1124" spans="1:13" x14ac:dyDescent="0.2">
      <c r="A1124" s="141" t="s">
        <v>2346</v>
      </c>
      <c r="B1124" s="107">
        <v>10380</v>
      </c>
      <c r="C1124" s="107">
        <v>60</v>
      </c>
      <c r="D1124" s="107"/>
      <c r="E1124" s="107"/>
      <c r="F1124" s="107"/>
      <c r="G1124" s="107"/>
      <c r="I1124" s="107"/>
      <c r="J1124" s="107"/>
      <c r="K1124" s="107"/>
      <c r="L1124" s="107"/>
      <c r="M1124" s="107"/>
    </row>
    <row r="1125" spans="1:13" x14ac:dyDescent="0.2">
      <c r="A1125" s="141" t="s">
        <v>1175</v>
      </c>
      <c r="B1125" s="107">
        <v>60103</v>
      </c>
      <c r="C1125" s="107">
        <v>315</v>
      </c>
      <c r="D1125" s="393">
        <f>+B1125+B1135</f>
        <v>60639</v>
      </c>
      <c r="E1125" s="393">
        <f>+C1125+C1135</f>
        <v>1040</v>
      </c>
      <c r="F1125" s="107"/>
      <c r="G1125" s="107"/>
      <c r="I1125" s="107"/>
      <c r="J1125" s="107"/>
      <c r="K1125" s="107"/>
      <c r="L1125" s="107"/>
      <c r="M1125" s="107"/>
    </row>
    <row r="1126" spans="1:13" x14ac:dyDescent="0.2">
      <c r="A1126" s="141" t="s">
        <v>1401</v>
      </c>
      <c r="B1126" s="107">
        <v>58863</v>
      </c>
      <c r="C1126" s="107">
        <v>575</v>
      </c>
      <c r="D1126" s="393">
        <f>+B1126+B1136</f>
        <v>66088</v>
      </c>
      <c r="E1126" s="393">
        <f>+C1126+C1136</f>
        <v>790</v>
      </c>
      <c r="F1126" s="107"/>
      <c r="G1126" s="107"/>
      <c r="I1126" s="107"/>
      <c r="J1126" s="107"/>
      <c r="K1126" s="107"/>
      <c r="L1126" s="107"/>
      <c r="M1126" s="107"/>
    </row>
    <row r="1127" spans="1:13" x14ac:dyDescent="0.2">
      <c r="A1127" s="141" t="s">
        <v>1569</v>
      </c>
      <c r="B1127" s="107">
        <v>538235</v>
      </c>
      <c r="C1127" s="107">
        <v>475</v>
      </c>
      <c r="D1127" s="107"/>
      <c r="E1127" s="107"/>
      <c r="F1127" s="107"/>
      <c r="G1127" s="107"/>
      <c r="I1127" s="107"/>
      <c r="J1127" s="107"/>
      <c r="K1127" s="107"/>
      <c r="L1127" s="107"/>
      <c r="M1127" s="107"/>
    </row>
    <row r="1128" spans="1:13" x14ac:dyDescent="0.2">
      <c r="A1128" s="141" t="s">
        <v>2337</v>
      </c>
      <c r="B1128" s="107">
        <v>24247</v>
      </c>
      <c r="C1128" s="107">
        <v>725</v>
      </c>
      <c r="D1128" s="107"/>
      <c r="E1128" s="107"/>
      <c r="F1128" s="107"/>
      <c r="G1128" s="107"/>
      <c r="I1128" s="107"/>
      <c r="J1128" s="107"/>
      <c r="K1128" s="107"/>
      <c r="L1128" s="107"/>
      <c r="M1128" s="107"/>
    </row>
    <row r="1129" spans="1:13" x14ac:dyDescent="0.2">
      <c r="A1129" s="141" t="s">
        <v>1812</v>
      </c>
      <c r="B1129" s="107">
        <v>3774</v>
      </c>
      <c r="C1129" s="107">
        <v>875</v>
      </c>
      <c r="D1129" s="107"/>
      <c r="E1129" s="107"/>
      <c r="F1129" s="107"/>
      <c r="G1129" s="107"/>
      <c r="I1129" s="107"/>
      <c r="J1129" s="107"/>
      <c r="K1129" s="107"/>
      <c r="L1129" s="107"/>
      <c r="M1129" s="107"/>
    </row>
    <row r="1130" spans="1:13" x14ac:dyDescent="0.2">
      <c r="A1130" s="141" t="s">
        <v>2341</v>
      </c>
      <c r="B1130" s="107">
        <v>15838</v>
      </c>
      <c r="C1130" s="107">
        <v>880</v>
      </c>
      <c r="D1130" s="107"/>
      <c r="E1130" s="107"/>
      <c r="F1130" s="107"/>
      <c r="G1130" s="107"/>
      <c r="I1130" s="107"/>
      <c r="J1130" s="107"/>
      <c r="K1130" s="107"/>
      <c r="L1130" s="107"/>
      <c r="M1130" s="107"/>
    </row>
    <row r="1131" spans="1:13" x14ac:dyDescent="0.2">
      <c r="A1131" s="141" t="s">
        <v>1817</v>
      </c>
      <c r="B1131" s="107">
        <v>2392</v>
      </c>
      <c r="C1131" s="107">
        <v>955</v>
      </c>
      <c r="D1131" s="107"/>
      <c r="E1131" s="107"/>
      <c r="F1131" s="107"/>
      <c r="G1131" s="107"/>
      <c r="I1131" s="107"/>
      <c r="J1131" s="107"/>
      <c r="K1131" s="107"/>
      <c r="L1131" s="107"/>
      <c r="M1131" s="107"/>
    </row>
    <row r="1132" spans="1:13" ht="16" thickBot="1" x14ac:dyDescent="0.25">
      <c r="A1132" s="141" t="s">
        <v>2338</v>
      </c>
      <c r="B1132" s="187">
        <v>364</v>
      </c>
      <c r="C1132" s="187">
        <v>695</v>
      </c>
      <c r="D1132" s="187">
        <v>1872451</v>
      </c>
      <c r="E1132" s="187">
        <v>641</v>
      </c>
      <c r="F1132" s="107"/>
      <c r="G1132" s="107"/>
      <c r="I1132" s="107"/>
      <c r="J1132" s="107"/>
      <c r="K1132" s="107"/>
      <c r="L1132" s="107"/>
      <c r="M1132" s="107"/>
    </row>
    <row r="1133" spans="1:13" x14ac:dyDescent="0.2">
      <c r="A1133" s="141"/>
      <c r="B1133" s="145"/>
      <c r="C1133" s="145"/>
      <c r="D1133" s="138">
        <f>+SUM(B1121:B1132)</f>
        <v>1872445</v>
      </c>
      <c r="E1133" s="138">
        <f>+SUM(C1121:C1132)</f>
        <v>6641</v>
      </c>
      <c r="F1133" s="107"/>
      <c r="G1133" s="107"/>
      <c r="H1133" s="107"/>
      <c r="I1133" s="107"/>
      <c r="J1133" s="107"/>
      <c r="K1133" s="107"/>
      <c r="L1133" s="107"/>
      <c r="M1133" s="107"/>
    </row>
    <row r="1134" spans="1:13" ht="16" x14ac:dyDescent="0.2">
      <c r="A1134" s="706" t="s">
        <v>2350</v>
      </c>
      <c r="B1134" s="706"/>
      <c r="C1134" s="706"/>
      <c r="D1134" s="706"/>
      <c r="E1134" s="706"/>
      <c r="F1134" s="107"/>
      <c r="G1134" s="107"/>
      <c r="H1134" s="107"/>
      <c r="I1134" s="107"/>
      <c r="J1134" s="107"/>
      <c r="K1134" s="107"/>
      <c r="L1134" s="107"/>
      <c r="M1134" s="107"/>
    </row>
    <row r="1135" spans="1:13" x14ac:dyDescent="0.2">
      <c r="A1135" s="141" t="s">
        <v>1175</v>
      </c>
      <c r="B1135" s="107">
        <v>536</v>
      </c>
      <c r="C1135" s="107">
        <v>725</v>
      </c>
      <c r="D1135" s="107"/>
      <c r="E1135" s="107"/>
      <c r="F1135" s="107"/>
      <c r="G1135" s="107"/>
      <c r="H1135" s="107"/>
      <c r="I1135" s="107"/>
      <c r="J1135" s="107"/>
      <c r="K1135" s="107"/>
      <c r="L1135" s="107"/>
      <c r="M1135" s="107"/>
    </row>
    <row r="1136" spans="1:13" ht="16" thickBot="1" x14ac:dyDescent="0.25">
      <c r="A1136" s="141" t="s">
        <v>1401</v>
      </c>
      <c r="B1136" s="187">
        <v>7225</v>
      </c>
      <c r="C1136" s="187">
        <v>215</v>
      </c>
      <c r="D1136" s="187">
        <v>7761</v>
      </c>
      <c r="E1136" s="187">
        <v>940</v>
      </c>
      <c r="F1136" s="107"/>
      <c r="G1136" s="107"/>
      <c r="H1136" s="107"/>
      <c r="I1136" s="107"/>
      <c r="J1136" s="107"/>
      <c r="K1136" s="107"/>
      <c r="L1136" s="107"/>
      <c r="M1136" s="107"/>
    </row>
    <row r="1137" spans="1:13" ht="16" thickBot="1" x14ac:dyDescent="0.25">
      <c r="A1137" s="141"/>
      <c r="B1137" s="145"/>
      <c r="C1137" s="145"/>
      <c r="D1137" s="187">
        <f>+D1133+D1136</f>
        <v>1880206</v>
      </c>
      <c r="E1137" s="187">
        <f>+E1133+E1136</f>
        <v>7581</v>
      </c>
      <c r="F1137" s="107"/>
      <c r="G1137" s="107"/>
      <c r="H1137" s="107"/>
      <c r="I1137" s="107"/>
      <c r="J1137" s="107"/>
      <c r="K1137" s="107"/>
      <c r="L1137" s="107"/>
      <c r="M1137" s="107"/>
    </row>
    <row r="1138" spans="1:13" ht="27" customHeight="1" thickBot="1" x14ac:dyDescent="0.25">
      <c r="A1138" s="685" t="s">
        <v>2351</v>
      </c>
      <c r="B1138" s="685"/>
      <c r="C1138" s="685"/>
      <c r="D1138" s="448">
        <v>12742037</v>
      </c>
      <c r="E1138" s="448">
        <v>918</v>
      </c>
      <c r="F1138" s="107"/>
      <c r="G1138" s="107"/>
      <c r="H1138" s="107"/>
      <c r="I1138" s="107"/>
      <c r="J1138" s="107"/>
      <c r="K1138" s="107"/>
      <c r="L1138" s="107"/>
      <c r="M1138" s="107"/>
    </row>
    <row r="1139" spans="1:13" ht="30" customHeight="1" x14ac:dyDescent="0.2">
      <c r="A1139" s="688" t="s">
        <v>2037</v>
      </c>
      <c r="B1139" s="688"/>
      <c r="C1139" s="688"/>
      <c r="D1139" s="688"/>
      <c r="E1139" s="688"/>
      <c r="F1139" s="107"/>
      <c r="G1139" s="107"/>
      <c r="H1139" s="107"/>
      <c r="I1139" s="107"/>
      <c r="J1139" s="107"/>
      <c r="K1139" s="107"/>
      <c r="L1139" s="107"/>
      <c r="M1139" s="107"/>
    </row>
    <row r="1140" spans="1:13" ht="16" x14ac:dyDescent="0.2">
      <c r="A1140" s="704" t="s">
        <v>2352</v>
      </c>
      <c r="B1140" s="704"/>
      <c r="C1140" s="704"/>
      <c r="D1140" s="704"/>
      <c r="E1140" s="704"/>
      <c r="F1140" s="107"/>
      <c r="G1140" s="107"/>
      <c r="H1140" s="107"/>
      <c r="I1140" s="107"/>
      <c r="J1140" s="107"/>
      <c r="K1140" s="107"/>
      <c r="L1140" s="107"/>
      <c r="M1140" s="107"/>
    </row>
    <row r="1141" spans="1:13" x14ac:dyDescent="0.2">
      <c r="A1141" s="141" t="s">
        <v>2040</v>
      </c>
      <c r="B1141" s="107">
        <v>370049</v>
      </c>
      <c r="C1141" s="107">
        <v>315</v>
      </c>
      <c r="D1141" s="107"/>
      <c r="E1141" s="107"/>
      <c r="F1141" s="107"/>
      <c r="G1141" s="107"/>
      <c r="H1141" s="107"/>
      <c r="I1141" s="107"/>
      <c r="J1141" s="107"/>
      <c r="K1141" s="107"/>
      <c r="L1141" s="107"/>
      <c r="M1141" s="107"/>
    </row>
    <row r="1142" spans="1:13" x14ac:dyDescent="0.2">
      <c r="A1142" s="141" t="s">
        <v>2041</v>
      </c>
      <c r="B1142" s="107">
        <v>146835</v>
      </c>
      <c r="C1142" s="107">
        <v>283</v>
      </c>
      <c r="D1142" s="107"/>
      <c r="E1142" s="107"/>
      <c r="F1142" s="107"/>
      <c r="G1142" s="107"/>
      <c r="H1142" s="107"/>
      <c r="I1142" s="107"/>
      <c r="J1142" s="107"/>
      <c r="K1142" s="107"/>
      <c r="L1142" s="107"/>
      <c r="M1142" s="107"/>
    </row>
    <row r="1143" spans="1:13" x14ac:dyDescent="0.2">
      <c r="A1143" s="141" t="s">
        <v>2042</v>
      </c>
      <c r="B1143" s="107">
        <v>44520</v>
      </c>
      <c r="C1143" s="107">
        <v>475</v>
      </c>
      <c r="D1143" s="107"/>
      <c r="E1143" s="107"/>
      <c r="F1143" s="107"/>
      <c r="G1143" s="107"/>
      <c r="H1143" s="107"/>
      <c r="I1143" s="107"/>
      <c r="J1143" s="107"/>
      <c r="K1143" s="107"/>
      <c r="L1143" s="107"/>
      <c r="M1143" s="107"/>
    </row>
    <row r="1144" spans="1:13" x14ac:dyDescent="0.2">
      <c r="A1144" s="141" t="s">
        <v>2043</v>
      </c>
      <c r="B1144" s="107">
        <v>11527</v>
      </c>
      <c r="C1144" s="107">
        <v>585</v>
      </c>
      <c r="D1144" s="107"/>
      <c r="E1144" s="107"/>
      <c r="F1144" s="107"/>
      <c r="G1144" s="107"/>
      <c r="H1144" s="107"/>
      <c r="I1144" s="107"/>
      <c r="J1144" s="107"/>
      <c r="K1144" s="107"/>
      <c r="L1144" s="107"/>
      <c r="M1144" s="107"/>
    </row>
    <row r="1145" spans="1:13" x14ac:dyDescent="0.2">
      <c r="A1145" s="141" t="s">
        <v>2044</v>
      </c>
      <c r="B1145" s="107">
        <v>36342</v>
      </c>
      <c r="C1145" s="107">
        <v>750</v>
      </c>
      <c r="D1145" s="107"/>
      <c r="E1145" s="107"/>
      <c r="F1145" s="107"/>
      <c r="G1145" s="107"/>
      <c r="H1145" s="107"/>
      <c r="I1145" s="107"/>
      <c r="J1145" s="107"/>
      <c r="K1145" s="107"/>
      <c r="L1145" s="107"/>
      <c r="M1145" s="107"/>
    </row>
    <row r="1146" spans="1:13" x14ac:dyDescent="0.2">
      <c r="A1146" s="141" t="s">
        <v>2045</v>
      </c>
      <c r="B1146" s="107">
        <v>663242</v>
      </c>
      <c r="C1146" s="107">
        <v>115</v>
      </c>
      <c r="D1146" s="107"/>
      <c r="E1146" s="107"/>
      <c r="F1146" s="107"/>
      <c r="G1146" s="107"/>
      <c r="H1146" s="107"/>
      <c r="I1146" s="107"/>
      <c r="J1146" s="107"/>
      <c r="K1146" s="107"/>
      <c r="L1146" s="107"/>
      <c r="M1146" s="107"/>
    </row>
    <row r="1147" spans="1:13" x14ac:dyDescent="0.2">
      <c r="A1147" s="141" t="s">
        <v>2055</v>
      </c>
      <c r="B1147" s="107">
        <v>1255</v>
      </c>
      <c r="C1147" s="107">
        <v>700</v>
      </c>
      <c r="D1147" s="107"/>
      <c r="E1147" s="107"/>
      <c r="F1147" s="107"/>
      <c r="G1147" s="107"/>
      <c r="H1147" s="107"/>
      <c r="I1147" s="107"/>
      <c r="J1147" s="107"/>
      <c r="K1147" s="107"/>
      <c r="L1147" s="107"/>
      <c r="M1147" s="107"/>
    </row>
    <row r="1148" spans="1:13" x14ac:dyDescent="0.2">
      <c r="A1148" s="141" t="s">
        <v>2046</v>
      </c>
      <c r="B1148" s="107">
        <v>237097</v>
      </c>
      <c r="C1148" s="107">
        <v>939</v>
      </c>
      <c r="D1148" s="107"/>
      <c r="E1148" s="107"/>
      <c r="F1148" s="107"/>
      <c r="G1148" s="107"/>
      <c r="H1148" s="107"/>
      <c r="I1148" s="107"/>
      <c r="J1148" s="107"/>
      <c r="K1148" s="107"/>
      <c r="L1148" s="107"/>
      <c r="M1148" s="107"/>
    </row>
    <row r="1149" spans="1:13" x14ac:dyDescent="0.2">
      <c r="A1149" s="141" t="s">
        <v>2353</v>
      </c>
      <c r="B1149" s="107">
        <v>46</v>
      </c>
      <c r="C1149" s="107">
        <v>400</v>
      </c>
      <c r="D1149" s="107"/>
      <c r="E1149" s="107"/>
      <c r="F1149" s="107"/>
      <c r="G1149" s="107"/>
      <c r="H1149" s="107"/>
      <c r="I1149" s="107"/>
      <c r="J1149" s="107"/>
      <c r="K1149" s="107"/>
      <c r="L1149" s="107"/>
      <c r="M1149" s="107"/>
    </row>
    <row r="1150" spans="1:13" x14ac:dyDescent="0.2">
      <c r="A1150" s="141" t="s">
        <v>2047</v>
      </c>
      <c r="B1150" s="107">
        <v>18148</v>
      </c>
      <c r="C1150" s="107">
        <v>535</v>
      </c>
      <c r="D1150" s="107"/>
      <c r="E1150" s="107"/>
      <c r="F1150" s="107"/>
      <c r="G1150" s="107"/>
      <c r="H1150" s="107"/>
      <c r="I1150" s="107"/>
      <c r="J1150" s="107"/>
      <c r="K1150" s="107"/>
      <c r="L1150" s="107"/>
      <c r="M1150" s="107"/>
    </row>
    <row r="1151" spans="1:13" x14ac:dyDescent="0.2">
      <c r="A1151" s="141" t="s">
        <v>2048</v>
      </c>
      <c r="B1151" s="107">
        <v>75653</v>
      </c>
      <c r="C1151" s="107">
        <v>169</v>
      </c>
      <c r="D1151" s="107"/>
      <c r="E1151" s="107"/>
      <c r="F1151" s="107"/>
      <c r="G1151" s="107"/>
      <c r="H1151" s="107"/>
      <c r="I1151" s="107"/>
      <c r="J1151" s="107"/>
      <c r="K1151" s="107"/>
      <c r="L1151" s="107"/>
      <c r="M1151" s="107"/>
    </row>
    <row r="1152" spans="1:13" x14ac:dyDescent="0.2">
      <c r="A1152" s="141" t="s">
        <v>2049</v>
      </c>
      <c r="B1152" s="107">
        <v>153556</v>
      </c>
      <c r="C1152" s="107">
        <v>827</v>
      </c>
      <c r="D1152" s="107"/>
      <c r="E1152" s="107"/>
      <c r="F1152" s="107"/>
      <c r="G1152" s="107"/>
      <c r="H1152" s="107"/>
      <c r="I1152" s="107"/>
      <c r="J1152" s="107"/>
      <c r="K1152" s="107"/>
      <c r="L1152" s="107"/>
      <c r="M1152" s="107"/>
    </row>
    <row r="1153" spans="1:13" x14ac:dyDescent="0.2">
      <c r="A1153" s="141" t="s">
        <v>2084</v>
      </c>
      <c r="B1153" s="107">
        <v>449352</v>
      </c>
      <c r="C1153" s="107">
        <v>818</v>
      </c>
      <c r="D1153" s="107"/>
      <c r="E1153" s="107"/>
      <c r="F1153" s="107"/>
      <c r="G1153" s="107"/>
      <c r="H1153" s="107"/>
      <c r="I1153" s="107"/>
      <c r="J1153" s="107"/>
      <c r="K1153" s="107"/>
      <c r="L1153" s="107"/>
      <c r="M1153" s="107"/>
    </row>
    <row r="1154" spans="1:13" ht="16" thickBot="1" x14ac:dyDescent="0.25">
      <c r="A1154" s="141" t="s">
        <v>2354</v>
      </c>
      <c r="B1154" s="187">
        <v>70541</v>
      </c>
      <c r="C1154" s="187">
        <v>548</v>
      </c>
      <c r="D1154" s="107">
        <v>2278170</v>
      </c>
      <c r="E1154" s="107">
        <v>459</v>
      </c>
      <c r="F1154" s="107"/>
      <c r="G1154" s="107"/>
      <c r="H1154" s="107"/>
      <c r="I1154" s="107"/>
      <c r="J1154" s="107"/>
      <c r="K1154" s="107"/>
      <c r="L1154" s="107"/>
      <c r="M1154" s="107"/>
    </row>
    <row r="1155" spans="1:13" x14ac:dyDescent="0.2">
      <c r="A1155" s="141"/>
      <c r="B1155" s="145"/>
      <c r="C1155" s="145"/>
      <c r="D1155" s="321">
        <f>+SUM(B1141:B1154)</f>
        <v>2278163</v>
      </c>
      <c r="E1155" s="321">
        <f>+SUM(C1141:C1154)</f>
        <v>7459</v>
      </c>
      <c r="F1155" s="107"/>
      <c r="G1155" s="107"/>
      <c r="H1155" s="107"/>
      <c r="I1155" s="107"/>
      <c r="J1155" s="107"/>
      <c r="K1155" s="107"/>
      <c r="L1155" s="107"/>
      <c r="M1155" s="107"/>
    </row>
    <row r="1156" spans="1:13" x14ac:dyDescent="0.2">
      <c r="A1156" s="685" t="s">
        <v>2339</v>
      </c>
      <c r="B1156" s="685"/>
      <c r="C1156" s="685"/>
      <c r="D1156" s="685"/>
      <c r="E1156" s="685"/>
      <c r="F1156" s="107"/>
      <c r="G1156" s="107"/>
      <c r="H1156" s="107"/>
      <c r="I1156" s="107"/>
      <c r="J1156" s="107"/>
      <c r="K1156" s="107"/>
      <c r="L1156" s="107"/>
      <c r="M1156" s="107"/>
    </row>
    <row r="1157" spans="1:13" x14ac:dyDescent="0.2">
      <c r="A1157" s="141" t="s">
        <v>2040</v>
      </c>
      <c r="B1157" s="107">
        <v>408888</v>
      </c>
      <c r="C1157" s="107">
        <v>925</v>
      </c>
      <c r="D1157" s="107"/>
      <c r="E1157" s="107"/>
      <c r="F1157" s="107"/>
      <c r="G1157" s="107"/>
      <c r="H1157" s="107"/>
      <c r="I1157" s="107"/>
      <c r="J1157" s="107"/>
      <c r="K1157" s="107"/>
      <c r="L1157" s="107"/>
      <c r="M1157" s="107"/>
    </row>
    <row r="1158" spans="1:13" x14ac:dyDescent="0.2">
      <c r="A1158" s="141" t="s">
        <v>2041</v>
      </c>
      <c r="B1158" s="107">
        <v>159583</v>
      </c>
      <c r="C1158" s="107">
        <v>945</v>
      </c>
      <c r="D1158" s="107"/>
      <c r="E1158" s="107"/>
      <c r="F1158" s="107"/>
      <c r="G1158" s="107"/>
      <c r="H1158" s="107"/>
      <c r="I1158" s="107"/>
      <c r="J1158" s="107"/>
      <c r="K1158" s="107"/>
      <c r="L1158" s="107"/>
      <c r="M1158" s="107"/>
    </row>
    <row r="1159" spans="1:13" x14ac:dyDescent="0.2">
      <c r="A1159" s="141" t="s">
        <v>2042</v>
      </c>
      <c r="B1159" s="107">
        <v>83125</v>
      </c>
      <c r="C1159" s="107">
        <v>785</v>
      </c>
      <c r="D1159" s="107"/>
      <c r="E1159" s="107"/>
      <c r="F1159" s="107"/>
      <c r="G1159" s="107"/>
      <c r="H1159" s="107"/>
      <c r="I1159" s="107"/>
      <c r="J1159" s="107"/>
      <c r="K1159" s="107"/>
      <c r="L1159" s="107"/>
      <c r="M1159" s="107"/>
    </row>
    <row r="1160" spans="1:13" x14ac:dyDescent="0.2">
      <c r="A1160" s="141" t="s">
        <v>2044</v>
      </c>
      <c r="B1160" s="107">
        <v>10116</v>
      </c>
      <c r="C1160" s="107">
        <v>440</v>
      </c>
      <c r="D1160" s="107"/>
      <c r="E1160" s="107"/>
      <c r="F1160" s="107"/>
      <c r="G1160" s="107"/>
      <c r="H1160" s="107"/>
      <c r="I1160" s="107"/>
      <c r="J1160" s="107"/>
      <c r="K1160" s="107"/>
      <c r="L1160" s="107"/>
      <c r="M1160" s="107"/>
    </row>
    <row r="1161" spans="1:13" x14ac:dyDescent="0.2">
      <c r="A1161" s="141" t="s">
        <v>2045</v>
      </c>
      <c r="B1161" s="107">
        <v>757938</v>
      </c>
      <c r="C1161" s="107">
        <v>349</v>
      </c>
      <c r="D1161" s="107"/>
      <c r="E1161" s="107"/>
      <c r="F1161" s="107"/>
      <c r="G1161" s="107"/>
      <c r="H1161" s="107"/>
      <c r="I1161" s="107"/>
      <c r="J1161" s="107"/>
      <c r="K1161" s="107"/>
      <c r="L1161" s="107"/>
      <c r="M1161" s="107"/>
    </row>
    <row r="1162" spans="1:13" x14ac:dyDescent="0.2">
      <c r="A1162" s="141" t="s">
        <v>2055</v>
      </c>
      <c r="B1162" s="107">
        <v>2091</v>
      </c>
      <c r="C1162" s="107">
        <v>10</v>
      </c>
      <c r="D1162" s="107"/>
      <c r="E1162" s="107"/>
      <c r="F1162" s="107"/>
      <c r="G1162" s="107"/>
      <c r="H1162" s="107"/>
      <c r="I1162" s="107"/>
      <c r="J1162" s="107"/>
      <c r="K1162" s="107"/>
      <c r="L1162" s="107"/>
      <c r="M1162" s="107"/>
    </row>
    <row r="1163" spans="1:13" x14ac:dyDescent="0.2">
      <c r="A1163" s="141" t="s">
        <v>2046</v>
      </c>
      <c r="B1163" s="107">
        <v>179127</v>
      </c>
      <c r="C1163" s="107">
        <v>619</v>
      </c>
      <c r="D1163" s="107"/>
      <c r="E1163" s="107"/>
      <c r="F1163" s="107"/>
      <c r="G1163" s="107"/>
      <c r="H1163" s="107"/>
      <c r="I1163" s="107"/>
      <c r="J1163" s="107"/>
      <c r="K1163" s="107"/>
      <c r="L1163" s="107"/>
      <c r="M1163" s="107"/>
    </row>
    <row r="1164" spans="1:13" x14ac:dyDescent="0.2">
      <c r="A1164" s="141" t="s">
        <v>2049</v>
      </c>
      <c r="B1164" s="107">
        <v>126481</v>
      </c>
      <c r="C1164" s="107">
        <v>373</v>
      </c>
      <c r="D1164" s="107"/>
      <c r="E1164" s="107"/>
      <c r="F1164" s="107"/>
      <c r="G1164" s="107"/>
      <c r="H1164" s="107"/>
      <c r="I1164" s="107"/>
      <c r="J1164" s="107"/>
      <c r="K1164" s="107"/>
      <c r="L1164" s="107"/>
      <c r="M1164" s="107"/>
    </row>
    <row r="1165" spans="1:13" x14ac:dyDescent="0.2">
      <c r="A1165" s="141" t="s">
        <v>2084</v>
      </c>
      <c r="B1165" s="107">
        <v>418794</v>
      </c>
      <c r="C1165" s="107">
        <v>570</v>
      </c>
      <c r="D1165" s="107"/>
      <c r="E1165" s="107"/>
      <c r="F1165" s="107"/>
      <c r="G1165" s="107"/>
      <c r="H1165" s="107"/>
      <c r="I1165" s="107"/>
      <c r="J1165" s="107"/>
      <c r="K1165" s="107"/>
      <c r="L1165" s="107"/>
      <c r="M1165" s="107"/>
    </row>
    <row r="1166" spans="1:13" ht="16" thickBot="1" x14ac:dyDescent="0.25">
      <c r="A1166" s="141" t="s">
        <v>2354</v>
      </c>
      <c r="B1166" s="187">
        <v>18370</v>
      </c>
      <c r="C1166" s="187"/>
      <c r="D1166" s="107">
        <v>2164518</v>
      </c>
      <c r="E1166" s="107">
        <v>16</v>
      </c>
      <c r="F1166" s="107"/>
      <c r="G1166" s="107"/>
      <c r="H1166" s="107"/>
      <c r="I1166" s="107"/>
      <c r="J1166" s="107"/>
      <c r="K1166" s="107"/>
      <c r="L1166" s="107"/>
      <c r="M1166" s="107"/>
    </row>
    <row r="1167" spans="1:13" x14ac:dyDescent="0.2">
      <c r="A1167" s="141"/>
      <c r="B1167" s="145"/>
      <c r="C1167" s="145"/>
      <c r="D1167" s="321">
        <f>+SUM(B1157:B1166)</f>
        <v>2164513</v>
      </c>
      <c r="E1167" s="321">
        <f>+SUM(C1157:C1166)</f>
        <v>5016</v>
      </c>
      <c r="F1167" s="107"/>
      <c r="G1167" s="107"/>
      <c r="H1167" s="107"/>
      <c r="I1167" s="107"/>
      <c r="J1167" s="107"/>
      <c r="K1167" s="107"/>
      <c r="L1167" s="107"/>
      <c r="M1167" s="107"/>
    </row>
    <row r="1168" spans="1:13" x14ac:dyDescent="0.2">
      <c r="A1168" s="685" t="s">
        <v>2342</v>
      </c>
      <c r="B1168" s="685"/>
      <c r="C1168" s="685"/>
      <c r="D1168" s="685"/>
      <c r="E1168" s="685"/>
      <c r="F1168" s="107"/>
      <c r="G1168" s="107"/>
      <c r="H1168" s="107"/>
      <c r="I1168" s="107"/>
      <c r="J1168" s="107"/>
      <c r="K1168" s="107"/>
      <c r="L1168" s="107"/>
      <c r="M1168" s="107"/>
    </row>
    <row r="1169" spans="1:13" x14ac:dyDescent="0.2">
      <c r="A1169" s="141" t="s">
        <v>2040</v>
      </c>
      <c r="B1169" s="107">
        <v>465173</v>
      </c>
      <c r="C1169" s="107">
        <v>360</v>
      </c>
      <c r="D1169" s="107"/>
      <c r="E1169" s="107"/>
      <c r="F1169" s="107"/>
      <c r="G1169" s="107"/>
      <c r="H1169" s="107"/>
      <c r="I1169" s="107"/>
      <c r="J1169" s="107"/>
      <c r="K1169" s="107"/>
      <c r="L1169" s="107"/>
      <c r="M1169" s="107"/>
    </row>
    <row r="1170" spans="1:13" x14ac:dyDescent="0.2">
      <c r="A1170" s="141" t="s">
        <v>2041</v>
      </c>
      <c r="B1170" s="107">
        <v>155069</v>
      </c>
      <c r="C1170" s="107">
        <v>785</v>
      </c>
      <c r="D1170" s="107"/>
      <c r="E1170" s="107"/>
      <c r="F1170" s="107"/>
      <c r="G1170" s="107"/>
      <c r="H1170" s="107"/>
      <c r="I1170" s="107"/>
      <c r="J1170" s="107"/>
      <c r="K1170" s="107"/>
      <c r="L1170" s="107"/>
      <c r="M1170" s="107"/>
    </row>
    <row r="1171" spans="1:13" x14ac:dyDescent="0.2">
      <c r="A1171" s="141" t="s">
        <v>2042</v>
      </c>
      <c r="B1171" s="107">
        <v>51147</v>
      </c>
      <c r="C1171" s="107">
        <v>786</v>
      </c>
      <c r="D1171" s="107"/>
      <c r="E1171" s="107"/>
      <c r="F1171" s="107"/>
      <c r="G1171" s="107"/>
      <c r="H1171" s="107"/>
      <c r="I1171" s="107"/>
      <c r="J1171" s="107"/>
      <c r="K1171" s="107"/>
      <c r="L1171" s="107"/>
      <c r="M1171" s="107"/>
    </row>
    <row r="1172" spans="1:13" x14ac:dyDescent="0.2">
      <c r="A1172" s="141" t="s">
        <v>2044</v>
      </c>
      <c r="B1172" s="107">
        <v>9209</v>
      </c>
      <c r="C1172" s="107">
        <v>945</v>
      </c>
      <c r="D1172" s="107"/>
      <c r="E1172" s="107"/>
      <c r="F1172" s="107"/>
      <c r="G1172" s="107"/>
      <c r="H1172" s="107"/>
      <c r="I1172" s="107"/>
      <c r="J1172" s="107"/>
      <c r="K1172" s="107"/>
      <c r="L1172" s="107"/>
      <c r="M1172" s="107"/>
    </row>
    <row r="1173" spans="1:13" x14ac:dyDescent="0.2">
      <c r="A1173" s="141" t="s">
        <v>2355</v>
      </c>
      <c r="B1173" s="107">
        <v>485963</v>
      </c>
      <c r="C1173" s="107">
        <v>572</v>
      </c>
      <c r="D1173" s="107"/>
      <c r="E1173" s="107"/>
      <c r="F1173" s="107"/>
      <c r="G1173" s="107"/>
      <c r="H1173" s="107"/>
      <c r="I1173" s="107"/>
      <c r="J1173" s="107"/>
      <c r="K1173" s="107"/>
      <c r="L1173" s="107"/>
      <c r="M1173" s="107"/>
    </row>
    <row r="1174" spans="1:13" x14ac:dyDescent="0.2">
      <c r="A1174" s="141" t="s">
        <v>2046</v>
      </c>
      <c r="B1174" s="107">
        <v>141839</v>
      </c>
      <c r="C1174" s="107">
        <v>344</v>
      </c>
      <c r="D1174" s="107"/>
      <c r="E1174" s="107"/>
      <c r="F1174" s="107"/>
      <c r="G1174" s="107"/>
      <c r="H1174" s="107"/>
      <c r="I1174" s="107"/>
      <c r="J1174" s="107"/>
      <c r="K1174" s="107"/>
      <c r="L1174" s="107"/>
      <c r="M1174" s="107"/>
    </row>
    <row r="1175" spans="1:13" x14ac:dyDescent="0.2">
      <c r="A1175" s="141" t="s">
        <v>2049</v>
      </c>
      <c r="B1175" s="107">
        <v>132046</v>
      </c>
      <c r="C1175" s="107">
        <v>941</v>
      </c>
      <c r="D1175" s="107"/>
      <c r="E1175" s="107"/>
      <c r="F1175" s="107"/>
      <c r="G1175" s="107"/>
      <c r="H1175" s="107"/>
      <c r="I1175" s="107"/>
      <c r="J1175" s="107"/>
      <c r="K1175" s="107"/>
      <c r="L1175" s="107"/>
      <c r="M1175" s="107"/>
    </row>
    <row r="1176" spans="1:13" x14ac:dyDescent="0.2">
      <c r="A1176" s="141" t="s">
        <v>2084</v>
      </c>
      <c r="B1176" s="107">
        <v>442869</v>
      </c>
      <c r="C1176" s="107">
        <v>704</v>
      </c>
      <c r="D1176" s="107"/>
      <c r="E1176" s="107"/>
      <c r="F1176" s="107"/>
      <c r="G1176" s="107"/>
      <c r="H1176" s="107"/>
      <c r="I1176" s="107"/>
      <c r="J1176" s="107"/>
      <c r="K1176" s="107"/>
      <c r="L1176" s="107"/>
      <c r="M1176" s="107"/>
    </row>
    <row r="1177" spans="1:13" ht="16" thickBot="1" x14ac:dyDescent="0.25">
      <c r="A1177" s="141" t="s">
        <v>2354</v>
      </c>
      <c r="B1177" s="187">
        <v>60070</v>
      </c>
      <c r="C1177" s="187"/>
      <c r="D1177" s="107">
        <v>1943390</v>
      </c>
      <c r="E1177" s="107">
        <v>437</v>
      </c>
      <c r="F1177" s="107"/>
      <c r="G1177" s="107"/>
      <c r="H1177" s="107"/>
      <c r="I1177" s="107"/>
      <c r="J1177" s="107"/>
      <c r="K1177" s="107"/>
      <c r="L1177" s="107"/>
      <c r="M1177" s="107"/>
    </row>
    <row r="1178" spans="1:13" x14ac:dyDescent="0.2">
      <c r="A1178" s="141"/>
      <c r="B1178" s="145"/>
      <c r="C1178" s="145"/>
      <c r="D1178" s="321">
        <f>+SUM(B1169:B1177)</f>
        <v>1943385</v>
      </c>
      <c r="E1178" s="321">
        <f>+SUM(C1169:C1177)</f>
        <v>5437</v>
      </c>
      <c r="F1178" s="107"/>
      <c r="G1178" s="107"/>
      <c r="H1178" s="107"/>
      <c r="I1178" s="107"/>
      <c r="J1178" s="107"/>
      <c r="K1178" s="107"/>
      <c r="L1178" s="107"/>
      <c r="M1178" s="107"/>
    </row>
    <row r="1179" spans="1:13" x14ac:dyDescent="0.2">
      <c r="A1179" s="685" t="s">
        <v>2343</v>
      </c>
      <c r="B1179" s="685"/>
      <c r="C1179" s="685"/>
      <c r="D1179" s="685"/>
      <c r="E1179" s="685"/>
      <c r="F1179" s="107"/>
      <c r="G1179" s="107"/>
      <c r="H1179" s="107"/>
      <c r="I1179" s="107"/>
      <c r="J1179" s="107"/>
      <c r="K1179" s="107"/>
      <c r="L1179" s="107"/>
      <c r="M1179" s="107"/>
    </row>
    <row r="1180" spans="1:13" x14ac:dyDescent="0.2">
      <c r="A1180" s="141" t="s">
        <v>2040</v>
      </c>
      <c r="B1180" s="107">
        <v>566393</v>
      </c>
      <c r="C1180" s="107">
        <v>510</v>
      </c>
      <c r="D1180" s="107"/>
      <c r="E1180" s="107"/>
      <c r="F1180" s="107"/>
      <c r="G1180" s="107"/>
      <c r="H1180" s="107"/>
      <c r="I1180" s="107"/>
      <c r="J1180" s="107"/>
      <c r="K1180" s="107"/>
      <c r="L1180" s="107"/>
      <c r="M1180" s="107"/>
    </row>
    <row r="1181" spans="1:13" x14ac:dyDescent="0.2">
      <c r="A1181" s="141" t="s">
        <v>2041</v>
      </c>
      <c r="B1181" s="107">
        <v>104753</v>
      </c>
      <c r="C1181" s="107">
        <v>840</v>
      </c>
      <c r="D1181" s="107"/>
      <c r="E1181" s="107"/>
      <c r="F1181" s="107"/>
      <c r="G1181" s="107"/>
      <c r="H1181" s="107"/>
      <c r="I1181" s="107"/>
      <c r="J1181" s="107"/>
      <c r="K1181" s="107"/>
      <c r="L1181" s="107"/>
      <c r="M1181" s="107"/>
    </row>
    <row r="1182" spans="1:13" x14ac:dyDescent="0.2">
      <c r="A1182" s="141" t="s">
        <v>2042</v>
      </c>
      <c r="B1182" s="107">
        <v>22620</v>
      </c>
      <c r="C1182" s="107">
        <v>475</v>
      </c>
      <c r="D1182" s="107"/>
      <c r="E1182" s="107"/>
      <c r="F1182" s="107"/>
      <c r="G1182" s="107"/>
      <c r="H1182" s="107"/>
      <c r="I1182" s="107"/>
      <c r="J1182" s="107"/>
      <c r="K1182" s="107"/>
      <c r="L1182" s="107"/>
      <c r="M1182" s="107"/>
    </row>
    <row r="1183" spans="1:13" x14ac:dyDescent="0.2">
      <c r="A1183" s="141" t="s">
        <v>2044</v>
      </c>
      <c r="B1183" s="107">
        <v>6738</v>
      </c>
      <c r="C1183" s="107">
        <v>195</v>
      </c>
      <c r="D1183" s="107"/>
      <c r="E1183" s="107"/>
      <c r="F1183" s="107"/>
      <c r="G1183" s="107"/>
      <c r="H1183" s="107"/>
      <c r="I1183" s="107"/>
      <c r="J1183" s="107"/>
      <c r="K1183" s="107"/>
      <c r="L1183" s="107"/>
      <c r="M1183" s="107"/>
    </row>
    <row r="1184" spans="1:13" x14ac:dyDescent="0.2">
      <c r="A1184" s="141" t="s">
        <v>2355</v>
      </c>
      <c r="B1184" s="107">
        <v>955659</v>
      </c>
      <c r="C1184" s="107">
        <v>745</v>
      </c>
      <c r="D1184" s="107"/>
      <c r="E1184" s="107"/>
      <c r="F1184" s="107"/>
      <c r="G1184" s="107"/>
      <c r="H1184" s="107"/>
      <c r="I1184" s="107"/>
      <c r="J1184" s="107"/>
      <c r="K1184" s="107"/>
      <c r="L1184" s="107"/>
      <c r="M1184" s="107"/>
    </row>
    <row r="1185" spans="1:13" x14ac:dyDescent="0.2">
      <c r="A1185" s="141" t="s">
        <v>2046</v>
      </c>
      <c r="B1185" s="107">
        <v>53104</v>
      </c>
      <c r="C1185" s="107">
        <v>192</v>
      </c>
      <c r="D1185" s="107"/>
      <c r="E1185" s="107"/>
      <c r="F1185" s="107"/>
      <c r="G1185" s="107"/>
      <c r="H1185" s="107"/>
      <c r="I1185" s="107"/>
      <c r="J1185" s="107"/>
      <c r="K1185" s="107"/>
      <c r="L1185" s="107"/>
      <c r="M1185" s="107"/>
    </row>
    <row r="1186" spans="1:13" x14ac:dyDescent="0.2">
      <c r="A1186" s="141" t="s">
        <v>2049</v>
      </c>
      <c r="B1186" s="107">
        <v>110091</v>
      </c>
      <c r="C1186" s="107">
        <v>414</v>
      </c>
      <c r="D1186" s="107"/>
      <c r="E1186" s="107"/>
      <c r="F1186" s="107"/>
      <c r="G1186" s="107"/>
      <c r="H1186" s="107"/>
      <c r="I1186" s="107"/>
      <c r="J1186" s="107"/>
      <c r="K1186" s="107"/>
      <c r="L1186" s="107"/>
      <c r="M1186" s="107"/>
    </row>
    <row r="1187" spans="1:13" x14ac:dyDescent="0.2">
      <c r="A1187" s="141" t="s">
        <v>2084</v>
      </c>
      <c r="B1187" s="107">
        <v>288130</v>
      </c>
      <c r="C1187" s="107">
        <v>102</v>
      </c>
      <c r="D1187" s="107"/>
      <c r="E1187" s="107"/>
      <c r="F1187" s="107"/>
      <c r="G1187" s="107"/>
      <c r="H1187" s="107"/>
      <c r="I1187" s="107"/>
      <c r="J1187" s="107"/>
      <c r="K1187" s="107"/>
      <c r="L1187" s="107"/>
      <c r="M1187" s="107"/>
    </row>
    <row r="1188" spans="1:13" ht="16" thickBot="1" x14ac:dyDescent="0.25">
      <c r="A1188" s="141" t="s">
        <v>2354</v>
      </c>
      <c r="B1188" s="187">
        <v>78034</v>
      </c>
      <c r="C1188" s="187">
        <v>750</v>
      </c>
      <c r="D1188" s="107">
        <v>2185526</v>
      </c>
      <c r="E1188" s="107">
        <v>223</v>
      </c>
      <c r="F1188" s="107"/>
      <c r="G1188" s="107"/>
      <c r="H1188" s="107"/>
      <c r="I1188" s="107"/>
      <c r="J1188" s="107"/>
      <c r="K1188" s="107"/>
      <c r="L1188" s="107"/>
      <c r="M1188" s="107"/>
    </row>
    <row r="1189" spans="1:13" x14ac:dyDescent="0.2">
      <c r="A1189" s="141"/>
      <c r="B1189" s="145"/>
      <c r="C1189" s="145"/>
      <c r="D1189" s="321">
        <f>+SUM(B1180:B1188)</f>
        <v>2185522</v>
      </c>
      <c r="E1189" s="321">
        <f>+SUM(C1180:C1188)</f>
        <v>4223</v>
      </c>
      <c r="F1189" s="107"/>
      <c r="G1189" s="107"/>
      <c r="H1189" s="107"/>
      <c r="I1189" s="107"/>
      <c r="J1189" s="107"/>
      <c r="K1189" s="107"/>
      <c r="L1189" s="107"/>
      <c r="M1189" s="107"/>
    </row>
    <row r="1190" spans="1:13" x14ac:dyDescent="0.2">
      <c r="A1190" s="685" t="s">
        <v>2345</v>
      </c>
      <c r="B1190" s="685"/>
      <c r="C1190" s="685"/>
      <c r="D1190" s="685"/>
      <c r="E1190" s="685"/>
      <c r="F1190" s="107"/>
      <c r="G1190" s="107"/>
      <c r="H1190" s="107"/>
      <c r="I1190" s="107"/>
      <c r="J1190" s="107"/>
      <c r="K1190" s="107"/>
      <c r="L1190" s="107"/>
      <c r="M1190" s="107"/>
    </row>
    <row r="1191" spans="1:13" x14ac:dyDescent="0.2">
      <c r="A1191" s="141" t="s">
        <v>2040</v>
      </c>
      <c r="B1191" s="107">
        <v>591724</v>
      </c>
      <c r="C1191" s="107">
        <v>695</v>
      </c>
      <c r="D1191" s="107"/>
      <c r="E1191" s="107"/>
      <c r="F1191" s="107"/>
      <c r="G1191" s="107"/>
      <c r="H1191" s="107"/>
      <c r="I1191" s="107"/>
      <c r="J1191" s="107"/>
      <c r="K1191" s="107"/>
      <c r="L1191" s="107"/>
      <c r="M1191" s="107"/>
    </row>
    <row r="1192" spans="1:13" x14ac:dyDescent="0.2">
      <c r="A1192" s="141" t="s">
        <v>2041</v>
      </c>
      <c r="B1192" s="107">
        <v>205532</v>
      </c>
      <c r="C1192" s="107">
        <v>745</v>
      </c>
      <c r="D1192" s="107"/>
      <c r="E1192" s="107"/>
      <c r="F1192" s="107"/>
      <c r="G1192" s="107"/>
      <c r="H1192" s="107"/>
      <c r="I1192" s="107"/>
      <c r="J1192" s="107"/>
      <c r="K1192" s="107"/>
      <c r="L1192" s="107"/>
      <c r="M1192" s="107"/>
    </row>
    <row r="1193" spans="1:13" x14ac:dyDescent="0.2">
      <c r="A1193" s="141" t="s">
        <v>2042</v>
      </c>
      <c r="B1193" s="107">
        <v>55908</v>
      </c>
      <c r="C1193" s="107">
        <v>305</v>
      </c>
      <c r="D1193" s="107"/>
      <c r="E1193" s="107"/>
      <c r="F1193" s="107"/>
      <c r="G1193" s="107"/>
      <c r="H1193" s="107"/>
      <c r="I1193" s="107"/>
      <c r="J1193" s="107"/>
      <c r="K1193" s="107"/>
      <c r="L1193" s="107"/>
      <c r="M1193" s="107"/>
    </row>
    <row r="1194" spans="1:13" x14ac:dyDescent="0.2">
      <c r="A1194" s="141" t="s">
        <v>2044</v>
      </c>
      <c r="B1194" s="107">
        <v>7817</v>
      </c>
      <c r="C1194" s="107">
        <v>90</v>
      </c>
      <c r="D1194" s="107"/>
      <c r="E1194" s="107"/>
      <c r="F1194" s="107"/>
      <c r="G1194" s="107"/>
      <c r="H1194" s="107"/>
      <c r="I1194" s="107"/>
      <c r="J1194" s="107"/>
      <c r="K1194" s="107"/>
      <c r="L1194" s="107"/>
      <c r="M1194" s="107"/>
    </row>
    <row r="1195" spans="1:13" x14ac:dyDescent="0.2">
      <c r="A1195" s="141" t="s">
        <v>2355</v>
      </c>
      <c r="B1195" s="107">
        <v>582403</v>
      </c>
      <c r="C1195" s="107">
        <v>658</v>
      </c>
      <c r="D1195" s="107"/>
      <c r="E1195" s="107"/>
      <c r="F1195" s="107"/>
      <c r="G1195" s="107"/>
      <c r="H1195" s="107"/>
      <c r="I1195" s="107"/>
      <c r="J1195" s="107"/>
      <c r="K1195" s="107"/>
      <c r="L1195" s="107"/>
      <c r="M1195" s="107"/>
    </row>
    <row r="1196" spans="1:13" x14ac:dyDescent="0.2">
      <c r="A1196" s="141" t="s">
        <v>2046</v>
      </c>
      <c r="B1196" s="107">
        <v>35476</v>
      </c>
      <c r="C1196" s="107">
        <v>390</v>
      </c>
      <c r="D1196" s="107"/>
      <c r="E1196" s="107"/>
      <c r="F1196" s="107"/>
      <c r="G1196" s="107"/>
      <c r="H1196" s="107"/>
      <c r="I1196" s="107"/>
      <c r="J1196" s="107"/>
      <c r="K1196" s="107"/>
      <c r="L1196" s="107"/>
      <c r="M1196" s="107"/>
    </row>
    <row r="1197" spans="1:13" x14ac:dyDescent="0.2">
      <c r="A1197" s="141" t="s">
        <v>2049</v>
      </c>
      <c r="B1197" s="107">
        <v>107487</v>
      </c>
      <c r="C1197" s="107">
        <v>730</v>
      </c>
      <c r="D1197" s="107"/>
      <c r="E1197" s="107"/>
      <c r="F1197" s="107"/>
      <c r="G1197" s="107"/>
      <c r="H1197" s="107"/>
      <c r="I1197" s="107"/>
      <c r="J1197" s="107"/>
      <c r="K1197" s="107"/>
      <c r="L1197" s="107"/>
      <c r="M1197" s="107"/>
    </row>
    <row r="1198" spans="1:13" x14ac:dyDescent="0.2">
      <c r="A1198" s="141" t="s">
        <v>2084</v>
      </c>
      <c r="B1198" s="107">
        <v>317597</v>
      </c>
      <c r="C1198" s="107">
        <v>694</v>
      </c>
      <c r="D1198" s="107"/>
      <c r="E1198" s="107"/>
      <c r="F1198" s="107"/>
      <c r="G1198" s="107"/>
      <c r="H1198" s="107"/>
      <c r="I1198" s="107"/>
      <c r="J1198" s="107"/>
      <c r="K1198" s="107"/>
      <c r="L1198" s="107"/>
      <c r="M1198" s="107"/>
    </row>
    <row r="1199" spans="1:13" ht="16" thickBot="1" x14ac:dyDescent="0.25">
      <c r="A1199" s="141" t="s">
        <v>2354</v>
      </c>
      <c r="B1199" s="187">
        <v>89550</v>
      </c>
      <c r="C1199" s="187"/>
      <c r="D1199" s="107">
        <v>1993498</v>
      </c>
      <c r="E1199" s="107">
        <v>307</v>
      </c>
      <c r="F1199" s="107"/>
      <c r="G1199" s="107"/>
      <c r="H1199" s="107"/>
      <c r="I1199" s="107"/>
      <c r="J1199" s="107"/>
      <c r="K1199" s="107"/>
      <c r="L1199" s="107"/>
      <c r="M1199" s="107"/>
    </row>
    <row r="1200" spans="1:13" x14ac:dyDescent="0.2">
      <c r="A1200" s="141"/>
      <c r="B1200" s="145"/>
      <c r="C1200" s="145"/>
      <c r="D1200" s="321">
        <f>+SUM(B1191:B1199)</f>
        <v>1993494</v>
      </c>
      <c r="E1200" s="321">
        <f>+SUM(C1191:C1199)</f>
        <v>4307</v>
      </c>
      <c r="F1200" s="107"/>
      <c r="G1200" s="107"/>
      <c r="H1200" s="107"/>
      <c r="I1200" s="107"/>
      <c r="J1200" s="107"/>
      <c r="K1200" s="107"/>
      <c r="L1200" s="107"/>
      <c r="M1200" s="107"/>
    </row>
    <row r="1201" spans="1:13" x14ac:dyDescent="0.2">
      <c r="A1201" s="685" t="s">
        <v>2349</v>
      </c>
      <c r="B1201" s="685"/>
      <c r="C1201" s="685"/>
      <c r="D1201" s="685"/>
      <c r="E1201" s="685"/>
      <c r="F1201" s="107"/>
      <c r="G1201" s="107"/>
      <c r="H1201" s="107"/>
      <c r="I1201" s="107"/>
      <c r="J1201" s="107"/>
      <c r="K1201" s="107"/>
      <c r="L1201" s="107"/>
      <c r="M1201" s="107"/>
    </row>
    <row r="1202" spans="1:13" x14ac:dyDescent="0.2">
      <c r="A1202" s="141" t="s">
        <v>2040</v>
      </c>
      <c r="B1202" s="107">
        <v>710574</v>
      </c>
      <c r="C1202" s="107">
        <v>255</v>
      </c>
      <c r="D1202" s="107"/>
      <c r="E1202" s="107"/>
      <c r="F1202" s="107"/>
      <c r="G1202" s="107"/>
      <c r="H1202" s="107"/>
      <c r="I1202" s="107"/>
      <c r="J1202" s="107"/>
      <c r="K1202" s="107"/>
      <c r="L1202" s="107"/>
      <c r="M1202" s="107"/>
    </row>
    <row r="1203" spans="1:13" x14ac:dyDescent="0.2">
      <c r="A1203" s="141" t="s">
        <v>2041</v>
      </c>
      <c r="B1203" s="107">
        <v>130970</v>
      </c>
      <c r="C1203" s="107">
        <v>880</v>
      </c>
      <c r="D1203" s="107"/>
      <c r="E1203" s="107"/>
      <c r="F1203" s="107"/>
      <c r="G1203" s="107"/>
      <c r="H1203" s="107"/>
      <c r="I1203" s="107"/>
      <c r="J1203" s="107"/>
      <c r="K1203" s="107"/>
      <c r="L1203" s="107"/>
      <c r="M1203" s="107"/>
    </row>
    <row r="1204" spans="1:13" x14ac:dyDescent="0.2">
      <c r="A1204" s="141" t="s">
        <v>2042</v>
      </c>
      <c r="B1204" s="107">
        <v>36504</v>
      </c>
      <c r="C1204" s="107">
        <v>15</v>
      </c>
      <c r="D1204" s="107"/>
      <c r="E1204" s="107"/>
      <c r="F1204" s="107"/>
      <c r="G1204" s="107"/>
      <c r="H1204" s="107"/>
      <c r="I1204" s="107"/>
      <c r="J1204" s="107"/>
      <c r="K1204" s="107"/>
      <c r="L1204" s="107"/>
      <c r="M1204" s="107"/>
    </row>
    <row r="1205" spans="1:13" x14ac:dyDescent="0.2">
      <c r="A1205" s="141" t="s">
        <v>2044</v>
      </c>
      <c r="B1205" s="107">
        <v>11277</v>
      </c>
      <c r="C1205" s="107">
        <v>150</v>
      </c>
      <c r="D1205" s="107"/>
      <c r="E1205" s="107"/>
      <c r="F1205" s="107"/>
      <c r="G1205" s="107"/>
      <c r="H1205" s="107"/>
      <c r="I1205" s="107"/>
      <c r="J1205" s="107"/>
      <c r="K1205" s="107"/>
      <c r="L1205" s="107"/>
      <c r="M1205" s="107"/>
    </row>
    <row r="1206" spans="1:13" x14ac:dyDescent="0.2">
      <c r="A1206" s="141" t="s">
        <v>2355</v>
      </c>
      <c r="B1206" s="107">
        <v>186426</v>
      </c>
      <c r="C1206" s="107"/>
      <c r="D1206" s="107"/>
      <c r="E1206" s="107"/>
      <c r="F1206" s="107"/>
      <c r="G1206" s="107"/>
      <c r="H1206" s="107"/>
      <c r="I1206" s="107"/>
      <c r="J1206" s="107"/>
      <c r="K1206" s="107"/>
      <c r="L1206" s="107"/>
      <c r="M1206" s="107"/>
    </row>
    <row r="1207" spans="1:13" x14ac:dyDescent="0.2">
      <c r="A1207" s="141" t="s">
        <v>2046</v>
      </c>
      <c r="B1207" s="107">
        <v>53111</v>
      </c>
      <c r="C1207" s="107">
        <v>430</v>
      </c>
      <c r="D1207" s="107"/>
      <c r="E1207" s="107"/>
      <c r="F1207" s="107"/>
      <c r="G1207" s="107"/>
      <c r="H1207" s="107"/>
      <c r="I1207" s="107"/>
      <c r="J1207" s="107"/>
      <c r="K1207" s="107"/>
      <c r="L1207" s="107"/>
      <c r="M1207" s="107"/>
    </row>
    <row r="1208" spans="1:13" x14ac:dyDescent="0.2">
      <c r="A1208" s="141" t="s">
        <v>2049</v>
      </c>
      <c r="B1208" s="107">
        <v>145476</v>
      </c>
      <c r="C1208" s="107">
        <v>430</v>
      </c>
      <c r="D1208" s="107"/>
      <c r="E1208" s="107"/>
      <c r="F1208" s="107"/>
      <c r="G1208" s="107"/>
      <c r="H1208" s="107"/>
      <c r="I1208" s="107"/>
      <c r="J1208" s="107"/>
      <c r="K1208" s="107"/>
      <c r="L1208" s="107"/>
      <c r="M1208" s="107"/>
    </row>
    <row r="1209" spans="1:13" x14ac:dyDescent="0.2">
      <c r="A1209" s="141" t="s">
        <v>2084</v>
      </c>
      <c r="B1209" s="107">
        <v>435864</v>
      </c>
      <c r="C1209" s="107">
        <v>446</v>
      </c>
      <c r="D1209" s="107"/>
      <c r="E1209" s="107"/>
      <c r="F1209" s="107"/>
      <c r="G1209" s="107"/>
      <c r="H1209" s="107"/>
      <c r="I1209" s="107"/>
      <c r="J1209" s="107"/>
      <c r="K1209" s="107"/>
      <c r="L1209" s="107"/>
      <c r="M1209" s="107"/>
    </row>
    <row r="1210" spans="1:13" ht="16" thickBot="1" x14ac:dyDescent="0.25">
      <c r="A1210" s="141" t="s">
        <v>2356</v>
      </c>
      <c r="B1210" s="187">
        <v>3639</v>
      </c>
      <c r="C1210" s="187">
        <v>325</v>
      </c>
      <c r="D1210" s="187">
        <v>1713843</v>
      </c>
      <c r="E1210" s="187">
        <v>931</v>
      </c>
      <c r="F1210" s="107"/>
      <c r="G1210" s="107"/>
      <c r="H1210" s="107"/>
      <c r="I1210" s="107"/>
      <c r="J1210" s="107"/>
      <c r="K1210" s="107"/>
      <c r="L1210" s="107"/>
      <c r="M1210" s="107"/>
    </row>
    <row r="1211" spans="1:13" ht="16" thickBot="1" x14ac:dyDescent="0.25">
      <c r="A1211" s="141"/>
      <c r="B1211" s="145"/>
      <c r="C1211" s="145"/>
      <c r="D1211" s="584">
        <f>+SUM(B1202:B1210)</f>
        <v>1713841</v>
      </c>
      <c r="E1211" s="584">
        <f>+SUM(C1202:C1210)</f>
        <v>2931</v>
      </c>
      <c r="F1211" s="107"/>
      <c r="G1211" s="107"/>
      <c r="H1211" s="107"/>
      <c r="I1211" s="107"/>
      <c r="J1211" s="107"/>
      <c r="K1211" s="107"/>
      <c r="L1211" s="107"/>
      <c r="M1211" s="107"/>
    </row>
    <row r="1212" spans="1:13" ht="25.25" customHeight="1" thickBot="1" x14ac:dyDescent="0.25">
      <c r="A1212" s="685" t="s">
        <v>2357</v>
      </c>
      <c r="B1212" s="685"/>
      <c r="C1212" s="685"/>
      <c r="D1212" s="448">
        <v>12278947</v>
      </c>
      <c r="E1212" s="448">
        <v>373</v>
      </c>
      <c r="F1212" s="107"/>
      <c r="G1212" s="107"/>
      <c r="H1212" s="107"/>
      <c r="I1212" s="107"/>
      <c r="J1212" s="107"/>
      <c r="K1212" s="107"/>
      <c r="L1212" s="107"/>
      <c r="M1212" s="107"/>
    </row>
    <row r="1213" spans="1:13" ht="30" customHeight="1" x14ac:dyDescent="0.2">
      <c r="A1213" s="707" t="s">
        <v>2358</v>
      </c>
      <c r="B1213" s="707"/>
      <c r="C1213" s="707"/>
      <c r="D1213" s="707"/>
      <c r="E1213" s="707"/>
      <c r="F1213" s="107"/>
      <c r="G1213" s="107"/>
      <c r="H1213" s="107"/>
      <c r="I1213" s="107"/>
      <c r="J1213" s="107"/>
      <c r="K1213" s="107"/>
      <c r="L1213" s="107"/>
      <c r="M1213" s="107"/>
    </row>
    <row r="1214" spans="1:13" x14ac:dyDescent="0.2">
      <c r="A1214" s="141" t="s">
        <v>2359</v>
      </c>
      <c r="B1214" s="107"/>
      <c r="C1214" s="107"/>
      <c r="D1214" s="107">
        <v>12742037</v>
      </c>
      <c r="E1214" s="107">
        <v>918</v>
      </c>
      <c r="F1214" s="107"/>
      <c r="G1214" s="107"/>
      <c r="H1214" s="107"/>
      <c r="I1214" s="107"/>
      <c r="J1214" s="107"/>
      <c r="K1214" s="107"/>
      <c r="L1214" s="107"/>
      <c r="M1214" s="107"/>
    </row>
    <row r="1215" spans="1:13" ht="16" thickBot="1" x14ac:dyDescent="0.25">
      <c r="A1215" s="141" t="s">
        <v>2360</v>
      </c>
      <c r="B1215" s="107"/>
      <c r="C1215" s="107"/>
      <c r="D1215" s="187">
        <v>12278947</v>
      </c>
      <c r="E1215" s="187">
        <v>373</v>
      </c>
      <c r="F1215" s="107"/>
      <c r="G1215" s="107"/>
      <c r="H1215" s="107"/>
      <c r="I1215" s="107"/>
      <c r="J1215" s="107"/>
      <c r="K1215" s="107"/>
      <c r="L1215" s="107"/>
      <c r="M1215" s="107"/>
    </row>
    <row r="1216" spans="1:13" ht="16" thickBot="1" x14ac:dyDescent="0.25">
      <c r="A1216" s="141" t="s">
        <v>2361</v>
      </c>
      <c r="B1216" s="107"/>
      <c r="C1216" s="107"/>
      <c r="D1216" s="448">
        <v>463090</v>
      </c>
      <c r="E1216" s="448">
        <v>545</v>
      </c>
      <c r="F1216" s="107"/>
      <c r="G1216" s="107"/>
      <c r="H1216" s="107"/>
      <c r="I1216" s="107"/>
      <c r="J1216" s="107"/>
      <c r="K1216" s="107"/>
      <c r="L1216" s="107"/>
      <c r="M1216" s="107"/>
    </row>
    <row r="1217" spans="1:13" x14ac:dyDescent="0.2">
      <c r="A1217" s="141" t="s">
        <v>2362</v>
      </c>
      <c r="B1217" s="107"/>
      <c r="C1217" s="107"/>
      <c r="D1217" s="107"/>
      <c r="E1217" s="107"/>
      <c r="F1217" s="107"/>
      <c r="G1217" s="107"/>
      <c r="H1217" s="107"/>
      <c r="I1217" s="107"/>
      <c r="J1217" s="107"/>
      <c r="K1217" s="107"/>
      <c r="L1217" s="107"/>
      <c r="M1217" s="107"/>
    </row>
    <row r="1218" spans="1:13" x14ac:dyDescent="0.2">
      <c r="A1218" s="107"/>
      <c r="B1218" s="107"/>
      <c r="C1218" s="107"/>
      <c r="D1218" s="708" t="s">
        <v>2363</v>
      </c>
      <c r="E1218" s="708"/>
      <c r="F1218" s="708" t="s">
        <v>2364</v>
      </c>
      <c r="G1218" s="708"/>
      <c r="H1218" s="107"/>
      <c r="I1218" s="107"/>
      <c r="J1218" s="107"/>
      <c r="K1218" s="107"/>
      <c r="L1218" s="107"/>
      <c r="M1218" s="107"/>
    </row>
    <row r="1219" spans="1:13" x14ac:dyDescent="0.2">
      <c r="A1219" s="107" t="s">
        <v>2365</v>
      </c>
      <c r="B1219" s="107">
        <v>1803272</v>
      </c>
      <c r="C1219" s="107">
        <v>153</v>
      </c>
      <c r="D1219" s="107"/>
      <c r="E1219" s="107"/>
      <c r="F1219" s="107"/>
      <c r="G1219" s="107"/>
      <c r="H1219" s="107"/>
      <c r="I1219" s="107"/>
      <c r="J1219" s="107"/>
      <c r="K1219" s="107"/>
      <c r="L1219" s="107"/>
      <c r="M1219" s="107"/>
    </row>
    <row r="1220" spans="1:13" ht="16" thickBot="1" x14ac:dyDescent="0.25">
      <c r="A1220" s="107" t="s">
        <v>2366</v>
      </c>
      <c r="B1220" s="187">
        <v>2278170</v>
      </c>
      <c r="C1220" s="187">
        <v>459</v>
      </c>
      <c r="D1220" s="107"/>
      <c r="E1220" s="107"/>
      <c r="F1220" s="107">
        <v>474898</v>
      </c>
      <c r="G1220" s="107">
        <v>306</v>
      </c>
      <c r="H1220" s="107"/>
      <c r="I1220" s="107"/>
      <c r="J1220" s="107"/>
      <c r="K1220" s="107"/>
      <c r="L1220" s="107"/>
      <c r="M1220" s="107"/>
    </row>
    <row r="1221" spans="1:13" x14ac:dyDescent="0.2">
      <c r="A1221" s="107" t="s">
        <v>2367</v>
      </c>
      <c r="B1221" s="709">
        <v>1766916</v>
      </c>
      <c r="C1221" s="709">
        <v>667</v>
      </c>
      <c r="D1221" s="107"/>
      <c r="E1221" s="107"/>
      <c r="F1221" s="107"/>
      <c r="G1221" s="107"/>
      <c r="H1221" s="107"/>
      <c r="I1221" s="107"/>
      <c r="J1221" s="107"/>
      <c r="K1221" s="107"/>
      <c r="L1221" s="107"/>
      <c r="M1221" s="107"/>
    </row>
    <row r="1222" spans="1:13" ht="16" thickBot="1" x14ac:dyDescent="0.25">
      <c r="A1222" s="107" t="s">
        <v>2368</v>
      </c>
      <c r="B1222" s="187">
        <v>2164518</v>
      </c>
      <c r="C1222" s="187">
        <v>16</v>
      </c>
      <c r="D1222" s="107"/>
      <c r="E1222" s="107"/>
      <c r="F1222" s="107">
        <v>397601</v>
      </c>
      <c r="G1222" s="107">
        <v>349</v>
      </c>
      <c r="H1222" s="107"/>
      <c r="I1222" s="107"/>
      <c r="J1222" s="107"/>
      <c r="K1222" s="107"/>
      <c r="L1222" s="107"/>
      <c r="M1222" s="107"/>
    </row>
    <row r="1223" spans="1:13" x14ac:dyDescent="0.2">
      <c r="A1223" s="107" t="s">
        <v>2369</v>
      </c>
      <c r="B1223" s="709">
        <v>2123485</v>
      </c>
      <c r="C1223" s="709">
        <v>705</v>
      </c>
      <c r="D1223" s="107"/>
      <c r="E1223" s="107"/>
      <c r="F1223" s="107"/>
      <c r="G1223" s="107"/>
      <c r="H1223" s="107"/>
      <c r="I1223" s="107"/>
      <c r="J1223" s="107"/>
      <c r="K1223" s="107"/>
      <c r="L1223" s="107"/>
      <c r="M1223" s="107"/>
    </row>
    <row r="1224" spans="1:13" ht="16" thickBot="1" x14ac:dyDescent="0.25">
      <c r="A1224" s="107" t="s">
        <v>2370</v>
      </c>
      <c r="B1224" s="187">
        <v>1943390</v>
      </c>
      <c r="C1224" s="187">
        <v>437</v>
      </c>
      <c r="D1224" s="107">
        <v>180095</v>
      </c>
      <c r="E1224" s="107">
        <v>268</v>
      </c>
      <c r="F1224" s="107"/>
      <c r="G1224" s="107"/>
      <c r="H1224" s="107"/>
      <c r="I1224" s="107"/>
      <c r="J1224" s="107"/>
      <c r="K1224" s="107"/>
      <c r="L1224" s="107"/>
      <c r="M1224" s="107"/>
    </row>
    <row r="1225" spans="1:13" x14ac:dyDescent="0.2">
      <c r="A1225" s="107" t="s">
        <v>2371</v>
      </c>
      <c r="B1225" s="709">
        <v>1790926</v>
      </c>
      <c r="C1225" s="709">
        <v>139</v>
      </c>
      <c r="D1225" s="107"/>
      <c r="E1225" s="107"/>
      <c r="F1225" s="107"/>
      <c r="G1225" s="107"/>
      <c r="H1225" s="107"/>
      <c r="I1225" s="107"/>
      <c r="J1225" s="107"/>
      <c r="K1225" s="107"/>
      <c r="L1225" s="107"/>
      <c r="M1225" s="107"/>
    </row>
    <row r="1226" spans="1:13" ht="16" thickBot="1" x14ac:dyDescent="0.25">
      <c r="A1226" s="107" t="s">
        <v>2372</v>
      </c>
      <c r="B1226" s="187">
        <v>2185526</v>
      </c>
      <c r="C1226" s="187">
        <v>223</v>
      </c>
      <c r="D1226" s="107"/>
      <c r="E1226" s="107"/>
      <c r="F1226" s="107">
        <v>394600</v>
      </c>
      <c r="G1226" s="107">
        <v>84</v>
      </c>
      <c r="H1226" s="107"/>
      <c r="I1226" s="107"/>
      <c r="J1226" s="107"/>
      <c r="K1226" s="107"/>
      <c r="L1226" s="107"/>
      <c r="M1226" s="107"/>
    </row>
    <row r="1227" spans="1:13" x14ac:dyDescent="0.2">
      <c r="A1227" s="107" t="s">
        <v>2373</v>
      </c>
      <c r="B1227" s="709">
        <v>3377223</v>
      </c>
      <c r="C1227" s="709">
        <v>673</v>
      </c>
      <c r="D1227" s="107"/>
      <c r="E1227" s="107"/>
      <c r="F1227" s="107"/>
      <c r="G1227" s="107"/>
      <c r="H1227" s="107"/>
      <c r="I1227" s="107"/>
      <c r="J1227" s="107"/>
      <c r="K1227" s="107"/>
      <c r="L1227" s="107"/>
      <c r="M1227" s="107"/>
    </row>
    <row r="1228" spans="1:13" ht="16" thickBot="1" x14ac:dyDescent="0.25">
      <c r="A1228" s="107" t="s">
        <v>2374</v>
      </c>
      <c r="B1228" s="187">
        <v>1993498</v>
      </c>
      <c r="C1228" s="187">
        <v>307</v>
      </c>
      <c r="D1228" s="107">
        <v>1383725</v>
      </c>
      <c r="E1228" s="107">
        <v>366</v>
      </c>
      <c r="F1228" s="107"/>
      <c r="G1228" s="107"/>
      <c r="H1228" s="107"/>
      <c r="I1228" s="107"/>
      <c r="J1228" s="107"/>
      <c r="K1228" s="107"/>
      <c r="L1228" s="107"/>
      <c r="M1228" s="107"/>
    </row>
    <row r="1229" spans="1:13" x14ac:dyDescent="0.2">
      <c r="A1229" s="107" t="s">
        <v>2375</v>
      </c>
      <c r="B1229" s="709">
        <v>1880213</v>
      </c>
      <c r="C1229" s="709">
        <v>581</v>
      </c>
      <c r="D1229" s="107"/>
      <c r="E1229" s="107"/>
      <c r="F1229" s="107"/>
      <c r="G1229" s="107"/>
      <c r="H1229" s="107"/>
      <c r="I1229" s="107"/>
      <c r="J1229" s="107"/>
      <c r="K1229" s="107"/>
      <c r="L1229" s="107"/>
      <c r="M1229" s="107"/>
    </row>
    <row r="1230" spans="1:13" ht="16" thickBot="1" x14ac:dyDescent="0.25">
      <c r="A1230" s="107" t="s">
        <v>2376</v>
      </c>
      <c r="B1230" s="187">
        <v>1713843</v>
      </c>
      <c r="C1230" s="187">
        <v>931</v>
      </c>
      <c r="D1230" s="187">
        <v>166369</v>
      </c>
      <c r="E1230" s="187">
        <v>650</v>
      </c>
      <c r="F1230" s="187"/>
      <c r="G1230" s="187"/>
      <c r="H1230" s="107"/>
      <c r="I1230" s="107"/>
      <c r="J1230" s="107"/>
      <c r="K1230" s="107"/>
      <c r="L1230" s="107"/>
      <c r="M1230" s="107"/>
    </row>
    <row r="1231" spans="1:13" x14ac:dyDescent="0.2">
      <c r="A1231" s="107"/>
      <c r="B1231" s="145"/>
      <c r="C1231" s="145"/>
      <c r="D1231" s="145">
        <v>1730190</v>
      </c>
      <c r="E1231" s="145">
        <v>284</v>
      </c>
      <c r="F1231" s="145">
        <v>1267099</v>
      </c>
      <c r="G1231" s="145">
        <v>739</v>
      </c>
      <c r="H1231" s="107"/>
      <c r="I1231" s="107"/>
      <c r="J1231" s="107"/>
      <c r="K1231" s="107"/>
      <c r="L1231" s="107"/>
      <c r="M1231" s="107"/>
    </row>
    <row r="1232" spans="1:13" x14ac:dyDescent="0.2">
      <c r="A1232" s="107"/>
      <c r="B1232" s="145"/>
      <c r="C1232" s="145"/>
      <c r="D1232" s="138">
        <f>+SUM(D1219:D1230)</f>
        <v>1730189</v>
      </c>
      <c r="E1232" s="138">
        <f>+SUM(E1219:E1230)</f>
        <v>1284</v>
      </c>
      <c r="F1232" s="138">
        <f>+SUM(F1219:F1230)</f>
        <v>1267099</v>
      </c>
      <c r="G1232" s="138">
        <f>+SUM(G1219:G1230)</f>
        <v>739</v>
      </c>
      <c r="H1232" s="107"/>
      <c r="I1232" s="107"/>
      <c r="J1232" s="107"/>
      <c r="K1232" s="107"/>
      <c r="L1232" s="107"/>
      <c r="M1232" s="107"/>
    </row>
    <row r="1233" spans="1:13" x14ac:dyDescent="0.2">
      <c r="A1233" s="610" t="s">
        <v>2377</v>
      </c>
      <c r="B1233" s="610"/>
      <c r="C1233" s="610"/>
      <c r="D1233" s="708">
        <v>463090</v>
      </c>
      <c r="E1233" s="708"/>
      <c r="F1233" s="708">
        <v>545</v>
      </c>
      <c r="G1233" s="708"/>
      <c r="H1233" s="107"/>
      <c r="I1233" s="107"/>
      <c r="J1233" s="107"/>
      <c r="K1233" s="107"/>
      <c r="L1233" s="107"/>
      <c r="M1233" s="107"/>
    </row>
    <row r="1234" spans="1:13" ht="61" thickBot="1" x14ac:dyDescent="0.25">
      <c r="A1234" s="710" t="s">
        <v>2378</v>
      </c>
      <c r="B1234" s="187">
        <v>619446</v>
      </c>
      <c r="C1234" s="187">
        <v>270</v>
      </c>
      <c r="D1234" s="107"/>
      <c r="E1234" s="107"/>
      <c r="F1234" s="107"/>
      <c r="G1234" s="107"/>
      <c r="H1234" s="107"/>
      <c r="I1234" s="107"/>
      <c r="J1234" s="107"/>
      <c r="K1234" s="107"/>
      <c r="L1234" s="107"/>
      <c r="M1234" s="107"/>
    </row>
    <row r="1235" spans="1:13" x14ac:dyDescent="0.2">
      <c r="A1235" s="107" t="s">
        <v>2379</v>
      </c>
      <c r="B1235" s="107">
        <v>156355</v>
      </c>
      <c r="C1235" s="107">
        <v>725</v>
      </c>
      <c r="D1235" s="107"/>
      <c r="E1235" s="107"/>
      <c r="F1235" s="107"/>
      <c r="G1235" s="107"/>
      <c r="H1235" s="107"/>
      <c r="I1235" s="107"/>
      <c r="J1235" s="107"/>
      <c r="K1235" s="107"/>
      <c r="L1235" s="107"/>
      <c r="M1235" s="107"/>
    </row>
    <row r="1236" spans="1:13" ht="31" thickBot="1" x14ac:dyDescent="0.25">
      <c r="A1236" s="710" t="s">
        <v>2380</v>
      </c>
      <c r="B1236" s="187">
        <v>1267803</v>
      </c>
      <c r="C1236" s="187">
        <v>568</v>
      </c>
      <c r="D1236" s="107"/>
      <c r="E1236" s="107"/>
      <c r="F1236" s="107"/>
      <c r="G1236" s="107"/>
      <c r="H1236" s="107"/>
      <c r="I1236" s="107"/>
      <c r="J1236" s="107"/>
      <c r="K1236" s="107"/>
      <c r="L1236" s="107"/>
      <c r="M1236" s="107"/>
    </row>
    <row r="1237" spans="1:13" ht="16" thickBot="1" x14ac:dyDescent="0.25">
      <c r="A1237" s="107" t="s">
        <v>2381</v>
      </c>
      <c r="B1237" s="448">
        <v>1111447</v>
      </c>
      <c r="C1237" s="448">
        <v>843</v>
      </c>
      <c r="D1237" s="107"/>
      <c r="E1237" s="107"/>
      <c r="F1237" s="107"/>
      <c r="G1237" s="107"/>
      <c r="H1237" s="107"/>
      <c r="I1237" s="107"/>
      <c r="J1237" s="107"/>
      <c r="K1237" s="107"/>
      <c r="L1237" s="107"/>
      <c r="M1237" s="107"/>
    </row>
    <row r="1238" spans="1:13" x14ac:dyDescent="0.2">
      <c r="A1238" s="107"/>
      <c r="B1238" s="145"/>
      <c r="C1238" s="145"/>
      <c r="D1238" s="107"/>
      <c r="E1238" s="107"/>
      <c r="F1238" s="107"/>
      <c r="G1238" s="107"/>
      <c r="H1238" s="107"/>
      <c r="I1238" s="107"/>
      <c r="J1238" s="107"/>
      <c r="K1238" s="107"/>
      <c r="L1238" s="107"/>
      <c r="M1238" s="107"/>
    </row>
    <row r="1239" spans="1:13" x14ac:dyDescent="0.2">
      <c r="A1239" s="107"/>
      <c r="B1239" s="145"/>
      <c r="C1239" s="145"/>
      <c r="D1239" s="107"/>
      <c r="E1239" s="107"/>
      <c r="F1239" s="107"/>
      <c r="G1239" s="107"/>
      <c r="H1239" s="107"/>
      <c r="I1239" s="107"/>
      <c r="J1239" s="107"/>
      <c r="K1239" s="107"/>
      <c r="L1239" s="107"/>
      <c r="M1239" s="107"/>
    </row>
    <row r="1240" spans="1:13" x14ac:dyDescent="0.2">
      <c r="A1240" s="107"/>
      <c r="B1240" s="145"/>
      <c r="C1240" s="145"/>
      <c r="D1240" s="107"/>
      <c r="E1240" s="107"/>
      <c r="F1240" s="107"/>
      <c r="G1240" s="107"/>
      <c r="H1240" s="107"/>
      <c r="I1240" s="107"/>
      <c r="J1240" s="107"/>
      <c r="K1240" s="107"/>
      <c r="L1240" s="107"/>
      <c r="M1240" s="107"/>
    </row>
    <row r="1241" spans="1:13" x14ac:dyDescent="0.2">
      <c r="A1241" s="526" t="s">
        <v>2382</v>
      </c>
      <c r="B1241" s="145"/>
      <c r="C1241" s="145"/>
      <c r="D1241" s="107"/>
      <c r="E1241" s="107"/>
      <c r="F1241" s="107"/>
      <c r="G1241" s="107"/>
      <c r="H1241" s="107"/>
      <c r="I1241" s="107"/>
      <c r="J1241" s="107"/>
      <c r="K1241" s="107"/>
      <c r="L1241" s="107"/>
      <c r="M1241" s="107"/>
    </row>
    <row r="1242" spans="1:13" ht="44" customHeight="1" x14ac:dyDescent="0.2">
      <c r="A1242" s="711" t="s">
        <v>1881</v>
      </c>
      <c r="B1242" s="485" t="s">
        <v>2383</v>
      </c>
      <c r="C1242" s="712"/>
      <c r="D1242" s="712"/>
      <c r="E1242" s="486"/>
      <c r="F1242" s="713" t="s">
        <v>2384</v>
      </c>
      <c r="G1242" s="713"/>
      <c r="H1242" s="713"/>
      <c r="I1242" s="714"/>
      <c r="J1242" s="107"/>
      <c r="K1242" s="107"/>
      <c r="L1242" s="107"/>
      <c r="M1242" s="107"/>
    </row>
    <row r="1243" spans="1:13" ht="44" customHeight="1" x14ac:dyDescent="0.2">
      <c r="A1243" s="715"/>
      <c r="B1243" s="485" t="s">
        <v>2385</v>
      </c>
      <c r="C1243" s="486"/>
      <c r="D1243" s="485" t="s">
        <v>2386</v>
      </c>
      <c r="E1243" s="486"/>
      <c r="F1243" s="485" t="s">
        <v>2387</v>
      </c>
      <c r="G1243" s="486"/>
      <c r="H1243" s="485" t="s">
        <v>2388</v>
      </c>
      <c r="I1243" s="486"/>
      <c r="J1243" s="107"/>
      <c r="K1243" s="107"/>
      <c r="L1243" s="107"/>
      <c r="M1243" s="107"/>
    </row>
    <row r="1244" spans="1:13" x14ac:dyDescent="0.2">
      <c r="A1244" s="716" t="s">
        <v>1174</v>
      </c>
      <c r="B1244" s="131">
        <v>854567</v>
      </c>
      <c r="C1244" s="307">
        <v>905</v>
      </c>
      <c r="D1244" s="131">
        <v>860660</v>
      </c>
      <c r="E1244" s="307">
        <v>268</v>
      </c>
      <c r="F1244" s="131">
        <v>6092</v>
      </c>
      <c r="G1244" s="307">
        <v>363</v>
      </c>
      <c r="H1244" s="131"/>
      <c r="I1244" s="307"/>
      <c r="J1244" s="107"/>
      <c r="K1244" s="107"/>
      <c r="L1244" s="107"/>
      <c r="M1244" s="107"/>
    </row>
    <row r="1245" spans="1:13" x14ac:dyDescent="0.2">
      <c r="A1245" s="533" t="s">
        <v>2389</v>
      </c>
      <c r="B1245" s="131">
        <v>79971</v>
      </c>
      <c r="C1245" s="307">
        <v>215</v>
      </c>
      <c r="D1245" s="131">
        <v>82011</v>
      </c>
      <c r="E1245" s="307">
        <v>869</v>
      </c>
      <c r="F1245" s="131">
        <v>2040</v>
      </c>
      <c r="G1245" s="307">
        <v>654</v>
      </c>
      <c r="H1245" s="131"/>
      <c r="I1245" s="307"/>
      <c r="J1245" s="107"/>
      <c r="K1245" s="107"/>
      <c r="L1245" s="107"/>
      <c r="M1245" s="107"/>
    </row>
    <row r="1246" spans="1:13" x14ac:dyDescent="0.2">
      <c r="A1246" s="533" t="s">
        <v>1569</v>
      </c>
      <c r="B1246" s="131">
        <v>596657</v>
      </c>
      <c r="C1246" s="307">
        <v>539</v>
      </c>
      <c r="D1246" s="131">
        <v>615641</v>
      </c>
      <c r="E1246" s="307">
        <v>292</v>
      </c>
      <c r="F1246" s="131">
        <v>18983</v>
      </c>
      <c r="G1246" s="307">
        <v>753</v>
      </c>
      <c r="H1246" s="131"/>
      <c r="I1246" s="307"/>
      <c r="J1246" s="107"/>
      <c r="K1246" s="107"/>
      <c r="L1246" s="107"/>
      <c r="M1246" s="107"/>
    </row>
    <row r="1247" spans="1:13" x14ac:dyDescent="0.2">
      <c r="A1247" s="533" t="s">
        <v>1175</v>
      </c>
      <c r="B1247" s="131">
        <v>47412</v>
      </c>
      <c r="C1247" s="307">
        <v>559</v>
      </c>
      <c r="D1247" s="131">
        <v>62192</v>
      </c>
      <c r="E1247" s="307">
        <v>844</v>
      </c>
      <c r="F1247" s="131">
        <v>14780</v>
      </c>
      <c r="G1247" s="307">
        <v>285</v>
      </c>
      <c r="H1247" s="131"/>
      <c r="I1247" s="307"/>
      <c r="J1247" s="107"/>
      <c r="K1247" s="107"/>
      <c r="L1247" s="107"/>
      <c r="M1247" s="107"/>
    </row>
    <row r="1248" spans="1:13" x14ac:dyDescent="0.2">
      <c r="A1248" s="533" t="s">
        <v>1401</v>
      </c>
      <c r="B1248" s="131">
        <v>21134</v>
      </c>
      <c r="C1248" s="307">
        <v>25</v>
      </c>
      <c r="D1248" s="131"/>
      <c r="E1248" s="307"/>
      <c r="F1248" s="131"/>
      <c r="G1248" s="307"/>
      <c r="H1248" s="131">
        <v>21134</v>
      </c>
      <c r="I1248" s="307">
        <v>25</v>
      </c>
      <c r="J1248" s="107"/>
      <c r="K1248" s="107"/>
      <c r="L1248" s="107"/>
      <c r="M1248" s="107"/>
    </row>
    <row r="1249" spans="1:13" x14ac:dyDescent="0.2">
      <c r="A1249" s="533" t="s">
        <v>2390</v>
      </c>
      <c r="B1249" s="131"/>
      <c r="C1249" s="307"/>
      <c r="D1249" s="131">
        <v>4284</v>
      </c>
      <c r="E1249" s="307">
        <v>600</v>
      </c>
      <c r="F1249" s="131">
        <v>4284</v>
      </c>
      <c r="G1249" s="307">
        <v>600</v>
      </c>
      <c r="H1249" s="131"/>
      <c r="I1249" s="307"/>
      <c r="J1249" s="107"/>
      <c r="K1249" s="107"/>
      <c r="L1249" s="107"/>
      <c r="M1249" s="107"/>
    </row>
    <row r="1250" spans="1:13" x14ac:dyDescent="0.2">
      <c r="A1250" s="533" t="s">
        <v>1573</v>
      </c>
      <c r="B1250" s="131">
        <v>30244</v>
      </c>
      <c r="C1250" s="307">
        <v>400</v>
      </c>
      <c r="D1250" s="131">
        <v>28683</v>
      </c>
      <c r="E1250" s="307">
        <v>962</v>
      </c>
      <c r="F1250" s="131"/>
      <c r="G1250" s="307"/>
      <c r="H1250" s="131">
        <v>1560</v>
      </c>
      <c r="I1250" s="307">
        <v>438</v>
      </c>
      <c r="J1250" s="107"/>
      <c r="K1250" s="107"/>
      <c r="L1250" s="107"/>
      <c r="M1250" s="107"/>
    </row>
    <row r="1251" spans="1:13" x14ac:dyDescent="0.2">
      <c r="A1251" s="533" t="s">
        <v>1991</v>
      </c>
      <c r="B1251" s="131">
        <v>22723</v>
      </c>
      <c r="C1251" s="307">
        <v>260</v>
      </c>
      <c r="D1251" s="131"/>
      <c r="E1251" s="307"/>
      <c r="F1251" s="131"/>
      <c r="G1251" s="307"/>
      <c r="H1251" s="131">
        <v>22723</v>
      </c>
      <c r="I1251" s="307">
        <v>260</v>
      </c>
      <c r="J1251" s="107"/>
      <c r="K1251" s="107"/>
      <c r="L1251" s="107"/>
      <c r="M1251" s="107"/>
    </row>
    <row r="1252" spans="1:13" x14ac:dyDescent="0.2">
      <c r="A1252" s="533" t="s">
        <v>1808</v>
      </c>
      <c r="B1252" s="131">
        <v>25448</v>
      </c>
      <c r="C1252" s="307">
        <v>240</v>
      </c>
      <c r="D1252" s="131">
        <v>24165</v>
      </c>
      <c r="E1252" s="307">
        <v>670</v>
      </c>
      <c r="F1252" s="131"/>
      <c r="G1252" s="307"/>
      <c r="H1252" s="131">
        <v>1282</v>
      </c>
      <c r="I1252" s="307">
        <v>570</v>
      </c>
      <c r="J1252" s="107"/>
      <c r="K1252" s="107"/>
      <c r="L1252" s="107"/>
      <c r="M1252" s="107"/>
    </row>
    <row r="1253" spans="1:13" x14ac:dyDescent="0.2">
      <c r="A1253" s="533" t="s">
        <v>2391</v>
      </c>
      <c r="B1253" s="131">
        <v>27761</v>
      </c>
      <c r="C1253" s="307">
        <v>246</v>
      </c>
      <c r="D1253" s="131">
        <v>29953</v>
      </c>
      <c r="E1253" s="307">
        <v>696</v>
      </c>
      <c r="F1253" s="131">
        <v>2192</v>
      </c>
      <c r="G1253" s="307">
        <v>450</v>
      </c>
      <c r="H1253" s="131"/>
      <c r="I1253" s="307"/>
      <c r="J1253" s="107"/>
      <c r="K1253" s="107"/>
      <c r="L1253" s="107"/>
      <c r="M1253" s="107"/>
    </row>
    <row r="1254" spans="1:13" x14ac:dyDescent="0.2">
      <c r="A1254" s="533"/>
      <c r="B1254" s="349">
        <v>1705920</v>
      </c>
      <c r="C1254" s="717">
        <v>389</v>
      </c>
      <c r="D1254" s="349">
        <v>1707594</v>
      </c>
      <c r="E1254" s="717">
        <v>201</v>
      </c>
      <c r="F1254" s="349">
        <v>48374</v>
      </c>
      <c r="G1254" s="717">
        <v>105</v>
      </c>
      <c r="H1254" s="349">
        <v>46700</v>
      </c>
      <c r="I1254" s="717">
        <v>293</v>
      </c>
      <c r="J1254" s="107"/>
      <c r="K1254" s="107"/>
      <c r="L1254" s="107"/>
      <c r="M1254" s="107"/>
    </row>
    <row r="1255" spans="1:13" x14ac:dyDescent="0.2">
      <c r="A1255" s="533"/>
      <c r="B1255" s="137">
        <f>+SUM(B1244:B1253)</f>
        <v>1705917</v>
      </c>
      <c r="C1255" s="137">
        <f t="shared" ref="C1255:I1255" si="13">+SUM(C1244:C1253)</f>
        <v>3389</v>
      </c>
      <c r="D1255" s="137">
        <f t="shared" si="13"/>
        <v>1707589</v>
      </c>
      <c r="E1255" s="137">
        <f t="shared" si="13"/>
        <v>5201</v>
      </c>
      <c r="F1255" s="137">
        <f t="shared" si="13"/>
        <v>48371</v>
      </c>
      <c r="G1255" s="137">
        <f t="shared" si="13"/>
        <v>3105</v>
      </c>
      <c r="H1255" s="137">
        <f t="shared" si="13"/>
        <v>46699</v>
      </c>
      <c r="I1255" s="718">
        <f t="shared" si="13"/>
        <v>1293</v>
      </c>
      <c r="J1255" s="107"/>
      <c r="K1255" s="107"/>
      <c r="L1255" s="107"/>
      <c r="M1255" s="107"/>
    </row>
    <row r="1256" spans="1:13" x14ac:dyDescent="0.2">
      <c r="A1256" s="535" t="s">
        <v>2392</v>
      </c>
      <c r="B1256" s="131">
        <v>1673</v>
      </c>
      <c r="C1256" s="307">
        <v>812</v>
      </c>
      <c r="D1256" s="131"/>
      <c r="E1256" s="307"/>
      <c r="F1256" s="131"/>
      <c r="G1256" s="307"/>
      <c r="H1256" s="131">
        <v>1673</v>
      </c>
      <c r="I1256" s="307"/>
      <c r="J1256" s="107"/>
      <c r="K1256" s="107"/>
      <c r="L1256" s="107"/>
      <c r="M1256" s="107"/>
    </row>
    <row r="1257" spans="1:13" ht="29" customHeight="1" x14ac:dyDescent="0.2">
      <c r="A1257" s="535"/>
      <c r="B1257" s="240">
        <v>1707594</v>
      </c>
      <c r="C1257" s="513">
        <v>201</v>
      </c>
      <c r="D1257" s="240">
        <v>1707594</v>
      </c>
      <c r="E1257" s="513">
        <v>201</v>
      </c>
      <c r="F1257" s="240">
        <v>48374</v>
      </c>
      <c r="G1257" s="513">
        <v>105</v>
      </c>
      <c r="H1257" s="240">
        <v>48374</v>
      </c>
      <c r="I1257" s="513">
        <v>105</v>
      </c>
      <c r="J1257" s="107"/>
      <c r="K1257" s="107"/>
      <c r="L1257" s="107"/>
      <c r="M1257" s="107"/>
    </row>
    <row r="1258" spans="1:13" x14ac:dyDescent="0.2">
      <c r="A1258" s="107"/>
      <c r="B1258" s="107"/>
      <c r="C1258" s="107"/>
      <c r="D1258" s="107"/>
      <c r="E1258" s="107"/>
      <c r="F1258" s="107"/>
      <c r="G1258" s="107"/>
      <c r="H1258" s="107"/>
      <c r="I1258" s="107"/>
      <c r="J1258" s="107"/>
      <c r="K1258" s="107"/>
      <c r="L1258" s="107"/>
      <c r="M1258" s="107"/>
    </row>
    <row r="1259" spans="1:13" x14ac:dyDescent="0.2">
      <c r="A1259" s="107"/>
      <c r="B1259" s="107"/>
      <c r="C1259" s="107"/>
      <c r="D1259" s="107"/>
      <c r="E1259" s="107"/>
      <c r="F1259" s="107"/>
      <c r="G1259" s="107"/>
      <c r="H1259" s="107"/>
      <c r="I1259" s="107"/>
      <c r="J1259" s="107"/>
      <c r="K1259" s="107"/>
      <c r="L1259" s="107"/>
      <c r="M1259" s="107"/>
    </row>
    <row r="1260" spans="1:13" x14ac:dyDescent="0.2">
      <c r="A1260" s="107"/>
      <c r="B1260" s="107"/>
      <c r="C1260" s="107"/>
      <c r="D1260" s="107"/>
      <c r="E1260" s="107"/>
      <c r="F1260" s="107"/>
      <c r="G1260" s="107"/>
      <c r="H1260" s="107"/>
      <c r="I1260" s="107"/>
      <c r="J1260" s="107"/>
      <c r="K1260" s="107"/>
      <c r="L1260" s="107"/>
      <c r="M1260" s="107"/>
    </row>
    <row r="1261" spans="1:13" x14ac:dyDescent="0.2">
      <c r="A1261" s="526" t="s">
        <v>2393</v>
      </c>
      <c r="B1261" s="107"/>
      <c r="C1261" s="107"/>
      <c r="D1261" s="107"/>
      <c r="E1261" s="107"/>
      <c r="F1261" s="107"/>
      <c r="G1261" s="107"/>
      <c r="H1261" s="107"/>
      <c r="I1261" s="107"/>
      <c r="J1261" s="107"/>
      <c r="K1261" s="107"/>
      <c r="L1261" s="107"/>
      <c r="M1261" s="107"/>
    </row>
    <row r="1262" spans="1:13" ht="49.25" customHeight="1" x14ac:dyDescent="0.2">
      <c r="A1262" s="719" t="s">
        <v>2394</v>
      </c>
      <c r="B1262" s="720"/>
      <c r="C1262" s="720"/>
      <c r="D1262" s="720"/>
      <c r="E1262" s="720"/>
      <c r="F1262" s="720"/>
      <c r="G1262" s="720"/>
      <c r="H1262" s="720"/>
      <c r="I1262" s="720"/>
      <c r="J1262" s="720"/>
      <c r="K1262" s="720"/>
      <c r="L1262" s="720"/>
      <c r="M1262" s="721"/>
    </row>
    <row r="1263" spans="1:13" x14ac:dyDescent="0.2">
      <c r="A1263" s="480" t="s">
        <v>2395</v>
      </c>
      <c r="B1263" s="481"/>
      <c r="C1263" s="481"/>
      <c r="D1263" s="481"/>
      <c r="E1263" s="481"/>
      <c r="F1263" s="481"/>
      <c r="G1263" s="481"/>
      <c r="H1263" s="481"/>
      <c r="I1263" s="481"/>
      <c r="J1263" s="481"/>
      <c r="K1263" s="481"/>
      <c r="L1263" s="145"/>
      <c r="M1263" s="307"/>
    </row>
    <row r="1264" spans="1:13" x14ac:dyDescent="0.2">
      <c r="A1264" s="480" t="s">
        <v>2396</v>
      </c>
      <c r="B1264" s="481"/>
      <c r="C1264" s="481"/>
      <c r="D1264" s="481"/>
      <c r="E1264" s="481"/>
      <c r="F1264" s="481"/>
      <c r="G1264" s="481"/>
      <c r="H1264" s="481"/>
      <c r="I1264" s="481"/>
      <c r="J1264" s="481"/>
      <c r="K1264" s="481"/>
      <c r="L1264" s="145">
        <v>76507</v>
      </c>
      <c r="M1264" s="307">
        <v>245</v>
      </c>
    </row>
    <row r="1265" spans="1:13" ht="16" thickBot="1" x14ac:dyDescent="0.25">
      <c r="A1265" s="480" t="s">
        <v>2397</v>
      </c>
      <c r="B1265" s="481"/>
      <c r="C1265" s="481"/>
      <c r="D1265" s="481"/>
      <c r="E1265" s="481"/>
      <c r="F1265" s="481"/>
      <c r="G1265" s="481"/>
      <c r="H1265" s="481"/>
      <c r="I1265" s="481"/>
      <c r="J1265" s="481"/>
      <c r="K1265" s="481"/>
      <c r="L1265" s="187">
        <v>26287</v>
      </c>
      <c r="M1265" s="444">
        <v>348</v>
      </c>
    </row>
    <row r="1266" spans="1:13" x14ac:dyDescent="0.2">
      <c r="A1266" s="494"/>
      <c r="B1266" s="495"/>
      <c r="C1266" s="495"/>
      <c r="D1266" s="495"/>
      <c r="E1266" s="495"/>
      <c r="F1266" s="495"/>
      <c r="G1266" s="495"/>
      <c r="H1266" s="495"/>
      <c r="I1266" s="495"/>
      <c r="J1266" s="495"/>
      <c r="K1266" s="495"/>
      <c r="L1266" s="623">
        <v>102794</v>
      </c>
      <c r="M1266" s="722">
        <v>593</v>
      </c>
    </row>
    <row r="1267" spans="1:13" x14ac:dyDescent="0.2">
      <c r="A1267" s="723"/>
      <c r="B1267" s="724"/>
      <c r="C1267" s="724"/>
      <c r="D1267" s="724"/>
      <c r="E1267" s="724"/>
      <c r="F1267" s="724"/>
      <c r="G1267" s="724"/>
      <c r="H1267" s="724"/>
      <c r="I1267" s="724"/>
      <c r="J1267" s="724"/>
      <c r="K1267" s="724"/>
      <c r="L1267" s="571">
        <f>+SUM(L1264:L1265)</f>
        <v>102794</v>
      </c>
      <c r="M1267" s="725">
        <f>+SUM(M1264:M1265)</f>
        <v>593</v>
      </c>
    </row>
    <row r="1268" spans="1:13" ht="33" customHeight="1" thickBot="1" x14ac:dyDescent="0.25">
      <c r="A1268" s="726" t="s">
        <v>2177</v>
      </c>
      <c r="B1268" s="727"/>
      <c r="C1268" s="727"/>
      <c r="D1268" s="727"/>
      <c r="E1268" s="727"/>
      <c r="F1268" s="727"/>
      <c r="G1268" s="727"/>
      <c r="H1268" s="727"/>
      <c r="I1268" s="727"/>
      <c r="J1268" s="727"/>
      <c r="K1268" s="727"/>
      <c r="L1268" s="495"/>
      <c r="M1268" s="550"/>
    </row>
    <row r="1269" spans="1:13" ht="90" customHeight="1" x14ac:dyDescent="0.2">
      <c r="A1269" s="728" t="s">
        <v>2398</v>
      </c>
      <c r="B1269" s="606" t="s">
        <v>2399</v>
      </c>
      <c r="C1269" s="644"/>
      <c r="D1269" s="606" t="s">
        <v>2400</v>
      </c>
      <c r="E1269" s="607"/>
      <c r="F1269" s="644" t="s">
        <v>2401</v>
      </c>
      <c r="G1269" s="607"/>
      <c r="H1269" s="606" t="s">
        <v>2402</v>
      </c>
      <c r="I1269" s="607"/>
      <c r="J1269" s="606" t="s">
        <v>2403</v>
      </c>
      <c r="K1269" s="607"/>
      <c r="L1269" s="495"/>
      <c r="M1269" s="550"/>
    </row>
    <row r="1270" spans="1:13" x14ac:dyDescent="0.2">
      <c r="A1270" s="533" t="s">
        <v>1174</v>
      </c>
      <c r="B1270" s="131">
        <v>527948</v>
      </c>
      <c r="C1270" s="145">
        <v>23</v>
      </c>
      <c r="D1270" s="131">
        <v>854567</v>
      </c>
      <c r="E1270" s="307">
        <v>905</v>
      </c>
      <c r="F1270" s="145">
        <v>1382515</v>
      </c>
      <c r="G1270" s="307">
        <v>928</v>
      </c>
      <c r="H1270" s="131">
        <v>923975</v>
      </c>
      <c r="I1270" s="307">
        <v>8</v>
      </c>
      <c r="J1270" s="131">
        <v>458540</v>
      </c>
      <c r="K1270" s="307">
        <v>920</v>
      </c>
      <c r="L1270" s="495"/>
      <c r="M1270" s="550"/>
    </row>
    <row r="1271" spans="1:13" x14ac:dyDescent="0.2">
      <c r="A1271" s="533" t="s">
        <v>1573</v>
      </c>
      <c r="B1271" s="131"/>
      <c r="C1271" s="145"/>
      <c r="D1271" s="131">
        <v>30244</v>
      </c>
      <c r="E1271" s="307">
        <v>400</v>
      </c>
      <c r="F1271" s="145">
        <v>30244</v>
      </c>
      <c r="G1271" s="307">
        <v>400</v>
      </c>
      <c r="H1271" s="131">
        <v>30244</v>
      </c>
      <c r="I1271" s="307">
        <v>400</v>
      </c>
      <c r="J1271" s="131"/>
      <c r="K1271" s="307"/>
      <c r="L1271" s="495"/>
      <c r="M1271" s="550"/>
    </row>
    <row r="1272" spans="1:13" x14ac:dyDescent="0.2">
      <c r="A1272" s="533" t="s">
        <v>1401</v>
      </c>
      <c r="B1272" s="131">
        <v>14199</v>
      </c>
      <c r="C1272" s="145">
        <v>166</v>
      </c>
      <c r="D1272" s="131">
        <v>21134</v>
      </c>
      <c r="E1272" s="307">
        <v>25</v>
      </c>
      <c r="F1272" s="145">
        <v>35333</v>
      </c>
      <c r="G1272" s="307">
        <v>191</v>
      </c>
      <c r="H1272" s="131">
        <v>26969</v>
      </c>
      <c r="I1272" s="307">
        <v>225</v>
      </c>
      <c r="J1272" s="131">
        <v>8363</v>
      </c>
      <c r="K1272" s="307">
        <v>966</v>
      </c>
      <c r="L1272" s="495"/>
      <c r="M1272" s="550"/>
    </row>
    <row r="1273" spans="1:13" x14ac:dyDescent="0.2">
      <c r="A1273" s="533" t="s">
        <v>2404</v>
      </c>
      <c r="B1273" s="131"/>
      <c r="C1273" s="145"/>
      <c r="D1273" s="131">
        <v>79971</v>
      </c>
      <c r="E1273" s="307">
        <v>215</v>
      </c>
      <c r="F1273" s="145">
        <v>79971</v>
      </c>
      <c r="G1273" s="307">
        <v>215</v>
      </c>
      <c r="H1273" s="131">
        <v>76153</v>
      </c>
      <c r="I1273" s="307">
        <v>400</v>
      </c>
      <c r="J1273" s="131">
        <v>3817</v>
      </c>
      <c r="K1273" s="307">
        <v>815</v>
      </c>
      <c r="L1273" s="495"/>
      <c r="M1273" s="550"/>
    </row>
    <row r="1274" spans="1:13" x14ac:dyDescent="0.2">
      <c r="A1274" s="533" t="s">
        <v>1808</v>
      </c>
      <c r="B1274" s="131">
        <v>46392</v>
      </c>
      <c r="C1274" s="145">
        <v>354</v>
      </c>
      <c r="D1274" s="131">
        <v>25448</v>
      </c>
      <c r="E1274" s="307">
        <v>240</v>
      </c>
      <c r="F1274" s="145">
        <v>71840</v>
      </c>
      <c r="G1274" s="307">
        <v>594</v>
      </c>
      <c r="H1274" s="131">
        <v>23413</v>
      </c>
      <c r="I1274" s="307">
        <v>965</v>
      </c>
      <c r="J1274" s="131">
        <v>48426</v>
      </c>
      <c r="K1274" s="307">
        <v>629</v>
      </c>
      <c r="L1274" s="495"/>
      <c r="M1274" s="550"/>
    </row>
    <row r="1275" spans="1:13" x14ac:dyDescent="0.2">
      <c r="A1275" s="533" t="s">
        <v>1175</v>
      </c>
      <c r="B1275" s="131">
        <v>43627</v>
      </c>
      <c r="C1275" s="145">
        <v>196</v>
      </c>
      <c r="D1275" s="131">
        <v>47412</v>
      </c>
      <c r="E1275" s="307">
        <v>559</v>
      </c>
      <c r="F1275" s="145">
        <v>91039</v>
      </c>
      <c r="G1275" s="307">
        <v>755</v>
      </c>
      <c r="H1275" s="131">
        <v>48206</v>
      </c>
      <c r="I1275" s="307">
        <v>239</v>
      </c>
      <c r="J1275" s="131">
        <v>42833</v>
      </c>
      <c r="K1275" s="307">
        <v>516</v>
      </c>
      <c r="L1275" s="495"/>
      <c r="M1275" s="550"/>
    </row>
    <row r="1276" spans="1:13" x14ac:dyDescent="0.2">
      <c r="A1276" s="533" t="s">
        <v>2405</v>
      </c>
      <c r="B1276" s="131"/>
      <c r="C1276" s="145"/>
      <c r="D1276" s="131">
        <v>22723</v>
      </c>
      <c r="E1276" s="307">
        <v>260</v>
      </c>
      <c r="F1276" s="145">
        <v>22723</v>
      </c>
      <c r="G1276" s="307">
        <v>260</v>
      </c>
      <c r="H1276" s="131">
        <v>22723</v>
      </c>
      <c r="I1276" s="307">
        <v>260</v>
      </c>
      <c r="J1276" s="131"/>
      <c r="K1276" s="307"/>
      <c r="L1276" s="495"/>
      <c r="M1276" s="550"/>
    </row>
    <row r="1277" spans="1:13" x14ac:dyDescent="0.2">
      <c r="A1277" s="533" t="s">
        <v>1569</v>
      </c>
      <c r="B1277" s="131">
        <v>4901</v>
      </c>
      <c r="C1277" s="145">
        <v>388</v>
      </c>
      <c r="D1277" s="131">
        <v>596657</v>
      </c>
      <c r="E1277" s="307">
        <v>539</v>
      </c>
      <c r="F1277" s="145">
        <v>601558</v>
      </c>
      <c r="G1277" s="307">
        <v>927</v>
      </c>
      <c r="H1277" s="131">
        <v>596867</v>
      </c>
      <c r="I1277" s="307">
        <v>439</v>
      </c>
      <c r="J1277" s="131">
        <v>4691</v>
      </c>
      <c r="K1277" s="307">
        <v>488</v>
      </c>
      <c r="L1277" s="495"/>
      <c r="M1277" s="550"/>
    </row>
    <row r="1278" spans="1:13" x14ac:dyDescent="0.2">
      <c r="A1278" s="533" t="s">
        <v>1992</v>
      </c>
      <c r="B1278" s="131">
        <v>1869</v>
      </c>
      <c r="C1278" s="145"/>
      <c r="D1278" s="131">
        <v>25823</v>
      </c>
      <c r="E1278" s="307">
        <v>482</v>
      </c>
      <c r="F1278" s="145">
        <v>27692</v>
      </c>
      <c r="G1278" s="307">
        <v>482</v>
      </c>
      <c r="H1278" s="131">
        <v>24460</v>
      </c>
      <c r="I1278" s="307">
        <v>957</v>
      </c>
      <c r="J1278" s="131">
        <v>3231</v>
      </c>
      <c r="K1278" s="307">
        <v>525</v>
      </c>
      <c r="L1278" s="495"/>
      <c r="M1278" s="550"/>
    </row>
    <row r="1279" spans="1:13" x14ac:dyDescent="0.2">
      <c r="A1279" s="533" t="s">
        <v>1812</v>
      </c>
      <c r="B1279" s="131">
        <v>445270</v>
      </c>
      <c r="C1279" s="145">
        <v>597</v>
      </c>
      <c r="D1279" s="131">
        <v>1937</v>
      </c>
      <c r="E1279" s="307">
        <v>764</v>
      </c>
      <c r="F1279" s="145">
        <v>447208</v>
      </c>
      <c r="G1279" s="307">
        <v>361</v>
      </c>
      <c r="H1279" s="131">
        <v>2293</v>
      </c>
      <c r="I1279" s="307">
        <v>364</v>
      </c>
      <c r="J1279" s="131">
        <v>444914</v>
      </c>
      <c r="K1279" s="307">
        <v>997</v>
      </c>
      <c r="L1279" s="495"/>
      <c r="M1279" s="550"/>
    </row>
    <row r="1280" spans="1:13" ht="30.5" customHeight="1" x14ac:dyDescent="0.2">
      <c r="A1280" s="535"/>
      <c r="B1280" s="240">
        <v>1084207</v>
      </c>
      <c r="C1280" s="318">
        <v>724</v>
      </c>
      <c r="D1280" s="240">
        <v>1705920</v>
      </c>
      <c r="E1280" s="513">
        <v>389</v>
      </c>
      <c r="F1280" s="318">
        <v>2790128</v>
      </c>
      <c r="G1280" s="513">
        <v>113</v>
      </c>
      <c r="H1280" s="240">
        <v>1775307</v>
      </c>
      <c r="I1280" s="513">
        <v>257</v>
      </c>
      <c r="J1280" s="240">
        <v>1014820</v>
      </c>
      <c r="K1280" s="513">
        <v>856</v>
      </c>
      <c r="L1280" s="145">
        <v>1775307</v>
      </c>
      <c r="M1280" s="307">
        <v>257</v>
      </c>
    </row>
    <row r="1281" spans="1:13" ht="20.5" customHeight="1" x14ac:dyDescent="0.2">
      <c r="A1281" s="131"/>
      <c r="B1281" s="138">
        <f>+SUM(B1270:B1279)</f>
        <v>1084206</v>
      </c>
      <c r="C1281" s="138">
        <f t="shared" ref="C1281:K1281" si="14">+SUM(C1270:C1279)</f>
        <v>1724</v>
      </c>
      <c r="D1281" s="138">
        <f t="shared" si="14"/>
        <v>1705916</v>
      </c>
      <c r="E1281" s="138">
        <f t="shared" si="14"/>
        <v>4389</v>
      </c>
      <c r="F1281" s="138">
        <f t="shared" si="14"/>
        <v>2790123</v>
      </c>
      <c r="G1281" s="138">
        <f t="shared" si="14"/>
        <v>5113</v>
      </c>
      <c r="H1281" s="138">
        <f t="shared" si="14"/>
        <v>1775303</v>
      </c>
      <c r="I1281" s="138">
        <f t="shared" si="14"/>
        <v>4257</v>
      </c>
      <c r="J1281" s="138">
        <f t="shared" si="14"/>
        <v>1014815</v>
      </c>
      <c r="K1281" s="138">
        <f t="shared" si="14"/>
        <v>5856</v>
      </c>
      <c r="L1281" s="145"/>
      <c r="M1281" s="307"/>
    </row>
    <row r="1282" spans="1:13" ht="41.5" customHeight="1" thickBot="1" x14ac:dyDescent="0.25">
      <c r="A1282" s="726" t="s">
        <v>2406</v>
      </c>
      <c r="B1282" s="727"/>
      <c r="C1282" s="727"/>
      <c r="D1282" s="727"/>
      <c r="E1282" s="727"/>
      <c r="F1282" s="727"/>
      <c r="G1282" s="727"/>
      <c r="H1282" s="727"/>
      <c r="I1282" s="727"/>
      <c r="J1282" s="727"/>
      <c r="K1282" s="727"/>
      <c r="L1282" s="495"/>
      <c r="M1282" s="550"/>
    </row>
    <row r="1283" spans="1:13" x14ac:dyDescent="0.2">
      <c r="A1283" s="729" t="s">
        <v>2407</v>
      </c>
      <c r="B1283" s="730"/>
      <c r="C1283" s="730"/>
      <c r="D1283" s="730"/>
      <c r="E1283" s="730"/>
      <c r="F1283" s="730"/>
      <c r="G1283" s="730"/>
      <c r="H1283" s="730"/>
      <c r="I1283" s="730"/>
      <c r="J1283" s="730"/>
      <c r="K1283" s="731"/>
      <c r="L1283" s="495"/>
      <c r="M1283" s="550"/>
    </row>
    <row r="1284" spans="1:13" x14ac:dyDescent="0.2">
      <c r="A1284" s="480" t="s">
        <v>2408</v>
      </c>
      <c r="B1284" s="481"/>
      <c r="C1284" s="481"/>
      <c r="D1284" s="481"/>
      <c r="E1284" s="481"/>
      <c r="F1284" s="481"/>
      <c r="G1284" s="481"/>
      <c r="H1284" s="481"/>
      <c r="I1284" s="481"/>
      <c r="J1284" s="145">
        <v>673113</v>
      </c>
      <c r="K1284" s="307">
        <v>738</v>
      </c>
      <c r="L1284" s="495"/>
      <c r="M1284" s="550"/>
    </row>
    <row r="1285" spans="1:13" x14ac:dyDescent="0.2">
      <c r="A1285" s="480" t="s">
        <v>2409</v>
      </c>
      <c r="B1285" s="481"/>
      <c r="C1285" s="481"/>
      <c r="D1285" s="481"/>
      <c r="E1285" s="481"/>
      <c r="F1285" s="481"/>
      <c r="G1285" s="481"/>
      <c r="H1285" s="481"/>
      <c r="I1285" s="481"/>
      <c r="J1285" s="145">
        <v>183</v>
      </c>
      <c r="K1285" s="307">
        <v>532</v>
      </c>
      <c r="L1285" s="495"/>
      <c r="M1285" s="550"/>
    </row>
    <row r="1286" spans="1:13" x14ac:dyDescent="0.2">
      <c r="A1286" s="480" t="s">
        <v>2410</v>
      </c>
      <c r="B1286" s="481"/>
      <c r="C1286" s="481"/>
      <c r="D1286" s="481"/>
      <c r="E1286" s="481"/>
      <c r="F1286" s="481"/>
      <c r="G1286" s="481"/>
      <c r="H1286" s="481"/>
      <c r="I1286" s="481"/>
      <c r="J1286" s="145">
        <v>92717</v>
      </c>
      <c r="K1286" s="307">
        <v>953</v>
      </c>
      <c r="L1286" s="495"/>
      <c r="M1286" s="550"/>
    </row>
    <row r="1287" spans="1:13" x14ac:dyDescent="0.2">
      <c r="A1287" s="480" t="s">
        <v>2411</v>
      </c>
      <c r="B1287" s="481"/>
      <c r="C1287" s="481"/>
      <c r="D1287" s="481"/>
      <c r="E1287" s="481"/>
      <c r="F1287" s="481"/>
      <c r="G1287" s="481"/>
      <c r="H1287" s="481"/>
      <c r="I1287" s="481"/>
      <c r="J1287" s="145">
        <v>25981</v>
      </c>
      <c r="K1287" s="307">
        <v>326</v>
      </c>
      <c r="L1287" s="495"/>
      <c r="M1287" s="550"/>
    </row>
    <row r="1288" spans="1:13" x14ac:dyDescent="0.2">
      <c r="A1288" s="480" t="s">
        <v>2412</v>
      </c>
      <c r="B1288" s="481"/>
      <c r="C1288" s="481"/>
      <c r="D1288" s="481"/>
      <c r="E1288" s="481"/>
      <c r="F1288" s="481"/>
      <c r="G1288" s="481"/>
      <c r="H1288" s="481"/>
      <c r="I1288" s="481"/>
      <c r="J1288" s="145">
        <v>576</v>
      </c>
      <c r="K1288" s="307">
        <v>635</v>
      </c>
      <c r="L1288" s="495"/>
      <c r="M1288" s="550"/>
    </row>
    <row r="1289" spans="1:13" x14ac:dyDescent="0.2">
      <c r="A1289" s="480" t="s">
        <v>2413</v>
      </c>
      <c r="B1289" s="481"/>
      <c r="C1289" s="481"/>
      <c r="D1289" s="481"/>
      <c r="E1289" s="481"/>
      <c r="F1289" s="481"/>
      <c r="G1289" s="481"/>
      <c r="H1289" s="481"/>
      <c r="I1289" s="481"/>
      <c r="J1289" s="145">
        <v>34628</v>
      </c>
      <c r="K1289" s="307">
        <v>507</v>
      </c>
      <c r="L1289" s="495"/>
      <c r="M1289" s="550"/>
    </row>
    <row r="1290" spans="1:13" x14ac:dyDescent="0.2">
      <c r="A1290" s="480" t="s">
        <v>2414</v>
      </c>
      <c r="B1290" s="481"/>
      <c r="C1290" s="481"/>
      <c r="D1290" s="481"/>
      <c r="E1290" s="481"/>
      <c r="F1290" s="481"/>
      <c r="G1290" s="481"/>
      <c r="H1290" s="481"/>
      <c r="I1290" s="481"/>
      <c r="J1290" s="145">
        <v>62487</v>
      </c>
      <c r="K1290" s="307">
        <v>70</v>
      </c>
      <c r="L1290" s="495"/>
      <c r="M1290" s="550"/>
    </row>
    <row r="1291" spans="1:13" ht="25.25" customHeight="1" thickBot="1" x14ac:dyDescent="0.25">
      <c r="A1291" s="480" t="s">
        <v>2415</v>
      </c>
      <c r="B1291" s="481"/>
      <c r="C1291" s="481"/>
      <c r="D1291" s="481"/>
      <c r="E1291" s="481"/>
      <c r="F1291" s="481"/>
      <c r="G1291" s="481"/>
      <c r="H1291" s="481"/>
      <c r="I1291" s="481"/>
      <c r="J1291" s="187">
        <v>360</v>
      </c>
      <c r="K1291" s="444"/>
      <c r="L1291" s="145">
        <v>890048</v>
      </c>
      <c r="M1291" s="307">
        <v>761</v>
      </c>
    </row>
    <row r="1292" spans="1:13" ht="25.25" customHeight="1" thickBot="1" x14ac:dyDescent="0.25">
      <c r="A1292" s="479"/>
      <c r="B1292" s="565"/>
      <c r="C1292" s="565"/>
      <c r="D1292" s="565"/>
      <c r="E1292" s="565"/>
      <c r="F1292" s="565"/>
      <c r="G1292" s="565"/>
      <c r="H1292" s="565"/>
      <c r="I1292" s="565"/>
      <c r="J1292" s="187"/>
      <c r="K1292" s="444"/>
      <c r="L1292" s="138">
        <f>+SUM(J1284:J1291)</f>
        <v>890045</v>
      </c>
      <c r="M1292" s="188">
        <f>+SUM(K1284:K1291)</f>
        <v>3761</v>
      </c>
    </row>
    <row r="1293" spans="1:13" ht="36" customHeight="1" thickBot="1" x14ac:dyDescent="0.25">
      <c r="A1293" s="732" t="s">
        <v>2416</v>
      </c>
      <c r="B1293" s="733"/>
      <c r="C1293" s="733"/>
      <c r="D1293" s="733"/>
      <c r="E1293" s="733"/>
      <c r="F1293" s="733"/>
      <c r="G1293" s="733"/>
      <c r="H1293" s="733"/>
      <c r="I1293" s="733"/>
      <c r="J1293" s="727"/>
      <c r="K1293" s="734"/>
      <c r="L1293" s="494"/>
      <c r="M1293" s="550"/>
    </row>
    <row r="1294" spans="1:13" ht="66" customHeight="1" x14ac:dyDescent="0.2">
      <c r="A1294" s="728"/>
      <c r="B1294" s="606" t="s">
        <v>2417</v>
      </c>
      <c r="C1294" s="644"/>
      <c r="D1294" s="606" t="s">
        <v>2418</v>
      </c>
      <c r="E1294" s="607"/>
      <c r="F1294" s="644" t="s">
        <v>2419</v>
      </c>
      <c r="G1294" s="607"/>
      <c r="H1294" s="644" t="s">
        <v>2420</v>
      </c>
      <c r="I1294" s="644"/>
      <c r="J1294" s="606" t="s">
        <v>2421</v>
      </c>
      <c r="K1294" s="607"/>
      <c r="L1294" s="494"/>
      <c r="M1294" s="550"/>
    </row>
    <row r="1295" spans="1:13" x14ac:dyDescent="0.2">
      <c r="A1295" s="716" t="s">
        <v>2422</v>
      </c>
      <c r="B1295" s="131">
        <v>980760</v>
      </c>
      <c r="C1295" s="145">
        <v>377</v>
      </c>
      <c r="D1295" s="131">
        <v>572248</v>
      </c>
      <c r="E1295" s="307">
        <v>946</v>
      </c>
      <c r="F1295" s="145">
        <v>1553009</v>
      </c>
      <c r="G1295" s="307">
        <v>323</v>
      </c>
      <c r="H1295" s="145">
        <v>475332</v>
      </c>
      <c r="I1295" s="145">
        <v>76</v>
      </c>
      <c r="J1295" s="131">
        <v>1077677</v>
      </c>
      <c r="K1295" s="307">
        <v>247</v>
      </c>
      <c r="L1295" s="494"/>
      <c r="M1295" s="550"/>
    </row>
    <row r="1296" spans="1:13" x14ac:dyDescent="0.2">
      <c r="A1296" s="533" t="s">
        <v>2423</v>
      </c>
      <c r="B1296" s="131">
        <v>11534</v>
      </c>
      <c r="C1296" s="145">
        <v>375</v>
      </c>
      <c r="D1296" s="131">
        <v>13350</v>
      </c>
      <c r="E1296" s="307">
        <v>400</v>
      </c>
      <c r="F1296" s="145">
        <v>24884</v>
      </c>
      <c r="G1296" s="307">
        <v>775</v>
      </c>
      <c r="H1296" s="145">
        <v>2309</v>
      </c>
      <c r="I1296" s="145">
        <v>775</v>
      </c>
      <c r="J1296" s="131">
        <v>22575</v>
      </c>
      <c r="K1296" s="307"/>
      <c r="L1296" s="494"/>
      <c r="M1296" s="550"/>
    </row>
    <row r="1297" spans="1:13" x14ac:dyDescent="0.2">
      <c r="A1297" s="533" t="s">
        <v>2424</v>
      </c>
      <c r="B1297" s="131">
        <v>201743</v>
      </c>
      <c r="C1297" s="145">
        <v>490</v>
      </c>
      <c r="D1297" s="131">
        <v>2270</v>
      </c>
      <c r="E1297" s="307">
        <v>180</v>
      </c>
      <c r="F1297" s="145">
        <v>204013</v>
      </c>
      <c r="G1297" s="307">
        <v>670</v>
      </c>
      <c r="H1297" s="145"/>
      <c r="I1297" s="145"/>
      <c r="J1297" s="131">
        <v>204013</v>
      </c>
      <c r="K1297" s="307">
        <v>670</v>
      </c>
      <c r="L1297" s="494"/>
      <c r="M1297" s="550"/>
    </row>
    <row r="1298" spans="1:13" x14ac:dyDescent="0.2">
      <c r="A1298" s="533" t="s">
        <v>2425</v>
      </c>
      <c r="B1298" s="131"/>
      <c r="C1298" s="145"/>
      <c r="D1298" s="131">
        <v>25315</v>
      </c>
      <c r="E1298" s="307">
        <v>583</v>
      </c>
      <c r="F1298" s="145">
        <v>25315</v>
      </c>
      <c r="G1298" s="307">
        <v>583</v>
      </c>
      <c r="H1298" s="145"/>
      <c r="I1298" s="145"/>
      <c r="J1298" s="131">
        <v>25315</v>
      </c>
      <c r="K1298" s="307">
        <v>583</v>
      </c>
      <c r="L1298" s="494"/>
      <c r="M1298" s="550"/>
    </row>
    <row r="1299" spans="1:13" x14ac:dyDescent="0.2">
      <c r="A1299" s="533" t="s">
        <v>2426</v>
      </c>
      <c r="B1299" s="131">
        <v>442188</v>
      </c>
      <c r="C1299" s="145">
        <v>735</v>
      </c>
      <c r="D1299" s="131">
        <v>8000</v>
      </c>
      <c r="E1299" s="307"/>
      <c r="F1299" s="145">
        <v>450188</v>
      </c>
      <c r="G1299" s="307">
        <v>735</v>
      </c>
      <c r="H1299" s="145">
        <v>11869</v>
      </c>
      <c r="I1299" s="145">
        <v>400</v>
      </c>
      <c r="J1299" s="131">
        <v>438319</v>
      </c>
      <c r="K1299" s="307">
        <v>335</v>
      </c>
      <c r="L1299" s="494"/>
      <c r="M1299" s="550"/>
    </row>
    <row r="1300" spans="1:13" x14ac:dyDescent="0.2">
      <c r="A1300" s="533" t="s">
        <v>2427</v>
      </c>
      <c r="B1300" s="131">
        <v>44</v>
      </c>
      <c r="C1300" s="145">
        <v>150</v>
      </c>
      <c r="D1300" s="131"/>
      <c r="E1300" s="307"/>
      <c r="F1300" s="145">
        <v>44</v>
      </c>
      <c r="G1300" s="307">
        <v>150</v>
      </c>
      <c r="H1300" s="145"/>
      <c r="I1300" s="145"/>
      <c r="J1300" s="131">
        <v>44</v>
      </c>
      <c r="K1300" s="307">
        <v>150</v>
      </c>
      <c r="L1300" s="494"/>
      <c r="M1300" s="550"/>
    </row>
    <row r="1301" spans="1:13" x14ac:dyDescent="0.2">
      <c r="A1301" s="533" t="s">
        <v>2428</v>
      </c>
      <c r="B1301" s="131">
        <v>71000</v>
      </c>
      <c r="C1301" s="145">
        <v>825</v>
      </c>
      <c r="D1301" s="131"/>
      <c r="E1301" s="307"/>
      <c r="F1301" s="145">
        <v>71000</v>
      </c>
      <c r="G1301" s="307">
        <v>825</v>
      </c>
      <c r="H1301" s="145"/>
      <c r="I1301" s="145"/>
      <c r="J1301" s="131">
        <v>71000</v>
      </c>
      <c r="K1301" s="307">
        <v>825</v>
      </c>
      <c r="L1301" s="494"/>
      <c r="M1301" s="550"/>
    </row>
    <row r="1302" spans="1:13" x14ac:dyDescent="0.2">
      <c r="A1302" s="533" t="s">
        <v>2429</v>
      </c>
      <c r="B1302" s="131">
        <v>2440</v>
      </c>
      <c r="C1302" s="145">
        <v>610</v>
      </c>
      <c r="D1302" s="131"/>
      <c r="E1302" s="307"/>
      <c r="F1302" s="145">
        <v>2440</v>
      </c>
      <c r="G1302" s="307">
        <v>610</v>
      </c>
      <c r="H1302" s="145"/>
      <c r="I1302" s="145"/>
      <c r="J1302" s="131">
        <v>2440</v>
      </c>
      <c r="K1302" s="307">
        <v>610</v>
      </c>
      <c r="L1302" s="494"/>
      <c r="M1302" s="550"/>
    </row>
    <row r="1303" spans="1:13" x14ac:dyDescent="0.2">
      <c r="A1303" s="533" t="s">
        <v>2430</v>
      </c>
      <c r="B1303" s="131">
        <v>30673</v>
      </c>
      <c r="C1303" s="145">
        <v>315</v>
      </c>
      <c r="D1303" s="131"/>
      <c r="E1303" s="307">
        <v>200</v>
      </c>
      <c r="F1303" s="145">
        <v>30673</v>
      </c>
      <c r="G1303" s="307">
        <v>515</v>
      </c>
      <c r="H1303" s="145">
        <v>6400</v>
      </c>
      <c r="I1303" s="145"/>
      <c r="J1303" s="131">
        <v>24273</v>
      </c>
      <c r="K1303" s="307">
        <v>515</v>
      </c>
      <c r="L1303" s="494"/>
      <c r="M1303" s="550"/>
    </row>
    <row r="1304" spans="1:13" x14ac:dyDescent="0.2">
      <c r="A1304" s="533" t="s">
        <v>2431</v>
      </c>
      <c r="B1304" s="131">
        <v>12000</v>
      </c>
      <c r="C1304" s="145"/>
      <c r="D1304" s="131"/>
      <c r="E1304" s="307"/>
      <c r="F1304" s="145">
        <v>12000</v>
      </c>
      <c r="G1304" s="307"/>
      <c r="H1304" s="145"/>
      <c r="I1304" s="145"/>
      <c r="J1304" s="131">
        <v>12000</v>
      </c>
      <c r="K1304" s="307"/>
      <c r="L1304" s="494"/>
      <c r="M1304" s="550"/>
    </row>
    <row r="1305" spans="1:13" x14ac:dyDescent="0.2">
      <c r="A1305" s="533" t="s">
        <v>2432</v>
      </c>
      <c r="B1305" s="131">
        <v>75678</v>
      </c>
      <c r="C1305" s="145">
        <v>125</v>
      </c>
      <c r="D1305" s="131">
        <v>5036</v>
      </c>
      <c r="E1305" s="307">
        <v>250</v>
      </c>
      <c r="F1305" s="145">
        <v>80714</v>
      </c>
      <c r="G1305" s="307">
        <v>375</v>
      </c>
      <c r="H1305" s="145"/>
      <c r="I1305" s="145"/>
      <c r="J1305" s="131">
        <v>80714</v>
      </c>
      <c r="K1305" s="307">
        <v>375</v>
      </c>
      <c r="L1305" s="494"/>
      <c r="M1305" s="550"/>
    </row>
    <row r="1306" spans="1:13" x14ac:dyDescent="0.2">
      <c r="A1306" s="533" t="s">
        <v>2433</v>
      </c>
      <c r="B1306" s="131">
        <v>11983</v>
      </c>
      <c r="C1306" s="145">
        <v>458</v>
      </c>
      <c r="D1306" s="131">
        <v>164632</v>
      </c>
      <c r="E1306" s="307">
        <v>625</v>
      </c>
      <c r="F1306" s="145">
        <v>176616</v>
      </c>
      <c r="G1306" s="307">
        <v>83</v>
      </c>
      <c r="H1306" s="145">
        <v>25315</v>
      </c>
      <c r="I1306" s="145">
        <v>583</v>
      </c>
      <c r="J1306" s="131">
        <v>151300</v>
      </c>
      <c r="K1306" s="307">
        <v>500</v>
      </c>
      <c r="L1306" s="494"/>
      <c r="M1306" s="550"/>
    </row>
    <row r="1307" spans="1:13" x14ac:dyDescent="0.2">
      <c r="A1307" s="533" t="s">
        <v>2434</v>
      </c>
      <c r="B1307" s="131">
        <v>1627</v>
      </c>
      <c r="C1307" s="145"/>
      <c r="D1307" s="131"/>
      <c r="E1307" s="307"/>
      <c r="F1307" s="145">
        <v>1627</v>
      </c>
      <c r="G1307" s="307"/>
      <c r="H1307" s="145">
        <v>246</v>
      </c>
      <c r="I1307" s="145">
        <v>875</v>
      </c>
      <c r="J1307" s="131">
        <v>1380</v>
      </c>
      <c r="K1307" s="307">
        <v>125</v>
      </c>
      <c r="L1307" s="494"/>
      <c r="M1307" s="550"/>
    </row>
    <row r="1308" spans="1:13" x14ac:dyDescent="0.2">
      <c r="A1308" s="533" t="s">
        <v>2435</v>
      </c>
      <c r="B1308" s="131"/>
      <c r="C1308" s="145"/>
      <c r="D1308" s="131">
        <v>6400</v>
      </c>
      <c r="E1308" s="307"/>
      <c r="F1308" s="145">
        <v>6400</v>
      </c>
      <c r="G1308" s="307"/>
      <c r="H1308" s="145"/>
      <c r="I1308" s="145"/>
      <c r="J1308" s="131">
        <v>6400</v>
      </c>
      <c r="K1308" s="307"/>
      <c r="L1308" s="494"/>
      <c r="M1308" s="550"/>
    </row>
    <row r="1309" spans="1:13" x14ac:dyDescent="0.2">
      <c r="A1309" s="533" t="s">
        <v>2436</v>
      </c>
      <c r="B1309" s="131">
        <v>6134</v>
      </c>
      <c r="C1309" s="145">
        <v>10</v>
      </c>
      <c r="D1309" s="131">
        <v>22723</v>
      </c>
      <c r="E1309" s="307">
        <v>260</v>
      </c>
      <c r="F1309" s="145">
        <v>28857</v>
      </c>
      <c r="G1309" s="307">
        <v>270</v>
      </c>
      <c r="H1309" s="145">
        <v>18350</v>
      </c>
      <c r="I1309" s="145">
        <v>400</v>
      </c>
      <c r="J1309" s="131">
        <v>10506</v>
      </c>
      <c r="K1309" s="307">
        <v>870</v>
      </c>
      <c r="L1309" s="494"/>
      <c r="M1309" s="550"/>
    </row>
    <row r="1310" spans="1:13" x14ac:dyDescent="0.2">
      <c r="A1310" s="533" t="s">
        <v>2437</v>
      </c>
      <c r="B1310" s="131"/>
      <c r="C1310" s="145"/>
      <c r="D1310" s="131">
        <v>25</v>
      </c>
      <c r="E1310" s="307">
        <v>600</v>
      </c>
      <c r="F1310" s="145">
        <v>25</v>
      </c>
      <c r="G1310" s="307">
        <v>600</v>
      </c>
      <c r="H1310" s="145"/>
      <c r="I1310" s="145"/>
      <c r="J1310" s="131">
        <v>25</v>
      </c>
      <c r="K1310" s="307">
        <v>600</v>
      </c>
      <c r="L1310" s="494"/>
      <c r="M1310" s="550"/>
    </row>
    <row r="1311" spans="1:13" x14ac:dyDescent="0.2">
      <c r="A1311" s="533" t="s">
        <v>2438</v>
      </c>
      <c r="B1311" s="131"/>
      <c r="C1311" s="145"/>
      <c r="D1311" s="131">
        <v>160</v>
      </c>
      <c r="E1311" s="307"/>
      <c r="F1311" s="145">
        <v>160</v>
      </c>
      <c r="G1311" s="307"/>
      <c r="H1311" s="145"/>
      <c r="I1311" s="145"/>
      <c r="J1311" s="131">
        <v>160</v>
      </c>
      <c r="K1311" s="307"/>
      <c r="L1311" s="494"/>
      <c r="M1311" s="550"/>
    </row>
    <row r="1312" spans="1:13" x14ac:dyDescent="0.2">
      <c r="A1312" s="533" t="s">
        <v>2439</v>
      </c>
      <c r="B1312" s="131"/>
      <c r="C1312" s="145"/>
      <c r="D1312" s="131">
        <v>400</v>
      </c>
      <c r="E1312" s="307"/>
      <c r="F1312" s="145">
        <v>400</v>
      </c>
      <c r="G1312" s="307"/>
      <c r="H1312" s="145"/>
      <c r="I1312" s="145"/>
      <c r="J1312" s="131">
        <v>400</v>
      </c>
      <c r="K1312" s="307"/>
      <c r="L1312" s="494"/>
      <c r="M1312" s="550"/>
    </row>
    <row r="1313" spans="1:13" x14ac:dyDescent="0.2">
      <c r="A1313" s="533" t="s">
        <v>2440</v>
      </c>
      <c r="B1313" s="131">
        <v>26287</v>
      </c>
      <c r="C1313" s="145">
        <v>348</v>
      </c>
      <c r="D1313" s="131">
        <v>44450</v>
      </c>
      <c r="E1313" s="307">
        <v>432</v>
      </c>
      <c r="F1313" s="145">
        <v>70737</v>
      </c>
      <c r="G1313" s="307">
        <v>780</v>
      </c>
      <c r="H1313" s="145"/>
      <c r="I1313" s="145"/>
      <c r="J1313" s="131">
        <v>70737</v>
      </c>
      <c r="K1313" s="307">
        <v>780</v>
      </c>
      <c r="L1313" s="494"/>
      <c r="M1313" s="550"/>
    </row>
    <row r="1314" spans="1:13" x14ac:dyDescent="0.2">
      <c r="A1314" s="533" t="s">
        <v>2441</v>
      </c>
      <c r="B1314" s="131">
        <v>15542</v>
      </c>
      <c r="C1314" s="145">
        <v>70</v>
      </c>
      <c r="D1314" s="131">
        <v>336</v>
      </c>
      <c r="E1314" s="307"/>
      <c r="F1314" s="145">
        <v>15878</v>
      </c>
      <c r="G1314" s="307">
        <v>70</v>
      </c>
      <c r="H1314" s="145">
        <v>361</v>
      </c>
      <c r="I1314" s="145">
        <v>825</v>
      </c>
      <c r="J1314" s="131">
        <v>15516</v>
      </c>
      <c r="K1314" s="307">
        <v>245</v>
      </c>
      <c r="L1314" s="494"/>
      <c r="M1314" s="550"/>
    </row>
    <row r="1315" spans="1:13" x14ac:dyDescent="0.2">
      <c r="A1315" s="533" t="s">
        <v>2442</v>
      </c>
      <c r="B1315" s="131"/>
      <c r="C1315" s="145"/>
      <c r="D1315" s="131">
        <v>154</v>
      </c>
      <c r="E1315" s="307">
        <v>800</v>
      </c>
      <c r="F1315" s="145">
        <v>154</v>
      </c>
      <c r="G1315" s="307">
        <v>800</v>
      </c>
      <c r="H1315" s="145"/>
      <c r="I1315" s="145"/>
      <c r="J1315" s="131">
        <v>154</v>
      </c>
      <c r="K1315" s="307">
        <v>800</v>
      </c>
      <c r="L1315" s="494"/>
      <c r="M1315" s="550"/>
    </row>
    <row r="1316" spans="1:13" ht="32.5" customHeight="1" x14ac:dyDescent="0.2">
      <c r="A1316" s="535"/>
      <c r="B1316" s="240">
        <v>1889637</v>
      </c>
      <c r="C1316" s="318">
        <v>888</v>
      </c>
      <c r="D1316" s="240">
        <v>865504</v>
      </c>
      <c r="E1316" s="513">
        <v>276</v>
      </c>
      <c r="F1316" s="318">
        <v>2755142</v>
      </c>
      <c r="G1316" s="513">
        <v>164</v>
      </c>
      <c r="H1316" s="318">
        <v>540185</v>
      </c>
      <c r="I1316" s="318">
        <v>934</v>
      </c>
      <c r="J1316" s="240">
        <v>2214956</v>
      </c>
      <c r="K1316" s="513">
        <v>230</v>
      </c>
      <c r="L1316" s="145">
        <v>540185</v>
      </c>
      <c r="M1316" s="307">
        <v>934</v>
      </c>
    </row>
    <row r="1317" spans="1:13" ht="32.5" customHeight="1" x14ac:dyDescent="0.2">
      <c r="A1317" s="131"/>
      <c r="B1317" s="345">
        <f>+SUM(B1295:B1315)</f>
        <v>1889633</v>
      </c>
      <c r="C1317" s="345">
        <f>+SUM(C1295:C1315)</f>
        <v>4888</v>
      </c>
      <c r="D1317" s="345">
        <f t="shared" ref="D1317:K1317" si="15">+SUM(D1295:D1315)</f>
        <v>865499</v>
      </c>
      <c r="E1317" s="345">
        <f t="shared" si="15"/>
        <v>5276</v>
      </c>
      <c r="F1317" s="345">
        <f t="shared" si="15"/>
        <v>2755134</v>
      </c>
      <c r="G1317" s="345">
        <f t="shared" si="15"/>
        <v>8164</v>
      </c>
      <c r="H1317" s="345">
        <f t="shared" si="15"/>
        <v>540182</v>
      </c>
      <c r="I1317" s="345">
        <f t="shared" si="15"/>
        <v>3934</v>
      </c>
      <c r="J1317" s="345">
        <f t="shared" si="15"/>
        <v>2214948</v>
      </c>
      <c r="K1317" s="345">
        <f t="shared" si="15"/>
        <v>8230</v>
      </c>
      <c r="L1317" s="145"/>
      <c r="M1317" s="307"/>
    </row>
    <row r="1318" spans="1:13" ht="34.25" customHeight="1" thickBot="1" x14ac:dyDescent="0.25">
      <c r="A1318" s="732" t="s">
        <v>2443</v>
      </c>
      <c r="B1318" s="733"/>
      <c r="C1318" s="733"/>
      <c r="D1318" s="733"/>
      <c r="E1318" s="733"/>
      <c r="F1318" s="733"/>
      <c r="G1318" s="733"/>
      <c r="H1318" s="733"/>
      <c r="I1318" s="733"/>
      <c r="J1318" s="727"/>
      <c r="K1318" s="734"/>
      <c r="L1318" s="494"/>
      <c r="M1318" s="550"/>
    </row>
    <row r="1319" spans="1:13" ht="17" customHeight="1" x14ac:dyDescent="0.2">
      <c r="A1319" s="735" t="s">
        <v>2444</v>
      </c>
      <c r="B1319" s="736"/>
      <c r="C1319" s="736"/>
      <c r="D1319" s="736"/>
      <c r="E1319" s="736"/>
      <c r="F1319" s="736"/>
      <c r="G1319" s="736"/>
      <c r="H1319" s="736"/>
      <c r="I1319" s="736"/>
      <c r="J1319" s="145">
        <v>270300</v>
      </c>
      <c r="K1319" s="307"/>
      <c r="L1319" s="494"/>
      <c r="M1319" s="550"/>
    </row>
    <row r="1320" spans="1:13" ht="17" customHeight="1" x14ac:dyDescent="0.2">
      <c r="A1320" s="480" t="s">
        <v>2278</v>
      </c>
      <c r="B1320" s="481"/>
      <c r="C1320" s="481"/>
      <c r="D1320" s="481"/>
      <c r="E1320" s="481"/>
      <c r="F1320" s="481"/>
      <c r="G1320" s="481"/>
      <c r="H1320" s="481"/>
      <c r="I1320" s="481"/>
      <c r="J1320" s="145">
        <v>446655</v>
      </c>
      <c r="K1320" s="307">
        <v>730</v>
      </c>
      <c r="L1320" s="494"/>
      <c r="M1320" s="550"/>
    </row>
    <row r="1321" spans="1:13" ht="29" customHeight="1" thickBot="1" x14ac:dyDescent="0.25">
      <c r="A1321" s="480" t="s">
        <v>2445</v>
      </c>
      <c r="B1321" s="481"/>
      <c r="C1321" s="481"/>
      <c r="D1321" s="481"/>
      <c r="E1321" s="481"/>
      <c r="F1321" s="481"/>
      <c r="G1321" s="481"/>
      <c r="H1321" s="481"/>
      <c r="I1321" s="481"/>
      <c r="J1321" s="187">
        <v>14346</v>
      </c>
      <c r="K1321" s="444">
        <v>665</v>
      </c>
      <c r="L1321" s="145">
        <v>731302</v>
      </c>
      <c r="M1321" s="307">
        <v>395</v>
      </c>
    </row>
    <row r="1322" spans="1:13" ht="15" customHeight="1" thickBot="1" x14ac:dyDescent="0.25">
      <c r="A1322" s="479"/>
      <c r="B1322" s="565"/>
      <c r="C1322" s="565"/>
      <c r="D1322" s="565"/>
      <c r="E1322" s="565"/>
      <c r="F1322" s="565"/>
      <c r="G1322" s="565"/>
      <c r="H1322" s="565"/>
      <c r="I1322" s="565"/>
      <c r="J1322" s="584">
        <f>+SUM(J1319:J1321)</f>
        <v>731301</v>
      </c>
      <c r="K1322" s="584">
        <f>+SUM(K1319:K1321)</f>
        <v>1395</v>
      </c>
      <c r="L1322" s="145"/>
      <c r="M1322" s="307"/>
    </row>
    <row r="1323" spans="1:13" ht="39" customHeight="1" thickBot="1" x14ac:dyDescent="0.25">
      <c r="A1323" s="732" t="s">
        <v>2446</v>
      </c>
      <c r="B1323" s="733"/>
      <c r="C1323" s="733"/>
      <c r="D1323" s="733"/>
      <c r="E1323" s="733"/>
      <c r="F1323" s="733"/>
      <c r="G1323" s="733"/>
      <c r="H1323" s="733"/>
      <c r="I1323" s="733"/>
      <c r="J1323" s="727"/>
      <c r="K1323" s="734"/>
      <c r="L1323" s="494"/>
      <c r="M1323" s="550"/>
    </row>
    <row r="1324" spans="1:13" ht="57" customHeight="1" x14ac:dyDescent="0.2">
      <c r="A1324" s="728"/>
      <c r="B1324" s="606" t="s">
        <v>2447</v>
      </c>
      <c r="C1324" s="644"/>
      <c r="D1324" s="606" t="s">
        <v>2448</v>
      </c>
      <c r="E1324" s="607"/>
      <c r="F1324" s="644" t="s">
        <v>2449</v>
      </c>
      <c r="G1324" s="607"/>
      <c r="H1324" s="644" t="s">
        <v>2450</v>
      </c>
      <c r="I1324" s="644"/>
      <c r="J1324" s="606" t="s">
        <v>2451</v>
      </c>
      <c r="K1324" s="607"/>
      <c r="L1324" s="494"/>
      <c r="M1324" s="550"/>
    </row>
    <row r="1325" spans="1:13" ht="17" customHeight="1" x14ac:dyDescent="0.2">
      <c r="A1325" s="716" t="s">
        <v>2452</v>
      </c>
      <c r="B1325" s="349">
        <v>33492</v>
      </c>
      <c r="C1325" s="717">
        <v>355</v>
      </c>
      <c r="D1325" s="145">
        <v>867848</v>
      </c>
      <c r="E1325" s="145">
        <v>75</v>
      </c>
      <c r="F1325" s="349">
        <v>901340</v>
      </c>
      <c r="G1325" s="350">
        <v>430</v>
      </c>
      <c r="H1325" s="349">
        <v>872085</v>
      </c>
      <c r="I1325" s="717">
        <v>370</v>
      </c>
      <c r="J1325" s="350">
        <v>29255</v>
      </c>
      <c r="K1325" s="717">
        <v>60</v>
      </c>
      <c r="L1325" s="494"/>
      <c r="M1325" s="550"/>
    </row>
    <row r="1326" spans="1:13" ht="17" customHeight="1" x14ac:dyDescent="0.2">
      <c r="A1326" s="533" t="s">
        <v>2289</v>
      </c>
      <c r="B1326" s="131">
        <v>547</v>
      </c>
      <c r="C1326" s="307">
        <v>95</v>
      </c>
      <c r="D1326" s="145"/>
      <c r="E1326" s="145"/>
      <c r="F1326" s="131">
        <v>547</v>
      </c>
      <c r="G1326" s="145">
        <v>95</v>
      </c>
      <c r="H1326" s="131"/>
      <c r="I1326" s="307"/>
      <c r="J1326" s="145">
        <v>547</v>
      </c>
      <c r="K1326" s="307">
        <v>95</v>
      </c>
      <c r="L1326" s="494"/>
      <c r="M1326" s="550"/>
    </row>
    <row r="1327" spans="1:13" ht="29" customHeight="1" x14ac:dyDescent="0.2">
      <c r="A1327" s="535"/>
      <c r="B1327" s="240">
        <v>34039</v>
      </c>
      <c r="C1327" s="513">
        <v>450</v>
      </c>
      <c r="D1327" s="318">
        <v>867848</v>
      </c>
      <c r="E1327" s="318">
        <v>75</v>
      </c>
      <c r="F1327" s="240">
        <v>901887</v>
      </c>
      <c r="G1327" s="318">
        <v>525</v>
      </c>
      <c r="H1327" s="240">
        <v>872085</v>
      </c>
      <c r="I1327" s="513">
        <v>370</v>
      </c>
      <c r="J1327" s="318">
        <v>29802</v>
      </c>
      <c r="K1327" s="513">
        <v>155</v>
      </c>
      <c r="L1327" s="145">
        <v>872085</v>
      </c>
      <c r="M1327" s="307">
        <v>370</v>
      </c>
    </row>
    <row r="1328" spans="1:13" ht="22.25" customHeight="1" x14ac:dyDescent="0.2">
      <c r="A1328" s="131"/>
      <c r="B1328" s="345">
        <f>+SUM(B1325:B1326)</f>
        <v>34039</v>
      </c>
      <c r="C1328" s="345">
        <f t="shared" ref="C1328:K1328" si="16">+SUM(C1325:C1326)</f>
        <v>450</v>
      </c>
      <c r="D1328" s="345">
        <f t="shared" si="16"/>
        <v>867848</v>
      </c>
      <c r="E1328" s="345">
        <f t="shared" si="16"/>
        <v>75</v>
      </c>
      <c r="F1328" s="345">
        <f t="shared" si="16"/>
        <v>901887</v>
      </c>
      <c r="G1328" s="345">
        <f t="shared" si="16"/>
        <v>525</v>
      </c>
      <c r="H1328" s="345">
        <f t="shared" si="16"/>
        <v>872085</v>
      </c>
      <c r="I1328" s="345">
        <f t="shared" si="16"/>
        <v>370</v>
      </c>
      <c r="J1328" s="345">
        <f t="shared" si="16"/>
        <v>29802</v>
      </c>
      <c r="K1328" s="345">
        <f t="shared" si="16"/>
        <v>155</v>
      </c>
      <c r="L1328" s="145"/>
      <c r="M1328" s="307"/>
    </row>
    <row r="1329" spans="1:13" ht="34.25" customHeight="1" thickBot="1" x14ac:dyDescent="0.25">
      <c r="A1329" s="737" t="s">
        <v>2453</v>
      </c>
      <c r="B1329" s="738"/>
      <c r="C1329" s="738"/>
      <c r="D1329" s="738"/>
      <c r="E1329" s="738"/>
      <c r="F1329" s="738"/>
      <c r="G1329" s="738"/>
      <c r="H1329" s="738"/>
      <c r="I1329" s="738"/>
      <c r="J1329" s="738"/>
      <c r="K1329" s="739"/>
      <c r="L1329" s="530">
        <v>313620</v>
      </c>
      <c r="M1329" s="444">
        <v>29</v>
      </c>
    </row>
    <row r="1330" spans="1:13" ht="32.5" customHeight="1" thickBot="1" x14ac:dyDescent="0.3">
      <c r="A1330" s="740" t="s">
        <v>2454</v>
      </c>
      <c r="B1330" s="741"/>
      <c r="C1330" s="741"/>
      <c r="D1330" s="741"/>
      <c r="E1330" s="741"/>
      <c r="F1330" s="741"/>
      <c r="G1330" s="741"/>
      <c r="H1330" s="741"/>
      <c r="I1330" s="741"/>
      <c r="J1330" s="741"/>
      <c r="K1330" s="742"/>
      <c r="L1330" s="743">
        <v>5225344</v>
      </c>
      <c r="M1330" s="449">
        <v>339</v>
      </c>
    </row>
    <row r="1331" spans="1:13" ht="29" customHeight="1" x14ac:dyDescent="0.25">
      <c r="A1331" s="744"/>
      <c r="B1331" s="745"/>
      <c r="C1331" s="745"/>
      <c r="D1331" s="745"/>
      <c r="E1331" s="745"/>
      <c r="F1331" s="745"/>
      <c r="G1331" s="745"/>
      <c r="H1331" s="745"/>
      <c r="I1331" s="745"/>
      <c r="J1331" s="745"/>
      <c r="K1331" s="746"/>
      <c r="L1331" s="137">
        <f>+L1329+L1327+L1321+L1316+L1291+L1280+L1266</f>
        <v>5225341</v>
      </c>
      <c r="M1331" s="137">
        <f>+M1329+M1327+M1321+M1316+M1291+M1280+M1266</f>
        <v>3339</v>
      </c>
    </row>
    <row r="1332" spans="1:13" ht="46.25" customHeight="1" thickBot="1" x14ac:dyDescent="0.25">
      <c r="A1332" s="732" t="s">
        <v>1496</v>
      </c>
      <c r="B1332" s="733"/>
      <c r="C1332" s="733"/>
      <c r="D1332" s="733"/>
      <c r="E1332" s="733"/>
      <c r="F1332" s="733"/>
      <c r="G1332" s="733"/>
      <c r="H1332" s="733"/>
      <c r="I1332" s="733"/>
      <c r="J1332" s="733"/>
      <c r="K1332" s="747"/>
      <c r="L1332" s="494"/>
      <c r="M1332" s="550"/>
    </row>
    <row r="1333" spans="1:13" ht="65" customHeight="1" x14ac:dyDescent="0.2">
      <c r="A1333" s="728" t="s">
        <v>2455</v>
      </c>
      <c r="B1333" s="606" t="s">
        <v>2456</v>
      </c>
      <c r="C1333" s="644"/>
      <c r="D1333" s="606" t="s">
        <v>2457</v>
      </c>
      <c r="E1333" s="607"/>
      <c r="F1333" s="644" t="s">
        <v>2458</v>
      </c>
      <c r="G1333" s="607"/>
      <c r="H1333" s="644" t="s">
        <v>2459</v>
      </c>
      <c r="I1333" s="644"/>
      <c r="J1333" s="606" t="s">
        <v>2460</v>
      </c>
      <c r="K1333" s="607"/>
      <c r="L1333" s="494"/>
      <c r="M1333" s="550"/>
    </row>
    <row r="1334" spans="1:13" x14ac:dyDescent="0.2">
      <c r="A1334" s="716" t="s">
        <v>2461</v>
      </c>
      <c r="B1334" s="145">
        <v>2090188</v>
      </c>
      <c r="C1334" s="145">
        <v>372</v>
      </c>
      <c r="D1334" s="349">
        <v>751600</v>
      </c>
      <c r="E1334" s="350">
        <v>53</v>
      </c>
      <c r="F1334" s="349">
        <v>2841788</v>
      </c>
      <c r="G1334" s="717">
        <v>425</v>
      </c>
      <c r="H1334" s="350">
        <v>289422</v>
      </c>
      <c r="I1334" s="717">
        <v>468</v>
      </c>
      <c r="J1334" s="350">
        <v>2552365</v>
      </c>
      <c r="K1334" s="717">
        <v>957</v>
      </c>
      <c r="L1334" s="494"/>
      <c r="M1334" s="550"/>
    </row>
    <row r="1335" spans="1:13" x14ac:dyDescent="0.2">
      <c r="A1335" s="533" t="s">
        <v>2041</v>
      </c>
      <c r="B1335" s="145">
        <v>19777</v>
      </c>
      <c r="C1335" s="145">
        <v>100</v>
      </c>
      <c r="D1335" s="131">
        <v>112345</v>
      </c>
      <c r="E1335" s="145">
        <v>805</v>
      </c>
      <c r="F1335" s="131">
        <v>132122</v>
      </c>
      <c r="G1335" s="307">
        <v>905</v>
      </c>
      <c r="H1335" s="145">
        <v>128636</v>
      </c>
      <c r="I1335" s="307">
        <v>515</v>
      </c>
      <c r="J1335" s="145">
        <v>3486</v>
      </c>
      <c r="K1335" s="307">
        <v>390</v>
      </c>
      <c r="L1335" s="494"/>
      <c r="M1335" s="550"/>
    </row>
    <row r="1336" spans="1:13" x14ac:dyDescent="0.2">
      <c r="A1336" s="533" t="s">
        <v>2042</v>
      </c>
      <c r="B1336" s="145">
        <v>24540</v>
      </c>
      <c r="C1336" s="145">
        <v>490</v>
      </c>
      <c r="D1336" s="131">
        <v>15257</v>
      </c>
      <c r="E1336" s="145">
        <v>870</v>
      </c>
      <c r="F1336" s="131">
        <v>39798</v>
      </c>
      <c r="G1336" s="307">
        <v>360</v>
      </c>
      <c r="H1336" s="145">
        <v>32841</v>
      </c>
      <c r="I1336" s="307">
        <v>480</v>
      </c>
      <c r="J1336" s="145">
        <v>6956</v>
      </c>
      <c r="K1336" s="307">
        <v>880</v>
      </c>
      <c r="L1336" s="494"/>
      <c r="M1336" s="550"/>
    </row>
    <row r="1337" spans="1:13" x14ac:dyDescent="0.2">
      <c r="A1337" s="533" t="s">
        <v>2044</v>
      </c>
      <c r="B1337" s="145">
        <v>2731</v>
      </c>
      <c r="C1337" s="145">
        <v>410</v>
      </c>
      <c r="D1337" s="131">
        <v>10291</v>
      </c>
      <c r="E1337" s="145">
        <v>170</v>
      </c>
      <c r="F1337" s="131">
        <v>13022</v>
      </c>
      <c r="G1337" s="307">
        <v>580</v>
      </c>
      <c r="H1337" s="145">
        <v>12830</v>
      </c>
      <c r="I1337" s="307">
        <v>580</v>
      </c>
      <c r="J1337" s="145">
        <v>192</v>
      </c>
      <c r="K1337" s="307"/>
      <c r="L1337" s="494"/>
      <c r="M1337" s="550"/>
    </row>
    <row r="1338" spans="1:13" x14ac:dyDescent="0.2">
      <c r="A1338" s="533" t="s">
        <v>2462</v>
      </c>
      <c r="B1338" s="145">
        <v>108315</v>
      </c>
      <c r="C1338" s="145">
        <v>955</v>
      </c>
      <c r="D1338" s="131">
        <v>181565</v>
      </c>
      <c r="E1338" s="145">
        <v>515</v>
      </c>
      <c r="F1338" s="131">
        <v>289881</v>
      </c>
      <c r="G1338" s="307">
        <v>470</v>
      </c>
      <c r="H1338" s="131">
        <v>226702</v>
      </c>
      <c r="I1338" s="307">
        <v>950</v>
      </c>
      <c r="J1338" s="145">
        <v>63178</v>
      </c>
      <c r="K1338" s="307">
        <v>520</v>
      </c>
      <c r="L1338" s="494"/>
      <c r="M1338" s="550"/>
    </row>
    <row r="1339" spans="1:13" x14ac:dyDescent="0.2">
      <c r="A1339" s="533" t="s">
        <v>2463</v>
      </c>
      <c r="B1339" s="145">
        <v>16454</v>
      </c>
      <c r="C1339" s="145">
        <v>940</v>
      </c>
      <c r="D1339" s="131">
        <v>19741</v>
      </c>
      <c r="E1339" s="145">
        <v>350</v>
      </c>
      <c r="F1339" s="131">
        <v>36196</v>
      </c>
      <c r="G1339" s="307">
        <v>290</v>
      </c>
      <c r="H1339" s="131">
        <v>33905</v>
      </c>
      <c r="I1339" s="307">
        <v>335</v>
      </c>
      <c r="J1339" s="145">
        <v>2290</v>
      </c>
      <c r="K1339" s="307">
        <v>955</v>
      </c>
      <c r="L1339" s="494"/>
      <c r="M1339" s="550"/>
    </row>
    <row r="1340" spans="1:13" x14ac:dyDescent="0.2">
      <c r="A1340" s="533" t="s">
        <v>2464</v>
      </c>
      <c r="B1340" s="145">
        <v>72798</v>
      </c>
      <c r="C1340" s="145">
        <v>36</v>
      </c>
      <c r="D1340" s="131">
        <v>116938</v>
      </c>
      <c r="E1340" s="145">
        <v>629</v>
      </c>
      <c r="F1340" s="131">
        <v>189736</v>
      </c>
      <c r="G1340" s="307">
        <v>665</v>
      </c>
      <c r="H1340" s="131">
        <v>154074</v>
      </c>
      <c r="I1340" s="307">
        <v>575</v>
      </c>
      <c r="J1340" s="145">
        <v>35662</v>
      </c>
      <c r="K1340" s="307">
        <v>90</v>
      </c>
      <c r="L1340" s="494"/>
      <c r="M1340" s="550"/>
    </row>
    <row r="1341" spans="1:13" x14ac:dyDescent="0.2">
      <c r="A1341" s="533" t="s">
        <v>2084</v>
      </c>
      <c r="B1341" s="145">
        <v>69804</v>
      </c>
      <c r="C1341" s="145">
        <v>268</v>
      </c>
      <c r="D1341" s="131">
        <v>464592</v>
      </c>
      <c r="E1341" s="145">
        <v>791</v>
      </c>
      <c r="F1341" s="131">
        <v>534397</v>
      </c>
      <c r="G1341" s="307">
        <v>59</v>
      </c>
      <c r="H1341" s="131">
        <v>512928</v>
      </c>
      <c r="I1341" s="307">
        <v>319</v>
      </c>
      <c r="J1341" s="145">
        <v>21468</v>
      </c>
      <c r="K1341" s="307">
        <v>740</v>
      </c>
      <c r="L1341" s="494"/>
      <c r="M1341" s="550"/>
    </row>
    <row r="1342" spans="1:13" x14ac:dyDescent="0.2">
      <c r="A1342" s="533" t="s">
        <v>2048</v>
      </c>
      <c r="B1342" s="145">
        <v>5</v>
      </c>
      <c r="C1342" s="145">
        <v>100</v>
      </c>
      <c r="D1342" s="131"/>
      <c r="E1342" s="145"/>
      <c r="F1342" s="131">
        <v>5</v>
      </c>
      <c r="G1342" s="307">
        <v>100</v>
      </c>
      <c r="H1342" s="145"/>
      <c r="I1342" s="307"/>
      <c r="J1342" s="145">
        <v>5</v>
      </c>
      <c r="K1342" s="307">
        <v>100</v>
      </c>
      <c r="L1342" s="494"/>
      <c r="M1342" s="550"/>
    </row>
    <row r="1343" spans="1:13" ht="32.5" customHeight="1" x14ac:dyDescent="0.2">
      <c r="A1343" s="535"/>
      <c r="B1343" s="318">
        <v>2404615</v>
      </c>
      <c r="C1343" s="318">
        <v>671</v>
      </c>
      <c r="D1343" s="240">
        <v>1672333</v>
      </c>
      <c r="E1343" s="318">
        <v>183</v>
      </c>
      <c r="F1343" s="240">
        <v>4076948</v>
      </c>
      <c r="G1343" s="513">
        <v>854</v>
      </c>
      <c r="H1343" s="240">
        <v>1391342</v>
      </c>
      <c r="I1343" s="513">
        <v>222</v>
      </c>
      <c r="J1343" s="318">
        <v>2685606</v>
      </c>
      <c r="K1343" s="513">
        <v>632</v>
      </c>
      <c r="L1343" s="145">
        <v>1391342</v>
      </c>
      <c r="M1343" s="307">
        <v>222</v>
      </c>
    </row>
    <row r="1344" spans="1:13" ht="29" customHeight="1" x14ac:dyDescent="0.2">
      <c r="A1344" s="131"/>
      <c r="B1344" s="345">
        <f>+SUM(B1334:B1342)</f>
        <v>2404612</v>
      </c>
      <c r="C1344" s="345">
        <f t="shared" ref="C1344:K1344" si="17">+SUM(C1334:C1342)</f>
        <v>3671</v>
      </c>
      <c r="D1344" s="345">
        <f t="shared" si="17"/>
        <v>1672329</v>
      </c>
      <c r="E1344" s="345">
        <f t="shared" si="17"/>
        <v>4183</v>
      </c>
      <c r="F1344" s="345">
        <f t="shared" si="17"/>
        <v>4076945</v>
      </c>
      <c r="G1344" s="345">
        <f t="shared" si="17"/>
        <v>3854</v>
      </c>
      <c r="H1344" s="345">
        <f t="shared" si="17"/>
        <v>1391338</v>
      </c>
      <c r="I1344" s="345">
        <f t="shared" si="17"/>
        <v>4222</v>
      </c>
      <c r="J1344" s="345">
        <f t="shared" si="17"/>
        <v>2685602</v>
      </c>
      <c r="K1344" s="345">
        <f t="shared" si="17"/>
        <v>4632</v>
      </c>
      <c r="L1344" s="145"/>
      <c r="M1344" s="307"/>
    </row>
    <row r="1345" spans="1:13" ht="36" customHeight="1" thickBot="1" x14ac:dyDescent="0.25">
      <c r="A1345" s="732" t="s">
        <v>2406</v>
      </c>
      <c r="B1345" s="733"/>
      <c r="C1345" s="733"/>
      <c r="D1345" s="733"/>
      <c r="E1345" s="733"/>
      <c r="F1345" s="733"/>
      <c r="G1345" s="733"/>
      <c r="H1345" s="733"/>
      <c r="I1345" s="733"/>
      <c r="J1345" s="727"/>
      <c r="K1345" s="734"/>
      <c r="L1345" s="494"/>
      <c r="M1345" s="550"/>
    </row>
    <row r="1346" spans="1:13" ht="24.5" customHeight="1" x14ac:dyDescent="0.2">
      <c r="A1346" s="748" t="s">
        <v>2465</v>
      </c>
      <c r="B1346" s="749"/>
      <c r="C1346" s="749"/>
      <c r="D1346" s="749"/>
      <c r="E1346" s="749"/>
      <c r="F1346" s="749"/>
      <c r="G1346" s="749"/>
      <c r="H1346" s="749"/>
      <c r="I1346" s="749"/>
      <c r="J1346" s="749"/>
      <c r="K1346" s="750"/>
      <c r="L1346" s="494"/>
      <c r="M1346" s="550"/>
    </row>
    <row r="1347" spans="1:13" ht="62.5" customHeight="1" x14ac:dyDescent="0.2">
      <c r="A1347" s="751"/>
      <c r="B1347" s="608" t="s">
        <v>2466</v>
      </c>
      <c r="C1347" s="609"/>
      <c r="D1347" s="608" t="s">
        <v>2467</v>
      </c>
      <c r="E1347" s="609"/>
      <c r="F1347" s="608" t="s">
        <v>2468</v>
      </c>
      <c r="G1347" s="609"/>
      <c r="H1347" s="608" t="s">
        <v>2469</v>
      </c>
      <c r="I1347" s="609"/>
      <c r="J1347" s="608" t="s">
        <v>2470</v>
      </c>
      <c r="K1347" s="609"/>
      <c r="L1347" s="494"/>
      <c r="M1347" s="550"/>
    </row>
    <row r="1348" spans="1:13" x14ac:dyDescent="0.2">
      <c r="A1348" s="533" t="s">
        <v>2471</v>
      </c>
      <c r="B1348" s="131">
        <v>13957</v>
      </c>
      <c r="C1348" s="307">
        <v>489</v>
      </c>
      <c r="D1348" s="131">
        <v>673113</v>
      </c>
      <c r="E1348" s="307">
        <v>738</v>
      </c>
      <c r="F1348" s="131">
        <v>687071</v>
      </c>
      <c r="G1348" s="307">
        <v>227</v>
      </c>
      <c r="H1348" s="131">
        <v>679887</v>
      </c>
      <c r="I1348" s="307">
        <v>917</v>
      </c>
      <c r="J1348" s="131">
        <v>7183</v>
      </c>
      <c r="K1348" s="307">
        <v>310</v>
      </c>
      <c r="L1348" s="494"/>
      <c r="M1348" s="550"/>
    </row>
    <row r="1349" spans="1:13" x14ac:dyDescent="0.2">
      <c r="A1349" s="533" t="s">
        <v>2472</v>
      </c>
      <c r="B1349" s="131">
        <v>279</v>
      </c>
      <c r="C1349" s="307">
        <v>805</v>
      </c>
      <c r="D1349" s="131">
        <v>183</v>
      </c>
      <c r="E1349" s="307">
        <v>532</v>
      </c>
      <c r="F1349" s="131">
        <v>463</v>
      </c>
      <c r="G1349" s="307">
        <v>337</v>
      </c>
      <c r="H1349" s="131">
        <v>74</v>
      </c>
      <c r="I1349" s="307">
        <v>812</v>
      </c>
      <c r="J1349" s="131">
        <v>388</v>
      </c>
      <c r="K1349" s="307">
        <v>525</v>
      </c>
      <c r="L1349" s="494"/>
      <c r="M1349" s="550"/>
    </row>
    <row r="1350" spans="1:13" x14ac:dyDescent="0.2">
      <c r="A1350" s="533" t="s">
        <v>2473</v>
      </c>
      <c r="B1350" s="131">
        <v>12024</v>
      </c>
      <c r="C1350" s="307">
        <v>718</v>
      </c>
      <c r="D1350" s="131">
        <v>92717</v>
      </c>
      <c r="E1350" s="307">
        <v>953</v>
      </c>
      <c r="F1350" s="131">
        <v>104742</v>
      </c>
      <c r="G1350" s="307">
        <v>671</v>
      </c>
      <c r="H1350" s="131">
        <v>77478</v>
      </c>
      <c r="I1350" s="307">
        <v>185</v>
      </c>
      <c r="J1350" s="131">
        <v>27264</v>
      </c>
      <c r="K1350" s="307">
        <v>486</v>
      </c>
      <c r="L1350" s="494"/>
      <c r="M1350" s="550"/>
    </row>
    <row r="1351" spans="1:13" x14ac:dyDescent="0.2">
      <c r="A1351" s="533" t="s">
        <v>2474</v>
      </c>
      <c r="B1351" s="131">
        <v>12130</v>
      </c>
      <c r="C1351" s="307">
        <v>469</v>
      </c>
      <c r="D1351" s="131">
        <v>25981</v>
      </c>
      <c r="E1351" s="307">
        <v>326</v>
      </c>
      <c r="F1351" s="131">
        <v>38111</v>
      </c>
      <c r="G1351" s="307">
        <v>795</v>
      </c>
      <c r="H1351" s="131">
        <v>17513</v>
      </c>
      <c r="I1351" s="307">
        <v>769</v>
      </c>
      <c r="J1351" s="131">
        <v>20598</v>
      </c>
      <c r="K1351" s="307">
        <v>26</v>
      </c>
      <c r="L1351" s="494"/>
      <c r="M1351" s="550"/>
    </row>
    <row r="1352" spans="1:13" x14ac:dyDescent="0.2">
      <c r="A1352" s="533" t="s">
        <v>2475</v>
      </c>
      <c r="B1352" s="131">
        <v>1458</v>
      </c>
      <c r="C1352" s="307">
        <v>200</v>
      </c>
      <c r="D1352" s="131">
        <v>576</v>
      </c>
      <c r="E1352" s="307">
        <v>635</v>
      </c>
      <c r="F1352" s="131">
        <v>2034</v>
      </c>
      <c r="G1352" s="307">
        <v>835</v>
      </c>
      <c r="H1352" s="131">
        <v>724</v>
      </c>
      <c r="I1352" s="307">
        <v>760</v>
      </c>
      <c r="J1352" s="131">
        <v>1310</v>
      </c>
      <c r="K1352" s="307">
        <v>75</v>
      </c>
      <c r="L1352" s="494"/>
      <c r="M1352" s="550"/>
    </row>
    <row r="1353" spans="1:13" x14ac:dyDescent="0.2">
      <c r="A1353" s="533" t="s">
        <v>2476</v>
      </c>
      <c r="B1353" s="131">
        <v>85231</v>
      </c>
      <c r="C1353" s="307">
        <v>490</v>
      </c>
      <c r="D1353" s="131">
        <v>34628</v>
      </c>
      <c r="E1353" s="307">
        <v>507</v>
      </c>
      <c r="F1353" s="131">
        <v>119859</v>
      </c>
      <c r="G1353" s="307">
        <v>997</v>
      </c>
      <c r="H1353" s="131">
        <v>35767</v>
      </c>
      <c r="I1353" s="307">
        <v>500</v>
      </c>
      <c r="J1353" s="131">
        <v>84092</v>
      </c>
      <c r="K1353" s="307">
        <v>497</v>
      </c>
      <c r="L1353" s="494"/>
      <c r="M1353" s="550"/>
    </row>
    <row r="1354" spans="1:13" x14ac:dyDescent="0.2">
      <c r="A1354" s="533" t="s">
        <v>1423</v>
      </c>
      <c r="B1354" s="131">
        <v>489966</v>
      </c>
      <c r="C1354" s="307">
        <v>785</v>
      </c>
      <c r="D1354" s="131">
        <v>62487</v>
      </c>
      <c r="E1354" s="307">
        <v>70</v>
      </c>
      <c r="F1354" s="131">
        <v>552453</v>
      </c>
      <c r="G1354" s="307">
        <v>855</v>
      </c>
      <c r="H1354" s="131">
        <v>236178</v>
      </c>
      <c r="I1354" s="307">
        <v>410</v>
      </c>
      <c r="J1354" s="131">
        <v>316275</v>
      </c>
      <c r="K1354" s="307">
        <v>445</v>
      </c>
      <c r="L1354" s="494"/>
      <c r="M1354" s="550"/>
    </row>
    <row r="1355" spans="1:13" x14ac:dyDescent="0.2">
      <c r="A1355" s="533" t="s">
        <v>2477</v>
      </c>
      <c r="B1355" s="131"/>
      <c r="C1355" s="307"/>
      <c r="D1355" s="131">
        <v>360</v>
      </c>
      <c r="E1355" s="307"/>
      <c r="F1355" s="131">
        <v>360</v>
      </c>
      <c r="G1355" s="307"/>
      <c r="H1355" s="131"/>
      <c r="I1355" s="307"/>
      <c r="J1355" s="131">
        <v>360</v>
      </c>
      <c r="K1355" s="307"/>
      <c r="L1355" s="494"/>
      <c r="M1355" s="550"/>
    </row>
    <row r="1356" spans="1:13" ht="26.5" customHeight="1" x14ac:dyDescent="0.2">
      <c r="A1356" s="535"/>
      <c r="B1356" s="240">
        <v>615048</v>
      </c>
      <c r="C1356" s="513">
        <v>956</v>
      </c>
      <c r="D1356" s="240">
        <v>890048</v>
      </c>
      <c r="E1356" s="513">
        <v>761</v>
      </c>
      <c r="F1356" s="240">
        <v>1505097</v>
      </c>
      <c r="G1356" s="513">
        <v>717</v>
      </c>
      <c r="H1356" s="240">
        <v>1047625</v>
      </c>
      <c r="I1356" s="513">
        <v>353</v>
      </c>
      <c r="J1356" s="240">
        <v>457472</v>
      </c>
      <c r="K1356" s="513">
        <v>364</v>
      </c>
      <c r="L1356" s="145">
        <v>1047625</v>
      </c>
      <c r="M1356" s="307">
        <v>353</v>
      </c>
    </row>
    <row r="1357" spans="1:13" ht="26.5" customHeight="1" x14ac:dyDescent="0.2">
      <c r="A1357" s="131"/>
      <c r="B1357" s="345">
        <f>+SUM(B1348:B1355)</f>
        <v>615045</v>
      </c>
      <c r="C1357" s="345">
        <f t="shared" ref="C1357:K1357" si="18">+SUM(C1348:C1355)</f>
        <v>3956</v>
      </c>
      <c r="D1357" s="345">
        <f t="shared" si="18"/>
        <v>890045</v>
      </c>
      <c r="E1357" s="345">
        <f t="shared" si="18"/>
        <v>3761</v>
      </c>
      <c r="F1357" s="345">
        <f t="shared" si="18"/>
        <v>1505093</v>
      </c>
      <c r="G1357" s="345">
        <f t="shared" si="18"/>
        <v>4717</v>
      </c>
      <c r="H1357" s="345">
        <f t="shared" si="18"/>
        <v>1047621</v>
      </c>
      <c r="I1357" s="345">
        <f t="shared" si="18"/>
        <v>4353</v>
      </c>
      <c r="J1357" s="345">
        <f t="shared" si="18"/>
        <v>457470</v>
      </c>
      <c r="K1357" s="345">
        <f t="shared" si="18"/>
        <v>2364</v>
      </c>
      <c r="L1357" s="145"/>
      <c r="M1357" s="307"/>
    </row>
    <row r="1358" spans="1:13" ht="39.5" customHeight="1" thickBot="1" x14ac:dyDescent="0.25">
      <c r="A1358" s="732" t="s">
        <v>2478</v>
      </c>
      <c r="B1358" s="733"/>
      <c r="C1358" s="733"/>
      <c r="D1358" s="733"/>
      <c r="E1358" s="733"/>
      <c r="F1358" s="733"/>
      <c r="G1358" s="733"/>
      <c r="H1358" s="733"/>
      <c r="I1358" s="733"/>
      <c r="J1358" s="727"/>
      <c r="K1358" s="734"/>
      <c r="L1358" s="495"/>
      <c r="M1358" s="550"/>
    </row>
    <row r="1359" spans="1:13" x14ac:dyDescent="0.2">
      <c r="A1359" s="735" t="s">
        <v>2422</v>
      </c>
      <c r="B1359" s="736"/>
      <c r="C1359" s="736"/>
      <c r="D1359" s="736"/>
      <c r="E1359" s="736"/>
      <c r="F1359" s="736"/>
      <c r="G1359" s="736"/>
      <c r="H1359" s="736"/>
      <c r="I1359" s="736"/>
      <c r="J1359" s="145">
        <v>572248</v>
      </c>
      <c r="K1359" s="752">
        <v>946</v>
      </c>
      <c r="L1359" s="495"/>
      <c r="M1359" s="550"/>
    </row>
    <row r="1360" spans="1:13" x14ac:dyDescent="0.2">
      <c r="A1360" s="480" t="s">
        <v>2479</v>
      </c>
      <c r="B1360" s="481"/>
      <c r="C1360" s="481"/>
      <c r="D1360" s="481"/>
      <c r="E1360" s="481"/>
      <c r="F1360" s="481"/>
      <c r="G1360" s="481"/>
      <c r="H1360" s="481"/>
      <c r="I1360" s="481"/>
      <c r="J1360" s="145">
        <v>13350</v>
      </c>
      <c r="K1360" s="307">
        <v>400</v>
      </c>
      <c r="L1360" s="495"/>
      <c r="M1360" s="550"/>
    </row>
    <row r="1361" spans="1:13" x14ac:dyDescent="0.2">
      <c r="A1361" s="480" t="s">
        <v>2480</v>
      </c>
      <c r="B1361" s="481"/>
      <c r="C1361" s="481"/>
      <c r="D1361" s="481"/>
      <c r="E1361" s="481"/>
      <c r="F1361" s="481"/>
      <c r="G1361" s="481"/>
      <c r="H1361" s="481"/>
      <c r="I1361" s="481"/>
      <c r="J1361" s="145">
        <v>2270</v>
      </c>
      <c r="K1361" s="307">
        <v>180</v>
      </c>
      <c r="L1361" s="495"/>
      <c r="M1361" s="550"/>
    </row>
    <row r="1362" spans="1:13" x14ac:dyDescent="0.2">
      <c r="A1362" s="480" t="s">
        <v>2425</v>
      </c>
      <c r="B1362" s="481"/>
      <c r="C1362" s="481"/>
      <c r="D1362" s="481"/>
      <c r="E1362" s="481"/>
      <c r="F1362" s="481"/>
      <c r="G1362" s="481"/>
      <c r="H1362" s="481"/>
      <c r="I1362" s="481"/>
      <c r="J1362" s="145">
        <v>25315</v>
      </c>
      <c r="K1362" s="307">
        <v>583</v>
      </c>
      <c r="L1362" s="495"/>
      <c r="M1362" s="550"/>
    </row>
    <row r="1363" spans="1:13" x14ac:dyDescent="0.2">
      <c r="A1363" s="480" t="s">
        <v>2426</v>
      </c>
      <c r="B1363" s="481"/>
      <c r="C1363" s="481"/>
      <c r="D1363" s="481"/>
      <c r="E1363" s="481"/>
      <c r="F1363" s="481"/>
      <c r="G1363" s="481"/>
      <c r="H1363" s="481"/>
      <c r="I1363" s="481"/>
      <c r="J1363" s="145">
        <v>8000</v>
      </c>
      <c r="K1363" s="307"/>
      <c r="L1363" s="495"/>
      <c r="M1363" s="550"/>
    </row>
    <row r="1364" spans="1:13" x14ac:dyDescent="0.2">
      <c r="A1364" s="480" t="s">
        <v>2430</v>
      </c>
      <c r="B1364" s="481"/>
      <c r="C1364" s="481"/>
      <c r="D1364" s="481"/>
      <c r="E1364" s="481"/>
      <c r="F1364" s="481"/>
      <c r="G1364" s="481"/>
      <c r="H1364" s="481"/>
      <c r="I1364" s="481"/>
      <c r="J1364" s="145"/>
      <c r="K1364" s="307">
        <v>200</v>
      </c>
      <c r="L1364" s="495"/>
      <c r="M1364" s="550"/>
    </row>
    <row r="1365" spans="1:13" x14ac:dyDescent="0.2">
      <c r="A1365" s="480" t="s">
        <v>2481</v>
      </c>
      <c r="B1365" s="481"/>
      <c r="C1365" s="481"/>
      <c r="D1365" s="481"/>
      <c r="E1365" s="481"/>
      <c r="F1365" s="481"/>
      <c r="G1365" s="481"/>
      <c r="H1365" s="481"/>
      <c r="I1365" s="481"/>
      <c r="J1365" s="145">
        <v>5036</v>
      </c>
      <c r="K1365" s="307">
        <v>250</v>
      </c>
      <c r="L1365" s="495"/>
      <c r="M1365" s="550"/>
    </row>
    <row r="1366" spans="1:13" x14ac:dyDescent="0.2">
      <c r="A1366" s="480" t="s">
        <v>2482</v>
      </c>
      <c r="B1366" s="481"/>
      <c r="C1366" s="481"/>
      <c r="D1366" s="481"/>
      <c r="E1366" s="481"/>
      <c r="F1366" s="481"/>
      <c r="G1366" s="481"/>
      <c r="H1366" s="481"/>
      <c r="I1366" s="481"/>
      <c r="J1366" s="145">
        <v>164632</v>
      </c>
      <c r="K1366" s="307">
        <v>625</v>
      </c>
      <c r="L1366" s="495"/>
      <c r="M1366" s="550"/>
    </row>
    <row r="1367" spans="1:13" x14ac:dyDescent="0.2">
      <c r="A1367" s="480" t="s">
        <v>2435</v>
      </c>
      <c r="B1367" s="481"/>
      <c r="C1367" s="481"/>
      <c r="D1367" s="481"/>
      <c r="E1367" s="481"/>
      <c r="F1367" s="481"/>
      <c r="G1367" s="481"/>
      <c r="H1367" s="481"/>
      <c r="I1367" s="481"/>
      <c r="J1367" s="145">
        <v>6400</v>
      </c>
      <c r="K1367" s="307"/>
      <c r="L1367" s="495"/>
      <c r="M1367" s="550"/>
    </row>
    <row r="1368" spans="1:13" x14ac:dyDescent="0.2">
      <c r="A1368" s="480" t="s">
        <v>2436</v>
      </c>
      <c r="B1368" s="481"/>
      <c r="C1368" s="481"/>
      <c r="D1368" s="481"/>
      <c r="E1368" s="481"/>
      <c r="F1368" s="481"/>
      <c r="G1368" s="481"/>
      <c r="H1368" s="481"/>
      <c r="I1368" s="481"/>
      <c r="J1368" s="145">
        <v>22723</v>
      </c>
      <c r="K1368" s="307">
        <v>260</v>
      </c>
      <c r="L1368" s="495"/>
      <c r="M1368" s="550"/>
    </row>
    <row r="1369" spans="1:13" x14ac:dyDescent="0.2">
      <c r="A1369" s="480" t="s">
        <v>2437</v>
      </c>
      <c r="B1369" s="481"/>
      <c r="C1369" s="481"/>
      <c r="D1369" s="481"/>
      <c r="E1369" s="481"/>
      <c r="F1369" s="481"/>
      <c r="G1369" s="481"/>
      <c r="H1369" s="481"/>
      <c r="I1369" s="481"/>
      <c r="J1369" s="145">
        <v>25</v>
      </c>
      <c r="K1369" s="307">
        <v>600</v>
      </c>
      <c r="L1369" s="495"/>
      <c r="M1369" s="550"/>
    </row>
    <row r="1370" spans="1:13" x14ac:dyDescent="0.2">
      <c r="A1370" s="480" t="s">
        <v>2438</v>
      </c>
      <c r="B1370" s="481"/>
      <c r="C1370" s="481"/>
      <c r="D1370" s="481"/>
      <c r="E1370" s="481"/>
      <c r="F1370" s="481"/>
      <c r="G1370" s="481"/>
      <c r="H1370" s="481"/>
      <c r="I1370" s="481"/>
      <c r="J1370" s="145">
        <v>160</v>
      </c>
      <c r="K1370" s="307"/>
      <c r="L1370" s="495"/>
      <c r="M1370" s="550"/>
    </row>
    <row r="1371" spans="1:13" x14ac:dyDescent="0.2">
      <c r="A1371" s="480" t="s">
        <v>2439</v>
      </c>
      <c r="B1371" s="481"/>
      <c r="C1371" s="481"/>
      <c r="D1371" s="481"/>
      <c r="E1371" s="481"/>
      <c r="F1371" s="481"/>
      <c r="G1371" s="481"/>
      <c r="H1371" s="481"/>
      <c r="I1371" s="481"/>
      <c r="J1371" s="145">
        <v>400</v>
      </c>
      <c r="K1371" s="307"/>
      <c r="L1371" s="495"/>
      <c r="M1371" s="550"/>
    </row>
    <row r="1372" spans="1:13" x14ac:dyDescent="0.2">
      <c r="A1372" s="480" t="s">
        <v>2441</v>
      </c>
      <c r="B1372" s="481"/>
      <c r="C1372" s="481"/>
      <c r="D1372" s="481"/>
      <c r="E1372" s="481"/>
      <c r="F1372" s="481"/>
      <c r="G1372" s="481"/>
      <c r="H1372" s="481"/>
      <c r="I1372" s="481"/>
      <c r="J1372" s="145">
        <v>336</v>
      </c>
      <c r="K1372" s="307"/>
      <c r="L1372" s="495"/>
      <c r="M1372" s="550"/>
    </row>
    <row r="1373" spans="1:13" ht="26.5" customHeight="1" x14ac:dyDescent="0.2">
      <c r="A1373" s="514" t="s">
        <v>2442</v>
      </c>
      <c r="B1373" s="515"/>
      <c r="C1373" s="515"/>
      <c r="D1373" s="515"/>
      <c r="E1373" s="515"/>
      <c r="F1373" s="515"/>
      <c r="G1373" s="515"/>
      <c r="H1373" s="515"/>
      <c r="I1373" s="515"/>
      <c r="J1373" s="309">
        <v>154</v>
      </c>
      <c r="K1373" s="364">
        <v>800</v>
      </c>
      <c r="L1373" s="309">
        <v>821053</v>
      </c>
      <c r="M1373" s="364">
        <v>844</v>
      </c>
    </row>
    <row r="1374" spans="1:13" ht="26.5" customHeight="1" x14ac:dyDescent="0.2">
      <c r="A1374" s="479"/>
      <c r="B1374" s="565"/>
      <c r="C1374" s="565"/>
      <c r="D1374" s="565"/>
      <c r="E1374" s="565"/>
      <c r="F1374" s="565"/>
      <c r="G1374" s="565"/>
      <c r="H1374" s="565"/>
      <c r="I1374" s="565"/>
      <c r="J1374" s="138">
        <f>+SUM(J1359:J1373)</f>
        <v>821049</v>
      </c>
      <c r="K1374" s="138">
        <f>+SUM(K1359:K1373)</f>
        <v>4844</v>
      </c>
      <c r="L1374" s="145"/>
      <c r="M1374" s="307"/>
    </row>
    <row r="1375" spans="1:13" ht="37.25" customHeight="1" thickBot="1" x14ac:dyDescent="0.25">
      <c r="A1375" s="732" t="s">
        <v>2483</v>
      </c>
      <c r="B1375" s="733"/>
      <c r="C1375" s="733"/>
      <c r="D1375" s="733"/>
      <c r="E1375" s="733"/>
      <c r="F1375" s="733"/>
      <c r="G1375" s="733"/>
      <c r="H1375" s="733"/>
      <c r="I1375" s="733"/>
      <c r="J1375" s="727"/>
      <c r="K1375" s="734"/>
      <c r="L1375" s="354"/>
      <c r="M1375" s="604"/>
    </row>
    <row r="1376" spans="1:13" ht="65.5" customHeight="1" x14ac:dyDescent="0.2">
      <c r="A1376" s="728"/>
      <c r="B1376" s="606" t="s">
        <v>2484</v>
      </c>
      <c r="C1376" s="644"/>
      <c r="D1376" s="606" t="s">
        <v>2485</v>
      </c>
      <c r="E1376" s="607"/>
      <c r="F1376" s="644" t="s">
        <v>2486</v>
      </c>
      <c r="G1376" s="607"/>
      <c r="H1376" s="644" t="s">
        <v>2487</v>
      </c>
      <c r="I1376" s="644"/>
      <c r="J1376" s="606" t="s">
        <v>2488</v>
      </c>
      <c r="K1376" s="607"/>
      <c r="L1376" s="495"/>
      <c r="M1376" s="550"/>
    </row>
    <row r="1377" spans="1:13" x14ac:dyDescent="0.2">
      <c r="A1377" s="716" t="s">
        <v>2444</v>
      </c>
      <c r="B1377" s="145">
        <v>1524646</v>
      </c>
      <c r="C1377" s="145">
        <v>313</v>
      </c>
      <c r="D1377" s="349">
        <v>270300</v>
      </c>
      <c r="E1377" s="717"/>
      <c r="F1377" s="145">
        <v>1794946</v>
      </c>
      <c r="G1377" s="145">
        <v>313</v>
      </c>
      <c r="H1377" s="349">
        <v>406437</v>
      </c>
      <c r="I1377" s="717">
        <v>945</v>
      </c>
      <c r="J1377" s="349">
        <v>1388508</v>
      </c>
      <c r="K1377" s="717">
        <v>368</v>
      </c>
      <c r="L1377" s="495"/>
      <c r="M1377" s="550"/>
    </row>
    <row r="1378" spans="1:13" x14ac:dyDescent="0.2">
      <c r="A1378" s="533" t="s">
        <v>2280</v>
      </c>
      <c r="B1378" s="145">
        <v>18657</v>
      </c>
      <c r="C1378" s="145">
        <v>250</v>
      </c>
      <c r="D1378" s="131"/>
      <c r="E1378" s="307"/>
      <c r="F1378" s="145">
        <v>18657</v>
      </c>
      <c r="G1378" s="145">
        <v>250</v>
      </c>
      <c r="H1378" s="131">
        <v>1319</v>
      </c>
      <c r="I1378" s="307">
        <v>650</v>
      </c>
      <c r="J1378" s="131">
        <v>17337</v>
      </c>
      <c r="K1378" s="307">
        <v>600</v>
      </c>
      <c r="L1378" s="495"/>
      <c r="M1378" s="550"/>
    </row>
    <row r="1379" spans="1:13" x14ac:dyDescent="0.2">
      <c r="A1379" s="533" t="s">
        <v>2489</v>
      </c>
      <c r="B1379" s="145">
        <v>33156</v>
      </c>
      <c r="C1379" s="145">
        <v>38</v>
      </c>
      <c r="D1379" s="131"/>
      <c r="E1379" s="307"/>
      <c r="F1379" s="145">
        <v>33156</v>
      </c>
      <c r="G1379" s="145">
        <v>38</v>
      </c>
      <c r="H1379" s="131">
        <v>96</v>
      </c>
      <c r="I1379" s="307">
        <v>350</v>
      </c>
      <c r="J1379" s="131">
        <v>33059</v>
      </c>
      <c r="K1379" s="307">
        <v>688</v>
      </c>
      <c r="L1379" s="495"/>
      <c r="M1379" s="550"/>
    </row>
    <row r="1380" spans="1:13" x14ac:dyDescent="0.2">
      <c r="A1380" s="533" t="s">
        <v>2490</v>
      </c>
      <c r="B1380" s="145">
        <v>2794</v>
      </c>
      <c r="C1380" s="145">
        <v>250</v>
      </c>
      <c r="D1380" s="131"/>
      <c r="E1380" s="307"/>
      <c r="F1380" s="145">
        <v>2794</v>
      </c>
      <c r="G1380" s="145">
        <v>250</v>
      </c>
      <c r="H1380" s="131">
        <v>1887</v>
      </c>
      <c r="I1380" s="307">
        <v>40</v>
      </c>
      <c r="J1380" s="131">
        <v>907</v>
      </c>
      <c r="K1380" s="307">
        <v>210</v>
      </c>
      <c r="L1380" s="495"/>
      <c r="M1380" s="550"/>
    </row>
    <row r="1381" spans="1:13" x14ac:dyDescent="0.2">
      <c r="A1381" s="533" t="s">
        <v>2491</v>
      </c>
      <c r="B1381" s="145">
        <v>147072</v>
      </c>
      <c r="C1381" s="145">
        <v>103</v>
      </c>
      <c r="D1381" s="131">
        <v>446655</v>
      </c>
      <c r="E1381" s="307">
        <v>730</v>
      </c>
      <c r="F1381" s="145">
        <v>593727</v>
      </c>
      <c r="G1381" s="145">
        <v>833</v>
      </c>
      <c r="H1381" s="131">
        <v>508635</v>
      </c>
      <c r="I1381" s="307">
        <v>522</v>
      </c>
      <c r="J1381" s="131">
        <v>85092</v>
      </c>
      <c r="K1381" s="307">
        <v>311</v>
      </c>
      <c r="L1381" s="495"/>
      <c r="M1381" s="550"/>
    </row>
    <row r="1382" spans="1:13" x14ac:dyDescent="0.2">
      <c r="A1382" s="533" t="s">
        <v>2492</v>
      </c>
      <c r="B1382" s="145"/>
      <c r="C1382" s="145"/>
      <c r="D1382" s="131">
        <v>14346</v>
      </c>
      <c r="E1382" s="307">
        <v>665</v>
      </c>
      <c r="F1382" s="145">
        <v>14346</v>
      </c>
      <c r="G1382" s="145">
        <v>665</v>
      </c>
      <c r="H1382" s="131"/>
      <c r="I1382" s="307"/>
      <c r="J1382" s="131">
        <v>14346</v>
      </c>
      <c r="K1382" s="307">
        <v>665</v>
      </c>
      <c r="L1382" s="495"/>
      <c r="M1382" s="550"/>
    </row>
    <row r="1383" spans="1:13" ht="21" customHeight="1" x14ac:dyDescent="0.2">
      <c r="A1383" s="535"/>
      <c r="B1383" s="318">
        <v>1726325</v>
      </c>
      <c r="C1383" s="318">
        <v>954</v>
      </c>
      <c r="D1383" s="240">
        <v>731302</v>
      </c>
      <c r="E1383" s="513">
        <v>395</v>
      </c>
      <c r="F1383" s="318">
        <v>2457628</v>
      </c>
      <c r="G1383" s="318">
        <v>349</v>
      </c>
      <c r="H1383" s="240">
        <v>918376</v>
      </c>
      <c r="I1383" s="513">
        <v>507</v>
      </c>
      <c r="J1383" s="240">
        <v>1539251</v>
      </c>
      <c r="K1383" s="513">
        <v>842</v>
      </c>
      <c r="L1383" s="145">
        <v>918376</v>
      </c>
      <c r="M1383" s="307">
        <v>507</v>
      </c>
    </row>
    <row r="1384" spans="1:13" ht="21" customHeight="1" x14ac:dyDescent="0.2">
      <c r="A1384" s="131"/>
      <c r="B1384" s="345">
        <f>+SUM(B1377:B1382)</f>
        <v>1726325</v>
      </c>
      <c r="C1384" s="345">
        <f t="shared" ref="C1384:K1384" si="19">+SUM(C1377:C1382)</f>
        <v>954</v>
      </c>
      <c r="D1384" s="345">
        <f t="shared" si="19"/>
        <v>731301</v>
      </c>
      <c r="E1384" s="345">
        <f t="shared" si="19"/>
        <v>1395</v>
      </c>
      <c r="F1384" s="345">
        <f t="shared" si="19"/>
        <v>2457626</v>
      </c>
      <c r="G1384" s="345">
        <f t="shared" si="19"/>
        <v>2349</v>
      </c>
      <c r="H1384" s="345">
        <f t="shared" si="19"/>
        <v>918374</v>
      </c>
      <c r="I1384" s="345">
        <f t="shared" si="19"/>
        <v>2507</v>
      </c>
      <c r="J1384" s="345">
        <f t="shared" si="19"/>
        <v>1539249</v>
      </c>
      <c r="K1384" s="345">
        <f t="shared" si="19"/>
        <v>2842</v>
      </c>
      <c r="L1384" s="145"/>
      <c r="M1384" s="307"/>
    </row>
    <row r="1385" spans="1:13" ht="40.25" customHeight="1" thickBot="1" x14ac:dyDescent="0.25">
      <c r="A1385" s="732" t="s">
        <v>2446</v>
      </c>
      <c r="B1385" s="733"/>
      <c r="C1385" s="733"/>
      <c r="D1385" s="733"/>
      <c r="E1385" s="733"/>
      <c r="F1385" s="733"/>
      <c r="G1385" s="733"/>
      <c r="H1385" s="733"/>
      <c r="I1385" s="733"/>
      <c r="J1385" s="727"/>
      <c r="K1385" s="734"/>
      <c r="L1385" s="494"/>
      <c r="M1385" s="550"/>
    </row>
    <row r="1386" spans="1:13" ht="24.5" customHeight="1" thickBot="1" x14ac:dyDescent="0.25">
      <c r="A1386" s="735" t="s">
        <v>2493</v>
      </c>
      <c r="B1386" s="736"/>
      <c r="C1386" s="736"/>
      <c r="D1386" s="736"/>
      <c r="E1386" s="736"/>
      <c r="F1386" s="736"/>
      <c r="G1386" s="736"/>
      <c r="H1386" s="736"/>
      <c r="I1386" s="736"/>
      <c r="J1386" s="736"/>
      <c r="K1386" s="753"/>
      <c r="L1386" s="187">
        <v>867848</v>
      </c>
      <c r="M1386" s="444">
        <v>75</v>
      </c>
    </row>
    <row r="1387" spans="1:13" ht="20.5" customHeight="1" x14ac:dyDescent="0.2">
      <c r="A1387" s="489" t="s">
        <v>2494</v>
      </c>
      <c r="B1387" s="493"/>
      <c r="C1387" s="493"/>
      <c r="D1387" s="493"/>
      <c r="E1387" s="493"/>
      <c r="F1387" s="493"/>
      <c r="G1387" s="493"/>
      <c r="H1387" s="493"/>
      <c r="I1387" s="493"/>
      <c r="J1387" s="493"/>
      <c r="K1387" s="490"/>
      <c r="L1387" s="145">
        <v>5046246</v>
      </c>
      <c r="M1387" s="307">
        <v>1</v>
      </c>
    </row>
    <row r="1388" spans="1:13" ht="20.5" customHeight="1" x14ac:dyDescent="0.2">
      <c r="A1388" s="622"/>
      <c r="B1388" s="623"/>
      <c r="C1388" s="623"/>
      <c r="D1388" s="623"/>
      <c r="E1388" s="623"/>
      <c r="F1388" s="623"/>
      <c r="G1388" s="623"/>
      <c r="H1388" s="623"/>
      <c r="I1388" s="623"/>
      <c r="J1388" s="623"/>
      <c r="K1388" s="722"/>
      <c r="L1388" s="138">
        <f>+L1386+L1383+L1373+L1356+L1343</f>
        <v>5046244</v>
      </c>
      <c r="M1388" s="188">
        <f>+M1386+M1383+M1373+M1356+M1343</f>
        <v>2001</v>
      </c>
    </row>
    <row r="1389" spans="1:13" ht="35.5" customHeight="1" thickBot="1" x14ac:dyDescent="0.25">
      <c r="A1389" s="732" t="s">
        <v>2495</v>
      </c>
      <c r="B1389" s="733"/>
      <c r="C1389" s="733"/>
      <c r="D1389" s="733"/>
      <c r="E1389" s="733"/>
      <c r="F1389" s="733"/>
      <c r="G1389" s="733"/>
      <c r="H1389" s="733"/>
      <c r="I1389" s="733"/>
      <c r="J1389" s="727"/>
      <c r="K1389" s="734"/>
      <c r="L1389" s="494"/>
      <c r="M1389" s="550"/>
    </row>
    <row r="1390" spans="1:13" x14ac:dyDescent="0.2">
      <c r="A1390" s="735" t="s">
        <v>2496</v>
      </c>
      <c r="B1390" s="736"/>
      <c r="C1390" s="736"/>
      <c r="D1390" s="736"/>
      <c r="E1390" s="736"/>
      <c r="F1390" s="736"/>
      <c r="G1390" s="736"/>
      <c r="H1390" s="736"/>
      <c r="I1390" s="736"/>
      <c r="J1390" s="145">
        <v>28681</v>
      </c>
      <c r="K1390" s="307">
        <v>493</v>
      </c>
      <c r="L1390" s="494"/>
      <c r="M1390" s="550"/>
    </row>
    <row r="1391" spans="1:13" x14ac:dyDescent="0.2">
      <c r="A1391" s="480" t="s">
        <v>2497</v>
      </c>
      <c r="B1391" s="481"/>
      <c r="C1391" s="481"/>
      <c r="D1391" s="481"/>
      <c r="E1391" s="481"/>
      <c r="F1391" s="481"/>
      <c r="G1391" s="481"/>
      <c r="H1391" s="481"/>
      <c r="I1391" s="481"/>
      <c r="J1391" s="145">
        <v>15640</v>
      </c>
      <c r="K1391" s="307">
        <v>174</v>
      </c>
      <c r="L1391" s="494"/>
      <c r="M1391" s="550"/>
    </row>
    <row r="1392" spans="1:13" x14ac:dyDescent="0.2">
      <c r="A1392" s="480" t="s">
        <v>2498</v>
      </c>
      <c r="B1392" s="481"/>
      <c r="C1392" s="481"/>
      <c r="D1392" s="481"/>
      <c r="E1392" s="481"/>
      <c r="F1392" s="481"/>
      <c r="G1392" s="481"/>
      <c r="H1392" s="481"/>
      <c r="I1392" s="481"/>
      <c r="J1392" s="145">
        <v>19571</v>
      </c>
      <c r="K1392" s="307">
        <v>446</v>
      </c>
      <c r="L1392" s="494"/>
      <c r="M1392" s="550"/>
    </row>
    <row r="1393" spans="1:13" x14ac:dyDescent="0.2">
      <c r="A1393" s="480" t="s">
        <v>2499</v>
      </c>
      <c r="B1393" s="481"/>
      <c r="C1393" s="481"/>
      <c r="D1393" s="481"/>
      <c r="E1393" s="481"/>
      <c r="F1393" s="481"/>
      <c r="G1393" s="481"/>
      <c r="H1393" s="481"/>
      <c r="I1393" s="481"/>
      <c r="J1393" s="145">
        <v>2678</v>
      </c>
      <c r="K1393" s="307">
        <v>650</v>
      </c>
      <c r="L1393" s="494"/>
      <c r="M1393" s="550"/>
    </row>
    <row r="1394" spans="1:13" x14ac:dyDescent="0.2">
      <c r="A1394" s="480" t="s">
        <v>2500</v>
      </c>
      <c r="B1394" s="481"/>
      <c r="C1394" s="481"/>
      <c r="D1394" s="481"/>
      <c r="E1394" s="481"/>
      <c r="F1394" s="481"/>
      <c r="G1394" s="481"/>
      <c r="H1394" s="481"/>
      <c r="I1394" s="481"/>
      <c r="J1394" s="145">
        <v>41788</v>
      </c>
      <c r="K1394" s="307">
        <v>795</v>
      </c>
      <c r="L1394" s="494"/>
      <c r="M1394" s="550"/>
    </row>
    <row r="1395" spans="1:13" ht="16" thickBot="1" x14ac:dyDescent="0.25">
      <c r="A1395" s="480" t="s">
        <v>2501</v>
      </c>
      <c r="B1395" s="481"/>
      <c r="C1395" s="481"/>
      <c r="D1395" s="481"/>
      <c r="E1395" s="481"/>
      <c r="F1395" s="481"/>
      <c r="G1395" s="481"/>
      <c r="H1395" s="481"/>
      <c r="I1395" s="481"/>
      <c r="J1395" s="187">
        <v>70737</v>
      </c>
      <c r="K1395" s="444">
        <v>780</v>
      </c>
      <c r="L1395" s="754">
        <v>179098</v>
      </c>
      <c r="M1395" s="755">
        <v>338</v>
      </c>
    </row>
    <row r="1396" spans="1:13" x14ac:dyDescent="0.2">
      <c r="A1396" s="479"/>
      <c r="B1396" s="565"/>
      <c r="C1396" s="565"/>
      <c r="D1396" s="565"/>
      <c r="E1396" s="565"/>
      <c r="F1396" s="565"/>
      <c r="G1396" s="565"/>
      <c r="H1396" s="565"/>
      <c r="I1396" s="565"/>
      <c r="J1396" s="138">
        <f>+SUM(J1390:J1395)</f>
        <v>179095</v>
      </c>
      <c r="K1396" s="138">
        <f>+SUM(K1390:K1395)</f>
        <v>3338</v>
      </c>
      <c r="L1396" s="724"/>
      <c r="M1396" s="756"/>
    </row>
    <row r="1397" spans="1:13" ht="19" x14ac:dyDescent="0.25">
      <c r="A1397" s="757" t="s">
        <v>2502</v>
      </c>
      <c r="B1397" s="758"/>
      <c r="C1397" s="758"/>
      <c r="D1397" s="758"/>
      <c r="E1397" s="758"/>
      <c r="F1397" s="758"/>
      <c r="G1397" s="758"/>
      <c r="H1397" s="758"/>
      <c r="I1397" s="758"/>
      <c r="J1397" s="758"/>
      <c r="K1397" s="759"/>
      <c r="L1397" s="309">
        <v>5225344</v>
      </c>
      <c r="M1397" s="364">
        <v>339</v>
      </c>
    </row>
    <row r="1398" spans="1:13" x14ac:dyDescent="0.2">
      <c r="A1398" s="107"/>
      <c r="B1398" s="107"/>
      <c r="C1398" s="107"/>
      <c r="D1398" s="107"/>
      <c r="E1398" s="107"/>
      <c r="F1398" s="107"/>
      <c r="G1398" s="107"/>
      <c r="H1398" s="107"/>
      <c r="I1398" s="107"/>
      <c r="J1398" s="107"/>
      <c r="K1398" s="107"/>
      <c r="L1398" s="321">
        <f>+L1395+L1387</f>
        <v>5225344</v>
      </c>
      <c r="M1398" s="321">
        <f>+M1395+M1387</f>
        <v>339</v>
      </c>
    </row>
    <row r="1399" spans="1:13" x14ac:dyDescent="0.2">
      <c r="A1399" s="107"/>
      <c r="B1399" s="107"/>
      <c r="C1399" s="107"/>
      <c r="D1399" s="107"/>
      <c r="E1399" s="107"/>
      <c r="F1399" s="107"/>
      <c r="G1399" s="107"/>
      <c r="H1399" s="107"/>
      <c r="I1399" s="107"/>
      <c r="J1399" s="107"/>
      <c r="K1399" s="107"/>
      <c r="L1399" s="107"/>
      <c r="M1399" s="107"/>
    </row>
  </sheetData>
  <mergeCells count="450">
    <mergeCell ref="A1394:I1394"/>
    <mergeCell ref="A1395:I1395"/>
    <mergeCell ref="A1397:K1397"/>
    <mergeCell ref="A1385:K1385"/>
    <mergeCell ref="L1385:M1385"/>
    <mergeCell ref="A1386:K1386"/>
    <mergeCell ref="A1387:K1387"/>
    <mergeCell ref="A1389:K1389"/>
    <mergeCell ref="L1389:M1394"/>
    <mergeCell ref="A1390:I1390"/>
    <mergeCell ref="A1391:I1391"/>
    <mergeCell ref="A1392:I1392"/>
    <mergeCell ref="A1393:I1393"/>
    <mergeCell ref="A1373:I1373"/>
    <mergeCell ref="A1375:K1375"/>
    <mergeCell ref="L1375:M1382"/>
    <mergeCell ref="B1376:C1376"/>
    <mergeCell ref="D1376:E1376"/>
    <mergeCell ref="F1376:G1376"/>
    <mergeCell ref="H1376:I1376"/>
    <mergeCell ref="J1376:K1376"/>
    <mergeCell ref="A1367:I1367"/>
    <mergeCell ref="A1368:I1368"/>
    <mergeCell ref="A1369:I1369"/>
    <mergeCell ref="A1370:I1370"/>
    <mergeCell ref="A1371:I1371"/>
    <mergeCell ref="A1372:I1372"/>
    <mergeCell ref="A1358:K1358"/>
    <mergeCell ref="L1358:M1372"/>
    <mergeCell ref="A1359:I1359"/>
    <mergeCell ref="A1360:I1360"/>
    <mergeCell ref="A1361:I1361"/>
    <mergeCell ref="A1362:I1362"/>
    <mergeCell ref="A1363:I1363"/>
    <mergeCell ref="A1364:I1364"/>
    <mergeCell ref="A1365:I1365"/>
    <mergeCell ref="A1366:I1366"/>
    <mergeCell ref="J1333:K1333"/>
    <mergeCell ref="A1345:K1345"/>
    <mergeCell ref="L1345:M1355"/>
    <mergeCell ref="A1346:K1346"/>
    <mergeCell ref="B1347:C1347"/>
    <mergeCell ref="D1347:E1347"/>
    <mergeCell ref="F1347:G1347"/>
    <mergeCell ref="H1347:I1347"/>
    <mergeCell ref="J1347:K1347"/>
    <mergeCell ref="H1324:I1324"/>
    <mergeCell ref="J1324:K1324"/>
    <mergeCell ref="A1329:K1329"/>
    <mergeCell ref="A1330:K1330"/>
    <mergeCell ref="A1332:K1332"/>
    <mergeCell ref="L1332:M1342"/>
    <mergeCell ref="B1333:C1333"/>
    <mergeCell ref="D1333:E1333"/>
    <mergeCell ref="F1333:G1333"/>
    <mergeCell ref="H1333:I1333"/>
    <mergeCell ref="A1318:K1318"/>
    <mergeCell ref="L1318:M1320"/>
    <mergeCell ref="A1319:I1319"/>
    <mergeCell ref="A1320:I1320"/>
    <mergeCell ref="A1321:I1321"/>
    <mergeCell ref="A1323:K1323"/>
    <mergeCell ref="L1323:M1326"/>
    <mergeCell ref="B1324:C1324"/>
    <mergeCell ref="D1324:E1324"/>
    <mergeCell ref="F1324:G1324"/>
    <mergeCell ref="A1289:I1289"/>
    <mergeCell ref="A1290:I1290"/>
    <mergeCell ref="A1291:I1291"/>
    <mergeCell ref="A1293:K1293"/>
    <mergeCell ref="L1293:M1315"/>
    <mergeCell ref="B1294:C1294"/>
    <mergeCell ref="D1294:E1294"/>
    <mergeCell ref="F1294:G1294"/>
    <mergeCell ref="H1294:I1294"/>
    <mergeCell ref="J1294:K1294"/>
    <mergeCell ref="H1269:I1269"/>
    <mergeCell ref="J1269:K1269"/>
    <mergeCell ref="A1282:K1282"/>
    <mergeCell ref="L1282:M1290"/>
    <mergeCell ref="A1283:K1283"/>
    <mergeCell ref="A1284:I1284"/>
    <mergeCell ref="A1285:I1285"/>
    <mergeCell ref="A1286:I1286"/>
    <mergeCell ref="A1287:I1287"/>
    <mergeCell ref="A1288:I1288"/>
    <mergeCell ref="A1262:M1262"/>
    <mergeCell ref="A1263:K1263"/>
    <mergeCell ref="A1264:K1264"/>
    <mergeCell ref="A1265:K1265"/>
    <mergeCell ref="A1266:K1266"/>
    <mergeCell ref="A1268:K1268"/>
    <mergeCell ref="L1268:M1279"/>
    <mergeCell ref="B1269:C1269"/>
    <mergeCell ref="D1269:E1269"/>
    <mergeCell ref="F1269:G1269"/>
    <mergeCell ref="A1233:C1233"/>
    <mergeCell ref="D1233:E1233"/>
    <mergeCell ref="F1233:G1233"/>
    <mergeCell ref="A1242:A1243"/>
    <mergeCell ref="B1242:E1242"/>
    <mergeCell ref="F1242:I1242"/>
    <mergeCell ref="B1243:C1243"/>
    <mergeCell ref="D1243:E1243"/>
    <mergeCell ref="F1243:G1243"/>
    <mergeCell ref="H1243:I1243"/>
    <mergeCell ref="A1190:E1190"/>
    <mergeCell ref="A1201:E1201"/>
    <mergeCell ref="A1212:C1212"/>
    <mergeCell ref="A1213:E1213"/>
    <mergeCell ref="D1218:E1218"/>
    <mergeCell ref="F1218:G1218"/>
    <mergeCell ref="A1138:C1138"/>
    <mergeCell ref="A1139:E1139"/>
    <mergeCell ref="A1140:E1140"/>
    <mergeCell ref="A1156:E1156"/>
    <mergeCell ref="A1168:E1168"/>
    <mergeCell ref="A1179:E1179"/>
    <mergeCell ref="A1044:E1044"/>
    <mergeCell ref="A1063:E1063"/>
    <mergeCell ref="A1083:E1083"/>
    <mergeCell ref="A1103:E1103"/>
    <mergeCell ref="A1120:E1120"/>
    <mergeCell ref="A1134:E1134"/>
    <mergeCell ref="A1012:E1012"/>
    <mergeCell ref="A1013:C1013"/>
    <mergeCell ref="A1014:C1014"/>
    <mergeCell ref="A1018:E1018"/>
    <mergeCell ref="A1019:E1019"/>
    <mergeCell ref="A1020:E1020"/>
    <mergeCell ref="A970:D970"/>
    <mergeCell ref="A971:D971"/>
    <mergeCell ref="A982:D982"/>
    <mergeCell ref="A990:C990"/>
    <mergeCell ref="A991:E991"/>
    <mergeCell ref="A1005:C1005"/>
    <mergeCell ref="A937:C937"/>
    <mergeCell ref="A938:C938"/>
    <mergeCell ref="A942:C942"/>
    <mergeCell ref="A943:C943"/>
    <mergeCell ref="A964:C964"/>
    <mergeCell ref="A969:E969"/>
    <mergeCell ref="A901:C901"/>
    <mergeCell ref="A906:C906"/>
    <mergeCell ref="A913:C913"/>
    <mergeCell ref="A934:C934"/>
    <mergeCell ref="A935:C935"/>
    <mergeCell ref="A936:C936"/>
    <mergeCell ref="A848:C848"/>
    <mergeCell ref="A850:E850"/>
    <mergeCell ref="A851:C851"/>
    <mergeCell ref="A865:C865"/>
    <mergeCell ref="A877:C877"/>
    <mergeCell ref="A894:C894"/>
    <mergeCell ref="A831:C831"/>
    <mergeCell ref="A832:C832"/>
    <mergeCell ref="A833:C833"/>
    <mergeCell ref="A834:C834"/>
    <mergeCell ref="A835:C835"/>
    <mergeCell ref="A836:C836"/>
    <mergeCell ref="A805:C805"/>
    <mergeCell ref="A811:C811"/>
    <mergeCell ref="A821:C821"/>
    <mergeCell ref="A823:C823"/>
    <mergeCell ref="A829:C829"/>
    <mergeCell ref="A830:C830"/>
    <mergeCell ref="A761:E761"/>
    <mergeCell ref="A762:E762"/>
    <mergeCell ref="A769:C769"/>
    <mergeCell ref="A779:C779"/>
    <mergeCell ref="A793:C793"/>
    <mergeCell ref="A799:C799"/>
    <mergeCell ref="G718:H718"/>
    <mergeCell ref="I718:J718"/>
    <mergeCell ref="A722:C722"/>
    <mergeCell ref="A723:C723"/>
    <mergeCell ref="A742:C742"/>
    <mergeCell ref="A747:C747"/>
    <mergeCell ref="C714:F714"/>
    <mergeCell ref="C715:F715"/>
    <mergeCell ref="C716:F716"/>
    <mergeCell ref="A717:F717"/>
    <mergeCell ref="G717:H717"/>
    <mergeCell ref="I717:J717"/>
    <mergeCell ref="A710:J710"/>
    <mergeCell ref="C711:F711"/>
    <mergeCell ref="G711:H711"/>
    <mergeCell ref="I711:J711"/>
    <mergeCell ref="C712:F712"/>
    <mergeCell ref="C713:F713"/>
    <mergeCell ref="A703:E703"/>
    <mergeCell ref="F703:G703"/>
    <mergeCell ref="H703:I703"/>
    <mergeCell ref="F704:G704"/>
    <mergeCell ref="H704:I704"/>
    <mergeCell ref="A705:I705"/>
    <mergeCell ref="A686:A687"/>
    <mergeCell ref="B686:C687"/>
    <mergeCell ref="D686:E687"/>
    <mergeCell ref="F686:I686"/>
    <mergeCell ref="F687:G687"/>
    <mergeCell ref="H687:I687"/>
    <mergeCell ref="A683:E683"/>
    <mergeCell ref="F683:G683"/>
    <mergeCell ref="H683:I683"/>
    <mergeCell ref="F684:G684"/>
    <mergeCell ref="H684:I684"/>
    <mergeCell ref="A685:I685"/>
    <mergeCell ref="A656:I656"/>
    <mergeCell ref="A657:A658"/>
    <mergeCell ref="B657:C658"/>
    <mergeCell ref="D657:E658"/>
    <mergeCell ref="F657:I657"/>
    <mergeCell ref="F658:G658"/>
    <mergeCell ref="H658:I658"/>
    <mergeCell ref="A649:E649"/>
    <mergeCell ref="F649:G649"/>
    <mergeCell ref="H649:I649"/>
    <mergeCell ref="F650:G650"/>
    <mergeCell ref="H650:I650"/>
    <mergeCell ref="A655:I655"/>
    <mergeCell ref="A632:A633"/>
    <mergeCell ref="B632:C633"/>
    <mergeCell ref="D632:E633"/>
    <mergeCell ref="F632:I632"/>
    <mergeCell ref="F633:G633"/>
    <mergeCell ref="H633:I633"/>
    <mergeCell ref="A629:E629"/>
    <mergeCell ref="F629:G629"/>
    <mergeCell ref="H629:I629"/>
    <mergeCell ref="F630:G630"/>
    <mergeCell ref="H630:I630"/>
    <mergeCell ref="A631:I631"/>
    <mergeCell ref="A601:I601"/>
    <mergeCell ref="A602:I602"/>
    <mergeCell ref="A603:A604"/>
    <mergeCell ref="B603:C604"/>
    <mergeCell ref="D603:E604"/>
    <mergeCell ref="F603:I603"/>
    <mergeCell ref="F604:G604"/>
    <mergeCell ref="H604:I604"/>
    <mergeCell ref="A594:E594"/>
    <mergeCell ref="F594:G594"/>
    <mergeCell ref="H594:I594"/>
    <mergeCell ref="F595:G595"/>
    <mergeCell ref="H595:I595"/>
    <mergeCell ref="A596:I596"/>
    <mergeCell ref="A576:I576"/>
    <mergeCell ref="A577:A578"/>
    <mergeCell ref="B577:C578"/>
    <mergeCell ref="D577:E578"/>
    <mergeCell ref="F577:I577"/>
    <mergeCell ref="F578:G578"/>
    <mergeCell ref="H578:I578"/>
    <mergeCell ref="A570:E570"/>
    <mergeCell ref="F570:G570"/>
    <mergeCell ref="H570:I570"/>
    <mergeCell ref="F571:G571"/>
    <mergeCell ref="H571:I571"/>
    <mergeCell ref="A575:I575"/>
    <mergeCell ref="A540:I540"/>
    <mergeCell ref="A541:I541"/>
    <mergeCell ref="A542:I542"/>
    <mergeCell ref="A543:A544"/>
    <mergeCell ref="B543:C544"/>
    <mergeCell ref="D543:E544"/>
    <mergeCell ref="F543:I543"/>
    <mergeCell ref="F544:G544"/>
    <mergeCell ref="H544:I544"/>
    <mergeCell ref="A479:C479"/>
    <mergeCell ref="A489:C489"/>
    <mergeCell ref="A490:C490"/>
    <mergeCell ref="A515:C515"/>
    <mergeCell ref="A531:C531"/>
    <mergeCell ref="A539:I539"/>
    <mergeCell ref="A445:E445"/>
    <mergeCell ref="A460:C460"/>
    <mergeCell ref="A470:E470"/>
    <mergeCell ref="A475:E475"/>
    <mergeCell ref="A476:C476"/>
    <mergeCell ref="A477:C477"/>
    <mergeCell ref="A411:C411"/>
    <mergeCell ref="A412:C412"/>
    <mergeCell ref="A413:C413"/>
    <mergeCell ref="A416:E416"/>
    <mergeCell ref="A417:E417"/>
    <mergeCell ref="A431:E431"/>
    <mergeCell ref="A405:C405"/>
    <mergeCell ref="A406:C406"/>
    <mergeCell ref="A407:C407"/>
    <mergeCell ref="A408:C408"/>
    <mergeCell ref="A409:C409"/>
    <mergeCell ref="A410:C410"/>
    <mergeCell ref="A399:E399"/>
    <mergeCell ref="A400:E400"/>
    <mergeCell ref="A401:E401"/>
    <mergeCell ref="A402:C402"/>
    <mergeCell ref="A403:C403"/>
    <mergeCell ref="A404:C404"/>
    <mergeCell ref="A332:C332"/>
    <mergeCell ref="A334:E334"/>
    <mergeCell ref="A346:E346"/>
    <mergeCell ref="A362:E362"/>
    <mergeCell ref="A382:C382"/>
    <mergeCell ref="A384:E384"/>
    <mergeCell ref="A326:C326"/>
    <mergeCell ref="A327:C327"/>
    <mergeCell ref="A328:C328"/>
    <mergeCell ref="A329:C329"/>
    <mergeCell ref="A330:C330"/>
    <mergeCell ref="A331:C331"/>
    <mergeCell ref="A320:C320"/>
    <mergeCell ref="A321:C321"/>
    <mergeCell ref="A322:C322"/>
    <mergeCell ref="A323:C323"/>
    <mergeCell ref="A324:C324"/>
    <mergeCell ref="A325:C325"/>
    <mergeCell ref="A314:E314"/>
    <mergeCell ref="A315:E315"/>
    <mergeCell ref="A316:E316"/>
    <mergeCell ref="A317:E317"/>
    <mergeCell ref="A318:E318"/>
    <mergeCell ref="A319:C319"/>
    <mergeCell ref="A268:C268"/>
    <mergeCell ref="A270:E270"/>
    <mergeCell ref="A275:D275"/>
    <mergeCell ref="A276:D276"/>
    <mergeCell ref="A291:L291"/>
    <mergeCell ref="B292:D292"/>
    <mergeCell ref="E292:G292"/>
    <mergeCell ref="H292:J292"/>
    <mergeCell ref="K292:M292"/>
    <mergeCell ref="A261:C261"/>
    <mergeCell ref="A262:C262"/>
    <mergeCell ref="A263:C263"/>
    <mergeCell ref="A264:E264"/>
    <mergeCell ref="A266:C266"/>
    <mergeCell ref="A267:C267"/>
    <mergeCell ref="A249:C249"/>
    <mergeCell ref="A256:E256"/>
    <mergeCell ref="A257:E257"/>
    <mergeCell ref="A258:C258"/>
    <mergeCell ref="A259:C259"/>
    <mergeCell ref="A260:C260"/>
    <mergeCell ref="A232:E232"/>
    <mergeCell ref="A233:E233"/>
    <mergeCell ref="A234:E234"/>
    <mergeCell ref="A238:C238"/>
    <mergeCell ref="A243:C243"/>
    <mergeCell ref="A244:E244"/>
    <mergeCell ref="A222:E222"/>
    <mergeCell ref="A223:E223"/>
    <mergeCell ref="A224:C224"/>
    <mergeCell ref="A225:C225"/>
    <mergeCell ref="A226:C226"/>
    <mergeCell ref="A227:E227"/>
    <mergeCell ref="A208:C208"/>
    <mergeCell ref="A209:C209"/>
    <mergeCell ref="A216:C216"/>
    <mergeCell ref="A219:C219"/>
    <mergeCell ref="A220:C220"/>
    <mergeCell ref="A221:C221"/>
    <mergeCell ref="A186:C186"/>
    <mergeCell ref="B188:C188"/>
    <mergeCell ref="D188:E188"/>
    <mergeCell ref="A203:E203"/>
    <mergeCell ref="A206:C206"/>
    <mergeCell ref="A207:C207"/>
    <mergeCell ref="A162:C162"/>
    <mergeCell ref="A163:C163"/>
    <mergeCell ref="A164:C164"/>
    <mergeCell ref="A165:C165"/>
    <mergeCell ref="B170:C170"/>
    <mergeCell ref="D170:E170"/>
    <mergeCell ref="A139:G139"/>
    <mergeCell ref="A140:G140"/>
    <mergeCell ref="A142:G142"/>
    <mergeCell ref="A143:G143"/>
    <mergeCell ref="A148:E148"/>
    <mergeCell ref="A149:C149"/>
    <mergeCell ref="A131:E131"/>
    <mergeCell ref="A133:G133"/>
    <mergeCell ref="A134:G134"/>
    <mergeCell ref="A135:G135"/>
    <mergeCell ref="A137:E137"/>
    <mergeCell ref="A138:E138"/>
    <mergeCell ref="A116:A117"/>
    <mergeCell ref="B116:C117"/>
    <mergeCell ref="D116:E117"/>
    <mergeCell ref="F116:I116"/>
    <mergeCell ref="F117:G117"/>
    <mergeCell ref="H117:I117"/>
    <mergeCell ref="B108:I108"/>
    <mergeCell ref="B109:C109"/>
    <mergeCell ref="D109:E109"/>
    <mergeCell ref="F109:G109"/>
    <mergeCell ref="H109:I109"/>
    <mergeCell ref="B110:C110"/>
    <mergeCell ref="D110:E110"/>
    <mergeCell ref="F110:G110"/>
    <mergeCell ref="H110:I110"/>
    <mergeCell ref="A95:M95"/>
    <mergeCell ref="B96:D96"/>
    <mergeCell ref="E96:G96"/>
    <mergeCell ref="H96:J96"/>
    <mergeCell ref="K96:M96"/>
    <mergeCell ref="B107:I107"/>
    <mergeCell ref="A69:K69"/>
    <mergeCell ref="A70:K70"/>
    <mergeCell ref="A75:M75"/>
    <mergeCell ref="A76:M76"/>
    <mergeCell ref="B77:D77"/>
    <mergeCell ref="E77:G77"/>
    <mergeCell ref="H77:J77"/>
    <mergeCell ref="K77:M77"/>
    <mergeCell ref="A63:K63"/>
    <mergeCell ref="A64:K64"/>
    <mergeCell ref="A65:K65"/>
    <mergeCell ref="A66:K66"/>
    <mergeCell ref="A67:K67"/>
    <mergeCell ref="A68:K68"/>
    <mergeCell ref="L46:L47"/>
    <mergeCell ref="M46:M47"/>
    <mergeCell ref="N46:N47"/>
    <mergeCell ref="O46:O47"/>
    <mergeCell ref="A57:K57"/>
    <mergeCell ref="A62:K62"/>
    <mergeCell ref="F46:F47"/>
    <mergeCell ref="G46:G47"/>
    <mergeCell ref="H46:H47"/>
    <mergeCell ref="I46:I47"/>
    <mergeCell ref="J46:J47"/>
    <mergeCell ref="K46:K47"/>
    <mergeCell ref="A32:K32"/>
    <mergeCell ref="A33:K33"/>
    <mergeCell ref="A34:K34"/>
    <mergeCell ref="A39:M39"/>
    <mergeCell ref="B40:C40"/>
    <mergeCell ref="D40:E40"/>
    <mergeCell ref="F40:G40"/>
    <mergeCell ref="H40:I40"/>
    <mergeCell ref="J40:K40"/>
    <mergeCell ref="L40:M40"/>
    <mergeCell ref="A4:M4"/>
    <mergeCell ref="B5:C5"/>
    <mergeCell ref="D5:E5"/>
    <mergeCell ref="F5:G5"/>
    <mergeCell ref="H5:I5"/>
    <mergeCell ref="J5:K5"/>
    <mergeCell ref="L5:M5"/>
  </mergeCells>
  <pageMargins left="0.75" right="0.75" top="1" bottom="1" header="0" footer="0"/>
  <headerFooter alignWithMargins="0"/>
  <legacy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171"/>
  <sheetViews>
    <sheetView workbookViewId="0">
      <selection activeCell="B1" sqref="B1"/>
    </sheetView>
  </sheetViews>
  <sheetFormatPr baseColWidth="10" defaultRowHeight="15" x14ac:dyDescent="0.2"/>
  <cols>
    <col min="1" max="1" width="40.6640625" style="106" customWidth="1"/>
    <col min="2" max="2" width="11.6640625" style="106" customWidth="1"/>
    <col min="3" max="3" width="7.6640625" style="106" customWidth="1"/>
    <col min="4" max="4" width="11.6640625" style="106" customWidth="1"/>
    <col min="5" max="5" width="7.6640625" style="106" customWidth="1"/>
    <col min="6" max="6" width="11.6640625" style="106" customWidth="1"/>
    <col min="7" max="7" width="7.83203125" style="106" customWidth="1"/>
    <col min="8" max="8" width="11.6640625" style="106" customWidth="1"/>
    <col min="9" max="9" width="6.1640625" style="106" customWidth="1"/>
    <col min="10" max="10" width="11.6640625" style="106" customWidth="1"/>
    <col min="11" max="11" width="6.1640625" style="106" customWidth="1"/>
    <col min="12" max="12" width="11.6640625" style="106" customWidth="1"/>
    <col min="13" max="13" width="6.1640625" style="106" customWidth="1"/>
    <col min="14" max="14" width="11.6640625" style="106" customWidth="1"/>
    <col min="15" max="15" width="6.1640625" style="106" customWidth="1"/>
    <col min="16" max="16" width="11.6640625" style="106" customWidth="1"/>
    <col min="17" max="17" width="6.1640625" style="106" customWidth="1"/>
    <col min="18" max="18" width="11.6640625" style="106" customWidth="1"/>
    <col min="19" max="19" width="6.1640625" style="106" customWidth="1"/>
    <col min="20" max="20" width="11.6640625" style="106" customWidth="1"/>
    <col min="21" max="21" width="6.1640625" style="106" customWidth="1"/>
    <col min="22" max="22" width="11.6640625" style="106" customWidth="1"/>
    <col min="23" max="23" width="6.1640625" style="106" customWidth="1"/>
    <col min="24" max="24" width="11.6640625" style="106" customWidth="1"/>
    <col min="25" max="25" width="6.1640625" style="106" customWidth="1"/>
    <col min="26" max="26" width="11.6640625" style="106" customWidth="1"/>
    <col min="27" max="27" width="6.1640625" style="106" customWidth="1"/>
    <col min="28" max="28" width="11.6640625" style="106" customWidth="1"/>
    <col min="29" max="29" width="6.1640625" style="106" customWidth="1"/>
    <col min="30" max="30" width="11.6640625" style="106" customWidth="1"/>
    <col min="31" max="31" width="6.1640625" style="106" customWidth="1"/>
    <col min="32" max="32" width="11.6640625" style="106" customWidth="1"/>
    <col min="33" max="33" width="6.1640625" style="106" customWidth="1"/>
    <col min="34" max="34" width="11.6640625" style="106" customWidth="1"/>
    <col min="35" max="35" width="6.1640625" style="106" customWidth="1"/>
    <col min="36" max="36" width="11.6640625" style="106" customWidth="1"/>
    <col min="37" max="37" width="6.1640625" style="106" customWidth="1"/>
    <col min="38" max="38" width="11.6640625" style="106" customWidth="1"/>
    <col min="39" max="39" width="6.1640625" style="106" customWidth="1"/>
    <col min="40" max="40" width="11.6640625" style="106" customWidth="1"/>
    <col min="41" max="41" width="6.1640625" style="106" customWidth="1"/>
    <col min="42" max="42" width="11.6640625" style="106" customWidth="1"/>
    <col min="43" max="43" width="6.1640625" style="106" customWidth="1"/>
    <col min="44" max="44" width="11.6640625" style="106" customWidth="1"/>
    <col min="45" max="45" width="6.1640625" style="106" customWidth="1"/>
    <col min="46" max="46" width="11.6640625" style="106" customWidth="1"/>
    <col min="47" max="47" width="6.1640625" style="106" customWidth="1"/>
    <col min="48" max="48" width="11.6640625" style="106" customWidth="1"/>
    <col min="49" max="49" width="6.1640625" style="106" customWidth="1"/>
    <col min="50" max="50" width="11.6640625" style="106" customWidth="1"/>
    <col min="51" max="51" width="6.1640625" style="106" customWidth="1"/>
    <col min="52" max="52" width="11.6640625" style="106" customWidth="1"/>
    <col min="53" max="53" width="6.1640625" style="106" customWidth="1"/>
    <col min="54" max="54" width="11.6640625" style="106" customWidth="1"/>
    <col min="55" max="55" width="6.1640625" style="106" customWidth="1"/>
    <col min="56" max="56" width="11.6640625" style="106" customWidth="1"/>
    <col min="57" max="57" width="6.1640625" style="106" customWidth="1"/>
    <col min="58" max="58" width="11.6640625" style="106" customWidth="1"/>
    <col min="59" max="59" width="6.1640625" style="106" customWidth="1"/>
    <col min="60" max="60" width="11.6640625" style="106" customWidth="1"/>
    <col min="61" max="61" width="6.1640625" style="106" customWidth="1"/>
    <col min="62" max="62" width="11.6640625" style="106" customWidth="1"/>
    <col min="63" max="63" width="6.1640625" style="106" customWidth="1"/>
    <col min="64" max="64" width="11.6640625" style="106" customWidth="1"/>
    <col min="65" max="65" width="6.1640625" style="106" customWidth="1"/>
    <col min="66" max="66" width="11.6640625" style="106" customWidth="1"/>
    <col min="67" max="67" width="6.1640625" style="106" customWidth="1"/>
    <col min="68" max="68" width="11.6640625" style="106" customWidth="1"/>
    <col min="69" max="69" width="6.1640625" style="106" customWidth="1"/>
    <col min="70" max="70" width="11.6640625" style="106" customWidth="1"/>
    <col min="71" max="71" width="6.1640625" style="106" customWidth="1"/>
    <col min="72" max="72" width="11.6640625" style="106" customWidth="1"/>
    <col min="73" max="73" width="6.1640625" style="106" customWidth="1"/>
    <col min="74" max="74" width="11.6640625" style="106" customWidth="1"/>
    <col min="75" max="75" width="6.1640625" style="106" customWidth="1"/>
    <col min="76" max="76" width="11.6640625" style="106" customWidth="1"/>
    <col min="77" max="77" width="6.1640625" style="106" customWidth="1"/>
    <col min="78" max="78" width="11.6640625" style="106" customWidth="1"/>
    <col min="79" max="79" width="6.1640625" style="106" customWidth="1"/>
    <col min="80" max="80" width="11.6640625" style="106" customWidth="1"/>
    <col min="81" max="81" width="6.1640625" style="106" customWidth="1"/>
    <col min="82" max="82" width="11.6640625" style="106" customWidth="1"/>
    <col min="83" max="83" width="6.1640625" style="106" customWidth="1"/>
    <col min="84" max="84" width="11.6640625" style="106" customWidth="1"/>
    <col min="85" max="85" width="6.1640625" style="106" customWidth="1"/>
    <col min="86" max="86" width="11.6640625" style="106" customWidth="1"/>
    <col min="87" max="87" width="6.1640625" style="106" customWidth="1"/>
    <col min="88" max="88" width="11.6640625" style="106" customWidth="1"/>
    <col min="89" max="89" width="6.1640625" style="106" customWidth="1"/>
    <col min="90" max="90" width="11.6640625" style="106" customWidth="1"/>
    <col min="91" max="91" width="6.1640625" style="106" customWidth="1"/>
    <col min="92" max="92" width="11.6640625" style="106" customWidth="1"/>
    <col min="93" max="93" width="6.1640625" style="106" customWidth="1"/>
    <col min="94" max="16384" width="10.83203125" style="106"/>
  </cols>
  <sheetData>
    <row r="1" spans="1:13" x14ac:dyDescent="0.2">
      <c r="A1" s="458" t="s">
        <v>2503</v>
      </c>
    </row>
    <row r="3" spans="1:13" x14ac:dyDescent="0.2">
      <c r="A3" s="113" t="s">
        <v>1111</v>
      </c>
    </row>
    <row r="4" spans="1:13" ht="24.5" customHeight="1" x14ac:dyDescent="0.2">
      <c r="A4" s="760" t="s">
        <v>1569</v>
      </c>
      <c r="B4" s="761"/>
      <c r="C4" s="761"/>
      <c r="D4" s="761"/>
      <c r="E4" s="761"/>
      <c r="F4" s="761"/>
      <c r="G4" s="762"/>
    </row>
    <row r="5" spans="1:13" ht="23.5" customHeight="1" x14ac:dyDescent="0.2">
      <c r="A5" s="763" t="s">
        <v>2504</v>
      </c>
      <c r="B5" s="487" t="s">
        <v>2505</v>
      </c>
      <c r="C5" s="488"/>
      <c r="D5" s="487" t="s">
        <v>2506</v>
      </c>
      <c r="E5" s="488"/>
      <c r="F5" s="487" t="s">
        <v>2507</v>
      </c>
      <c r="G5" s="488"/>
    </row>
    <row r="6" spans="1:13" ht="22.25" customHeight="1" x14ac:dyDescent="0.2">
      <c r="A6" s="764"/>
      <c r="B6" s="765" t="s">
        <v>2508</v>
      </c>
      <c r="C6" s="766" t="s">
        <v>2509</v>
      </c>
      <c r="D6" s="765" t="s">
        <v>2508</v>
      </c>
      <c r="E6" s="766" t="s">
        <v>2509</v>
      </c>
      <c r="F6" s="765" t="s">
        <v>2508</v>
      </c>
      <c r="G6" s="766" t="s">
        <v>2509</v>
      </c>
    </row>
    <row r="7" spans="1:13" x14ac:dyDescent="0.2">
      <c r="A7" s="135" t="s">
        <v>1891</v>
      </c>
      <c r="B7" s="131">
        <v>550755</v>
      </c>
      <c r="C7" s="307">
        <v>231</v>
      </c>
      <c r="D7" s="131">
        <v>139676</v>
      </c>
      <c r="E7" s="307">
        <v>320</v>
      </c>
      <c r="F7" s="131">
        <v>411078</v>
      </c>
      <c r="G7" s="307">
        <v>911</v>
      </c>
    </row>
    <row r="8" spans="1:13" x14ac:dyDescent="0.2">
      <c r="A8" s="135" t="s">
        <v>2510</v>
      </c>
      <c r="B8" s="131">
        <v>690046</v>
      </c>
      <c r="C8" s="307">
        <v>419</v>
      </c>
      <c r="D8" s="131">
        <v>152627</v>
      </c>
      <c r="E8" s="307">
        <v>160</v>
      </c>
      <c r="F8" s="131">
        <v>447419</v>
      </c>
      <c r="G8" s="307">
        <v>259</v>
      </c>
    </row>
    <row r="9" spans="1:13" x14ac:dyDescent="0.2">
      <c r="A9" s="135" t="s">
        <v>2511</v>
      </c>
      <c r="B9" s="131">
        <v>610682</v>
      </c>
      <c r="C9" s="307">
        <v>630</v>
      </c>
      <c r="D9" s="131">
        <v>168601</v>
      </c>
      <c r="E9" s="307">
        <v>590</v>
      </c>
      <c r="F9" s="131">
        <v>442081</v>
      </c>
      <c r="G9" s="307">
        <v>40</v>
      </c>
    </row>
    <row r="10" spans="1:13" x14ac:dyDescent="0.2">
      <c r="A10" s="135" t="s">
        <v>2512</v>
      </c>
      <c r="B10" s="131">
        <v>669136</v>
      </c>
      <c r="C10" s="307">
        <v>22</v>
      </c>
      <c r="D10" s="131">
        <v>166894</v>
      </c>
      <c r="E10" s="307">
        <v>820</v>
      </c>
      <c r="F10" s="131">
        <v>502241</v>
      </c>
      <c r="G10" s="307">
        <v>202</v>
      </c>
    </row>
    <row r="11" spans="1:13" x14ac:dyDescent="0.2">
      <c r="A11" s="263"/>
      <c r="B11" s="240">
        <v>2430620</v>
      </c>
      <c r="C11" s="513">
        <v>302</v>
      </c>
      <c r="D11" s="240">
        <v>627799</v>
      </c>
      <c r="E11" s="513">
        <v>890</v>
      </c>
      <c r="F11" s="240">
        <v>1802820</v>
      </c>
      <c r="G11" s="513">
        <v>412</v>
      </c>
    </row>
    <row r="12" spans="1:13" x14ac:dyDescent="0.2">
      <c r="B12" s="477">
        <f t="shared" ref="B12:G12" si="0">+SUM(B7:B10)</f>
        <v>2520619</v>
      </c>
      <c r="C12" s="321">
        <f t="shared" si="0"/>
        <v>1302</v>
      </c>
      <c r="D12" s="321">
        <f t="shared" si="0"/>
        <v>627798</v>
      </c>
      <c r="E12" s="321">
        <f t="shared" si="0"/>
        <v>1890</v>
      </c>
      <c r="F12" s="321">
        <f t="shared" si="0"/>
        <v>1802819</v>
      </c>
      <c r="G12" s="321">
        <f t="shared" si="0"/>
        <v>1412</v>
      </c>
    </row>
    <row r="15" spans="1:13" x14ac:dyDescent="0.2">
      <c r="A15" s="113" t="s">
        <v>1171</v>
      </c>
    </row>
    <row r="16" spans="1:13" ht="39.5" customHeight="1" x14ac:dyDescent="0.2">
      <c r="A16" s="767" t="s">
        <v>2513</v>
      </c>
      <c r="B16" s="768"/>
      <c r="C16" s="768"/>
      <c r="D16" s="768"/>
      <c r="E16" s="768"/>
      <c r="F16" s="768"/>
      <c r="G16" s="768"/>
      <c r="H16" s="768"/>
      <c r="I16" s="768"/>
      <c r="J16" s="768"/>
      <c r="K16" s="768"/>
      <c r="L16" s="768"/>
      <c r="M16" s="769"/>
    </row>
    <row r="17" spans="1:13" ht="30" customHeight="1" x14ac:dyDescent="0.2">
      <c r="A17" s="124" t="s">
        <v>2514</v>
      </c>
      <c r="B17" s="124" t="s">
        <v>2515</v>
      </c>
      <c r="C17" s="126"/>
      <c r="D17" s="128" t="s">
        <v>2516</v>
      </c>
      <c r="E17" s="128"/>
      <c r="F17" s="128"/>
      <c r="G17" s="128"/>
      <c r="H17" s="128"/>
      <c r="I17" s="128"/>
      <c r="J17" s="487" t="s">
        <v>1635</v>
      </c>
      <c r="K17" s="770"/>
      <c r="L17" s="770"/>
      <c r="M17" s="488"/>
    </row>
    <row r="18" spans="1:13" ht="53" customHeight="1" x14ac:dyDescent="0.2">
      <c r="A18" s="499"/>
      <c r="B18" s="511"/>
      <c r="C18" s="512"/>
      <c r="D18" s="252" t="s">
        <v>2517</v>
      </c>
      <c r="E18" s="254"/>
      <c r="F18" s="252" t="s">
        <v>2518</v>
      </c>
      <c r="G18" s="253"/>
      <c r="H18" s="252" t="s">
        <v>2519</v>
      </c>
      <c r="I18" s="254"/>
      <c r="J18" s="771" t="s">
        <v>2520</v>
      </c>
      <c r="K18" s="476"/>
      <c r="L18" s="771" t="s">
        <v>2521</v>
      </c>
      <c r="M18" s="476"/>
    </row>
    <row r="19" spans="1:13" x14ac:dyDescent="0.2">
      <c r="A19" s="131" t="s">
        <v>1174</v>
      </c>
      <c r="B19" s="131">
        <v>1536220</v>
      </c>
      <c r="C19" s="307"/>
      <c r="D19" s="131">
        <v>854567</v>
      </c>
      <c r="E19" s="307">
        <v>905</v>
      </c>
      <c r="F19" s="131">
        <v>463</v>
      </c>
      <c r="G19" s="145">
        <v>625</v>
      </c>
      <c r="H19" s="131">
        <v>855031</v>
      </c>
      <c r="I19" s="307">
        <v>530</v>
      </c>
      <c r="J19" s="145"/>
      <c r="K19" s="307"/>
      <c r="L19" s="145">
        <v>681188</v>
      </c>
      <c r="M19" s="307">
        <v>470</v>
      </c>
    </row>
    <row r="20" spans="1:13" x14ac:dyDescent="0.2">
      <c r="A20" s="131" t="s">
        <v>1573</v>
      </c>
      <c r="B20" s="131">
        <v>24300</v>
      </c>
      <c r="C20" s="307"/>
      <c r="D20" s="131">
        <v>30244</v>
      </c>
      <c r="E20" s="307">
        <v>400</v>
      </c>
      <c r="F20" s="131"/>
      <c r="G20" s="145"/>
      <c r="H20" s="131">
        <v>30244</v>
      </c>
      <c r="I20" s="307">
        <v>400</v>
      </c>
      <c r="J20" s="145">
        <v>5944</v>
      </c>
      <c r="K20" s="307">
        <v>400</v>
      </c>
      <c r="L20" s="145"/>
      <c r="M20" s="307"/>
    </row>
    <row r="21" spans="1:13" x14ac:dyDescent="0.2">
      <c r="A21" s="131" t="s">
        <v>1401</v>
      </c>
      <c r="B21" s="131">
        <v>100000</v>
      </c>
      <c r="C21" s="307"/>
      <c r="D21" s="131">
        <v>21134</v>
      </c>
      <c r="E21" s="307">
        <v>25</v>
      </c>
      <c r="F21" s="131">
        <v>1885</v>
      </c>
      <c r="G21" s="145">
        <v>805</v>
      </c>
      <c r="H21" s="131">
        <v>23019</v>
      </c>
      <c r="I21" s="307">
        <v>830</v>
      </c>
      <c r="J21" s="145"/>
      <c r="K21" s="307"/>
      <c r="L21" s="145">
        <v>76980</v>
      </c>
      <c r="M21" s="307">
        <v>170</v>
      </c>
    </row>
    <row r="22" spans="1:13" x14ac:dyDescent="0.2">
      <c r="A22" s="131" t="s">
        <v>1931</v>
      </c>
      <c r="B22" s="131">
        <v>80000</v>
      </c>
      <c r="C22" s="307"/>
      <c r="D22" s="131">
        <v>79971</v>
      </c>
      <c r="E22" s="307">
        <v>215</v>
      </c>
      <c r="F22" s="131"/>
      <c r="G22" s="145"/>
      <c r="H22" s="131">
        <v>79971</v>
      </c>
      <c r="I22" s="307">
        <v>215</v>
      </c>
      <c r="J22" s="145"/>
      <c r="K22" s="307"/>
      <c r="L22" s="145">
        <v>28</v>
      </c>
      <c r="M22" s="307">
        <v>785</v>
      </c>
    </row>
    <row r="23" spans="1:13" x14ac:dyDescent="0.2">
      <c r="A23" s="131" t="s">
        <v>2522</v>
      </c>
      <c r="B23" s="131">
        <v>25000</v>
      </c>
      <c r="C23" s="307"/>
      <c r="D23" s="131"/>
      <c r="E23" s="307"/>
      <c r="F23" s="131"/>
      <c r="G23" s="145"/>
      <c r="H23" s="131"/>
      <c r="I23" s="307"/>
      <c r="J23" s="145"/>
      <c r="K23" s="307"/>
      <c r="L23" s="145">
        <v>25000</v>
      </c>
      <c r="M23" s="307"/>
    </row>
    <row r="24" spans="1:13" x14ac:dyDescent="0.2">
      <c r="A24" s="131" t="s">
        <v>1808</v>
      </c>
      <c r="B24" s="131">
        <v>40000</v>
      </c>
      <c r="C24" s="307"/>
      <c r="D24" s="131">
        <v>25448</v>
      </c>
      <c r="E24" s="307">
        <v>240</v>
      </c>
      <c r="F24" s="131">
        <v>86</v>
      </c>
      <c r="G24" s="145">
        <v>900</v>
      </c>
      <c r="H24" s="131">
        <v>25535</v>
      </c>
      <c r="I24" s="307">
        <v>140</v>
      </c>
      <c r="J24" s="145"/>
      <c r="K24" s="307"/>
      <c r="L24" s="145">
        <v>14464</v>
      </c>
      <c r="M24" s="307">
        <v>860</v>
      </c>
    </row>
    <row r="25" spans="1:13" x14ac:dyDescent="0.2">
      <c r="A25" s="131" t="s">
        <v>1175</v>
      </c>
      <c r="B25" s="131">
        <v>70000</v>
      </c>
      <c r="C25" s="307"/>
      <c r="D25" s="131">
        <v>45463</v>
      </c>
      <c r="E25" s="307">
        <v>164</v>
      </c>
      <c r="F25" s="131">
        <v>4220</v>
      </c>
      <c r="G25" s="145">
        <v>705</v>
      </c>
      <c r="H25" s="131">
        <v>49683</v>
      </c>
      <c r="I25" s="307">
        <v>869</v>
      </c>
      <c r="J25" s="145"/>
      <c r="K25" s="307"/>
      <c r="L25" s="145">
        <v>20316</v>
      </c>
      <c r="M25" s="307">
        <v>131</v>
      </c>
    </row>
    <row r="26" spans="1:13" x14ac:dyDescent="0.2">
      <c r="A26" s="131" t="s">
        <v>2523</v>
      </c>
      <c r="B26" s="131">
        <v>40000</v>
      </c>
      <c r="C26" s="307"/>
      <c r="D26" s="131">
        <v>22723</v>
      </c>
      <c r="E26" s="307">
        <v>260</v>
      </c>
      <c r="F26" s="131"/>
      <c r="G26" s="145"/>
      <c r="H26" s="131">
        <v>22723</v>
      </c>
      <c r="I26" s="307">
        <v>260</v>
      </c>
      <c r="J26" s="145"/>
      <c r="K26" s="307"/>
      <c r="L26" s="145">
        <v>17276</v>
      </c>
      <c r="M26" s="307">
        <v>740</v>
      </c>
    </row>
    <row r="27" spans="1:13" x14ac:dyDescent="0.2">
      <c r="A27" s="131" t="s">
        <v>1569</v>
      </c>
      <c r="B27" s="131">
        <v>550000</v>
      </c>
      <c r="C27" s="307"/>
      <c r="D27" s="131">
        <v>596657</v>
      </c>
      <c r="E27" s="307">
        <v>539</v>
      </c>
      <c r="F27" s="131">
        <v>3388</v>
      </c>
      <c r="G27" s="145">
        <v>880</v>
      </c>
      <c r="H27" s="131">
        <v>600046</v>
      </c>
      <c r="I27" s="307">
        <v>419</v>
      </c>
      <c r="J27" s="145">
        <v>50046</v>
      </c>
      <c r="K27" s="307">
        <v>419</v>
      </c>
      <c r="L27" s="145"/>
      <c r="M27" s="307"/>
    </row>
    <row r="28" spans="1:13" x14ac:dyDescent="0.2">
      <c r="A28" s="131" t="s">
        <v>1992</v>
      </c>
      <c r="B28" s="131">
        <v>10000</v>
      </c>
      <c r="C28" s="307"/>
      <c r="D28" s="131">
        <v>27761</v>
      </c>
      <c r="E28" s="307">
        <v>246</v>
      </c>
      <c r="F28" s="131">
        <v>5133</v>
      </c>
      <c r="G28" s="145">
        <v>640</v>
      </c>
      <c r="H28" s="131">
        <v>32894</v>
      </c>
      <c r="I28" s="307">
        <v>886</v>
      </c>
      <c r="J28" s="145">
        <v>22894</v>
      </c>
      <c r="K28" s="307">
        <v>886</v>
      </c>
      <c r="L28" s="145"/>
      <c r="M28" s="307"/>
    </row>
    <row r="29" spans="1:13" ht="16" thickBot="1" x14ac:dyDescent="0.25">
      <c r="A29" s="622" t="s">
        <v>2524</v>
      </c>
      <c r="B29" s="240">
        <v>2475520</v>
      </c>
      <c r="C29" s="513"/>
      <c r="D29" s="240">
        <v>1703970</v>
      </c>
      <c r="E29" s="513">
        <v>994</v>
      </c>
      <c r="F29" s="240">
        <v>15179</v>
      </c>
      <c r="G29" s="318">
        <v>555</v>
      </c>
      <c r="H29" s="240">
        <v>1719150</v>
      </c>
      <c r="I29" s="513">
        <v>549</v>
      </c>
      <c r="J29" s="362">
        <v>78885</v>
      </c>
      <c r="K29" s="363">
        <v>705</v>
      </c>
      <c r="L29" s="362">
        <v>835255</v>
      </c>
      <c r="M29" s="363">
        <v>156</v>
      </c>
    </row>
    <row r="30" spans="1:13" ht="16" thickTop="1" x14ac:dyDescent="0.2">
      <c r="A30" s="622"/>
      <c r="B30" s="152">
        <f>+SUM(B19:B28)</f>
        <v>2475520</v>
      </c>
      <c r="C30" s="152">
        <f t="shared" ref="C30:M30" si="1">+SUM(C19:C28)</f>
        <v>0</v>
      </c>
      <c r="D30" s="152">
        <f t="shared" si="1"/>
        <v>1703968</v>
      </c>
      <c r="E30" s="152">
        <f t="shared" si="1"/>
        <v>2994</v>
      </c>
      <c r="F30" s="152">
        <f t="shared" si="1"/>
        <v>15175</v>
      </c>
      <c r="G30" s="152">
        <f t="shared" si="1"/>
        <v>4555</v>
      </c>
      <c r="H30" s="152">
        <f t="shared" si="1"/>
        <v>1719146</v>
      </c>
      <c r="I30" s="152">
        <f t="shared" si="1"/>
        <v>4549</v>
      </c>
      <c r="J30" s="152">
        <f t="shared" si="1"/>
        <v>78884</v>
      </c>
      <c r="K30" s="152">
        <f t="shared" si="1"/>
        <v>1705</v>
      </c>
      <c r="L30" s="152">
        <f t="shared" si="1"/>
        <v>835252</v>
      </c>
      <c r="M30" s="152">
        <f t="shared" si="1"/>
        <v>3156</v>
      </c>
    </row>
    <row r="31" spans="1:13" x14ac:dyDescent="0.2">
      <c r="A31" s="772" t="s">
        <v>2525</v>
      </c>
      <c r="B31" s="773"/>
      <c r="C31" s="773"/>
      <c r="D31" s="773"/>
      <c r="E31" s="773"/>
      <c r="F31" s="773"/>
      <c r="G31" s="773"/>
      <c r="H31" s="773"/>
      <c r="I31" s="773"/>
      <c r="J31" s="356"/>
      <c r="K31" s="356"/>
      <c r="L31" s="356"/>
      <c r="M31" s="357"/>
    </row>
    <row r="32" spans="1:13" x14ac:dyDescent="0.2">
      <c r="A32" s="107"/>
      <c r="B32" s="107"/>
      <c r="C32" s="107"/>
      <c r="D32" s="107"/>
      <c r="E32" s="107"/>
      <c r="F32" s="107"/>
      <c r="G32" s="107"/>
      <c r="H32" s="107"/>
      <c r="I32" s="107"/>
      <c r="J32" s="107"/>
      <c r="K32" s="107"/>
      <c r="L32" s="107"/>
      <c r="M32" s="107"/>
    </row>
    <row r="33" spans="1:13" x14ac:dyDescent="0.2">
      <c r="A33" s="107"/>
      <c r="B33" s="107"/>
      <c r="C33" s="107"/>
      <c r="D33" s="107"/>
      <c r="E33" s="107"/>
      <c r="F33" s="107"/>
      <c r="G33" s="107"/>
      <c r="H33" s="107"/>
      <c r="I33" s="107"/>
      <c r="J33" s="107"/>
      <c r="K33" s="107"/>
      <c r="L33" s="107"/>
      <c r="M33" s="107"/>
    </row>
    <row r="34" spans="1:13" x14ac:dyDescent="0.2">
      <c r="A34" s="107"/>
      <c r="B34" s="107"/>
      <c r="C34" s="107"/>
      <c r="D34" s="107"/>
      <c r="E34" s="107"/>
      <c r="F34" s="107"/>
      <c r="G34" s="107"/>
      <c r="H34" s="107"/>
      <c r="I34" s="107"/>
      <c r="J34" s="107"/>
      <c r="K34" s="107"/>
      <c r="L34" s="107"/>
      <c r="M34" s="107"/>
    </row>
    <row r="35" spans="1:13" x14ac:dyDescent="0.2">
      <c r="A35" s="526" t="s">
        <v>1182</v>
      </c>
      <c r="B35" s="107"/>
      <c r="C35" s="107"/>
      <c r="D35" s="107"/>
      <c r="E35" s="107"/>
      <c r="F35" s="107"/>
      <c r="G35" s="107"/>
      <c r="H35" s="107"/>
      <c r="I35" s="107"/>
      <c r="J35" s="107"/>
      <c r="K35" s="107"/>
      <c r="L35" s="107"/>
      <c r="M35" s="107"/>
    </row>
    <row r="36" spans="1:13" ht="23" customHeight="1" x14ac:dyDescent="0.25">
      <c r="A36" s="774" t="s">
        <v>2526</v>
      </c>
      <c r="B36" s="775"/>
      <c r="C36" s="775"/>
      <c r="D36" s="775"/>
      <c r="E36" s="775"/>
      <c r="F36" s="775"/>
      <c r="G36" s="775"/>
      <c r="H36" s="775"/>
      <c r="I36" s="775"/>
      <c r="J36" s="775"/>
      <c r="K36" s="775"/>
      <c r="L36" s="775"/>
      <c r="M36" s="776"/>
    </row>
    <row r="37" spans="1:13" ht="25.25" customHeight="1" x14ac:dyDescent="0.2">
      <c r="A37" s="602" t="s">
        <v>2527</v>
      </c>
      <c r="B37" s="602" t="s">
        <v>2515</v>
      </c>
      <c r="C37" s="603"/>
      <c r="D37" s="713" t="s">
        <v>2516</v>
      </c>
      <c r="E37" s="713"/>
      <c r="F37" s="713"/>
      <c r="G37" s="713"/>
      <c r="H37" s="713"/>
      <c r="I37" s="713"/>
      <c r="J37" s="485" t="s">
        <v>1635</v>
      </c>
      <c r="K37" s="712"/>
      <c r="L37" s="712"/>
      <c r="M37" s="486"/>
    </row>
    <row r="38" spans="1:13" ht="56" customHeight="1" x14ac:dyDescent="0.2">
      <c r="A38" s="777"/>
      <c r="B38" s="606"/>
      <c r="C38" s="607"/>
      <c r="D38" s="608" t="s">
        <v>2517</v>
      </c>
      <c r="E38" s="609"/>
      <c r="F38" s="608" t="s">
        <v>2518</v>
      </c>
      <c r="G38" s="778"/>
      <c r="H38" s="608" t="s">
        <v>2519</v>
      </c>
      <c r="I38" s="609"/>
      <c r="J38" s="779" t="s">
        <v>2520</v>
      </c>
      <c r="K38" s="780"/>
      <c r="L38" s="779" t="s">
        <v>2521</v>
      </c>
      <c r="M38" s="780"/>
    </row>
    <row r="39" spans="1:13" x14ac:dyDescent="0.2">
      <c r="A39" s="131" t="s">
        <v>2528</v>
      </c>
      <c r="B39" s="131"/>
      <c r="C39" s="307"/>
      <c r="D39" s="131"/>
      <c r="E39" s="307"/>
      <c r="F39" s="131">
        <v>703</v>
      </c>
      <c r="G39" s="145">
        <v>430</v>
      </c>
      <c r="H39" s="131">
        <v>703</v>
      </c>
      <c r="I39" s="307">
        <v>430</v>
      </c>
      <c r="J39" s="145">
        <v>703</v>
      </c>
      <c r="K39" s="307">
        <v>430</v>
      </c>
      <c r="L39" s="145"/>
      <c r="M39" s="307"/>
    </row>
    <row r="40" spans="1:13" x14ac:dyDescent="0.2">
      <c r="A40" s="131" t="s">
        <v>2040</v>
      </c>
      <c r="B40" s="131">
        <v>737091</v>
      </c>
      <c r="C40" s="307"/>
      <c r="D40" s="131">
        <v>751600</v>
      </c>
      <c r="E40" s="307">
        <v>53</v>
      </c>
      <c r="F40" s="131">
        <v>61487</v>
      </c>
      <c r="G40" s="145">
        <v>660</v>
      </c>
      <c r="H40" s="131">
        <v>813087</v>
      </c>
      <c r="I40" s="307">
        <v>713</v>
      </c>
      <c r="J40" s="145">
        <v>75996</v>
      </c>
      <c r="K40" s="307">
        <v>713</v>
      </c>
      <c r="L40" s="145"/>
      <c r="M40" s="307"/>
    </row>
    <row r="41" spans="1:13" x14ac:dyDescent="0.2">
      <c r="A41" s="131" t="s">
        <v>2041</v>
      </c>
      <c r="B41" s="131">
        <v>144947</v>
      </c>
      <c r="C41" s="307">
        <v>780</v>
      </c>
      <c r="D41" s="131">
        <v>112345</v>
      </c>
      <c r="E41" s="307">
        <v>805</v>
      </c>
      <c r="F41" s="131">
        <v>21318</v>
      </c>
      <c r="G41" s="145">
        <v>690</v>
      </c>
      <c r="H41" s="131">
        <v>133664</v>
      </c>
      <c r="I41" s="307">
        <v>495</v>
      </c>
      <c r="J41" s="145"/>
      <c r="K41" s="307"/>
      <c r="L41" s="145">
        <v>11283</v>
      </c>
      <c r="M41" s="307">
        <v>285</v>
      </c>
    </row>
    <row r="42" spans="1:13" x14ac:dyDescent="0.2">
      <c r="A42" s="781" t="s">
        <v>2042</v>
      </c>
      <c r="B42" s="489">
        <v>47307</v>
      </c>
      <c r="C42" s="490">
        <v>580</v>
      </c>
      <c r="D42" s="131">
        <v>1648</v>
      </c>
      <c r="E42" s="307">
        <v>720</v>
      </c>
      <c r="F42" s="131">
        <v>5333</v>
      </c>
      <c r="G42" s="145">
        <v>870</v>
      </c>
      <c r="H42" s="131">
        <v>6982</v>
      </c>
      <c r="I42" s="307">
        <v>590</v>
      </c>
      <c r="J42" s="145"/>
      <c r="K42" s="307"/>
      <c r="L42" s="489">
        <v>11981</v>
      </c>
      <c r="M42" s="490">
        <v>970</v>
      </c>
    </row>
    <row r="43" spans="1:13" x14ac:dyDescent="0.2">
      <c r="A43" s="781"/>
      <c r="B43" s="489"/>
      <c r="C43" s="490"/>
      <c r="D43" s="131">
        <v>13609</v>
      </c>
      <c r="E43" s="307">
        <v>150</v>
      </c>
      <c r="F43" s="131">
        <v>14733</v>
      </c>
      <c r="G43" s="145">
        <v>870</v>
      </c>
      <c r="H43" s="131">
        <v>28343</v>
      </c>
      <c r="I43" s="307">
        <v>20</v>
      </c>
      <c r="J43" s="145"/>
      <c r="K43" s="307"/>
      <c r="L43" s="489"/>
      <c r="M43" s="490"/>
    </row>
    <row r="44" spans="1:13" x14ac:dyDescent="0.2">
      <c r="A44" s="131" t="s">
        <v>2044</v>
      </c>
      <c r="B44" s="131">
        <v>19209</v>
      </c>
      <c r="C44" s="307">
        <v>650</v>
      </c>
      <c r="D44" s="131">
        <v>10291</v>
      </c>
      <c r="E44" s="307">
        <v>170</v>
      </c>
      <c r="F44" s="131">
        <v>1635</v>
      </c>
      <c r="G44" s="145">
        <v>505</v>
      </c>
      <c r="H44" s="131">
        <v>11926</v>
      </c>
      <c r="I44" s="307">
        <v>675</v>
      </c>
      <c r="J44" s="145"/>
      <c r="K44" s="307"/>
      <c r="L44" s="145">
        <v>7282</v>
      </c>
      <c r="M44" s="307">
        <v>975</v>
      </c>
    </row>
    <row r="45" spans="1:13" x14ac:dyDescent="0.2">
      <c r="A45" s="131" t="s">
        <v>2462</v>
      </c>
      <c r="B45" s="131">
        <v>785056</v>
      </c>
      <c r="C45" s="307">
        <v>420</v>
      </c>
      <c r="D45" s="131">
        <v>181565</v>
      </c>
      <c r="E45" s="307">
        <v>515</v>
      </c>
      <c r="F45" s="131">
        <v>55083</v>
      </c>
      <c r="G45" s="145">
        <v>390</v>
      </c>
      <c r="H45" s="131">
        <v>236648</v>
      </c>
      <c r="I45" s="307">
        <v>905</v>
      </c>
      <c r="J45" s="145"/>
      <c r="K45" s="307"/>
      <c r="L45" s="145">
        <v>548407</v>
      </c>
      <c r="M45" s="307">
        <v>515</v>
      </c>
    </row>
    <row r="46" spans="1:13" x14ac:dyDescent="0.2">
      <c r="A46" s="131" t="s">
        <v>2046</v>
      </c>
      <c r="B46" s="131">
        <v>53142</v>
      </c>
      <c r="C46" s="307"/>
      <c r="D46" s="131">
        <v>19741</v>
      </c>
      <c r="E46" s="307">
        <v>350</v>
      </c>
      <c r="F46" s="131">
        <v>788</v>
      </c>
      <c r="G46" s="145">
        <v>400</v>
      </c>
      <c r="H46" s="131">
        <v>20529</v>
      </c>
      <c r="I46" s="307">
        <v>750</v>
      </c>
      <c r="J46" s="145"/>
      <c r="K46" s="307"/>
      <c r="L46" s="145">
        <v>32612</v>
      </c>
      <c r="M46" s="307">
        <v>250</v>
      </c>
    </row>
    <row r="47" spans="1:13" x14ac:dyDescent="0.2">
      <c r="A47" s="131" t="s">
        <v>2464</v>
      </c>
      <c r="B47" s="131">
        <v>194483</v>
      </c>
      <c r="C47" s="307">
        <v>110</v>
      </c>
      <c r="D47" s="131">
        <v>116938</v>
      </c>
      <c r="E47" s="307">
        <v>629</v>
      </c>
      <c r="F47" s="131">
        <v>46088</v>
      </c>
      <c r="G47" s="145">
        <v>375</v>
      </c>
      <c r="H47" s="131">
        <v>163027</v>
      </c>
      <c r="I47" s="307">
        <v>4</v>
      </c>
      <c r="J47" s="145"/>
      <c r="K47" s="307"/>
      <c r="L47" s="145">
        <v>31456</v>
      </c>
      <c r="M47" s="307">
        <v>106</v>
      </c>
    </row>
    <row r="48" spans="1:13" x14ac:dyDescent="0.2">
      <c r="A48" s="131" t="s">
        <v>2084</v>
      </c>
      <c r="B48" s="131">
        <v>759373</v>
      </c>
      <c r="C48" s="307">
        <v>95</v>
      </c>
      <c r="D48" s="131">
        <v>464592</v>
      </c>
      <c r="E48" s="307">
        <v>791</v>
      </c>
      <c r="F48" s="131">
        <v>98257</v>
      </c>
      <c r="G48" s="145">
        <v>807</v>
      </c>
      <c r="H48" s="131">
        <v>562850</v>
      </c>
      <c r="I48" s="307">
        <v>598</v>
      </c>
      <c r="J48" s="145"/>
      <c r="K48" s="307"/>
      <c r="L48" s="145">
        <v>196522</v>
      </c>
      <c r="M48" s="307">
        <v>497</v>
      </c>
    </row>
    <row r="49" spans="1:13" ht="16" thickBot="1" x14ac:dyDescent="0.25">
      <c r="A49" s="622" t="s">
        <v>2524</v>
      </c>
      <c r="B49" s="240">
        <v>2740610</v>
      </c>
      <c r="C49" s="513">
        <v>635</v>
      </c>
      <c r="D49" s="240">
        <v>1672333</v>
      </c>
      <c r="E49" s="513">
        <v>183</v>
      </c>
      <c r="F49" s="240">
        <v>305430</v>
      </c>
      <c r="G49" s="318">
        <v>997</v>
      </c>
      <c r="H49" s="240">
        <v>1977764</v>
      </c>
      <c r="I49" s="513">
        <v>180</v>
      </c>
      <c r="J49" s="362">
        <v>76700</v>
      </c>
      <c r="K49" s="363">
        <v>143</v>
      </c>
      <c r="L49" s="362">
        <v>839546</v>
      </c>
      <c r="M49" s="363">
        <v>598</v>
      </c>
    </row>
    <row r="50" spans="1:13" ht="16" thickTop="1" x14ac:dyDescent="0.2">
      <c r="A50" s="622"/>
      <c r="B50" s="152">
        <f>+SUM(B39:B48)</f>
        <v>2740608</v>
      </c>
      <c r="C50" s="152">
        <f t="shared" ref="C50:M50" si="2">+SUM(C39:C48)</f>
        <v>2635</v>
      </c>
      <c r="D50" s="152">
        <f t="shared" si="2"/>
        <v>1672329</v>
      </c>
      <c r="E50" s="152">
        <f t="shared" si="2"/>
        <v>4183</v>
      </c>
      <c r="F50" s="152">
        <f t="shared" si="2"/>
        <v>305425</v>
      </c>
      <c r="G50" s="152">
        <f t="shared" si="2"/>
        <v>5997</v>
      </c>
      <c r="H50" s="152">
        <f t="shared" si="2"/>
        <v>1977759</v>
      </c>
      <c r="I50" s="152">
        <f t="shared" si="2"/>
        <v>5180</v>
      </c>
      <c r="J50" s="152">
        <f t="shared" si="2"/>
        <v>76699</v>
      </c>
      <c r="K50" s="152">
        <f t="shared" si="2"/>
        <v>1143</v>
      </c>
      <c r="L50" s="152">
        <f t="shared" si="2"/>
        <v>839543</v>
      </c>
      <c r="M50" s="152">
        <f t="shared" si="2"/>
        <v>3598</v>
      </c>
    </row>
    <row r="51" spans="1:13" x14ac:dyDescent="0.2">
      <c r="A51" s="772" t="s">
        <v>2529</v>
      </c>
      <c r="B51" s="773"/>
      <c r="C51" s="773"/>
      <c r="D51" s="773"/>
      <c r="E51" s="773"/>
      <c r="F51" s="773"/>
      <c r="G51" s="773"/>
      <c r="H51" s="773"/>
      <c r="I51" s="773"/>
      <c r="J51" s="356"/>
      <c r="K51" s="356"/>
      <c r="L51" s="356"/>
      <c r="M51" s="357"/>
    </row>
    <row r="52" spans="1:13" x14ac:dyDescent="0.2">
      <c r="A52" s="107"/>
      <c r="B52" s="107"/>
      <c r="C52" s="107"/>
      <c r="D52" s="107"/>
      <c r="E52" s="107"/>
      <c r="F52" s="107"/>
      <c r="G52" s="107"/>
      <c r="H52" s="107"/>
      <c r="I52" s="107"/>
      <c r="J52" s="107"/>
      <c r="K52" s="107"/>
      <c r="L52" s="107"/>
      <c r="M52" s="107"/>
    </row>
    <row r="53" spans="1:13" x14ac:dyDescent="0.2">
      <c r="A53" s="107"/>
      <c r="B53" s="107"/>
      <c r="C53" s="107"/>
      <c r="D53" s="107"/>
      <c r="E53" s="107"/>
      <c r="F53" s="107"/>
      <c r="G53" s="107"/>
      <c r="H53" s="107"/>
      <c r="I53" s="107"/>
      <c r="J53" s="107"/>
      <c r="K53" s="107"/>
      <c r="L53" s="107"/>
      <c r="M53" s="107"/>
    </row>
    <row r="54" spans="1:13" x14ac:dyDescent="0.2">
      <c r="A54" s="107"/>
      <c r="B54" s="107"/>
      <c r="C54" s="107"/>
      <c r="D54" s="107"/>
      <c r="E54" s="107"/>
      <c r="F54" s="107"/>
      <c r="G54" s="107"/>
      <c r="H54" s="107"/>
      <c r="I54" s="107"/>
      <c r="J54" s="107"/>
      <c r="K54" s="107"/>
      <c r="L54" s="107"/>
      <c r="M54" s="107"/>
    </row>
    <row r="55" spans="1:13" ht="15.5" customHeight="1" x14ac:dyDescent="0.2">
      <c r="A55" s="526" t="s">
        <v>1226</v>
      </c>
      <c r="B55" s="107"/>
      <c r="C55" s="107"/>
      <c r="D55" s="107"/>
      <c r="E55" s="107"/>
      <c r="F55" s="107"/>
      <c r="G55" s="107"/>
      <c r="H55" s="107"/>
      <c r="I55" s="107"/>
      <c r="J55" s="107"/>
      <c r="K55" s="107"/>
      <c r="L55" s="107"/>
      <c r="M55" s="107"/>
    </row>
    <row r="56" spans="1:13" ht="50.5" customHeight="1" x14ac:dyDescent="0.2">
      <c r="A56" s="782" t="s">
        <v>2530</v>
      </c>
      <c r="B56" s="783"/>
      <c r="C56" s="783"/>
      <c r="D56" s="783"/>
      <c r="E56" s="783"/>
      <c r="F56" s="783"/>
      <c r="G56" s="783"/>
      <c r="H56" s="783"/>
      <c r="I56" s="783"/>
      <c r="J56" s="783"/>
      <c r="K56" s="784"/>
      <c r="L56" s="107"/>
      <c r="M56" s="107"/>
    </row>
    <row r="57" spans="1:13" ht="29" customHeight="1" x14ac:dyDescent="0.2">
      <c r="A57" s="711" t="s">
        <v>2531</v>
      </c>
      <c r="B57" s="602" t="s">
        <v>2532</v>
      </c>
      <c r="C57" s="631"/>
      <c r="D57" s="602" t="s">
        <v>2533</v>
      </c>
      <c r="E57" s="603"/>
      <c r="F57" s="631" t="s">
        <v>2534</v>
      </c>
      <c r="G57" s="603"/>
      <c r="H57" s="608" t="s">
        <v>1635</v>
      </c>
      <c r="I57" s="778"/>
      <c r="J57" s="778"/>
      <c r="K57" s="609"/>
      <c r="L57" s="107"/>
      <c r="M57" s="107"/>
    </row>
    <row r="58" spans="1:13" ht="105.5" customHeight="1" x14ac:dyDescent="0.2">
      <c r="A58" s="715"/>
      <c r="B58" s="606"/>
      <c r="C58" s="644"/>
      <c r="D58" s="606"/>
      <c r="E58" s="607"/>
      <c r="F58" s="644"/>
      <c r="G58" s="607"/>
      <c r="H58" s="608" t="s">
        <v>2535</v>
      </c>
      <c r="I58" s="609"/>
      <c r="J58" s="608" t="s">
        <v>2536</v>
      </c>
      <c r="K58" s="609"/>
      <c r="L58" s="107"/>
      <c r="M58" s="107"/>
    </row>
    <row r="59" spans="1:13" ht="16.25" customHeight="1" x14ac:dyDescent="0.2">
      <c r="A59" s="533" t="s">
        <v>1174</v>
      </c>
      <c r="B59" s="131">
        <v>1536220</v>
      </c>
      <c r="C59" s="145"/>
      <c r="D59" s="131">
        <v>855031</v>
      </c>
      <c r="E59" s="307">
        <v>530</v>
      </c>
      <c r="F59" s="145">
        <v>815327</v>
      </c>
      <c r="G59" s="307">
        <v>647</v>
      </c>
      <c r="H59" s="131">
        <v>681188</v>
      </c>
      <c r="I59" s="307">
        <v>470</v>
      </c>
      <c r="J59" s="131">
        <v>39703</v>
      </c>
      <c r="K59" s="307">
        <v>883</v>
      </c>
      <c r="L59" s="107"/>
      <c r="M59" s="107"/>
    </row>
    <row r="60" spans="1:13" x14ac:dyDescent="0.2">
      <c r="A60" s="533" t="s">
        <v>1573</v>
      </c>
      <c r="B60" s="131">
        <v>24300</v>
      </c>
      <c r="C60" s="145"/>
      <c r="D60" s="131">
        <v>30244</v>
      </c>
      <c r="E60" s="307">
        <v>400</v>
      </c>
      <c r="F60" s="145">
        <v>30244</v>
      </c>
      <c r="G60" s="307">
        <v>400</v>
      </c>
      <c r="H60" s="131">
        <v>5944</v>
      </c>
      <c r="I60" s="307">
        <v>400</v>
      </c>
      <c r="J60" s="131"/>
      <c r="K60" s="307"/>
      <c r="L60" s="107"/>
      <c r="M60" s="107"/>
    </row>
    <row r="61" spans="1:13" x14ac:dyDescent="0.2">
      <c r="A61" s="533" t="s">
        <v>1401</v>
      </c>
      <c r="B61" s="131">
        <v>100000</v>
      </c>
      <c r="C61" s="145"/>
      <c r="D61" s="131">
        <v>23019</v>
      </c>
      <c r="E61" s="307">
        <v>830</v>
      </c>
      <c r="F61" s="145">
        <v>22953</v>
      </c>
      <c r="G61" s="307">
        <v>645</v>
      </c>
      <c r="H61" s="131">
        <v>76980</v>
      </c>
      <c r="I61" s="307">
        <v>170</v>
      </c>
      <c r="J61" s="131">
        <v>66</v>
      </c>
      <c r="K61" s="307">
        <v>185</v>
      </c>
      <c r="L61" s="107"/>
      <c r="M61" s="107"/>
    </row>
    <row r="62" spans="1:13" x14ac:dyDescent="0.2">
      <c r="A62" s="533" t="s">
        <v>1931</v>
      </c>
      <c r="B62" s="131">
        <v>80000</v>
      </c>
      <c r="C62" s="145"/>
      <c r="D62" s="131">
        <v>79971</v>
      </c>
      <c r="E62" s="307">
        <v>215</v>
      </c>
      <c r="F62" s="145">
        <v>79971</v>
      </c>
      <c r="G62" s="307">
        <v>215</v>
      </c>
      <c r="H62" s="131">
        <v>28</v>
      </c>
      <c r="I62" s="307">
        <v>785</v>
      </c>
      <c r="J62" s="131"/>
      <c r="K62" s="307"/>
      <c r="L62" s="107"/>
      <c r="M62" s="107"/>
    </row>
    <row r="63" spans="1:13" x14ac:dyDescent="0.2">
      <c r="A63" s="533" t="s">
        <v>2522</v>
      </c>
      <c r="B63" s="131">
        <v>25000</v>
      </c>
      <c r="C63" s="145"/>
      <c r="D63" s="131"/>
      <c r="E63" s="307"/>
      <c r="F63" s="145"/>
      <c r="G63" s="307"/>
      <c r="H63" s="131">
        <v>25000</v>
      </c>
      <c r="I63" s="307"/>
      <c r="J63" s="131"/>
      <c r="K63" s="307"/>
      <c r="L63" s="107"/>
      <c r="M63" s="107"/>
    </row>
    <row r="64" spans="1:13" x14ac:dyDescent="0.2">
      <c r="A64" s="533" t="s">
        <v>1808</v>
      </c>
      <c r="B64" s="131">
        <v>40000</v>
      </c>
      <c r="C64" s="145"/>
      <c r="D64" s="131">
        <v>25535</v>
      </c>
      <c r="E64" s="307">
        <v>140</v>
      </c>
      <c r="F64" s="145">
        <v>25269</v>
      </c>
      <c r="G64" s="307">
        <v>500</v>
      </c>
      <c r="H64" s="131">
        <v>14464</v>
      </c>
      <c r="I64" s="307">
        <v>860</v>
      </c>
      <c r="J64" s="131">
        <v>265</v>
      </c>
      <c r="K64" s="307">
        <v>640</v>
      </c>
      <c r="L64" s="107"/>
      <c r="M64" s="107"/>
    </row>
    <row r="65" spans="1:13" x14ac:dyDescent="0.2">
      <c r="A65" s="533" t="s">
        <v>1175</v>
      </c>
      <c r="B65" s="131">
        <v>70000</v>
      </c>
      <c r="C65" s="145"/>
      <c r="D65" s="131">
        <v>49683</v>
      </c>
      <c r="E65" s="307">
        <v>869</v>
      </c>
      <c r="F65" s="145">
        <v>49396</v>
      </c>
      <c r="G65" s="307">
        <v>364</v>
      </c>
      <c r="H65" s="131">
        <v>20316</v>
      </c>
      <c r="I65" s="307">
        <v>131</v>
      </c>
      <c r="J65" s="131">
        <v>287</v>
      </c>
      <c r="K65" s="307">
        <v>505</v>
      </c>
      <c r="L65" s="107"/>
      <c r="M65" s="107"/>
    </row>
    <row r="66" spans="1:13" x14ac:dyDescent="0.2">
      <c r="A66" s="533" t="s">
        <v>2523</v>
      </c>
      <c r="B66" s="131">
        <v>40000</v>
      </c>
      <c r="C66" s="145"/>
      <c r="D66" s="131">
        <v>22723</v>
      </c>
      <c r="E66" s="307">
        <v>260</v>
      </c>
      <c r="F66" s="145">
        <v>22723</v>
      </c>
      <c r="G66" s="307">
        <v>260</v>
      </c>
      <c r="H66" s="131">
        <v>17276</v>
      </c>
      <c r="I66" s="307">
        <v>740</v>
      </c>
      <c r="J66" s="131"/>
      <c r="K66" s="307"/>
      <c r="L66" s="107"/>
      <c r="M66" s="107"/>
    </row>
    <row r="67" spans="1:13" x14ac:dyDescent="0.2">
      <c r="A67" s="533" t="s">
        <v>1569</v>
      </c>
      <c r="B67" s="131">
        <v>550000</v>
      </c>
      <c r="C67" s="145"/>
      <c r="D67" s="131">
        <v>600046</v>
      </c>
      <c r="E67" s="307">
        <v>419</v>
      </c>
      <c r="F67" s="145">
        <v>600046</v>
      </c>
      <c r="G67" s="307">
        <v>419</v>
      </c>
      <c r="H67" s="131">
        <v>50046</v>
      </c>
      <c r="I67" s="307">
        <v>419</v>
      </c>
      <c r="J67" s="131"/>
      <c r="K67" s="307"/>
      <c r="L67" s="107"/>
      <c r="M67" s="107"/>
    </row>
    <row r="68" spans="1:13" x14ac:dyDescent="0.2">
      <c r="A68" s="533" t="s">
        <v>1992</v>
      </c>
      <c r="B68" s="131">
        <v>10000</v>
      </c>
      <c r="C68" s="145"/>
      <c r="D68" s="131">
        <v>32894</v>
      </c>
      <c r="E68" s="307">
        <v>886</v>
      </c>
      <c r="F68" s="145">
        <v>32894</v>
      </c>
      <c r="G68" s="307">
        <v>886</v>
      </c>
      <c r="H68" s="131">
        <v>22894</v>
      </c>
      <c r="I68" s="307">
        <v>886</v>
      </c>
      <c r="J68" s="131"/>
      <c r="K68" s="307"/>
      <c r="L68" s="107"/>
      <c r="M68" s="107"/>
    </row>
    <row r="69" spans="1:13" x14ac:dyDescent="0.2">
      <c r="A69" s="785" t="s">
        <v>2524</v>
      </c>
      <c r="B69" s="240">
        <v>2475520</v>
      </c>
      <c r="C69" s="318"/>
      <c r="D69" s="240">
        <v>1719150</v>
      </c>
      <c r="E69" s="513">
        <v>549</v>
      </c>
      <c r="F69" s="318">
        <v>1678827</v>
      </c>
      <c r="G69" s="513">
        <v>336</v>
      </c>
      <c r="H69" s="240">
        <v>914140</v>
      </c>
      <c r="I69" s="513">
        <v>861</v>
      </c>
      <c r="J69" s="240">
        <v>40323</v>
      </c>
      <c r="K69" s="513">
        <v>213</v>
      </c>
      <c r="L69" s="107"/>
      <c r="M69" s="107"/>
    </row>
    <row r="70" spans="1:13" x14ac:dyDescent="0.2">
      <c r="A70" s="622"/>
      <c r="B70" s="345">
        <f>+SUM(B59:B68)</f>
        <v>2475520</v>
      </c>
      <c r="C70" s="345">
        <f t="shared" ref="C70:K70" si="3">+SUM(C59:C68)</f>
        <v>0</v>
      </c>
      <c r="D70" s="345">
        <f t="shared" si="3"/>
        <v>1719146</v>
      </c>
      <c r="E70" s="345">
        <f t="shared" si="3"/>
        <v>4549</v>
      </c>
      <c r="F70" s="345">
        <f t="shared" si="3"/>
        <v>1678823</v>
      </c>
      <c r="G70" s="345">
        <f t="shared" si="3"/>
        <v>4336</v>
      </c>
      <c r="H70" s="345">
        <f t="shared" si="3"/>
        <v>914136</v>
      </c>
      <c r="I70" s="345">
        <f t="shared" si="3"/>
        <v>4861</v>
      </c>
      <c r="J70" s="345">
        <f t="shared" si="3"/>
        <v>40321</v>
      </c>
      <c r="K70" s="345">
        <f t="shared" si="3"/>
        <v>2213</v>
      </c>
      <c r="L70" s="107"/>
      <c r="M70" s="107"/>
    </row>
    <row r="71" spans="1:13" x14ac:dyDescent="0.2">
      <c r="A71" s="786" t="s">
        <v>2537</v>
      </c>
      <c r="B71" s="787"/>
      <c r="C71" s="787"/>
      <c r="D71" s="787"/>
      <c r="E71" s="787"/>
      <c r="F71" s="787"/>
      <c r="G71" s="787"/>
      <c r="H71" s="787"/>
      <c r="I71" s="788"/>
      <c r="J71" s="145">
        <v>40323</v>
      </c>
      <c r="K71" s="307">
        <v>213</v>
      </c>
      <c r="L71" s="107"/>
      <c r="M71" s="107"/>
    </row>
    <row r="72" spans="1:13" ht="29.5" customHeight="1" x14ac:dyDescent="0.2">
      <c r="A72" s="585" t="s">
        <v>2538</v>
      </c>
      <c r="B72" s="586"/>
      <c r="C72" s="586"/>
      <c r="D72" s="586"/>
      <c r="E72" s="586"/>
      <c r="F72" s="586"/>
      <c r="G72" s="586"/>
      <c r="H72" s="586"/>
      <c r="I72" s="587"/>
      <c r="J72" s="145"/>
      <c r="K72" s="307"/>
      <c r="L72" s="107"/>
      <c r="M72" s="107"/>
    </row>
    <row r="73" spans="1:13" x14ac:dyDescent="0.2">
      <c r="A73" s="494"/>
      <c r="B73" s="481" t="s">
        <v>2539</v>
      </c>
      <c r="C73" s="481"/>
      <c r="D73" s="481"/>
      <c r="E73" s="481"/>
      <c r="F73" s="481"/>
      <c r="G73" s="481"/>
      <c r="H73" s="569">
        <v>6639</v>
      </c>
      <c r="I73" s="789">
        <v>94</v>
      </c>
      <c r="J73" s="145"/>
      <c r="K73" s="307"/>
      <c r="L73" s="107"/>
      <c r="M73" s="107"/>
    </row>
    <row r="74" spans="1:13" x14ac:dyDescent="0.2">
      <c r="A74" s="494"/>
      <c r="B74" s="481" t="s">
        <v>2540</v>
      </c>
      <c r="C74" s="481"/>
      <c r="D74" s="481"/>
      <c r="E74" s="481"/>
      <c r="F74" s="481"/>
      <c r="G74" s="481"/>
      <c r="H74" s="569">
        <v>1056</v>
      </c>
      <c r="I74" s="789">
        <v>130</v>
      </c>
      <c r="J74" s="145"/>
      <c r="K74" s="307"/>
      <c r="L74" s="107"/>
      <c r="M74" s="107"/>
    </row>
    <row r="75" spans="1:13" x14ac:dyDescent="0.2">
      <c r="A75" s="494"/>
      <c r="B75" s="481" t="s">
        <v>2541</v>
      </c>
      <c r="C75" s="481"/>
      <c r="D75" s="481"/>
      <c r="E75" s="481"/>
      <c r="F75" s="481"/>
      <c r="G75" s="481"/>
      <c r="H75" s="569">
        <v>32765</v>
      </c>
      <c r="I75" s="789">
        <v>30</v>
      </c>
      <c r="J75" s="145"/>
      <c r="K75" s="307"/>
      <c r="L75" s="107"/>
      <c r="M75" s="107"/>
    </row>
    <row r="76" spans="1:13" x14ac:dyDescent="0.2">
      <c r="A76" s="494"/>
      <c r="B76" s="481" t="s">
        <v>2542</v>
      </c>
      <c r="C76" s="481"/>
      <c r="D76" s="481"/>
      <c r="E76" s="481"/>
      <c r="F76" s="481"/>
      <c r="G76" s="481"/>
      <c r="H76" s="569">
        <v>251</v>
      </c>
      <c r="I76" s="789">
        <v>180</v>
      </c>
      <c r="J76" s="145"/>
      <c r="K76" s="307"/>
      <c r="L76" s="107"/>
      <c r="M76" s="107"/>
    </row>
    <row r="77" spans="1:13" x14ac:dyDescent="0.2">
      <c r="A77" s="494"/>
      <c r="B77" s="481" t="s">
        <v>2543</v>
      </c>
      <c r="C77" s="481"/>
      <c r="D77" s="481"/>
      <c r="E77" s="481"/>
      <c r="F77" s="481"/>
      <c r="G77" s="481"/>
      <c r="H77" s="569">
        <v>29414</v>
      </c>
      <c r="I77" s="789">
        <v>870</v>
      </c>
      <c r="J77" s="145"/>
      <c r="K77" s="307"/>
      <c r="L77" s="107"/>
      <c r="M77" s="107"/>
    </row>
    <row r="78" spans="1:13" ht="16" thickBot="1" x14ac:dyDescent="0.25">
      <c r="A78" s="494"/>
      <c r="B78" s="481" t="s">
        <v>2544</v>
      </c>
      <c r="C78" s="481"/>
      <c r="D78" s="481"/>
      <c r="E78" s="481"/>
      <c r="F78" s="481"/>
      <c r="G78" s="481"/>
      <c r="H78" s="570">
        <v>486175</v>
      </c>
      <c r="I78" s="755">
        <v>646</v>
      </c>
      <c r="J78" s="187">
        <v>556301</v>
      </c>
      <c r="K78" s="444">
        <v>950</v>
      </c>
      <c r="L78" s="107"/>
      <c r="M78" s="107"/>
    </row>
    <row r="79" spans="1:13" ht="16" thickBot="1" x14ac:dyDescent="0.25">
      <c r="A79" s="723"/>
      <c r="B79" s="565"/>
      <c r="C79" s="565"/>
      <c r="D79" s="565"/>
      <c r="E79" s="565"/>
      <c r="F79" s="565"/>
      <c r="G79" s="565"/>
      <c r="H79" s="227">
        <f>+SUM(H73:H78)</f>
        <v>556300</v>
      </c>
      <c r="I79" s="227">
        <f>+SUM(I73:I78)</f>
        <v>1950</v>
      </c>
      <c r="J79" s="187"/>
      <c r="K79" s="444"/>
      <c r="L79" s="107"/>
      <c r="M79" s="107"/>
    </row>
    <row r="80" spans="1:13" ht="19.25" customHeight="1" thickBot="1" x14ac:dyDescent="0.25">
      <c r="A80" s="790" t="s">
        <v>2545</v>
      </c>
      <c r="B80" s="791"/>
      <c r="C80" s="791"/>
      <c r="D80" s="791"/>
      <c r="E80" s="791"/>
      <c r="F80" s="791"/>
      <c r="G80" s="791"/>
      <c r="H80" s="791"/>
      <c r="I80" s="792"/>
      <c r="J80" s="743">
        <v>596625</v>
      </c>
      <c r="K80" s="449">
        <v>163</v>
      </c>
      <c r="L80" s="107"/>
      <c r="M80" s="107"/>
    </row>
    <row r="81" spans="1:13" x14ac:dyDescent="0.2">
      <c r="A81" s="107"/>
      <c r="B81" s="107"/>
      <c r="C81" s="107"/>
      <c r="D81" s="107"/>
      <c r="E81" s="107"/>
      <c r="F81" s="107"/>
      <c r="G81" s="107"/>
      <c r="H81" s="107"/>
      <c r="I81" s="107"/>
      <c r="J81" s="321">
        <f>J71+J78</f>
        <v>596624</v>
      </c>
      <c r="K81" s="321">
        <f>K71+K78</f>
        <v>1163</v>
      </c>
      <c r="L81" s="107"/>
      <c r="M81" s="107"/>
    </row>
    <row r="82" spans="1:13" x14ac:dyDescent="0.2">
      <c r="A82" s="107"/>
      <c r="B82" s="107"/>
      <c r="C82" s="107"/>
      <c r="D82" s="107"/>
      <c r="E82" s="107"/>
      <c r="F82" s="107"/>
      <c r="G82" s="107"/>
      <c r="H82" s="107"/>
      <c r="I82" s="107"/>
      <c r="J82" s="107"/>
      <c r="K82" s="107"/>
      <c r="L82" s="107"/>
      <c r="M82" s="107"/>
    </row>
    <row r="83" spans="1:13" x14ac:dyDescent="0.2">
      <c r="A83" s="107"/>
      <c r="B83" s="107"/>
      <c r="C83" s="107"/>
      <c r="D83" s="107"/>
      <c r="E83" s="107"/>
      <c r="F83" s="107"/>
      <c r="G83" s="107"/>
      <c r="H83" s="107"/>
      <c r="I83" s="107"/>
      <c r="J83" s="107"/>
      <c r="K83" s="107"/>
      <c r="L83" s="107"/>
      <c r="M83" s="107"/>
    </row>
    <row r="84" spans="1:13" x14ac:dyDescent="0.2">
      <c r="A84" s="526" t="s">
        <v>1272</v>
      </c>
      <c r="B84" s="107"/>
      <c r="C84" s="107"/>
      <c r="D84" s="107"/>
      <c r="E84" s="107"/>
      <c r="F84" s="107"/>
      <c r="G84" s="107"/>
      <c r="H84" s="107"/>
      <c r="I84" s="107"/>
      <c r="J84" s="107"/>
      <c r="K84" s="107"/>
      <c r="L84" s="107"/>
      <c r="M84" s="107"/>
    </row>
    <row r="85" spans="1:13" ht="34.25" customHeight="1" x14ac:dyDescent="0.2">
      <c r="A85" s="782" t="s">
        <v>2546</v>
      </c>
      <c r="B85" s="783"/>
      <c r="C85" s="783"/>
      <c r="D85" s="783"/>
      <c r="E85" s="783"/>
      <c r="F85" s="783"/>
      <c r="G85" s="783"/>
      <c r="H85" s="783"/>
      <c r="I85" s="783"/>
      <c r="J85" s="783"/>
      <c r="K85" s="783"/>
      <c r="L85" s="783"/>
      <c r="M85" s="784"/>
    </row>
    <row r="86" spans="1:13" ht="46.25" customHeight="1" x14ac:dyDescent="0.2">
      <c r="A86" s="711" t="s">
        <v>2547</v>
      </c>
      <c r="B86" s="602" t="s">
        <v>2548</v>
      </c>
      <c r="C86" s="631"/>
      <c r="D86" s="602" t="s">
        <v>2549</v>
      </c>
      <c r="E86" s="631"/>
      <c r="F86" s="602" t="s">
        <v>2550</v>
      </c>
      <c r="G86" s="631"/>
      <c r="H86" s="608" t="s">
        <v>2551</v>
      </c>
      <c r="I86" s="778"/>
      <c r="J86" s="778"/>
      <c r="K86" s="609"/>
      <c r="L86" s="793" t="s">
        <v>1635</v>
      </c>
      <c r="M86" s="793"/>
    </row>
    <row r="87" spans="1:13" ht="78" customHeight="1" x14ac:dyDescent="0.2">
      <c r="A87" s="715"/>
      <c r="B87" s="606"/>
      <c r="C87" s="644"/>
      <c r="D87" s="606"/>
      <c r="E87" s="644"/>
      <c r="F87" s="606"/>
      <c r="G87" s="644"/>
      <c r="H87" s="608" t="s">
        <v>2387</v>
      </c>
      <c r="I87" s="609"/>
      <c r="J87" s="608" t="s">
        <v>2388</v>
      </c>
      <c r="K87" s="609"/>
      <c r="L87" s="608" t="s">
        <v>2552</v>
      </c>
      <c r="M87" s="609"/>
    </row>
    <row r="88" spans="1:13" x14ac:dyDescent="0.2">
      <c r="A88" s="131" t="s">
        <v>2040</v>
      </c>
      <c r="B88" s="349">
        <v>737091</v>
      </c>
      <c r="C88" s="717"/>
      <c r="D88" s="145">
        <v>813087</v>
      </c>
      <c r="E88" s="145">
        <v>713</v>
      </c>
      <c r="F88" s="349">
        <v>258711</v>
      </c>
      <c r="G88" s="350">
        <v>78</v>
      </c>
      <c r="H88" s="349">
        <v>75996</v>
      </c>
      <c r="I88" s="717">
        <v>713</v>
      </c>
      <c r="J88" s="350"/>
      <c r="K88" s="717"/>
      <c r="L88" s="349">
        <v>554376</v>
      </c>
      <c r="M88" s="717">
        <v>635</v>
      </c>
    </row>
    <row r="89" spans="1:13" x14ac:dyDescent="0.2">
      <c r="A89" s="131" t="s">
        <v>2041</v>
      </c>
      <c r="B89" s="131">
        <v>144947</v>
      </c>
      <c r="C89" s="307">
        <v>780</v>
      </c>
      <c r="D89" s="145">
        <v>133664</v>
      </c>
      <c r="E89" s="145">
        <v>495</v>
      </c>
      <c r="F89" s="131">
        <v>133638</v>
      </c>
      <c r="G89" s="145">
        <v>495</v>
      </c>
      <c r="H89" s="131"/>
      <c r="I89" s="307"/>
      <c r="J89" s="145">
        <v>11283</v>
      </c>
      <c r="K89" s="307">
        <v>285</v>
      </c>
      <c r="L89" s="131">
        <v>26</v>
      </c>
      <c r="M89" s="307"/>
    </row>
    <row r="90" spans="1:13" x14ac:dyDescent="0.2">
      <c r="A90" s="131" t="s">
        <v>2042</v>
      </c>
      <c r="B90" s="131">
        <v>47307</v>
      </c>
      <c r="C90" s="307">
        <v>580</v>
      </c>
      <c r="D90" s="145">
        <v>35325</v>
      </c>
      <c r="E90" s="145">
        <v>610</v>
      </c>
      <c r="F90" s="131">
        <v>35229</v>
      </c>
      <c r="G90" s="145">
        <v>970</v>
      </c>
      <c r="H90" s="131"/>
      <c r="I90" s="307"/>
      <c r="J90" s="145">
        <v>11981</v>
      </c>
      <c r="K90" s="307">
        <v>970</v>
      </c>
      <c r="L90" s="131">
        <v>95</v>
      </c>
      <c r="M90" s="307">
        <v>640</v>
      </c>
    </row>
    <row r="91" spans="1:13" x14ac:dyDescent="0.2">
      <c r="A91" s="131" t="s">
        <v>2044</v>
      </c>
      <c r="B91" s="131">
        <v>19209</v>
      </c>
      <c r="C91" s="307">
        <v>650</v>
      </c>
      <c r="D91" s="145">
        <v>11926</v>
      </c>
      <c r="E91" s="145">
        <v>675</v>
      </c>
      <c r="F91" s="131">
        <v>11908</v>
      </c>
      <c r="G91" s="145">
        <v>15</v>
      </c>
      <c r="H91" s="131"/>
      <c r="I91" s="307"/>
      <c r="J91" s="145">
        <v>7282</v>
      </c>
      <c r="K91" s="307">
        <v>975</v>
      </c>
      <c r="L91" s="131">
        <v>18</v>
      </c>
      <c r="M91" s="307">
        <v>660</v>
      </c>
    </row>
    <row r="92" spans="1:13" x14ac:dyDescent="0.2">
      <c r="A92" s="131" t="s">
        <v>2462</v>
      </c>
      <c r="B92" s="131">
        <v>785056</v>
      </c>
      <c r="C92" s="307">
        <v>420</v>
      </c>
      <c r="D92" s="145">
        <v>236648</v>
      </c>
      <c r="E92" s="145">
        <v>905</v>
      </c>
      <c r="F92" s="131">
        <v>231119</v>
      </c>
      <c r="G92" s="145">
        <v>710</v>
      </c>
      <c r="H92" s="131"/>
      <c r="I92" s="307"/>
      <c r="J92" s="145">
        <v>548407</v>
      </c>
      <c r="K92" s="307">
        <v>515</v>
      </c>
      <c r="L92" s="131">
        <v>5529</v>
      </c>
      <c r="M92" s="307">
        <v>195</v>
      </c>
    </row>
    <row r="93" spans="1:13" x14ac:dyDescent="0.2">
      <c r="A93" s="131" t="s">
        <v>2046</v>
      </c>
      <c r="B93" s="131">
        <v>53142</v>
      </c>
      <c r="C93" s="307"/>
      <c r="D93" s="145">
        <v>20529</v>
      </c>
      <c r="E93" s="145">
        <v>750</v>
      </c>
      <c r="F93" s="131">
        <v>20029</v>
      </c>
      <c r="G93" s="145">
        <v>750</v>
      </c>
      <c r="H93" s="131"/>
      <c r="I93" s="307"/>
      <c r="J93" s="145">
        <v>32612</v>
      </c>
      <c r="K93" s="307">
        <v>250</v>
      </c>
      <c r="L93" s="131">
        <v>500</v>
      </c>
      <c r="M93" s="307"/>
    </row>
    <row r="94" spans="1:13" x14ac:dyDescent="0.2">
      <c r="A94" s="131" t="s">
        <v>2464</v>
      </c>
      <c r="B94" s="131">
        <v>194483</v>
      </c>
      <c r="C94" s="307">
        <v>110</v>
      </c>
      <c r="D94" s="145">
        <v>163027</v>
      </c>
      <c r="E94" s="145">
        <v>4</v>
      </c>
      <c r="F94" s="131">
        <v>153621</v>
      </c>
      <c r="G94" s="145">
        <v>144</v>
      </c>
      <c r="H94" s="131"/>
      <c r="I94" s="307"/>
      <c r="J94" s="145">
        <v>31456</v>
      </c>
      <c r="K94" s="307">
        <v>106</v>
      </c>
      <c r="L94" s="131">
        <v>9405</v>
      </c>
      <c r="M94" s="307">
        <v>860</v>
      </c>
    </row>
    <row r="95" spans="1:13" x14ac:dyDescent="0.2">
      <c r="A95" s="131" t="s">
        <v>2084</v>
      </c>
      <c r="B95" s="131">
        <v>759373</v>
      </c>
      <c r="C95" s="307">
        <v>95</v>
      </c>
      <c r="D95" s="145">
        <v>562850</v>
      </c>
      <c r="E95" s="145">
        <v>598</v>
      </c>
      <c r="F95" s="131">
        <v>552556</v>
      </c>
      <c r="G95" s="145">
        <v>208</v>
      </c>
      <c r="H95" s="131"/>
      <c r="I95" s="307"/>
      <c r="J95" s="145">
        <v>196522</v>
      </c>
      <c r="K95" s="307">
        <v>497</v>
      </c>
      <c r="L95" s="131">
        <v>10294</v>
      </c>
      <c r="M95" s="307">
        <v>390</v>
      </c>
    </row>
    <row r="96" spans="1:13" x14ac:dyDescent="0.2">
      <c r="A96" s="140" t="s">
        <v>2048</v>
      </c>
      <c r="B96" s="131"/>
      <c r="C96" s="307"/>
      <c r="D96" s="145">
        <v>703</v>
      </c>
      <c r="E96" s="145">
        <v>430</v>
      </c>
      <c r="F96" s="131"/>
      <c r="G96" s="145"/>
      <c r="H96" s="131">
        <v>703</v>
      </c>
      <c r="I96" s="307">
        <v>430</v>
      </c>
      <c r="J96" s="145"/>
      <c r="K96" s="307"/>
      <c r="L96" s="131">
        <v>703</v>
      </c>
      <c r="M96" s="307">
        <v>430</v>
      </c>
    </row>
    <row r="97" spans="1:13" ht="16" thickBot="1" x14ac:dyDescent="0.25">
      <c r="A97" s="794" t="s">
        <v>2524</v>
      </c>
      <c r="B97" s="240">
        <v>2740610</v>
      </c>
      <c r="C97" s="513">
        <v>635</v>
      </c>
      <c r="D97" s="318">
        <v>1977764</v>
      </c>
      <c r="E97" s="318">
        <v>180</v>
      </c>
      <c r="F97" s="240">
        <v>1396814</v>
      </c>
      <c r="G97" s="318">
        <v>370</v>
      </c>
      <c r="H97" s="372">
        <v>76700</v>
      </c>
      <c r="I97" s="363">
        <v>143</v>
      </c>
      <c r="J97" s="362">
        <v>839546</v>
      </c>
      <c r="K97" s="363">
        <v>598</v>
      </c>
      <c r="L97" s="240">
        <v>580949</v>
      </c>
      <c r="M97" s="513">
        <v>810</v>
      </c>
    </row>
    <row r="98" spans="1:13" ht="17" thickTop="1" thickBot="1" x14ac:dyDescent="0.25">
      <c r="A98" s="622"/>
      <c r="B98" s="138">
        <f>+SUM(B88:B96)</f>
        <v>2740608</v>
      </c>
      <c r="C98" s="138">
        <f t="shared" ref="C98:M98" si="4">+SUM(C88:C96)</f>
        <v>2635</v>
      </c>
      <c r="D98" s="138">
        <f t="shared" si="4"/>
        <v>1977759</v>
      </c>
      <c r="E98" s="138">
        <f t="shared" si="4"/>
        <v>5180</v>
      </c>
      <c r="F98" s="138">
        <f t="shared" si="4"/>
        <v>1396811</v>
      </c>
      <c r="G98" s="138">
        <f t="shared" si="4"/>
        <v>3370</v>
      </c>
      <c r="H98" s="138">
        <f t="shared" si="4"/>
        <v>76699</v>
      </c>
      <c r="I98" s="138">
        <f t="shared" si="4"/>
        <v>1143</v>
      </c>
      <c r="J98" s="138">
        <f t="shared" si="4"/>
        <v>839543</v>
      </c>
      <c r="K98" s="138">
        <f t="shared" si="4"/>
        <v>3598</v>
      </c>
      <c r="L98" s="138">
        <f t="shared" si="4"/>
        <v>580946</v>
      </c>
      <c r="M98" s="138">
        <f t="shared" si="4"/>
        <v>3810</v>
      </c>
    </row>
    <row r="99" spans="1:13" ht="16" thickTop="1" x14ac:dyDescent="0.2">
      <c r="A99" s="353"/>
      <c r="B99" s="354"/>
      <c r="C99" s="354"/>
      <c r="D99" s="354"/>
      <c r="E99" s="354"/>
      <c r="F99" s="354"/>
      <c r="G99" s="354"/>
      <c r="H99" s="795">
        <v>762846</v>
      </c>
      <c r="I99" s="795"/>
      <c r="J99" s="795">
        <v>455</v>
      </c>
      <c r="K99" s="796"/>
      <c r="L99" s="145"/>
      <c r="M99" s="307"/>
    </row>
    <row r="100" spans="1:13" x14ac:dyDescent="0.2">
      <c r="A100" s="797" t="s">
        <v>2537</v>
      </c>
      <c r="B100" s="798"/>
      <c r="C100" s="798"/>
      <c r="D100" s="798"/>
      <c r="E100" s="798"/>
      <c r="F100" s="798"/>
      <c r="G100" s="798"/>
      <c r="H100" s="798"/>
      <c r="I100" s="798"/>
      <c r="J100" s="798"/>
      <c r="K100" s="799"/>
      <c r="L100" s="145">
        <v>580949</v>
      </c>
      <c r="M100" s="307">
        <v>810</v>
      </c>
    </row>
    <row r="101" spans="1:13" x14ac:dyDescent="0.2">
      <c r="A101" s="588" t="s">
        <v>2553</v>
      </c>
      <c r="B101" s="589"/>
      <c r="C101" s="589"/>
      <c r="D101" s="589"/>
      <c r="E101" s="589"/>
      <c r="F101" s="589"/>
      <c r="G101" s="589"/>
      <c r="H101" s="589"/>
      <c r="I101" s="589"/>
      <c r="J101" s="589"/>
      <c r="K101" s="800"/>
      <c r="L101" s="145"/>
      <c r="M101" s="307"/>
    </row>
    <row r="102" spans="1:13" x14ac:dyDescent="0.2">
      <c r="A102" s="131"/>
      <c r="B102" s="481" t="s">
        <v>2554</v>
      </c>
      <c r="C102" s="481"/>
      <c r="D102" s="481"/>
      <c r="E102" s="481"/>
      <c r="F102" s="481"/>
      <c r="G102" s="481"/>
      <c r="H102" s="481"/>
      <c r="I102" s="481"/>
      <c r="J102" s="145">
        <v>1924754</v>
      </c>
      <c r="K102" s="307">
        <v>622</v>
      </c>
      <c r="L102" s="145"/>
      <c r="M102" s="307"/>
    </row>
    <row r="103" spans="1:13" x14ac:dyDescent="0.2">
      <c r="A103" s="131"/>
      <c r="B103" s="481" t="s">
        <v>2555</v>
      </c>
      <c r="C103" s="481"/>
      <c r="D103" s="481"/>
      <c r="E103" s="481"/>
      <c r="F103" s="481"/>
      <c r="G103" s="481"/>
      <c r="H103" s="481"/>
      <c r="I103" s="481"/>
      <c r="J103" s="145">
        <v>1712</v>
      </c>
      <c r="K103" s="307">
        <v>280</v>
      </c>
      <c r="L103" s="145"/>
      <c r="M103" s="307"/>
    </row>
    <row r="104" spans="1:13" x14ac:dyDescent="0.2">
      <c r="A104" s="131"/>
      <c r="B104" s="481" t="s">
        <v>2556</v>
      </c>
      <c r="C104" s="481"/>
      <c r="D104" s="481"/>
      <c r="E104" s="481"/>
      <c r="F104" s="481"/>
      <c r="G104" s="481"/>
      <c r="H104" s="481"/>
      <c r="I104" s="481"/>
      <c r="J104" s="145">
        <v>6635</v>
      </c>
      <c r="K104" s="307">
        <v>90</v>
      </c>
      <c r="L104" s="145"/>
      <c r="M104" s="307"/>
    </row>
    <row r="105" spans="1:13" x14ac:dyDescent="0.2">
      <c r="A105" s="131"/>
      <c r="B105" s="481" t="s">
        <v>2557</v>
      </c>
      <c r="C105" s="481"/>
      <c r="D105" s="481"/>
      <c r="E105" s="481"/>
      <c r="F105" s="481"/>
      <c r="G105" s="481"/>
      <c r="H105" s="481"/>
      <c r="I105" s="481"/>
      <c r="J105" s="145"/>
      <c r="K105" s="307"/>
      <c r="L105" s="145"/>
      <c r="M105" s="307"/>
    </row>
    <row r="106" spans="1:13" x14ac:dyDescent="0.2">
      <c r="A106" s="131"/>
      <c r="B106" s="481" t="s">
        <v>2558</v>
      </c>
      <c r="C106" s="481"/>
      <c r="D106" s="481"/>
      <c r="E106" s="481"/>
      <c r="F106" s="481"/>
      <c r="G106" s="481"/>
      <c r="H106" s="481"/>
      <c r="I106" s="481"/>
      <c r="J106" s="145">
        <v>47285</v>
      </c>
      <c r="K106" s="307">
        <v>890</v>
      </c>
      <c r="L106" s="145"/>
      <c r="M106" s="307"/>
    </row>
    <row r="107" spans="1:13" x14ac:dyDescent="0.2">
      <c r="A107" s="131"/>
      <c r="B107" s="481" t="s">
        <v>2559</v>
      </c>
      <c r="C107" s="481"/>
      <c r="D107" s="481"/>
      <c r="E107" s="481"/>
      <c r="F107" s="481"/>
      <c r="G107" s="481"/>
      <c r="H107" s="481"/>
      <c r="I107" s="481"/>
      <c r="J107" s="145">
        <v>1197</v>
      </c>
      <c r="K107" s="307">
        <v>170</v>
      </c>
      <c r="L107" s="145"/>
      <c r="M107" s="307"/>
    </row>
    <row r="108" spans="1:13" x14ac:dyDescent="0.2">
      <c r="A108" s="131"/>
      <c r="B108" s="481" t="s">
        <v>2560</v>
      </c>
      <c r="C108" s="481"/>
      <c r="D108" s="481"/>
      <c r="E108" s="481"/>
      <c r="F108" s="481"/>
      <c r="G108" s="481"/>
      <c r="H108" s="481"/>
      <c r="I108" s="481"/>
      <c r="J108" s="145">
        <v>5</v>
      </c>
      <c r="K108" s="307">
        <v>100</v>
      </c>
      <c r="L108" s="145"/>
      <c r="M108" s="307"/>
    </row>
    <row r="109" spans="1:13" x14ac:dyDescent="0.2">
      <c r="A109" s="131"/>
      <c r="B109" s="481" t="s">
        <v>2561</v>
      </c>
      <c r="C109" s="481"/>
      <c r="D109" s="481"/>
      <c r="E109" s="481"/>
      <c r="F109" s="481"/>
      <c r="G109" s="481"/>
      <c r="H109" s="481"/>
      <c r="I109" s="481"/>
      <c r="J109" s="145">
        <v>10706</v>
      </c>
      <c r="K109" s="307">
        <v>10</v>
      </c>
      <c r="L109" s="145"/>
      <c r="M109" s="307"/>
    </row>
    <row r="110" spans="1:13" ht="16" thickBot="1" x14ac:dyDescent="0.25">
      <c r="A110" s="131"/>
      <c r="B110" s="481" t="s">
        <v>2562</v>
      </c>
      <c r="C110" s="481"/>
      <c r="D110" s="481"/>
      <c r="E110" s="481"/>
      <c r="F110" s="481"/>
      <c r="G110" s="481"/>
      <c r="H110" s="481"/>
      <c r="I110" s="481"/>
      <c r="J110" s="187">
        <v>5162</v>
      </c>
      <c r="K110" s="444">
        <v>120</v>
      </c>
      <c r="L110" s="187">
        <v>1997458</v>
      </c>
      <c r="M110" s="444">
        <v>282</v>
      </c>
    </row>
    <row r="111" spans="1:13" ht="16" thickBot="1" x14ac:dyDescent="0.25">
      <c r="A111" s="131"/>
      <c r="B111" s="565"/>
      <c r="C111" s="565"/>
      <c r="D111" s="565"/>
      <c r="E111" s="565"/>
      <c r="F111" s="565"/>
      <c r="G111" s="565"/>
      <c r="H111" s="565"/>
      <c r="I111" s="565"/>
      <c r="J111" s="138">
        <f>+SUM(J102:J110)</f>
        <v>1997456</v>
      </c>
      <c r="K111" s="138">
        <f>+SUM(K102:K110)</f>
        <v>2282</v>
      </c>
      <c r="L111" s="187"/>
      <c r="M111" s="449"/>
    </row>
    <row r="112" spans="1:13" ht="22.25" customHeight="1" thickBot="1" x14ac:dyDescent="0.25">
      <c r="A112" s="790" t="s">
        <v>2545</v>
      </c>
      <c r="B112" s="791"/>
      <c r="C112" s="791"/>
      <c r="D112" s="791"/>
      <c r="E112" s="791"/>
      <c r="F112" s="791"/>
      <c r="G112" s="791"/>
      <c r="H112" s="791"/>
      <c r="I112" s="791"/>
      <c r="J112" s="791"/>
      <c r="K112" s="792"/>
      <c r="L112" s="743">
        <v>2578408</v>
      </c>
      <c r="M112" s="449">
        <v>92</v>
      </c>
    </row>
    <row r="113" spans="1:13" x14ac:dyDescent="0.2">
      <c r="A113" s="107"/>
      <c r="B113" s="107"/>
      <c r="C113" s="107"/>
      <c r="D113" s="107"/>
      <c r="E113" s="107"/>
      <c r="F113" s="107"/>
      <c r="G113" s="107"/>
      <c r="H113" s="107"/>
      <c r="I113" s="107"/>
      <c r="J113" s="107"/>
      <c r="K113" s="107"/>
      <c r="L113" s="321">
        <f>+L100+L110</f>
        <v>2578407</v>
      </c>
      <c r="M113" s="321">
        <f>+M100+M110</f>
        <v>1092</v>
      </c>
    </row>
    <row r="114" spans="1:13" x14ac:dyDescent="0.2">
      <c r="A114" s="107"/>
      <c r="B114" s="107"/>
      <c r="C114" s="107"/>
      <c r="D114" s="107"/>
      <c r="E114" s="107"/>
      <c r="F114" s="107"/>
      <c r="G114" s="107"/>
      <c r="H114" s="107"/>
      <c r="I114" s="107"/>
      <c r="J114" s="107"/>
      <c r="K114" s="107"/>
      <c r="L114" s="107"/>
      <c r="M114" s="107"/>
    </row>
    <row r="115" spans="1:13" x14ac:dyDescent="0.2">
      <c r="A115" s="107"/>
      <c r="B115" s="107"/>
      <c r="C115" s="107"/>
      <c r="D115" s="107"/>
      <c r="E115" s="107"/>
      <c r="F115" s="107"/>
      <c r="G115" s="107"/>
      <c r="H115" s="107"/>
      <c r="I115" s="107"/>
      <c r="J115" s="107"/>
      <c r="K115" s="107"/>
      <c r="L115" s="107"/>
      <c r="M115" s="107"/>
    </row>
    <row r="116" spans="1:13" x14ac:dyDescent="0.2">
      <c r="A116" s="107"/>
      <c r="B116" s="107"/>
      <c r="C116" s="107"/>
      <c r="D116" s="107"/>
      <c r="E116" s="107"/>
      <c r="F116" s="107"/>
      <c r="G116" s="107"/>
      <c r="H116" s="107"/>
      <c r="I116" s="107"/>
      <c r="J116" s="107"/>
      <c r="K116" s="107"/>
      <c r="L116" s="107"/>
      <c r="M116" s="107"/>
    </row>
    <row r="117" spans="1:13" x14ac:dyDescent="0.2">
      <c r="A117" s="107"/>
      <c r="B117" s="107"/>
      <c r="C117" s="107"/>
      <c r="D117" s="107"/>
      <c r="E117" s="107"/>
      <c r="F117" s="107"/>
      <c r="G117" s="107"/>
      <c r="H117" s="107"/>
      <c r="I117" s="107"/>
      <c r="J117" s="107"/>
      <c r="K117" s="107"/>
      <c r="L117" s="107"/>
      <c r="M117" s="107"/>
    </row>
    <row r="118" spans="1:13" x14ac:dyDescent="0.2">
      <c r="A118" s="107"/>
      <c r="B118" s="107"/>
      <c r="C118" s="107"/>
      <c r="D118" s="107"/>
      <c r="E118" s="107"/>
      <c r="F118" s="107"/>
      <c r="G118" s="107"/>
      <c r="H118" s="107"/>
      <c r="I118" s="107"/>
      <c r="J118" s="107"/>
      <c r="K118" s="107"/>
      <c r="L118" s="107"/>
      <c r="M118" s="107"/>
    </row>
    <row r="119" spans="1:13" x14ac:dyDescent="0.2">
      <c r="A119" s="107"/>
      <c r="B119" s="107"/>
      <c r="C119" s="107"/>
      <c r="D119" s="107"/>
      <c r="E119" s="107"/>
      <c r="F119" s="107"/>
      <c r="G119" s="107"/>
      <c r="H119" s="107"/>
      <c r="I119" s="107"/>
      <c r="J119" s="107"/>
      <c r="K119" s="107"/>
      <c r="L119" s="107"/>
      <c r="M119" s="107"/>
    </row>
    <row r="120" spans="1:13" x14ac:dyDescent="0.2">
      <c r="A120" s="107"/>
      <c r="B120" s="107"/>
      <c r="C120" s="107"/>
      <c r="D120" s="107"/>
      <c r="E120" s="107"/>
      <c r="F120" s="107"/>
      <c r="G120" s="107"/>
      <c r="H120" s="107"/>
      <c r="I120" s="107"/>
      <c r="J120" s="107"/>
      <c r="K120" s="107"/>
      <c r="L120" s="107"/>
      <c r="M120" s="107"/>
    </row>
    <row r="121" spans="1:13" x14ac:dyDescent="0.2">
      <c r="A121" s="107"/>
      <c r="B121" s="107"/>
      <c r="C121" s="107"/>
      <c r="D121" s="107"/>
      <c r="E121" s="107"/>
      <c r="F121" s="107"/>
      <c r="G121" s="107"/>
      <c r="H121" s="107"/>
      <c r="I121" s="107"/>
      <c r="J121" s="107"/>
      <c r="K121" s="107"/>
      <c r="L121" s="107"/>
      <c r="M121" s="107"/>
    </row>
    <row r="122" spans="1:13" x14ac:dyDescent="0.2">
      <c r="A122" s="107"/>
      <c r="B122" s="107"/>
      <c r="C122" s="107"/>
      <c r="D122" s="107"/>
      <c r="E122" s="107"/>
      <c r="F122" s="107"/>
      <c r="G122" s="107"/>
      <c r="H122" s="107"/>
      <c r="I122" s="107"/>
      <c r="J122" s="107"/>
      <c r="K122" s="107"/>
      <c r="L122" s="107"/>
      <c r="M122" s="107"/>
    </row>
    <row r="123" spans="1:13" x14ac:dyDescent="0.2">
      <c r="A123" s="107"/>
      <c r="B123" s="107"/>
      <c r="C123" s="107"/>
      <c r="D123" s="107"/>
      <c r="E123" s="107"/>
      <c r="F123" s="107"/>
      <c r="G123" s="107"/>
      <c r="H123" s="107"/>
      <c r="I123" s="107"/>
      <c r="J123" s="107"/>
      <c r="K123" s="107"/>
      <c r="L123" s="107"/>
      <c r="M123" s="107"/>
    </row>
    <row r="124" spans="1:13" x14ac:dyDescent="0.2">
      <c r="A124" s="107"/>
      <c r="B124" s="107"/>
      <c r="C124" s="107"/>
      <c r="D124" s="107"/>
      <c r="E124" s="107"/>
      <c r="F124" s="107"/>
      <c r="G124" s="107"/>
      <c r="H124" s="107"/>
      <c r="I124" s="107"/>
      <c r="J124" s="107"/>
      <c r="K124" s="107"/>
      <c r="L124" s="107"/>
      <c r="M124" s="107"/>
    </row>
    <row r="125" spans="1:13" x14ac:dyDescent="0.2">
      <c r="A125" s="107"/>
      <c r="B125" s="107"/>
      <c r="C125" s="107"/>
      <c r="D125" s="107"/>
      <c r="E125" s="107"/>
      <c r="F125" s="107"/>
      <c r="G125" s="107"/>
      <c r="H125" s="107"/>
      <c r="I125" s="107"/>
      <c r="J125" s="107"/>
      <c r="K125" s="107"/>
      <c r="L125" s="107"/>
      <c r="M125" s="107"/>
    </row>
    <row r="126" spans="1:13" x14ac:dyDescent="0.2">
      <c r="A126" s="107"/>
      <c r="B126" s="107"/>
      <c r="C126" s="107"/>
      <c r="D126" s="107"/>
      <c r="E126" s="107"/>
      <c r="F126" s="107"/>
      <c r="G126" s="107"/>
      <c r="H126" s="107"/>
      <c r="I126" s="107"/>
      <c r="J126" s="107"/>
      <c r="K126" s="107"/>
      <c r="L126" s="107"/>
      <c r="M126" s="107"/>
    </row>
    <row r="127" spans="1:13" x14ac:dyDescent="0.2">
      <c r="A127" s="107"/>
      <c r="B127" s="107"/>
      <c r="C127" s="107"/>
      <c r="D127" s="107"/>
      <c r="E127" s="107"/>
      <c r="F127" s="107"/>
      <c r="G127" s="107"/>
      <c r="H127" s="107"/>
      <c r="I127" s="107"/>
      <c r="J127" s="107"/>
      <c r="K127" s="107"/>
      <c r="L127" s="107"/>
      <c r="M127" s="107"/>
    </row>
    <row r="128" spans="1:13" x14ac:dyDescent="0.2">
      <c r="A128" s="107"/>
      <c r="B128" s="107"/>
      <c r="C128" s="107"/>
      <c r="D128" s="107"/>
      <c r="E128" s="107"/>
      <c r="F128" s="107"/>
      <c r="G128" s="107"/>
      <c r="H128" s="107"/>
      <c r="I128" s="107"/>
      <c r="J128" s="107"/>
      <c r="K128" s="107"/>
      <c r="L128" s="107"/>
      <c r="M128" s="107"/>
    </row>
    <row r="129" spans="1:13" x14ac:dyDescent="0.2">
      <c r="A129" s="107"/>
      <c r="B129" s="107"/>
      <c r="C129" s="107"/>
      <c r="D129" s="107"/>
      <c r="E129" s="107"/>
      <c r="F129" s="107"/>
      <c r="G129" s="107"/>
      <c r="H129" s="107"/>
      <c r="I129" s="107"/>
      <c r="J129" s="107"/>
      <c r="K129" s="107"/>
      <c r="L129" s="107"/>
      <c r="M129" s="107"/>
    </row>
    <row r="130" spans="1:13" x14ac:dyDescent="0.2">
      <c r="A130" s="107"/>
      <c r="B130" s="107"/>
      <c r="C130" s="107"/>
      <c r="D130" s="107"/>
      <c r="E130" s="107"/>
      <c r="F130" s="107"/>
      <c r="G130" s="107"/>
      <c r="H130" s="107"/>
      <c r="I130" s="107"/>
      <c r="J130" s="107"/>
      <c r="K130" s="107"/>
      <c r="L130" s="107"/>
      <c r="M130" s="107"/>
    </row>
    <row r="131" spans="1:13" x14ac:dyDescent="0.2">
      <c r="A131" s="107"/>
      <c r="B131" s="107"/>
      <c r="C131" s="107"/>
      <c r="D131" s="107"/>
      <c r="E131" s="107"/>
      <c r="F131" s="107"/>
      <c r="G131" s="107"/>
      <c r="H131" s="107"/>
      <c r="I131" s="107"/>
      <c r="J131" s="107"/>
      <c r="K131" s="107"/>
      <c r="L131" s="107"/>
      <c r="M131" s="107"/>
    </row>
    <row r="132" spans="1:13" x14ac:dyDescent="0.2">
      <c r="A132" s="107"/>
      <c r="B132" s="107"/>
      <c r="C132" s="107"/>
      <c r="D132" s="107"/>
      <c r="E132" s="107"/>
      <c r="F132" s="107"/>
      <c r="G132" s="107"/>
      <c r="H132" s="107"/>
      <c r="I132" s="107"/>
      <c r="J132" s="107"/>
      <c r="K132" s="107"/>
      <c r="L132" s="107"/>
      <c r="M132" s="107"/>
    </row>
    <row r="133" spans="1:13" x14ac:dyDescent="0.2">
      <c r="A133" s="107"/>
      <c r="B133" s="107"/>
      <c r="C133" s="107"/>
      <c r="D133" s="107"/>
      <c r="E133" s="107"/>
      <c r="F133" s="107"/>
      <c r="G133" s="107"/>
      <c r="H133" s="107"/>
      <c r="I133" s="107"/>
      <c r="J133" s="107"/>
      <c r="K133" s="107"/>
      <c r="L133" s="107"/>
      <c r="M133" s="107"/>
    </row>
    <row r="134" spans="1:13" x14ac:dyDescent="0.2">
      <c r="A134" s="107"/>
      <c r="B134" s="107"/>
      <c r="C134" s="107"/>
      <c r="D134" s="107"/>
      <c r="E134" s="107"/>
      <c r="F134" s="107"/>
      <c r="G134" s="107"/>
      <c r="H134" s="107"/>
      <c r="I134" s="107"/>
      <c r="J134" s="107"/>
      <c r="K134" s="107"/>
      <c r="L134" s="107"/>
      <c r="M134" s="107"/>
    </row>
    <row r="135" spans="1:13" x14ac:dyDescent="0.2">
      <c r="A135" s="107"/>
      <c r="B135" s="107"/>
      <c r="C135" s="107"/>
      <c r="D135" s="107"/>
      <c r="E135" s="107"/>
      <c r="F135" s="107"/>
      <c r="G135" s="107"/>
      <c r="H135" s="107"/>
      <c r="I135" s="107"/>
      <c r="J135" s="107"/>
      <c r="K135" s="107"/>
      <c r="L135" s="107"/>
      <c r="M135" s="107"/>
    </row>
    <row r="136" spans="1:13" x14ac:dyDescent="0.2">
      <c r="A136" s="107"/>
      <c r="B136" s="107"/>
      <c r="C136" s="107"/>
      <c r="D136" s="107"/>
      <c r="E136" s="107"/>
      <c r="F136" s="107"/>
      <c r="G136" s="107"/>
      <c r="H136" s="107"/>
      <c r="I136" s="107"/>
      <c r="J136" s="107"/>
      <c r="K136" s="107"/>
      <c r="L136" s="107"/>
      <c r="M136" s="107"/>
    </row>
    <row r="137" spans="1:13" x14ac:dyDescent="0.2">
      <c r="A137" s="107"/>
      <c r="B137" s="107"/>
      <c r="C137" s="107"/>
      <c r="D137" s="107"/>
      <c r="E137" s="107"/>
      <c r="F137" s="107"/>
      <c r="G137" s="107"/>
      <c r="H137" s="107"/>
      <c r="I137" s="107"/>
      <c r="J137" s="107"/>
      <c r="K137" s="107"/>
      <c r="L137" s="107"/>
      <c r="M137" s="107"/>
    </row>
    <row r="138" spans="1:13" x14ac:dyDescent="0.2">
      <c r="A138" s="107"/>
      <c r="B138" s="107"/>
      <c r="C138" s="107"/>
      <c r="D138" s="107"/>
      <c r="E138" s="107"/>
      <c r="F138" s="107"/>
      <c r="G138" s="107"/>
      <c r="H138" s="107"/>
      <c r="I138" s="107"/>
      <c r="J138" s="107"/>
      <c r="K138" s="107"/>
      <c r="L138" s="107"/>
      <c r="M138" s="107"/>
    </row>
    <row r="139" spans="1:13" x14ac:dyDescent="0.2">
      <c r="A139" s="107"/>
      <c r="B139" s="107"/>
      <c r="C139" s="107"/>
      <c r="D139" s="107"/>
      <c r="E139" s="107"/>
      <c r="F139" s="107"/>
      <c r="G139" s="107"/>
      <c r="H139" s="107"/>
      <c r="I139" s="107"/>
      <c r="J139" s="107"/>
      <c r="K139" s="107"/>
      <c r="L139" s="107"/>
      <c r="M139" s="107"/>
    </row>
    <row r="140" spans="1:13" x14ac:dyDescent="0.2">
      <c r="A140" s="107"/>
      <c r="B140" s="107"/>
      <c r="C140" s="107"/>
      <c r="D140" s="107"/>
      <c r="E140" s="107"/>
      <c r="F140" s="107"/>
      <c r="G140" s="107"/>
      <c r="H140" s="107"/>
      <c r="I140" s="107"/>
      <c r="J140" s="107"/>
      <c r="K140" s="107"/>
      <c r="L140" s="107"/>
      <c r="M140" s="107"/>
    </row>
    <row r="141" spans="1:13" x14ac:dyDescent="0.2">
      <c r="A141" s="107"/>
      <c r="B141" s="107"/>
      <c r="C141" s="107"/>
      <c r="D141" s="107"/>
      <c r="E141" s="107"/>
      <c r="F141" s="107"/>
      <c r="G141" s="107"/>
      <c r="H141" s="107"/>
      <c r="I141" s="107"/>
      <c r="J141" s="107"/>
      <c r="K141" s="107"/>
      <c r="L141" s="107"/>
      <c r="M141" s="107"/>
    </row>
    <row r="142" spans="1:13" x14ac:dyDescent="0.2">
      <c r="A142" s="107"/>
      <c r="B142" s="107"/>
      <c r="C142" s="107"/>
      <c r="D142" s="107"/>
      <c r="E142" s="107"/>
      <c r="F142" s="107"/>
      <c r="G142" s="107"/>
      <c r="H142" s="107"/>
      <c r="I142" s="107"/>
      <c r="J142" s="107"/>
      <c r="K142" s="107"/>
      <c r="L142" s="107"/>
      <c r="M142" s="107"/>
    </row>
    <row r="143" spans="1:13" x14ac:dyDescent="0.2">
      <c r="A143" s="107"/>
      <c r="B143" s="107"/>
      <c r="C143" s="107"/>
      <c r="D143" s="107"/>
      <c r="E143" s="107"/>
      <c r="F143" s="107"/>
      <c r="G143" s="107"/>
      <c r="H143" s="107"/>
      <c r="I143" s="107"/>
      <c r="J143" s="107"/>
      <c r="K143" s="107"/>
      <c r="L143" s="107"/>
      <c r="M143" s="107"/>
    </row>
    <row r="144" spans="1:13" x14ac:dyDescent="0.2">
      <c r="A144" s="107"/>
      <c r="B144" s="107"/>
      <c r="C144" s="107"/>
      <c r="D144" s="107"/>
      <c r="E144" s="107"/>
      <c r="F144" s="107"/>
      <c r="G144" s="107"/>
      <c r="H144" s="107"/>
      <c r="I144" s="107"/>
      <c r="J144" s="107"/>
      <c r="K144" s="107"/>
      <c r="L144" s="107"/>
      <c r="M144" s="107"/>
    </row>
    <row r="145" spans="1:13" x14ac:dyDescent="0.2">
      <c r="A145" s="107"/>
      <c r="B145" s="107"/>
      <c r="C145" s="107"/>
      <c r="D145" s="107"/>
      <c r="E145" s="107"/>
      <c r="F145" s="107"/>
      <c r="G145" s="107"/>
      <c r="H145" s="107"/>
      <c r="I145" s="107"/>
      <c r="J145" s="107"/>
      <c r="K145" s="107"/>
      <c r="L145" s="107"/>
      <c r="M145" s="107"/>
    </row>
    <row r="146" spans="1:13" x14ac:dyDescent="0.2">
      <c r="A146" s="107"/>
      <c r="B146" s="107"/>
      <c r="C146" s="107"/>
      <c r="D146" s="107"/>
      <c r="E146" s="107"/>
      <c r="F146" s="107"/>
      <c r="G146" s="107"/>
      <c r="H146" s="107"/>
      <c r="I146" s="107"/>
      <c r="J146" s="107"/>
      <c r="K146" s="107"/>
      <c r="L146" s="107"/>
      <c r="M146" s="107"/>
    </row>
    <row r="147" spans="1:13" x14ac:dyDescent="0.2">
      <c r="A147" s="107"/>
      <c r="B147" s="107"/>
      <c r="C147" s="107"/>
      <c r="D147" s="107"/>
      <c r="E147" s="107"/>
      <c r="F147" s="107"/>
      <c r="G147" s="107"/>
      <c r="H147" s="107"/>
      <c r="I147" s="107"/>
      <c r="J147" s="107"/>
      <c r="K147" s="107"/>
      <c r="L147" s="107"/>
      <c r="M147" s="107"/>
    </row>
    <row r="148" spans="1:13" x14ac:dyDescent="0.2">
      <c r="A148" s="107"/>
      <c r="B148" s="107"/>
      <c r="C148" s="107"/>
      <c r="D148" s="107"/>
      <c r="E148" s="107"/>
      <c r="F148" s="107"/>
      <c r="G148" s="107"/>
      <c r="H148" s="107"/>
      <c r="I148" s="107"/>
      <c r="J148" s="107"/>
      <c r="K148" s="107"/>
      <c r="L148" s="107"/>
      <c r="M148" s="107"/>
    </row>
    <row r="149" spans="1:13" x14ac:dyDescent="0.2">
      <c r="A149" s="107"/>
      <c r="B149" s="107"/>
      <c r="C149" s="107"/>
      <c r="D149" s="107"/>
      <c r="E149" s="107"/>
      <c r="F149" s="107"/>
      <c r="G149" s="107"/>
      <c r="H149" s="107"/>
      <c r="I149" s="107"/>
      <c r="J149" s="107"/>
      <c r="K149" s="107"/>
      <c r="L149" s="107"/>
      <c r="M149" s="107"/>
    </row>
    <row r="150" spans="1:13" x14ac:dyDescent="0.2">
      <c r="A150" s="107"/>
      <c r="B150" s="107"/>
      <c r="C150" s="107"/>
      <c r="D150" s="107"/>
      <c r="E150" s="107"/>
      <c r="F150" s="107"/>
      <c r="G150" s="107"/>
      <c r="H150" s="107"/>
      <c r="I150" s="107"/>
      <c r="J150" s="107"/>
      <c r="K150" s="107"/>
      <c r="L150" s="107"/>
      <c r="M150" s="107"/>
    </row>
    <row r="162" spans="2:93" x14ac:dyDescent="0.2">
      <c r="B162" s="143"/>
      <c r="C162" s="143"/>
      <c r="D162" s="143"/>
      <c r="E162" s="143"/>
      <c r="F162" s="143"/>
      <c r="G162" s="143"/>
      <c r="H162" s="143"/>
      <c r="I162" s="143"/>
      <c r="J162" s="143"/>
      <c r="K162" s="143"/>
      <c r="L162" s="143"/>
      <c r="M162" s="143"/>
      <c r="N162" s="143"/>
      <c r="O162" s="143"/>
      <c r="P162" s="143"/>
      <c r="Q162" s="143"/>
      <c r="R162" s="143"/>
      <c r="S162" s="143"/>
      <c r="T162" s="143"/>
      <c r="U162" s="143"/>
      <c r="V162" s="143"/>
      <c r="W162" s="143"/>
      <c r="X162" s="143"/>
      <c r="Y162" s="143"/>
      <c r="Z162" s="143"/>
      <c r="AA162" s="143"/>
      <c r="AB162" s="143"/>
      <c r="AC162" s="143"/>
      <c r="AD162" s="143"/>
      <c r="AE162" s="143"/>
      <c r="AF162" s="143"/>
      <c r="AG162" s="143"/>
      <c r="AH162" s="143"/>
      <c r="AI162" s="143"/>
      <c r="AJ162" s="143"/>
      <c r="AK162" s="143"/>
      <c r="AL162" s="143"/>
      <c r="AM162" s="143"/>
      <c r="AN162" s="143"/>
      <c r="AO162" s="143"/>
      <c r="AP162" s="143"/>
      <c r="AQ162" s="143"/>
      <c r="AR162" s="143"/>
      <c r="AS162" s="143"/>
      <c r="AT162" s="143"/>
      <c r="AU162" s="143"/>
      <c r="AV162" s="143"/>
      <c r="AW162" s="143"/>
      <c r="AX162" s="143"/>
      <c r="AY162" s="143"/>
      <c r="AZ162" s="143"/>
      <c r="BA162" s="143"/>
      <c r="BB162" s="143"/>
      <c r="BC162" s="143"/>
      <c r="BD162" s="143"/>
      <c r="BE162" s="143"/>
      <c r="BF162" s="143"/>
      <c r="BG162" s="143"/>
      <c r="BH162" s="143"/>
      <c r="BI162" s="143"/>
      <c r="BJ162" s="143"/>
      <c r="BK162" s="143"/>
      <c r="BL162" s="143"/>
      <c r="BM162" s="143"/>
      <c r="BN162" s="143"/>
      <c r="BO162" s="143"/>
      <c r="BP162" s="143"/>
      <c r="BQ162" s="143"/>
      <c r="BR162" s="143"/>
      <c r="BS162" s="143"/>
      <c r="BT162" s="143"/>
      <c r="BU162" s="143"/>
      <c r="BV162" s="143"/>
      <c r="BW162" s="143"/>
      <c r="BX162" s="143"/>
      <c r="BY162" s="143"/>
      <c r="BZ162" s="143"/>
      <c r="CA162" s="143"/>
      <c r="CB162" s="143"/>
      <c r="CC162" s="143"/>
      <c r="CD162" s="143"/>
      <c r="CE162" s="143"/>
      <c r="CF162" s="143"/>
      <c r="CG162" s="143"/>
      <c r="CH162" s="143"/>
      <c r="CI162" s="143"/>
      <c r="CJ162" s="143"/>
      <c r="CK162" s="143"/>
      <c r="CL162" s="143"/>
      <c r="CM162" s="143"/>
      <c r="CN162" s="143"/>
      <c r="CO162" s="143"/>
    </row>
    <row r="163" spans="2:93" x14ac:dyDescent="0.2">
      <c r="B163" s="143"/>
      <c r="C163" s="143"/>
      <c r="D163" s="143"/>
      <c r="E163" s="143"/>
      <c r="F163" s="143"/>
      <c r="G163" s="143"/>
      <c r="H163" s="143"/>
      <c r="I163" s="143"/>
      <c r="J163" s="143"/>
      <c r="K163" s="143"/>
      <c r="L163" s="143"/>
      <c r="M163" s="143"/>
      <c r="N163" s="143"/>
      <c r="O163" s="143"/>
      <c r="P163" s="143"/>
      <c r="Q163" s="143"/>
      <c r="R163" s="143"/>
      <c r="S163" s="143"/>
      <c r="T163" s="143"/>
      <c r="U163" s="143"/>
      <c r="V163" s="143"/>
      <c r="W163" s="143"/>
      <c r="X163" s="143"/>
      <c r="Y163" s="143"/>
      <c r="Z163" s="143"/>
      <c r="AA163" s="143"/>
      <c r="AB163" s="143"/>
      <c r="AC163" s="143"/>
      <c r="AD163" s="143"/>
      <c r="AE163" s="143"/>
      <c r="AF163" s="143"/>
      <c r="AG163" s="143"/>
      <c r="AH163" s="143"/>
      <c r="AI163" s="143"/>
      <c r="AJ163" s="143"/>
      <c r="AK163" s="143"/>
      <c r="AL163" s="143"/>
      <c r="AM163" s="143"/>
      <c r="AN163" s="143"/>
      <c r="AO163" s="143"/>
      <c r="AP163" s="143"/>
      <c r="AQ163" s="143"/>
      <c r="AR163" s="143"/>
      <c r="AS163" s="143"/>
      <c r="AT163" s="143"/>
      <c r="AU163" s="143"/>
      <c r="AV163" s="143"/>
      <c r="AW163" s="143"/>
      <c r="AX163" s="143"/>
      <c r="AY163" s="143"/>
      <c r="AZ163" s="143"/>
      <c r="BA163" s="143"/>
      <c r="BB163" s="143"/>
      <c r="BC163" s="143"/>
      <c r="BD163" s="143"/>
      <c r="BE163" s="143"/>
      <c r="BF163" s="143"/>
      <c r="BG163" s="143"/>
      <c r="BH163" s="143"/>
      <c r="BI163" s="143"/>
      <c r="BJ163" s="143"/>
      <c r="BK163" s="143"/>
      <c r="BL163" s="143"/>
      <c r="BM163" s="143"/>
      <c r="BN163" s="143"/>
      <c r="BO163" s="143"/>
      <c r="BP163" s="143"/>
      <c r="BQ163" s="143"/>
      <c r="BR163" s="143"/>
      <c r="BS163" s="143"/>
      <c r="BT163" s="143"/>
      <c r="BU163" s="143"/>
      <c r="BV163" s="143"/>
      <c r="BW163" s="143"/>
      <c r="BX163" s="143"/>
      <c r="BY163" s="143"/>
      <c r="BZ163" s="143"/>
      <c r="CA163" s="143"/>
      <c r="CB163" s="143"/>
      <c r="CC163" s="143"/>
      <c r="CD163" s="143"/>
      <c r="CE163" s="143"/>
      <c r="CF163" s="143"/>
      <c r="CG163" s="143"/>
      <c r="CH163" s="143"/>
      <c r="CI163" s="143"/>
      <c r="CJ163" s="143"/>
      <c r="CK163" s="143"/>
      <c r="CL163" s="143"/>
      <c r="CM163" s="143"/>
      <c r="CN163" s="143"/>
      <c r="CO163" s="143"/>
    </row>
    <row r="165" spans="2:93" x14ac:dyDescent="0.2">
      <c r="B165" s="143"/>
      <c r="C165" s="143"/>
      <c r="D165" s="143"/>
      <c r="E165" s="143"/>
      <c r="F165" s="143"/>
      <c r="G165" s="143"/>
      <c r="H165" s="143"/>
      <c r="I165" s="143"/>
      <c r="J165" s="143"/>
      <c r="K165" s="143"/>
      <c r="L165" s="143"/>
      <c r="M165" s="143"/>
      <c r="N165" s="143"/>
      <c r="O165" s="143"/>
      <c r="P165" s="143"/>
      <c r="Q165" s="143"/>
      <c r="R165" s="143"/>
      <c r="S165" s="143"/>
      <c r="T165" s="143"/>
      <c r="U165" s="143"/>
      <c r="V165" s="143"/>
      <c r="W165" s="143"/>
      <c r="X165" s="143"/>
      <c r="Y165" s="143"/>
      <c r="Z165" s="143"/>
      <c r="AA165" s="143"/>
      <c r="AB165" s="143"/>
      <c r="AC165" s="143"/>
      <c r="AD165" s="143"/>
      <c r="AE165" s="143"/>
      <c r="AF165" s="143"/>
      <c r="AG165" s="143"/>
      <c r="AH165" s="143"/>
      <c r="AI165" s="143"/>
      <c r="AJ165" s="143"/>
      <c r="AK165" s="143"/>
      <c r="AL165" s="143"/>
      <c r="AM165" s="143"/>
      <c r="AN165" s="143"/>
      <c r="AO165" s="143"/>
      <c r="AP165" s="143"/>
      <c r="AQ165" s="143"/>
      <c r="AR165" s="143"/>
      <c r="AS165" s="143"/>
      <c r="AT165" s="143"/>
      <c r="AU165" s="143"/>
      <c r="AV165" s="143"/>
      <c r="AW165" s="143"/>
      <c r="AX165" s="143"/>
      <c r="AY165" s="143"/>
      <c r="AZ165" s="143"/>
      <c r="BA165" s="143"/>
      <c r="BB165" s="143"/>
      <c r="BC165" s="143"/>
      <c r="BD165" s="143"/>
      <c r="BE165" s="143"/>
      <c r="BF165" s="143"/>
      <c r="BG165" s="143"/>
      <c r="BH165" s="143"/>
      <c r="BI165" s="143"/>
      <c r="BJ165" s="143"/>
      <c r="BK165" s="143"/>
      <c r="BL165" s="143"/>
      <c r="BM165" s="143"/>
      <c r="BN165" s="143"/>
      <c r="BO165" s="143"/>
      <c r="BP165" s="143"/>
      <c r="BQ165" s="143"/>
      <c r="BR165" s="143"/>
      <c r="BS165" s="143"/>
      <c r="BT165" s="143"/>
      <c r="BU165" s="143"/>
      <c r="BV165" s="143"/>
      <c r="BW165" s="143"/>
      <c r="BX165" s="143"/>
      <c r="BY165" s="143"/>
      <c r="BZ165" s="143"/>
      <c r="CA165" s="143"/>
      <c r="CB165" s="143"/>
      <c r="CC165" s="143"/>
      <c r="CD165" s="143"/>
      <c r="CE165" s="143"/>
      <c r="CF165" s="143"/>
      <c r="CG165" s="143"/>
      <c r="CH165" s="143"/>
      <c r="CI165" s="143"/>
      <c r="CJ165" s="143"/>
      <c r="CK165" s="143"/>
      <c r="CL165" s="143"/>
      <c r="CM165" s="143"/>
      <c r="CN165" s="143"/>
      <c r="CO165" s="143"/>
    </row>
    <row r="167" spans="2:93" x14ac:dyDescent="0.2">
      <c r="B167" s="143"/>
      <c r="C167" s="143"/>
      <c r="D167" s="143"/>
      <c r="E167" s="143"/>
      <c r="F167" s="143"/>
      <c r="G167" s="143"/>
      <c r="H167" s="143"/>
      <c r="I167" s="143"/>
      <c r="J167" s="143"/>
      <c r="K167" s="143"/>
      <c r="L167" s="143"/>
      <c r="M167" s="143"/>
      <c r="N167" s="143"/>
      <c r="O167" s="143"/>
      <c r="P167" s="143"/>
      <c r="Q167" s="143"/>
      <c r="R167" s="143"/>
      <c r="S167" s="143"/>
      <c r="T167" s="143"/>
      <c r="U167" s="143"/>
      <c r="V167" s="143"/>
      <c r="W167" s="143"/>
      <c r="X167" s="143"/>
      <c r="Y167" s="143"/>
      <c r="Z167" s="143"/>
      <c r="AA167" s="143"/>
      <c r="AB167" s="143"/>
      <c r="AC167" s="143"/>
      <c r="AD167" s="143"/>
      <c r="AE167" s="143"/>
      <c r="AF167" s="143"/>
      <c r="AG167" s="143"/>
      <c r="AH167" s="143"/>
      <c r="AI167" s="143"/>
      <c r="AJ167" s="143"/>
      <c r="AK167" s="143"/>
      <c r="AL167" s="143"/>
      <c r="AM167" s="143"/>
      <c r="AN167" s="143"/>
      <c r="AO167" s="143"/>
      <c r="AP167" s="143"/>
      <c r="AQ167" s="143"/>
      <c r="AR167" s="143"/>
      <c r="AS167" s="143"/>
      <c r="AT167" s="143"/>
      <c r="AU167" s="143"/>
      <c r="AV167" s="143"/>
      <c r="AW167" s="143"/>
      <c r="AX167" s="143"/>
      <c r="AY167" s="143"/>
      <c r="AZ167" s="143"/>
      <c r="BA167" s="143"/>
      <c r="BB167" s="143"/>
      <c r="BC167" s="143"/>
      <c r="BD167" s="143"/>
      <c r="BE167" s="143"/>
      <c r="BF167" s="143"/>
      <c r="BG167" s="143"/>
      <c r="BH167" s="143"/>
      <c r="BI167" s="143"/>
      <c r="BJ167" s="143"/>
      <c r="BK167" s="143"/>
      <c r="BL167" s="143"/>
      <c r="BM167" s="143"/>
      <c r="BN167" s="143"/>
      <c r="BO167" s="143"/>
      <c r="BP167" s="143"/>
      <c r="BQ167" s="143"/>
      <c r="BR167" s="143"/>
      <c r="BS167" s="143"/>
      <c r="BT167" s="143"/>
      <c r="BU167" s="143"/>
      <c r="BV167" s="143"/>
      <c r="BW167" s="143"/>
      <c r="BX167" s="143"/>
      <c r="BY167" s="143"/>
      <c r="BZ167" s="143"/>
      <c r="CA167" s="143"/>
      <c r="CB167" s="143"/>
      <c r="CC167" s="143"/>
      <c r="CD167" s="143"/>
      <c r="CE167" s="143"/>
      <c r="CF167" s="143"/>
      <c r="CG167" s="143"/>
      <c r="CH167" s="143"/>
      <c r="CI167" s="143"/>
      <c r="CJ167" s="143"/>
      <c r="CK167" s="143"/>
      <c r="CL167" s="143"/>
      <c r="CM167" s="143"/>
      <c r="CN167" s="143"/>
      <c r="CO167" s="143"/>
    </row>
    <row r="169" spans="2:93" x14ac:dyDescent="0.2">
      <c r="B169" s="143"/>
      <c r="C169" s="143"/>
      <c r="D169" s="143"/>
      <c r="E169" s="143"/>
      <c r="F169" s="143"/>
      <c r="G169" s="143"/>
      <c r="H169" s="143"/>
      <c r="I169" s="143"/>
      <c r="J169" s="143"/>
      <c r="K169" s="143"/>
      <c r="L169" s="143"/>
      <c r="M169" s="143"/>
      <c r="N169" s="143"/>
      <c r="O169" s="143"/>
      <c r="P169" s="143"/>
      <c r="Q169" s="143"/>
      <c r="R169" s="143"/>
      <c r="S169" s="143"/>
      <c r="T169" s="143"/>
      <c r="U169" s="143"/>
      <c r="V169" s="143"/>
      <c r="W169" s="143"/>
      <c r="X169" s="143"/>
      <c r="Y169" s="143"/>
      <c r="Z169" s="143"/>
      <c r="AA169" s="143"/>
      <c r="AB169" s="143"/>
      <c r="AC169" s="143"/>
      <c r="AD169" s="143"/>
      <c r="AE169" s="143"/>
      <c r="AF169" s="143"/>
      <c r="AG169" s="143"/>
      <c r="AH169" s="143"/>
      <c r="AI169" s="143"/>
      <c r="AJ169" s="143"/>
      <c r="AK169" s="143"/>
      <c r="AL169" s="143"/>
      <c r="AM169" s="143"/>
      <c r="AN169" s="143"/>
      <c r="AO169" s="143"/>
      <c r="AP169" s="143"/>
      <c r="AQ169" s="143"/>
      <c r="AR169" s="143"/>
      <c r="AS169" s="143"/>
      <c r="AT169" s="143"/>
      <c r="AU169" s="143"/>
      <c r="AV169" s="143"/>
      <c r="AW169" s="143"/>
      <c r="AX169" s="143"/>
      <c r="AY169" s="143"/>
      <c r="AZ169" s="143"/>
      <c r="BA169" s="143"/>
      <c r="BB169" s="143"/>
      <c r="BC169" s="143"/>
      <c r="BD169" s="143"/>
      <c r="BE169" s="143"/>
      <c r="BF169" s="143"/>
      <c r="BG169" s="143"/>
      <c r="BH169" s="143"/>
      <c r="BI169" s="143"/>
      <c r="BJ169" s="143"/>
      <c r="BK169" s="143"/>
      <c r="BL169" s="143"/>
      <c r="BM169" s="143"/>
      <c r="BN169" s="143"/>
      <c r="BO169" s="143"/>
      <c r="BP169" s="143"/>
      <c r="BQ169" s="143"/>
      <c r="BR169" s="143"/>
      <c r="BS169" s="143"/>
      <c r="BT169" s="143"/>
      <c r="BU169" s="143"/>
      <c r="BV169" s="143"/>
      <c r="BW169" s="143"/>
      <c r="BX169" s="143"/>
      <c r="BY169" s="143"/>
      <c r="BZ169" s="143"/>
      <c r="CA169" s="143"/>
      <c r="CB169" s="143"/>
      <c r="CC169" s="143"/>
      <c r="CD169" s="143"/>
      <c r="CE169" s="143"/>
      <c r="CF169" s="143"/>
      <c r="CG169" s="143"/>
      <c r="CH169" s="143"/>
      <c r="CI169" s="143"/>
      <c r="CJ169" s="143"/>
      <c r="CK169" s="143"/>
      <c r="CL169" s="143"/>
      <c r="CM169" s="143"/>
      <c r="CN169" s="143"/>
      <c r="CO169" s="143"/>
    </row>
    <row r="171" spans="2:93" x14ac:dyDescent="0.2">
      <c r="B171" s="143"/>
      <c r="C171" s="143"/>
      <c r="D171" s="143"/>
      <c r="E171" s="143"/>
      <c r="F171" s="143"/>
      <c r="G171" s="143"/>
      <c r="H171" s="143"/>
      <c r="I171" s="143"/>
      <c r="J171" s="143"/>
      <c r="K171" s="143"/>
      <c r="L171" s="143"/>
      <c r="M171" s="143"/>
      <c r="N171" s="143"/>
      <c r="O171" s="143"/>
      <c r="P171" s="143"/>
      <c r="Q171" s="143"/>
      <c r="R171" s="143"/>
      <c r="S171" s="143"/>
      <c r="T171" s="143"/>
      <c r="U171" s="143"/>
      <c r="V171" s="143"/>
      <c r="W171" s="143"/>
      <c r="X171" s="143"/>
      <c r="Y171" s="143"/>
      <c r="Z171" s="143"/>
      <c r="AA171" s="143"/>
      <c r="AB171" s="143"/>
      <c r="AC171" s="143"/>
      <c r="AD171" s="143"/>
      <c r="AE171" s="143"/>
      <c r="AF171" s="143"/>
      <c r="AG171" s="143"/>
      <c r="AH171" s="143"/>
      <c r="AI171" s="143"/>
      <c r="AJ171" s="143"/>
      <c r="AK171" s="143"/>
      <c r="AL171" s="143"/>
      <c r="AM171" s="143"/>
      <c r="AN171" s="143"/>
      <c r="AO171" s="143"/>
      <c r="AP171" s="143"/>
      <c r="AQ171" s="143"/>
      <c r="AR171" s="143"/>
      <c r="AS171" s="143"/>
      <c r="AT171" s="143"/>
      <c r="AU171" s="143"/>
      <c r="AV171" s="143"/>
      <c r="AW171" s="143"/>
      <c r="AX171" s="143"/>
      <c r="AY171" s="143"/>
      <c r="AZ171" s="143"/>
      <c r="BA171" s="143"/>
      <c r="BB171" s="143"/>
      <c r="BC171" s="143"/>
      <c r="BD171" s="143"/>
      <c r="BE171" s="143"/>
      <c r="BF171" s="143"/>
      <c r="BG171" s="143"/>
      <c r="BH171" s="143"/>
      <c r="BI171" s="143"/>
      <c r="BJ171" s="143"/>
      <c r="BK171" s="143"/>
      <c r="BL171" s="143"/>
      <c r="BM171" s="143"/>
      <c r="BN171" s="143"/>
      <c r="BO171" s="143"/>
      <c r="BP171" s="143"/>
      <c r="BQ171" s="143"/>
      <c r="BR171" s="143"/>
      <c r="BS171" s="143"/>
      <c r="BT171" s="143"/>
      <c r="BU171" s="143"/>
      <c r="BV171" s="143"/>
      <c r="BW171" s="143"/>
      <c r="BX171" s="143"/>
      <c r="BY171" s="143"/>
      <c r="BZ171" s="143"/>
      <c r="CA171" s="143"/>
      <c r="CB171" s="143"/>
      <c r="CC171" s="143"/>
      <c r="CD171" s="143"/>
      <c r="CE171" s="143"/>
      <c r="CF171" s="143"/>
      <c r="CG171" s="143"/>
      <c r="CH171" s="143"/>
      <c r="CI171" s="143"/>
      <c r="CJ171" s="143"/>
      <c r="CK171" s="143"/>
      <c r="CL171" s="143"/>
      <c r="CM171" s="143"/>
      <c r="CN171" s="143"/>
      <c r="CO171" s="143"/>
    </row>
  </sheetData>
  <mergeCells count="77">
    <mergeCell ref="B108:I108"/>
    <mergeCell ref="B109:I109"/>
    <mergeCell ref="B110:I110"/>
    <mergeCell ref="A112:K112"/>
    <mergeCell ref="B102:I102"/>
    <mergeCell ref="B103:I103"/>
    <mergeCell ref="B104:I104"/>
    <mergeCell ref="B105:I105"/>
    <mergeCell ref="B106:I106"/>
    <mergeCell ref="B107:I107"/>
    <mergeCell ref="L87:M87"/>
    <mergeCell ref="A99:G99"/>
    <mergeCell ref="H99:I99"/>
    <mergeCell ref="J99:K99"/>
    <mergeCell ref="A100:K100"/>
    <mergeCell ref="A101:K101"/>
    <mergeCell ref="A80:I80"/>
    <mergeCell ref="A85:M85"/>
    <mergeCell ref="A86:A87"/>
    <mergeCell ref="B86:C87"/>
    <mergeCell ref="D86:E87"/>
    <mergeCell ref="F86:G87"/>
    <mergeCell ref="H86:K86"/>
    <mergeCell ref="L86:M86"/>
    <mergeCell ref="H87:I87"/>
    <mergeCell ref="J87:K87"/>
    <mergeCell ref="A71:I71"/>
    <mergeCell ref="A72:I72"/>
    <mergeCell ref="A73:A78"/>
    <mergeCell ref="B73:G73"/>
    <mergeCell ref="B74:G74"/>
    <mergeCell ref="B75:G75"/>
    <mergeCell ref="B76:G76"/>
    <mergeCell ref="B77:G77"/>
    <mergeCell ref="B78:G78"/>
    <mergeCell ref="A51:I51"/>
    <mergeCell ref="J51:M51"/>
    <mergeCell ref="A56:K56"/>
    <mergeCell ref="A57:A58"/>
    <mergeCell ref="B57:C58"/>
    <mergeCell ref="D57:E58"/>
    <mergeCell ref="F57:G58"/>
    <mergeCell ref="H57:K57"/>
    <mergeCell ref="H58:I58"/>
    <mergeCell ref="J58:K58"/>
    <mergeCell ref="J38:K38"/>
    <mergeCell ref="L38:M38"/>
    <mergeCell ref="A42:A43"/>
    <mergeCell ref="B42:B43"/>
    <mergeCell ref="C42:C43"/>
    <mergeCell ref="L42:L43"/>
    <mergeCell ref="M42:M43"/>
    <mergeCell ref="A31:I31"/>
    <mergeCell ref="J31:M31"/>
    <mergeCell ref="A36:M36"/>
    <mergeCell ref="A37:A38"/>
    <mergeCell ref="B37:C38"/>
    <mergeCell ref="D37:I37"/>
    <mergeCell ref="J37:M37"/>
    <mergeCell ref="D38:E38"/>
    <mergeCell ref="F38:G38"/>
    <mergeCell ref="H38:I38"/>
    <mergeCell ref="A17:A18"/>
    <mergeCell ref="B17:C18"/>
    <mergeCell ref="D17:I17"/>
    <mergeCell ref="J17:M17"/>
    <mergeCell ref="D18:E18"/>
    <mergeCell ref="F18:G18"/>
    <mergeCell ref="H18:I18"/>
    <mergeCell ref="J18:K18"/>
    <mergeCell ref="L18:M18"/>
    <mergeCell ref="A4:G4"/>
    <mergeCell ref="A5:A6"/>
    <mergeCell ref="B5:C5"/>
    <mergeCell ref="D5:E5"/>
    <mergeCell ref="F5:G5"/>
    <mergeCell ref="A16:M16"/>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G406"/>
  <sheetViews>
    <sheetView topLeftCell="A247" workbookViewId="0">
      <selection activeCell="B1" sqref="B1"/>
    </sheetView>
  </sheetViews>
  <sheetFormatPr baseColWidth="10" defaultRowHeight="15" x14ac:dyDescent="0.2"/>
  <cols>
    <col min="1" max="1" width="52.1640625" style="106" customWidth="1"/>
    <col min="2" max="2" width="13" style="106" customWidth="1"/>
    <col min="3" max="3" width="13.1640625" style="106" customWidth="1"/>
    <col min="4" max="4" width="12.6640625" style="106" customWidth="1"/>
    <col min="5" max="5" width="10.83203125" style="106"/>
    <col min="6" max="6" width="13.1640625" style="106" customWidth="1"/>
    <col min="7" max="16384" width="10.83203125" style="106"/>
  </cols>
  <sheetData>
    <row r="1" spans="1:11" x14ac:dyDescent="0.2">
      <c r="A1" s="458" t="s">
        <v>2563</v>
      </c>
    </row>
    <row r="3" spans="1:11" x14ac:dyDescent="0.2">
      <c r="A3" s="113" t="s">
        <v>1111</v>
      </c>
    </row>
    <row r="4" spans="1:11" ht="31.25" customHeight="1" x14ac:dyDescent="0.2">
      <c r="A4" s="613" t="s">
        <v>2564</v>
      </c>
      <c r="B4" s="615"/>
      <c r="C4" s="107"/>
      <c r="D4" s="107"/>
      <c r="E4" s="107"/>
      <c r="F4" s="107"/>
      <c r="G4" s="107"/>
      <c r="H4" s="107"/>
      <c r="I4" s="107"/>
      <c r="J4" s="107"/>
      <c r="K4" s="107"/>
    </row>
    <row r="5" spans="1:11" x14ac:dyDescent="0.2">
      <c r="A5" s="131" t="s">
        <v>1174</v>
      </c>
      <c r="B5" s="307">
        <v>1575904</v>
      </c>
      <c r="C5" s="107"/>
      <c r="D5" s="107"/>
      <c r="E5" s="107"/>
      <c r="F5" s="107"/>
      <c r="G5" s="107"/>
      <c r="H5" s="107"/>
      <c r="I5" s="107"/>
      <c r="J5" s="107"/>
      <c r="K5" s="107"/>
    </row>
    <row r="6" spans="1:11" x14ac:dyDescent="0.2">
      <c r="A6" s="131" t="s">
        <v>1569</v>
      </c>
      <c r="B6" s="307">
        <v>758329</v>
      </c>
      <c r="C6" s="107"/>
      <c r="D6" s="107"/>
      <c r="E6" s="107"/>
      <c r="F6" s="107"/>
      <c r="G6" s="107"/>
      <c r="H6" s="107"/>
      <c r="I6" s="107"/>
      <c r="J6" s="107"/>
      <c r="K6" s="107"/>
    </row>
    <row r="7" spans="1:11" x14ac:dyDescent="0.2">
      <c r="A7" s="131" t="s">
        <v>1573</v>
      </c>
      <c r="B7" s="307">
        <v>29213</v>
      </c>
      <c r="C7" s="107"/>
      <c r="D7" s="107"/>
      <c r="E7" s="107"/>
      <c r="F7" s="107"/>
      <c r="G7" s="107"/>
      <c r="H7" s="107"/>
      <c r="I7" s="107"/>
      <c r="J7" s="107"/>
      <c r="K7" s="107"/>
    </row>
    <row r="8" spans="1:11" x14ac:dyDescent="0.2">
      <c r="A8" s="131" t="s">
        <v>1991</v>
      </c>
      <c r="B8" s="307">
        <v>250000</v>
      </c>
      <c r="C8" s="107"/>
      <c r="D8" s="107"/>
      <c r="E8" s="107"/>
      <c r="F8" s="107"/>
      <c r="G8" s="107"/>
      <c r="H8" s="107"/>
      <c r="I8" s="107"/>
      <c r="J8" s="107"/>
      <c r="K8" s="107"/>
    </row>
    <row r="9" spans="1:11" x14ac:dyDescent="0.2">
      <c r="A9" s="131" t="s">
        <v>1175</v>
      </c>
      <c r="B9" s="307">
        <v>51282</v>
      </c>
      <c r="C9" s="107"/>
      <c r="D9" s="107"/>
      <c r="E9" s="107"/>
      <c r="F9" s="107"/>
      <c r="G9" s="107"/>
      <c r="H9" s="107"/>
      <c r="I9" s="107"/>
      <c r="J9" s="107"/>
      <c r="K9" s="107"/>
    </row>
    <row r="10" spans="1:11" x14ac:dyDescent="0.2">
      <c r="A10" s="131" t="s">
        <v>1808</v>
      </c>
      <c r="B10" s="307">
        <v>26600</v>
      </c>
      <c r="C10" s="107"/>
      <c r="D10" s="107"/>
      <c r="E10" s="107"/>
      <c r="F10" s="107"/>
      <c r="G10" s="107"/>
      <c r="H10" s="107"/>
      <c r="I10" s="107"/>
      <c r="J10" s="107"/>
      <c r="K10" s="107"/>
    </row>
    <row r="11" spans="1:11" x14ac:dyDescent="0.2">
      <c r="A11" s="131" t="s">
        <v>2565</v>
      </c>
      <c r="B11" s="307">
        <v>6817</v>
      </c>
      <c r="C11" s="107"/>
      <c r="D11" s="107"/>
      <c r="E11" s="107"/>
      <c r="F11" s="107"/>
      <c r="G11" s="107"/>
      <c r="H11" s="107"/>
      <c r="I11" s="107"/>
      <c r="J11" s="107"/>
      <c r="K11" s="107"/>
    </row>
    <row r="12" spans="1:11" x14ac:dyDescent="0.2">
      <c r="A12" s="131" t="s">
        <v>1992</v>
      </c>
      <c r="B12" s="307">
        <v>185613</v>
      </c>
      <c r="C12" s="107"/>
      <c r="D12" s="107"/>
      <c r="E12" s="107"/>
      <c r="F12" s="107"/>
      <c r="G12" s="107"/>
      <c r="H12" s="107"/>
      <c r="I12" s="107"/>
      <c r="J12" s="107"/>
      <c r="K12" s="107"/>
    </row>
    <row r="13" spans="1:11" x14ac:dyDescent="0.2">
      <c r="A13" s="794" t="s">
        <v>2566</v>
      </c>
      <c r="B13" s="364">
        <v>2883758</v>
      </c>
      <c r="C13" s="107"/>
      <c r="D13" s="107"/>
      <c r="E13" s="107"/>
      <c r="F13" s="107"/>
      <c r="G13" s="107"/>
      <c r="H13" s="107"/>
      <c r="I13" s="107"/>
      <c r="J13" s="107"/>
      <c r="K13" s="107"/>
    </row>
    <row r="14" spans="1:11" x14ac:dyDescent="0.2">
      <c r="A14" s="622"/>
      <c r="B14" s="188">
        <f>+SUM(B5:B12)</f>
        <v>2883758</v>
      </c>
      <c r="C14" s="107"/>
      <c r="D14" s="107"/>
      <c r="E14" s="107"/>
      <c r="F14" s="107"/>
      <c r="G14" s="107"/>
      <c r="H14" s="107"/>
      <c r="I14" s="107"/>
      <c r="J14" s="107"/>
      <c r="K14" s="107"/>
    </row>
    <row r="15" spans="1:11" ht="37.25" customHeight="1" x14ac:dyDescent="0.2">
      <c r="A15" s="613" t="s">
        <v>2567</v>
      </c>
      <c r="B15" s="615"/>
      <c r="C15" s="107"/>
      <c r="D15" s="107"/>
      <c r="E15" s="107"/>
      <c r="F15" s="107"/>
      <c r="G15" s="107"/>
      <c r="H15" s="107"/>
      <c r="I15" s="107"/>
      <c r="J15" s="107"/>
      <c r="K15" s="107"/>
    </row>
    <row r="16" spans="1:11" x14ac:dyDescent="0.2">
      <c r="A16" s="140" t="s">
        <v>2568</v>
      </c>
      <c r="B16" s="307" t="s">
        <v>2569</v>
      </c>
      <c r="C16" s="107"/>
      <c r="D16" s="107"/>
      <c r="E16" s="107"/>
      <c r="F16" s="107"/>
      <c r="G16" s="107"/>
      <c r="H16" s="107"/>
      <c r="I16" s="107"/>
      <c r="J16" s="107"/>
      <c r="K16" s="107"/>
    </row>
    <row r="17" spans="1:11" x14ac:dyDescent="0.2">
      <c r="A17" s="140" t="s">
        <v>2570</v>
      </c>
      <c r="B17" s="307" t="s">
        <v>2571</v>
      </c>
      <c r="C17" s="107"/>
      <c r="D17" s="107"/>
      <c r="E17" s="107"/>
      <c r="F17" s="107"/>
      <c r="G17" s="107"/>
      <c r="H17" s="107"/>
      <c r="I17" s="107"/>
      <c r="J17" s="107"/>
      <c r="K17" s="107"/>
    </row>
    <row r="18" spans="1:11" x14ac:dyDescent="0.2">
      <c r="A18" s="140" t="s">
        <v>2572</v>
      </c>
      <c r="B18" s="307" t="s">
        <v>2573</v>
      </c>
      <c r="C18" s="107"/>
      <c r="D18" s="107"/>
      <c r="E18" s="107"/>
      <c r="F18" s="107"/>
      <c r="G18" s="107"/>
      <c r="H18" s="107"/>
      <c r="I18" s="107"/>
      <c r="J18" s="107"/>
      <c r="K18" s="107"/>
    </row>
    <row r="19" spans="1:11" x14ac:dyDescent="0.2">
      <c r="A19" s="140" t="s">
        <v>2574</v>
      </c>
      <c r="B19" s="307" t="s">
        <v>2575</v>
      </c>
      <c r="C19" s="107"/>
      <c r="D19" s="107"/>
      <c r="E19" s="107"/>
      <c r="F19" s="107"/>
      <c r="G19" s="107"/>
      <c r="H19" s="107"/>
      <c r="I19" s="107"/>
      <c r="J19" s="107"/>
      <c r="K19" s="107"/>
    </row>
    <row r="20" spans="1:11" x14ac:dyDescent="0.2">
      <c r="A20" s="140" t="s">
        <v>2576</v>
      </c>
      <c r="B20" s="307" t="s">
        <v>2577</v>
      </c>
      <c r="C20" s="107"/>
      <c r="D20" s="107"/>
      <c r="E20" s="107"/>
      <c r="F20" s="107"/>
      <c r="G20" s="107"/>
      <c r="H20" s="107"/>
      <c r="I20" s="107"/>
      <c r="J20" s="107"/>
      <c r="K20" s="107"/>
    </row>
    <row r="21" spans="1:11" x14ac:dyDescent="0.2">
      <c r="A21" s="140" t="s">
        <v>2578</v>
      </c>
      <c r="B21" s="307" t="s">
        <v>2577</v>
      </c>
      <c r="C21" s="107"/>
      <c r="D21" s="107"/>
      <c r="E21" s="107"/>
      <c r="F21" s="107"/>
      <c r="G21" s="107"/>
      <c r="H21" s="107"/>
      <c r="I21" s="107"/>
      <c r="J21" s="107"/>
      <c r="K21" s="107"/>
    </row>
    <row r="22" spans="1:11" x14ac:dyDescent="0.2">
      <c r="A22" s="140" t="s">
        <v>2579</v>
      </c>
      <c r="B22" s="307" t="s">
        <v>2580</v>
      </c>
      <c r="C22" s="107"/>
      <c r="D22" s="107"/>
      <c r="E22" s="107"/>
      <c r="F22" s="107"/>
      <c r="G22" s="107"/>
      <c r="H22" s="107"/>
      <c r="I22" s="107"/>
      <c r="J22" s="107"/>
      <c r="K22" s="107"/>
    </row>
    <row r="23" spans="1:11" x14ac:dyDescent="0.2">
      <c r="A23" s="801" t="s">
        <v>2581</v>
      </c>
      <c r="B23" s="364">
        <v>100</v>
      </c>
      <c r="C23" s="107"/>
      <c r="D23" s="107"/>
      <c r="E23" s="107"/>
      <c r="F23" s="107"/>
      <c r="G23" s="107"/>
      <c r="H23" s="107"/>
      <c r="I23" s="107"/>
      <c r="J23" s="107"/>
      <c r="K23" s="107"/>
    </row>
    <row r="24" spans="1:11" x14ac:dyDescent="0.2">
      <c r="A24" s="107"/>
      <c r="B24" s="107"/>
      <c r="C24" s="107"/>
      <c r="D24" s="107"/>
      <c r="E24" s="107"/>
      <c r="F24" s="107"/>
      <c r="G24" s="107"/>
      <c r="H24" s="107"/>
      <c r="I24" s="107"/>
      <c r="J24" s="107"/>
      <c r="K24" s="107"/>
    </row>
    <row r="25" spans="1:11" x14ac:dyDescent="0.2">
      <c r="A25" s="107"/>
      <c r="B25" s="107"/>
      <c r="C25" s="107"/>
      <c r="D25" s="107"/>
      <c r="E25" s="107"/>
      <c r="F25" s="107"/>
      <c r="G25" s="107"/>
      <c r="H25" s="107"/>
      <c r="I25" s="107"/>
      <c r="J25" s="107"/>
      <c r="K25" s="107"/>
    </row>
    <row r="26" spans="1:11" x14ac:dyDescent="0.2">
      <c r="A26" s="107"/>
      <c r="B26" s="107"/>
      <c r="C26" s="107"/>
      <c r="D26" s="107"/>
      <c r="E26" s="107"/>
      <c r="F26" s="107"/>
      <c r="G26" s="107"/>
      <c r="H26" s="107"/>
      <c r="I26" s="107"/>
      <c r="J26" s="107"/>
      <c r="K26" s="107"/>
    </row>
    <row r="27" spans="1:11" x14ac:dyDescent="0.2">
      <c r="A27" s="526" t="s">
        <v>1171</v>
      </c>
      <c r="B27" s="107"/>
      <c r="C27" s="107"/>
      <c r="D27" s="107"/>
      <c r="E27" s="107"/>
      <c r="F27" s="107"/>
      <c r="G27" s="107"/>
      <c r="H27" s="107"/>
      <c r="I27" s="107"/>
      <c r="J27" s="107"/>
      <c r="K27" s="107"/>
    </row>
    <row r="28" spans="1:11" ht="36" customHeight="1" x14ac:dyDescent="0.2">
      <c r="A28" s="802" t="s">
        <v>2582</v>
      </c>
      <c r="B28" s="803"/>
      <c r="C28" s="803"/>
      <c r="D28" s="803"/>
      <c r="E28" s="804"/>
      <c r="F28" s="107"/>
      <c r="G28" s="107"/>
      <c r="H28" s="107"/>
      <c r="I28" s="107"/>
      <c r="J28" s="107"/>
      <c r="K28" s="107"/>
    </row>
    <row r="29" spans="1:11" ht="31.25" customHeight="1" x14ac:dyDescent="0.2">
      <c r="A29" s="805" t="s">
        <v>1800</v>
      </c>
      <c r="B29" s="806" t="s">
        <v>2583</v>
      </c>
      <c r="C29" s="751" t="s">
        <v>2584</v>
      </c>
      <c r="D29" s="807" t="s">
        <v>2585</v>
      </c>
      <c r="E29" s="807" t="s">
        <v>2586</v>
      </c>
      <c r="F29" s="107"/>
      <c r="G29" s="107"/>
      <c r="H29" s="107"/>
      <c r="I29" s="107"/>
      <c r="J29" s="107"/>
      <c r="K29" s="107"/>
    </row>
    <row r="30" spans="1:11" x14ac:dyDescent="0.2">
      <c r="A30" s="533" t="s">
        <v>1174</v>
      </c>
      <c r="B30" s="131">
        <v>714978</v>
      </c>
      <c r="C30" s="533">
        <v>1575904</v>
      </c>
      <c r="D30" s="307">
        <v>860926</v>
      </c>
      <c r="E30" s="307"/>
      <c r="F30" s="107"/>
      <c r="G30" s="107"/>
      <c r="H30" s="107"/>
      <c r="I30" s="107"/>
      <c r="J30" s="107"/>
      <c r="K30" s="107"/>
    </row>
    <row r="31" spans="1:11" x14ac:dyDescent="0.2">
      <c r="A31" s="533" t="s">
        <v>1569</v>
      </c>
      <c r="B31" s="131">
        <v>400457</v>
      </c>
      <c r="C31" s="533">
        <v>758329</v>
      </c>
      <c r="D31" s="307">
        <v>357872</v>
      </c>
      <c r="E31" s="307"/>
      <c r="F31" s="107"/>
      <c r="G31" s="107"/>
      <c r="H31" s="107"/>
      <c r="I31" s="107"/>
      <c r="J31" s="107"/>
      <c r="K31" s="107"/>
    </row>
    <row r="32" spans="1:11" x14ac:dyDescent="0.2">
      <c r="A32" s="533" t="s">
        <v>1175</v>
      </c>
      <c r="B32" s="131">
        <v>66126</v>
      </c>
      <c r="C32" s="533">
        <v>51282</v>
      </c>
      <c r="D32" s="307"/>
      <c r="E32" s="307">
        <v>14844</v>
      </c>
      <c r="F32" s="107"/>
      <c r="G32" s="107"/>
      <c r="H32" s="107"/>
      <c r="I32" s="107"/>
      <c r="J32" s="107"/>
      <c r="K32" s="107"/>
    </row>
    <row r="33" spans="1:33" x14ac:dyDescent="0.2">
      <c r="A33" s="533" t="s">
        <v>1808</v>
      </c>
      <c r="B33" s="131">
        <v>59130</v>
      </c>
      <c r="C33" s="533">
        <v>26600</v>
      </c>
      <c r="D33" s="307"/>
      <c r="E33" s="307">
        <v>32530</v>
      </c>
      <c r="F33" s="107"/>
      <c r="G33" s="107"/>
      <c r="H33" s="107"/>
      <c r="I33" s="107"/>
      <c r="J33" s="107"/>
      <c r="K33" s="107"/>
    </row>
    <row r="34" spans="1:33" x14ac:dyDescent="0.2">
      <c r="A34" s="533" t="s">
        <v>2587</v>
      </c>
      <c r="B34" s="131"/>
      <c r="C34" s="533">
        <v>6817</v>
      </c>
      <c r="D34" s="307"/>
      <c r="E34" s="307"/>
      <c r="F34" s="107"/>
      <c r="G34" s="107"/>
      <c r="H34" s="107"/>
      <c r="I34" s="107"/>
      <c r="J34" s="107"/>
      <c r="K34" s="107"/>
    </row>
    <row r="35" spans="1:33" x14ac:dyDescent="0.2">
      <c r="A35" s="533" t="s">
        <v>1573</v>
      </c>
      <c r="B35" s="131">
        <v>26734</v>
      </c>
      <c r="C35" s="533">
        <v>29213</v>
      </c>
      <c r="D35" s="307">
        <v>2479</v>
      </c>
      <c r="E35" s="307"/>
      <c r="F35" s="107"/>
      <c r="G35" s="107"/>
      <c r="H35" s="107"/>
      <c r="I35" s="107"/>
      <c r="J35" s="107"/>
      <c r="K35" s="107"/>
    </row>
    <row r="36" spans="1:33" x14ac:dyDescent="0.2">
      <c r="A36" s="533" t="s">
        <v>2588</v>
      </c>
      <c r="B36" s="131"/>
      <c r="C36" s="533">
        <v>250000</v>
      </c>
      <c r="D36" s="307">
        <v>250000</v>
      </c>
      <c r="E36" s="307"/>
      <c r="F36" s="107"/>
      <c r="G36" s="107"/>
      <c r="H36" s="107"/>
      <c r="I36" s="107"/>
      <c r="J36" s="107"/>
      <c r="K36" s="107"/>
    </row>
    <row r="37" spans="1:33" x14ac:dyDescent="0.2">
      <c r="A37" s="533" t="s">
        <v>1992</v>
      </c>
      <c r="B37" s="131">
        <v>93211</v>
      </c>
      <c r="C37" s="533">
        <v>185613</v>
      </c>
      <c r="D37" s="307">
        <v>92402</v>
      </c>
      <c r="E37" s="307"/>
      <c r="F37" s="107"/>
      <c r="G37" s="107"/>
      <c r="H37" s="107"/>
      <c r="I37" s="107"/>
      <c r="J37" s="107"/>
      <c r="K37" s="107"/>
    </row>
    <row r="38" spans="1:33" x14ac:dyDescent="0.2">
      <c r="A38" s="785" t="s">
        <v>1341</v>
      </c>
      <c r="B38" s="240">
        <v>1360639</v>
      </c>
      <c r="C38" s="808">
        <v>2883758</v>
      </c>
      <c r="D38" s="513"/>
      <c r="E38" s="513"/>
      <c r="F38" s="107"/>
      <c r="G38" s="107"/>
      <c r="H38" s="107"/>
      <c r="I38" s="107"/>
      <c r="J38" s="107"/>
      <c r="K38" s="107"/>
    </row>
    <row r="39" spans="1:33" x14ac:dyDescent="0.2">
      <c r="A39" s="809"/>
      <c r="B39" s="477">
        <f>+SUM(B30:B37)</f>
        <v>1360636</v>
      </c>
      <c r="C39" s="321">
        <f>+SUM(C30:C37)</f>
        <v>2883758</v>
      </c>
      <c r="D39" s="107"/>
      <c r="E39" s="107"/>
      <c r="F39" s="107"/>
      <c r="G39" s="107"/>
      <c r="H39" s="107"/>
      <c r="I39" s="107"/>
      <c r="J39" s="107"/>
      <c r="K39" s="107"/>
    </row>
    <row r="40" spans="1:33" x14ac:dyDescent="0.2">
      <c r="A40" s="809"/>
      <c r="B40" s="107"/>
      <c r="C40" s="107"/>
      <c r="D40" s="107"/>
      <c r="E40" s="107"/>
      <c r="F40" s="107"/>
      <c r="G40" s="107"/>
      <c r="H40" s="107"/>
      <c r="I40" s="107"/>
      <c r="J40" s="107"/>
      <c r="K40" s="107"/>
    </row>
    <row r="41" spans="1:33" x14ac:dyDescent="0.2">
      <c r="A41" s="809"/>
      <c r="B41" s="107"/>
      <c r="C41" s="107"/>
      <c r="D41" s="107"/>
      <c r="E41" s="107"/>
      <c r="F41" s="107"/>
      <c r="G41" s="107"/>
      <c r="H41" s="107"/>
      <c r="I41" s="107"/>
      <c r="J41" s="107"/>
      <c r="K41" s="107"/>
    </row>
    <row r="42" spans="1:33" x14ac:dyDescent="0.2">
      <c r="A42" s="526" t="s">
        <v>1853</v>
      </c>
      <c r="B42" s="107"/>
      <c r="C42" s="107"/>
      <c r="D42" s="107"/>
      <c r="E42" s="107"/>
      <c r="F42" s="107"/>
      <c r="G42" s="107"/>
      <c r="H42" s="107"/>
      <c r="I42" s="107"/>
      <c r="J42" s="107"/>
      <c r="K42" s="107"/>
    </row>
    <row r="43" spans="1:33" ht="39" customHeight="1" x14ac:dyDescent="0.2">
      <c r="A43" s="805" t="s">
        <v>1800</v>
      </c>
      <c r="B43" s="806" t="s">
        <v>2589</v>
      </c>
      <c r="C43" s="751" t="s">
        <v>2590</v>
      </c>
      <c r="D43" s="806" t="s">
        <v>2591</v>
      </c>
      <c r="E43" s="751" t="s">
        <v>2592</v>
      </c>
      <c r="F43" s="751" t="s">
        <v>2593</v>
      </c>
      <c r="G43" s="107"/>
      <c r="H43" s="107"/>
      <c r="P43" s="107"/>
      <c r="Q43" s="107"/>
      <c r="R43" s="107"/>
      <c r="S43" s="107"/>
      <c r="T43" s="107"/>
      <c r="U43" s="107"/>
      <c r="V43" s="107"/>
      <c r="W43" s="107"/>
      <c r="X43" s="107"/>
      <c r="Y43" s="107"/>
      <c r="Z43" s="107"/>
      <c r="AA43" s="107"/>
      <c r="AB43" s="107"/>
      <c r="AC43" s="107"/>
      <c r="AD43" s="107"/>
      <c r="AE43" s="107"/>
      <c r="AF43" s="107"/>
      <c r="AG43" s="107"/>
    </row>
    <row r="44" spans="1:33" x14ac:dyDescent="0.2">
      <c r="A44" s="533" t="s">
        <v>1174</v>
      </c>
      <c r="B44" s="131">
        <v>1337946</v>
      </c>
      <c r="C44" s="533">
        <v>1372331</v>
      </c>
      <c r="D44" s="131">
        <v>1148668</v>
      </c>
      <c r="E44" s="533">
        <v>1544587</v>
      </c>
      <c r="F44" s="533">
        <v>2089065</v>
      </c>
      <c r="G44" s="107"/>
      <c r="H44" s="107"/>
      <c r="P44" s="131"/>
      <c r="Q44" s="307"/>
    </row>
    <row r="45" spans="1:33" x14ac:dyDescent="0.2">
      <c r="A45" s="533" t="s">
        <v>1569</v>
      </c>
      <c r="B45" s="131">
        <v>621007</v>
      </c>
      <c r="C45" s="533">
        <v>657391</v>
      </c>
      <c r="D45" s="131">
        <v>1066615</v>
      </c>
      <c r="E45" s="533">
        <v>728183</v>
      </c>
      <c r="F45" s="533">
        <v>686935</v>
      </c>
      <c r="G45" s="107"/>
      <c r="H45" s="107"/>
      <c r="P45" s="131"/>
      <c r="Q45" s="307"/>
    </row>
    <row r="46" spans="1:33" x14ac:dyDescent="0.2">
      <c r="A46" s="533" t="s">
        <v>2588</v>
      </c>
      <c r="B46" s="131">
        <v>34000</v>
      </c>
      <c r="C46" s="533">
        <v>34000</v>
      </c>
      <c r="D46" s="131">
        <v>1000000</v>
      </c>
      <c r="E46" s="533">
        <v>497904</v>
      </c>
      <c r="F46" s="533">
        <v>250000</v>
      </c>
      <c r="G46" s="107"/>
      <c r="H46" s="107"/>
      <c r="P46" s="131"/>
      <c r="Q46" s="307"/>
    </row>
    <row r="47" spans="1:33" x14ac:dyDescent="0.2">
      <c r="A47" s="533" t="s">
        <v>1573</v>
      </c>
      <c r="B47" s="131">
        <v>13300</v>
      </c>
      <c r="C47" s="533">
        <v>13033</v>
      </c>
      <c r="D47" s="131">
        <v>17705</v>
      </c>
      <c r="E47" s="533">
        <v>21867</v>
      </c>
      <c r="F47" s="533">
        <v>20512</v>
      </c>
      <c r="G47" s="107"/>
      <c r="H47" s="107"/>
      <c r="P47" s="131"/>
      <c r="Q47" s="307"/>
    </row>
    <row r="48" spans="1:33" x14ac:dyDescent="0.2">
      <c r="A48" s="533" t="s">
        <v>1175</v>
      </c>
      <c r="B48" s="131"/>
      <c r="C48" s="533">
        <v>49632</v>
      </c>
      <c r="D48" s="131">
        <v>39510</v>
      </c>
      <c r="E48" s="533">
        <v>45819</v>
      </c>
      <c r="F48" s="533">
        <v>48995</v>
      </c>
      <c r="G48" s="107"/>
      <c r="H48" s="107"/>
      <c r="P48" s="131"/>
      <c r="Q48" s="307"/>
    </row>
    <row r="49" spans="1:17" x14ac:dyDescent="0.2">
      <c r="A49" s="533" t="s">
        <v>1808</v>
      </c>
      <c r="B49" s="131">
        <v>76789</v>
      </c>
      <c r="C49" s="533"/>
      <c r="D49" s="131">
        <v>90927</v>
      </c>
      <c r="E49" s="533">
        <v>102200</v>
      </c>
      <c r="F49" s="533">
        <v>14700</v>
      </c>
      <c r="G49" s="107"/>
      <c r="H49" s="107"/>
      <c r="P49" s="131"/>
      <c r="Q49" s="307"/>
    </row>
    <row r="50" spans="1:17" x14ac:dyDescent="0.2">
      <c r="A50" s="533" t="s">
        <v>2587</v>
      </c>
      <c r="B50" s="131">
        <v>23849</v>
      </c>
      <c r="C50" s="533">
        <v>12264</v>
      </c>
      <c r="D50" s="131">
        <v>17996</v>
      </c>
      <c r="E50" s="533">
        <v>15551</v>
      </c>
      <c r="F50" s="533">
        <v>10811</v>
      </c>
      <c r="G50" s="107"/>
      <c r="H50" s="107"/>
      <c r="P50" s="131"/>
      <c r="Q50" s="307"/>
    </row>
    <row r="51" spans="1:17" x14ac:dyDescent="0.2">
      <c r="A51" s="533" t="s">
        <v>1992</v>
      </c>
      <c r="B51" s="131"/>
      <c r="C51" s="533"/>
      <c r="D51" s="131"/>
      <c r="E51" s="533">
        <v>9499</v>
      </c>
      <c r="F51" s="533">
        <v>167361</v>
      </c>
      <c r="G51" s="107"/>
      <c r="H51" s="107"/>
      <c r="P51" s="131"/>
      <c r="Q51" s="307"/>
    </row>
    <row r="52" spans="1:17" x14ac:dyDescent="0.2">
      <c r="A52" s="785" t="s">
        <v>1341</v>
      </c>
      <c r="B52" s="240">
        <v>2106891</v>
      </c>
      <c r="C52" s="808">
        <v>2139651</v>
      </c>
      <c r="D52" s="240">
        <v>3381621</v>
      </c>
      <c r="E52" s="808">
        <v>3065720</v>
      </c>
      <c r="F52" s="808">
        <v>3297579</v>
      </c>
      <c r="G52" s="107"/>
      <c r="H52" s="107"/>
      <c r="I52" s="107"/>
      <c r="J52" s="107"/>
      <c r="K52" s="107"/>
    </row>
    <row r="53" spans="1:17" x14ac:dyDescent="0.2">
      <c r="A53" s="107"/>
      <c r="B53" s="321">
        <f>+SUM(B44:B51)</f>
        <v>2106891</v>
      </c>
      <c r="C53" s="477">
        <f>+SUM(C44:C51)</f>
        <v>2138651</v>
      </c>
      <c r="D53" s="477">
        <f>+SUM(D44:D51)</f>
        <v>3381421</v>
      </c>
      <c r="E53" s="477">
        <f>+SUM(E44:E51)</f>
        <v>2965610</v>
      </c>
      <c r="F53" s="477">
        <f>+SUM(F44:F51)</f>
        <v>3288379</v>
      </c>
      <c r="G53" s="107"/>
      <c r="H53" s="107"/>
      <c r="I53" s="107"/>
      <c r="J53" s="107"/>
      <c r="K53" s="107"/>
    </row>
    <row r="54" spans="1:17" x14ac:dyDescent="0.2">
      <c r="A54" s="107"/>
      <c r="B54" s="107"/>
      <c r="C54" s="107"/>
      <c r="D54" s="107"/>
      <c r="E54" s="107"/>
      <c r="F54" s="107"/>
      <c r="G54" s="107"/>
      <c r="H54" s="107"/>
      <c r="I54" s="107"/>
      <c r="J54" s="107"/>
      <c r="K54" s="107"/>
    </row>
    <row r="55" spans="1:17" x14ac:dyDescent="0.2">
      <c r="A55" s="107"/>
      <c r="B55" s="107"/>
      <c r="C55" s="107"/>
      <c r="D55" s="107"/>
      <c r="E55" s="107"/>
      <c r="F55" s="107"/>
      <c r="G55" s="107"/>
      <c r="H55" s="107"/>
      <c r="I55" s="107"/>
      <c r="J55" s="107"/>
      <c r="K55" s="107"/>
    </row>
    <row r="56" spans="1:17" x14ac:dyDescent="0.2">
      <c r="A56" s="526" t="s">
        <v>1587</v>
      </c>
      <c r="B56" s="107"/>
      <c r="C56" s="107"/>
      <c r="D56" s="107"/>
      <c r="E56" s="107"/>
      <c r="F56" s="107"/>
      <c r="G56" s="107"/>
      <c r="H56" s="107"/>
      <c r="I56" s="107"/>
      <c r="J56" s="107"/>
      <c r="K56" s="107"/>
    </row>
    <row r="57" spans="1:17" ht="30.5" customHeight="1" x14ac:dyDescent="0.2">
      <c r="A57" s="613" t="s">
        <v>2594</v>
      </c>
      <c r="B57" s="615"/>
      <c r="C57" s="107"/>
      <c r="D57" s="107"/>
      <c r="E57" s="107"/>
      <c r="F57" s="107"/>
      <c r="G57" s="107"/>
      <c r="H57" s="107"/>
      <c r="I57" s="107"/>
      <c r="J57" s="107"/>
      <c r="K57" s="107"/>
    </row>
    <row r="58" spans="1:17" x14ac:dyDescent="0.2">
      <c r="A58" s="131" t="s">
        <v>2595</v>
      </c>
      <c r="B58" s="307">
        <v>16000</v>
      </c>
      <c r="C58" s="107"/>
      <c r="D58" s="107"/>
      <c r="E58" s="107"/>
      <c r="F58" s="107"/>
      <c r="G58" s="107"/>
      <c r="H58" s="107"/>
      <c r="I58" s="107"/>
      <c r="J58" s="107"/>
      <c r="K58" s="107"/>
    </row>
    <row r="59" spans="1:17" x14ac:dyDescent="0.2">
      <c r="A59" s="131" t="s">
        <v>2596</v>
      </c>
      <c r="B59" s="307">
        <v>14000</v>
      </c>
      <c r="C59" s="107"/>
      <c r="D59" s="107"/>
      <c r="E59" s="107"/>
      <c r="F59" s="107"/>
      <c r="G59" s="107"/>
      <c r="H59" s="107"/>
      <c r="I59" s="107"/>
      <c r="J59" s="107"/>
      <c r="K59" s="107"/>
    </row>
    <row r="60" spans="1:17" x14ac:dyDescent="0.2">
      <c r="A60" s="131" t="s">
        <v>2597</v>
      </c>
      <c r="B60" s="307">
        <v>11000</v>
      </c>
      <c r="C60" s="107"/>
      <c r="D60" s="107"/>
      <c r="E60" s="107"/>
      <c r="F60" s="107"/>
      <c r="G60" s="107"/>
      <c r="H60" s="107"/>
      <c r="I60" s="107"/>
      <c r="J60" s="107"/>
      <c r="K60" s="107"/>
    </row>
    <row r="61" spans="1:17" x14ac:dyDescent="0.2">
      <c r="A61" s="131" t="s">
        <v>2598</v>
      </c>
      <c r="B61" s="307">
        <v>8000</v>
      </c>
      <c r="C61" s="107"/>
      <c r="D61" s="107"/>
      <c r="E61" s="107"/>
      <c r="F61" s="107"/>
      <c r="G61" s="107"/>
      <c r="H61" s="107"/>
      <c r="I61" s="107"/>
      <c r="J61" s="107"/>
      <c r="K61" s="107"/>
    </row>
    <row r="62" spans="1:17" x14ac:dyDescent="0.2">
      <c r="A62" s="131" t="s">
        <v>2599</v>
      </c>
      <c r="B62" s="307">
        <v>6000</v>
      </c>
      <c r="C62" s="107"/>
      <c r="D62" s="107"/>
      <c r="E62" s="107"/>
      <c r="F62" s="107"/>
      <c r="G62" s="107"/>
      <c r="H62" s="107"/>
      <c r="I62" s="107"/>
      <c r="J62" s="107"/>
      <c r="K62" s="107"/>
    </row>
    <row r="63" spans="1:17" x14ac:dyDescent="0.2">
      <c r="A63" s="131" t="s">
        <v>2600</v>
      </c>
      <c r="B63" s="307">
        <v>5000</v>
      </c>
      <c r="C63" s="107"/>
      <c r="D63" s="107"/>
      <c r="E63" s="107"/>
      <c r="F63" s="107"/>
      <c r="G63" s="107"/>
      <c r="H63" s="107"/>
      <c r="I63" s="107"/>
      <c r="J63" s="107"/>
      <c r="K63" s="107"/>
    </row>
    <row r="64" spans="1:17" x14ac:dyDescent="0.2">
      <c r="A64" s="131" t="s">
        <v>2601</v>
      </c>
      <c r="B64" s="307">
        <v>8000</v>
      </c>
      <c r="C64" s="107"/>
      <c r="D64" s="107"/>
      <c r="E64" s="107"/>
      <c r="F64" s="107"/>
      <c r="G64" s="107"/>
      <c r="H64" s="107"/>
      <c r="I64" s="107"/>
      <c r="J64" s="107"/>
      <c r="K64" s="107"/>
    </row>
    <row r="65" spans="1:11" ht="16" thickBot="1" x14ac:dyDescent="0.25">
      <c r="A65" s="230" t="s">
        <v>1170</v>
      </c>
      <c r="B65" s="363">
        <v>68000</v>
      </c>
      <c r="C65" s="107"/>
      <c r="D65" s="107"/>
      <c r="E65" s="107"/>
      <c r="F65" s="107"/>
      <c r="G65" s="107"/>
      <c r="H65" s="107"/>
      <c r="I65" s="107"/>
      <c r="J65" s="107"/>
      <c r="K65" s="107"/>
    </row>
    <row r="66" spans="1:11" ht="16" thickTop="1" x14ac:dyDescent="0.2">
      <c r="A66" s="107"/>
      <c r="B66" s="321">
        <f>+SUM(B58:B64)</f>
        <v>68000</v>
      </c>
      <c r="C66" s="107"/>
      <c r="D66" s="107"/>
      <c r="E66" s="107"/>
      <c r="F66" s="107"/>
      <c r="G66" s="107"/>
      <c r="H66" s="107"/>
      <c r="I66" s="107"/>
      <c r="J66" s="107"/>
      <c r="K66" s="107"/>
    </row>
    <row r="67" spans="1:11" x14ac:dyDescent="0.2">
      <c r="A67" s="107"/>
      <c r="B67" s="107"/>
      <c r="C67" s="107"/>
      <c r="D67" s="107"/>
      <c r="E67" s="107"/>
      <c r="F67" s="107"/>
      <c r="G67" s="107"/>
      <c r="H67" s="107"/>
      <c r="I67" s="107"/>
      <c r="J67" s="107"/>
      <c r="K67" s="107"/>
    </row>
    <row r="68" spans="1:11" x14ac:dyDescent="0.2">
      <c r="A68" s="107"/>
      <c r="B68" s="107"/>
      <c r="C68" s="107"/>
      <c r="D68" s="107"/>
      <c r="E68" s="107"/>
      <c r="F68" s="107"/>
      <c r="G68" s="107"/>
      <c r="H68" s="107"/>
      <c r="I68" s="107"/>
      <c r="J68" s="107"/>
      <c r="K68" s="107"/>
    </row>
    <row r="69" spans="1:11" x14ac:dyDescent="0.2">
      <c r="A69" s="526" t="s">
        <v>2602</v>
      </c>
      <c r="B69" s="107"/>
      <c r="C69" s="107"/>
      <c r="D69" s="107"/>
      <c r="E69" s="107"/>
      <c r="F69" s="107"/>
      <c r="G69" s="107"/>
      <c r="H69" s="107"/>
      <c r="I69" s="107"/>
      <c r="J69" s="107"/>
      <c r="K69" s="107"/>
    </row>
    <row r="70" spans="1:11" ht="29" customHeight="1" x14ac:dyDescent="0.2">
      <c r="A70" s="664" t="s">
        <v>2603</v>
      </c>
      <c r="B70" s="666"/>
      <c r="C70" s="107"/>
      <c r="D70" s="107"/>
      <c r="E70" s="107"/>
      <c r="F70" s="107"/>
      <c r="G70" s="107"/>
      <c r="H70" s="107"/>
      <c r="I70" s="107"/>
      <c r="J70" s="107"/>
      <c r="K70" s="107"/>
    </row>
    <row r="71" spans="1:11" x14ac:dyDescent="0.2">
      <c r="A71" s="131" t="s">
        <v>2604</v>
      </c>
      <c r="B71" s="307">
        <v>100000</v>
      </c>
      <c r="C71" s="107"/>
      <c r="D71" s="107"/>
      <c r="E71" s="107"/>
      <c r="F71" s="107"/>
      <c r="G71" s="107"/>
      <c r="H71" s="107"/>
      <c r="I71" s="107"/>
      <c r="J71" s="107"/>
      <c r="K71" s="107"/>
    </row>
    <row r="72" spans="1:11" x14ac:dyDescent="0.2">
      <c r="A72" s="131" t="s">
        <v>2605</v>
      </c>
      <c r="B72" s="307">
        <v>150000</v>
      </c>
      <c r="C72" s="107"/>
      <c r="D72" s="107"/>
      <c r="E72" s="107"/>
      <c r="F72" s="107"/>
      <c r="G72" s="107"/>
      <c r="H72" s="107"/>
      <c r="I72" s="107"/>
      <c r="J72" s="107"/>
      <c r="K72" s="107"/>
    </row>
    <row r="73" spans="1:11" x14ac:dyDescent="0.2">
      <c r="A73" s="131" t="s">
        <v>2606</v>
      </c>
      <c r="B73" s="307">
        <v>115000</v>
      </c>
      <c r="C73" s="107"/>
      <c r="D73" s="107"/>
      <c r="E73" s="107"/>
      <c r="F73" s="107"/>
      <c r="G73" s="107"/>
      <c r="H73" s="107"/>
      <c r="I73" s="107"/>
      <c r="J73" s="107"/>
      <c r="K73" s="107"/>
    </row>
    <row r="74" spans="1:11" x14ac:dyDescent="0.2">
      <c r="A74" s="131" t="s">
        <v>2607</v>
      </c>
      <c r="B74" s="307">
        <v>45000</v>
      </c>
      <c r="C74" s="107"/>
      <c r="D74" s="107"/>
      <c r="E74" s="107"/>
      <c r="F74" s="107"/>
      <c r="G74" s="107"/>
      <c r="H74" s="107"/>
      <c r="I74" s="107"/>
      <c r="J74" s="107"/>
      <c r="K74" s="107"/>
    </row>
    <row r="75" spans="1:11" x14ac:dyDescent="0.2">
      <c r="A75" s="131" t="s">
        <v>2608</v>
      </c>
      <c r="B75" s="307">
        <v>25000</v>
      </c>
      <c r="C75" s="107"/>
      <c r="D75" s="107"/>
      <c r="E75" s="107"/>
      <c r="F75" s="107"/>
      <c r="G75" s="107"/>
      <c r="H75" s="107"/>
      <c r="I75" s="107"/>
      <c r="J75" s="107"/>
      <c r="K75" s="107"/>
    </row>
    <row r="76" spans="1:11" x14ac:dyDescent="0.2">
      <c r="A76" s="131" t="s">
        <v>2609</v>
      </c>
      <c r="B76" s="307">
        <v>25000</v>
      </c>
      <c r="C76" s="107"/>
      <c r="D76" s="107"/>
      <c r="E76" s="107"/>
      <c r="F76" s="107"/>
      <c r="G76" s="107"/>
      <c r="H76" s="107"/>
      <c r="I76" s="107"/>
      <c r="J76" s="107"/>
      <c r="K76" s="107"/>
    </row>
    <row r="77" spans="1:11" ht="16" thickBot="1" x14ac:dyDescent="0.25">
      <c r="A77" s="794" t="s">
        <v>2610</v>
      </c>
      <c r="B77" s="363">
        <v>480000</v>
      </c>
      <c r="C77" s="107"/>
      <c r="D77" s="107"/>
      <c r="E77" s="107"/>
      <c r="F77" s="107"/>
      <c r="G77" s="107"/>
      <c r="H77" s="107"/>
      <c r="I77" s="107"/>
      <c r="J77" s="107"/>
      <c r="K77" s="107"/>
    </row>
    <row r="78" spans="1:11" ht="16" thickTop="1" x14ac:dyDescent="0.2">
      <c r="A78" s="107"/>
      <c r="B78" s="477">
        <f>+SUM(B71:B76)</f>
        <v>460000</v>
      </c>
      <c r="C78" s="107"/>
      <c r="D78" s="107"/>
      <c r="E78" s="107"/>
      <c r="F78" s="107"/>
      <c r="G78" s="107"/>
      <c r="H78" s="107"/>
      <c r="I78" s="107"/>
      <c r="J78" s="107"/>
      <c r="K78" s="107"/>
    </row>
    <row r="79" spans="1:11" x14ac:dyDescent="0.2">
      <c r="A79" s="107"/>
      <c r="B79" s="107"/>
      <c r="C79" s="107"/>
      <c r="D79" s="107"/>
      <c r="E79" s="107"/>
      <c r="F79" s="107"/>
      <c r="G79" s="107"/>
      <c r="H79" s="107"/>
      <c r="I79" s="107"/>
      <c r="J79" s="107"/>
      <c r="K79" s="107"/>
    </row>
    <row r="80" spans="1:11" x14ac:dyDescent="0.2">
      <c r="A80" s="107"/>
      <c r="B80" s="107"/>
      <c r="C80" s="107"/>
      <c r="D80" s="107"/>
      <c r="E80" s="107"/>
      <c r="F80" s="107"/>
      <c r="G80" s="107"/>
      <c r="H80" s="107"/>
      <c r="I80" s="107"/>
      <c r="J80" s="107"/>
      <c r="K80" s="107"/>
    </row>
    <row r="81" spans="1:11" x14ac:dyDescent="0.2">
      <c r="A81" s="526" t="s">
        <v>1342</v>
      </c>
      <c r="B81" s="107"/>
      <c r="C81" s="107"/>
      <c r="D81" s="107"/>
      <c r="E81" s="107"/>
      <c r="F81" s="107"/>
      <c r="G81" s="107"/>
      <c r="H81" s="107"/>
      <c r="I81" s="107"/>
      <c r="J81" s="107"/>
      <c r="K81" s="107"/>
    </row>
    <row r="82" spans="1:11" ht="39" customHeight="1" x14ac:dyDescent="0.2">
      <c r="A82" s="782" t="s">
        <v>2611</v>
      </c>
      <c r="B82" s="783"/>
      <c r="C82" s="783"/>
      <c r="D82" s="784"/>
      <c r="E82" s="107"/>
      <c r="F82" s="107"/>
      <c r="G82" s="107"/>
      <c r="H82" s="107"/>
      <c r="I82" s="107"/>
      <c r="J82" s="107"/>
      <c r="K82" s="107"/>
    </row>
    <row r="83" spans="1:11" ht="38" customHeight="1" x14ac:dyDescent="0.2">
      <c r="A83" s="810" t="s">
        <v>2612</v>
      </c>
      <c r="B83" s="811" t="s">
        <v>2613</v>
      </c>
      <c r="C83" s="810" t="s">
        <v>2614</v>
      </c>
      <c r="D83" s="812" t="s">
        <v>2615</v>
      </c>
      <c r="E83" s="107"/>
      <c r="F83" s="107"/>
      <c r="G83" s="107"/>
      <c r="H83" s="107"/>
      <c r="I83" s="107"/>
      <c r="J83" s="107"/>
      <c r="K83" s="107"/>
    </row>
    <row r="84" spans="1:11" x14ac:dyDescent="0.2">
      <c r="A84" s="533" t="s">
        <v>2616</v>
      </c>
      <c r="B84" s="131">
        <v>343546</v>
      </c>
      <c r="C84" s="533">
        <v>342546</v>
      </c>
      <c r="D84" s="307">
        <v>579966</v>
      </c>
      <c r="E84" s="107"/>
      <c r="F84" s="107"/>
      <c r="G84" s="107"/>
      <c r="H84" s="107"/>
      <c r="I84" s="107"/>
      <c r="J84" s="107"/>
      <c r="K84" s="107"/>
    </row>
    <row r="85" spans="1:11" x14ac:dyDescent="0.2">
      <c r="A85" s="533" t="s">
        <v>2617</v>
      </c>
      <c r="B85" s="131">
        <v>233250</v>
      </c>
      <c r="C85" s="533">
        <v>235046</v>
      </c>
      <c r="D85" s="307">
        <v>379487</v>
      </c>
      <c r="E85" s="107"/>
      <c r="F85" s="107"/>
      <c r="G85" s="107"/>
      <c r="H85" s="107"/>
      <c r="I85" s="107"/>
      <c r="J85" s="107"/>
      <c r="K85" s="107"/>
    </row>
    <row r="86" spans="1:11" x14ac:dyDescent="0.2">
      <c r="A86" s="533" t="s">
        <v>2618</v>
      </c>
      <c r="B86" s="131">
        <v>104232</v>
      </c>
      <c r="C86" s="533">
        <v>105376</v>
      </c>
      <c r="D86" s="307"/>
      <c r="E86" s="107"/>
      <c r="F86" s="107"/>
      <c r="G86" s="107"/>
      <c r="H86" s="107"/>
      <c r="I86" s="107"/>
      <c r="J86" s="107"/>
      <c r="K86" s="107"/>
    </row>
    <row r="87" spans="1:11" x14ac:dyDescent="0.2">
      <c r="A87" s="533" t="s">
        <v>2619</v>
      </c>
      <c r="B87" s="131">
        <v>212847</v>
      </c>
      <c r="C87" s="533">
        <v>251173</v>
      </c>
      <c r="D87" s="307">
        <v>45005</v>
      </c>
      <c r="E87" s="107"/>
      <c r="F87" s="107"/>
      <c r="G87" s="107"/>
      <c r="H87" s="107"/>
      <c r="I87" s="107"/>
      <c r="J87" s="107"/>
      <c r="K87" s="107"/>
    </row>
    <row r="88" spans="1:11" x14ac:dyDescent="0.2">
      <c r="A88" s="533" t="s">
        <v>2620</v>
      </c>
      <c r="B88" s="131">
        <v>341220</v>
      </c>
      <c r="C88" s="533">
        <v>296168</v>
      </c>
      <c r="D88" s="307"/>
      <c r="E88" s="107"/>
      <c r="F88" s="107"/>
      <c r="G88" s="107"/>
      <c r="H88" s="107"/>
      <c r="I88" s="107"/>
      <c r="J88" s="107"/>
      <c r="K88" s="107"/>
    </row>
    <row r="89" spans="1:11" x14ac:dyDescent="0.2">
      <c r="A89" s="533" t="s">
        <v>2621</v>
      </c>
      <c r="B89" s="131">
        <v>70939</v>
      </c>
      <c r="C89" s="533">
        <v>68142</v>
      </c>
      <c r="D89" s="307">
        <v>74961</v>
      </c>
      <c r="E89" s="107"/>
      <c r="F89" s="107"/>
      <c r="G89" s="107"/>
      <c r="H89" s="107"/>
      <c r="I89" s="107"/>
      <c r="J89" s="107"/>
      <c r="K89" s="107"/>
    </row>
    <row r="90" spans="1:11" x14ac:dyDescent="0.2">
      <c r="A90" s="533" t="s">
        <v>2622</v>
      </c>
      <c r="B90" s="131">
        <v>296349</v>
      </c>
      <c r="C90" s="533">
        <v>343955</v>
      </c>
      <c r="D90" s="307">
        <v>84602</v>
      </c>
      <c r="E90" s="107"/>
      <c r="F90" s="107"/>
      <c r="G90" s="107"/>
      <c r="H90" s="107"/>
      <c r="I90" s="107"/>
      <c r="J90" s="107"/>
      <c r="K90" s="107"/>
    </row>
    <row r="91" spans="1:11" x14ac:dyDescent="0.2">
      <c r="A91" s="533" t="s">
        <v>2623</v>
      </c>
      <c r="B91" s="131">
        <v>190550</v>
      </c>
      <c r="C91" s="533">
        <v>220041</v>
      </c>
      <c r="D91" s="307">
        <v>188573</v>
      </c>
      <c r="E91" s="107"/>
      <c r="F91" s="107"/>
      <c r="G91" s="107"/>
      <c r="H91" s="107"/>
      <c r="I91" s="107"/>
      <c r="J91" s="107"/>
      <c r="K91" s="107"/>
    </row>
    <row r="92" spans="1:11" x14ac:dyDescent="0.2">
      <c r="A92" s="533" t="s">
        <v>2624</v>
      </c>
      <c r="B92" s="131">
        <v>109200</v>
      </c>
      <c r="C92" s="533">
        <v>117995</v>
      </c>
      <c r="D92" s="307">
        <v>38866</v>
      </c>
      <c r="E92" s="107"/>
      <c r="F92" s="107"/>
      <c r="G92" s="107"/>
      <c r="H92" s="107"/>
      <c r="I92" s="107"/>
      <c r="J92" s="107"/>
      <c r="K92" s="107"/>
    </row>
    <row r="93" spans="1:11" x14ac:dyDescent="0.2">
      <c r="A93" s="785" t="s">
        <v>2625</v>
      </c>
      <c r="B93" s="240">
        <v>1902133</v>
      </c>
      <c r="C93" s="808">
        <v>2029704</v>
      </c>
      <c r="D93" s="513">
        <v>1391460</v>
      </c>
      <c r="E93" s="107"/>
      <c r="F93" s="107"/>
      <c r="G93" s="107"/>
      <c r="H93" s="107"/>
      <c r="I93" s="107"/>
      <c r="J93" s="107"/>
      <c r="K93" s="107"/>
    </row>
    <row r="94" spans="1:11" x14ac:dyDescent="0.2">
      <c r="A94" s="622"/>
      <c r="B94" s="345">
        <f>+SUM(B84:B92)</f>
        <v>1902133</v>
      </c>
      <c r="C94" s="813">
        <f>+SUM(C84:C92)</f>
        <v>1980442</v>
      </c>
      <c r="D94" s="345">
        <f>+SUM(D84:D92)</f>
        <v>1391460</v>
      </c>
      <c r="E94" s="107"/>
      <c r="F94" s="107"/>
      <c r="G94" s="107"/>
      <c r="H94" s="107"/>
      <c r="I94" s="107"/>
      <c r="J94" s="107"/>
      <c r="K94" s="107"/>
    </row>
    <row r="95" spans="1:11" ht="27.5" customHeight="1" x14ac:dyDescent="0.2">
      <c r="A95" s="737" t="s">
        <v>2626</v>
      </c>
      <c r="B95" s="738"/>
      <c r="C95" s="738"/>
      <c r="D95" s="739"/>
      <c r="E95" s="107"/>
      <c r="F95" s="107"/>
      <c r="G95" s="107"/>
      <c r="H95" s="107"/>
      <c r="I95" s="107"/>
      <c r="J95" s="107"/>
      <c r="K95" s="107"/>
    </row>
    <row r="96" spans="1:11" x14ac:dyDescent="0.2">
      <c r="A96" s="814" t="s">
        <v>2627</v>
      </c>
      <c r="B96" s="815"/>
      <c r="C96" s="815"/>
      <c r="D96" s="816"/>
      <c r="E96" s="107"/>
      <c r="F96" s="107"/>
      <c r="G96" s="107"/>
      <c r="H96" s="107"/>
      <c r="I96" s="107"/>
      <c r="J96" s="107"/>
      <c r="K96" s="107"/>
    </row>
    <row r="97" spans="1:11" x14ac:dyDescent="0.2">
      <c r="A97" s="814" t="s">
        <v>2628</v>
      </c>
      <c r="B97" s="815"/>
      <c r="C97" s="815"/>
      <c r="D97" s="816"/>
      <c r="E97" s="107"/>
      <c r="F97" s="107"/>
      <c r="G97" s="107"/>
      <c r="H97" s="107"/>
      <c r="I97" s="107"/>
      <c r="J97" s="107"/>
      <c r="K97" s="107"/>
    </row>
    <row r="98" spans="1:11" ht="14.5" customHeight="1" x14ac:dyDescent="0.2">
      <c r="A98" s="814" t="s">
        <v>2629</v>
      </c>
      <c r="B98" s="815"/>
      <c r="C98" s="815"/>
      <c r="D98" s="816"/>
      <c r="E98" s="107"/>
      <c r="F98" s="107"/>
      <c r="G98" s="107"/>
      <c r="H98" s="107"/>
      <c r="I98" s="107"/>
      <c r="J98" s="107"/>
      <c r="K98" s="107"/>
    </row>
    <row r="99" spans="1:11" ht="74.5" customHeight="1" x14ac:dyDescent="0.2">
      <c r="A99" s="814" t="s">
        <v>2630</v>
      </c>
      <c r="B99" s="815"/>
      <c r="C99" s="815"/>
      <c r="D99" s="816"/>
      <c r="E99" s="107"/>
      <c r="F99" s="107"/>
      <c r="G99" s="107"/>
      <c r="H99" s="107"/>
      <c r="I99" s="107"/>
      <c r="J99" s="107"/>
      <c r="K99" s="107"/>
    </row>
    <row r="100" spans="1:11" x14ac:dyDescent="0.2">
      <c r="A100" s="814" t="s">
        <v>2631</v>
      </c>
      <c r="B100" s="815"/>
      <c r="C100" s="815"/>
      <c r="D100" s="816"/>
      <c r="E100" s="107"/>
      <c r="F100" s="107"/>
      <c r="G100" s="107"/>
      <c r="H100" s="107"/>
      <c r="I100" s="107"/>
      <c r="J100" s="107"/>
      <c r="K100" s="107"/>
    </row>
    <row r="101" spans="1:11" ht="14.5" customHeight="1" x14ac:dyDescent="0.2">
      <c r="A101" s="814" t="s">
        <v>2632</v>
      </c>
      <c r="B101" s="815"/>
      <c r="C101" s="815"/>
      <c r="D101" s="816"/>
      <c r="E101" s="107"/>
      <c r="F101" s="107"/>
      <c r="G101" s="107"/>
      <c r="H101" s="107"/>
      <c r="I101" s="107"/>
      <c r="J101" s="107"/>
      <c r="K101" s="107"/>
    </row>
    <row r="102" spans="1:11" ht="14.5" customHeight="1" x14ac:dyDescent="0.2">
      <c r="A102" s="814" t="s">
        <v>2633</v>
      </c>
      <c r="B102" s="815"/>
      <c r="C102" s="815"/>
      <c r="D102" s="816"/>
      <c r="E102" s="107"/>
      <c r="F102" s="107"/>
      <c r="G102" s="107"/>
      <c r="H102" s="107"/>
      <c r="I102" s="107"/>
      <c r="J102" s="107"/>
      <c r="K102" s="107"/>
    </row>
    <row r="103" spans="1:11" ht="14.5" customHeight="1" x14ac:dyDescent="0.2">
      <c r="A103" s="817" t="s">
        <v>2634</v>
      </c>
      <c r="B103" s="818"/>
      <c r="C103" s="818"/>
      <c r="D103" s="819"/>
      <c r="E103" s="107"/>
      <c r="F103" s="107"/>
      <c r="G103" s="107"/>
      <c r="H103" s="107"/>
      <c r="I103" s="107"/>
      <c r="J103" s="107"/>
      <c r="K103" s="107"/>
    </row>
    <row r="104" spans="1:11" x14ac:dyDescent="0.2">
      <c r="A104" s="107"/>
      <c r="B104" s="107"/>
      <c r="C104" s="107"/>
      <c r="D104" s="107"/>
      <c r="E104" s="107"/>
      <c r="F104" s="107"/>
      <c r="G104" s="107"/>
      <c r="H104" s="107"/>
      <c r="I104" s="107"/>
      <c r="J104" s="107"/>
      <c r="K104" s="107"/>
    </row>
    <row r="105" spans="1:11" x14ac:dyDescent="0.2">
      <c r="A105" s="107"/>
      <c r="B105" s="107"/>
      <c r="C105" s="107"/>
      <c r="D105" s="107"/>
      <c r="E105" s="107"/>
      <c r="F105" s="107"/>
      <c r="G105" s="107"/>
      <c r="H105" s="107"/>
      <c r="I105" s="107"/>
      <c r="J105" s="107"/>
      <c r="K105" s="107"/>
    </row>
    <row r="106" spans="1:11" x14ac:dyDescent="0.2">
      <c r="A106" s="107"/>
      <c r="B106" s="107"/>
      <c r="C106" s="107"/>
      <c r="D106" s="107"/>
      <c r="E106" s="107"/>
      <c r="F106" s="107"/>
      <c r="G106" s="107"/>
      <c r="H106" s="107"/>
      <c r="I106" s="107"/>
      <c r="J106" s="107"/>
      <c r="K106" s="107"/>
    </row>
    <row r="107" spans="1:11" x14ac:dyDescent="0.2">
      <c r="A107" s="526" t="s">
        <v>1358</v>
      </c>
      <c r="B107" s="107"/>
      <c r="C107" s="107"/>
      <c r="D107" s="107"/>
      <c r="E107" s="107"/>
      <c r="F107" s="107"/>
      <c r="G107" s="107"/>
      <c r="H107" s="107"/>
      <c r="I107" s="107"/>
      <c r="J107" s="107"/>
      <c r="K107" s="107"/>
    </row>
    <row r="108" spans="1:11" ht="31.25" customHeight="1" x14ac:dyDescent="0.2">
      <c r="A108" s="782" t="s">
        <v>2635</v>
      </c>
      <c r="B108" s="783"/>
      <c r="C108" s="783"/>
      <c r="D108" s="784"/>
      <c r="E108" s="107"/>
      <c r="F108" s="107"/>
      <c r="G108" s="107"/>
      <c r="H108" s="107"/>
      <c r="I108" s="107"/>
      <c r="J108" s="107"/>
      <c r="K108" s="107"/>
    </row>
    <row r="109" spans="1:11" ht="42" customHeight="1" x14ac:dyDescent="0.2">
      <c r="A109" s="810" t="s">
        <v>2636</v>
      </c>
      <c r="B109" s="812" t="s">
        <v>2637</v>
      </c>
      <c r="C109" s="810" t="s">
        <v>2638</v>
      </c>
      <c r="D109" s="812" t="s">
        <v>2639</v>
      </c>
      <c r="E109" s="107"/>
      <c r="F109" s="107"/>
      <c r="G109" s="107"/>
      <c r="H109" s="107"/>
      <c r="I109" s="107"/>
      <c r="J109" s="107"/>
      <c r="K109" s="107"/>
    </row>
    <row r="110" spans="1:11" x14ac:dyDescent="0.2">
      <c r="A110" s="533" t="s">
        <v>2640</v>
      </c>
      <c r="B110" s="307">
        <v>365200</v>
      </c>
      <c r="C110" s="533">
        <v>343100</v>
      </c>
      <c r="D110" s="820">
        <v>0.94</v>
      </c>
      <c r="E110" s="821">
        <f>+C110/B110</f>
        <v>0.93948521358159909</v>
      </c>
      <c r="F110" s="107"/>
      <c r="G110" s="107"/>
      <c r="H110" s="107"/>
      <c r="I110" s="107"/>
      <c r="J110" s="107"/>
      <c r="K110" s="107"/>
    </row>
    <row r="111" spans="1:11" x14ac:dyDescent="0.2">
      <c r="A111" s="533" t="s">
        <v>2641</v>
      </c>
      <c r="B111" s="307">
        <v>225337</v>
      </c>
      <c r="C111" s="533">
        <v>233250</v>
      </c>
      <c r="D111" s="820">
        <v>1.03</v>
      </c>
      <c r="E111" s="822">
        <f t="shared" ref="E111:E118" si="0">+C111/B111</f>
        <v>1.0351162924863648</v>
      </c>
      <c r="F111" s="107"/>
      <c r="G111" s="107"/>
      <c r="H111" s="107"/>
      <c r="I111" s="107"/>
      <c r="J111" s="107"/>
      <c r="K111" s="107"/>
    </row>
    <row r="112" spans="1:11" x14ac:dyDescent="0.2">
      <c r="A112" s="533" t="s">
        <v>2642</v>
      </c>
      <c r="B112" s="307">
        <v>482800</v>
      </c>
      <c r="C112" s="533">
        <v>104232</v>
      </c>
      <c r="D112" s="820">
        <v>0.22</v>
      </c>
      <c r="E112" s="821">
        <f t="shared" si="0"/>
        <v>0.21589063794531899</v>
      </c>
      <c r="F112" s="107"/>
      <c r="G112" s="107"/>
      <c r="H112" s="107"/>
      <c r="I112" s="107"/>
      <c r="J112" s="107"/>
      <c r="K112" s="107"/>
    </row>
    <row r="113" spans="1:11" x14ac:dyDescent="0.2">
      <c r="A113" s="533" t="s">
        <v>2643</v>
      </c>
      <c r="B113" s="307">
        <v>386208</v>
      </c>
      <c r="C113" s="533">
        <v>212847</v>
      </c>
      <c r="D113" s="820">
        <v>0.59</v>
      </c>
      <c r="E113" s="822">
        <f t="shared" si="0"/>
        <v>0.55112012179965197</v>
      </c>
      <c r="F113" s="107"/>
      <c r="G113" s="107"/>
      <c r="H113" s="107"/>
      <c r="I113" s="107"/>
      <c r="J113" s="107"/>
      <c r="K113" s="107"/>
    </row>
    <row r="114" spans="1:11" x14ac:dyDescent="0.2">
      <c r="A114" s="534" t="s">
        <v>2644</v>
      </c>
      <c r="B114" s="307">
        <v>409602</v>
      </c>
      <c r="C114" s="533">
        <v>341220</v>
      </c>
      <c r="D114" s="820">
        <v>0.81</v>
      </c>
      <c r="E114" s="822">
        <f t="shared" si="0"/>
        <v>0.83305257298548352</v>
      </c>
      <c r="F114" s="107"/>
      <c r="G114" s="107"/>
      <c r="H114" s="107"/>
      <c r="I114" s="107"/>
      <c r="J114" s="107"/>
      <c r="K114" s="107"/>
    </row>
    <row r="115" spans="1:11" x14ac:dyDescent="0.2">
      <c r="A115" s="534" t="s">
        <v>2645</v>
      </c>
      <c r="B115" s="307">
        <v>85255</v>
      </c>
      <c r="C115" s="533">
        <v>70939</v>
      </c>
      <c r="D115" s="820">
        <v>0.81</v>
      </c>
      <c r="E115" s="822">
        <f t="shared" si="0"/>
        <v>0.83208022989853969</v>
      </c>
      <c r="F115" s="107"/>
      <c r="G115" s="107"/>
      <c r="H115" s="107"/>
      <c r="I115" s="107"/>
      <c r="J115" s="107"/>
      <c r="K115" s="107"/>
    </row>
    <row r="116" spans="1:11" x14ac:dyDescent="0.2">
      <c r="A116" s="534" t="s">
        <v>2646</v>
      </c>
      <c r="B116" s="307">
        <v>221499</v>
      </c>
      <c r="C116" s="533">
        <v>296487</v>
      </c>
      <c r="D116" s="820">
        <v>1.35</v>
      </c>
      <c r="E116" s="822">
        <f t="shared" si="0"/>
        <v>1.3385478038275569</v>
      </c>
      <c r="F116" s="107"/>
      <c r="G116" s="107"/>
      <c r="H116" s="107"/>
      <c r="I116" s="107"/>
      <c r="J116" s="107"/>
      <c r="K116" s="107"/>
    </row>
    <row r="117" spans="1:11" x14ac:dyDescent="0.2">
      <c r="A117" s="534" t="s">
        <v>2647</v>
      </c>
      <c r="B117" s="307">
        <v>451000</v>
      </c>
      <c r="C117" s="533">
        <v>190700</v>
      </c>
      <c r="D117" s="820">
        <v>0.43</v>
      </c>
      <c r="E117" s="822">
        <f t="shared" si="0"/>
        <v>0.42283813747228383</v>
      </c>
      <c r="F117" s="107"/>
      <c r="G117" s="107"/>
      <c r="H117" s="107"/>
      <c r="I117" s="107"/>
      <c r="J117" s="107"/>
      <c r="K117" s="107"/>
    </row>
    <row r="118" spans="1:11" x14ac:dyDescent="0.2">
      <c r="A118" s="534" t="s">
        <v>2648</v>
      </c>
      <c r="B118" s="307">
        <v>230891</v>
      </c>
      <c r="C118" s="533">
        <v>109000</v>
      </c>
      <c r="D118" s="820">
        <v>0.5</v>
      </c>
      <c r="E118" s="822">
        <f t="shared" si="0"/>
        <v>0.47208423022118662</v>
      </c>
      <c r="F118" s="107"/>
      <c r="G118" s="107"/>
      <c r="H118" s="107"/>
      <c r="I118" s="107"/>
      <c r="J118" s="107"/>
      <c r="K118" s="107"/>
    </row>
    <row r="119" spans="1:11" x14ac:dyDescent="0.2">
      <c r="A119" s="823" t="s">
        <v>1341</v>
      </c>
      <c r="B119" s="513">
        <v>2857592</v>
      </c>
      <c r="C119" s="808">
        <v>1902782</v>
      </c>
      <c r="D119" s="824">
        <v>0.67</v>
      </c>
      <c r="E119" s="107"/>
      <c r="F119" s="107"/>
      <c r="G119" s="107"/>
      <c r="H119" s="107"/>
      <c r="I119" s="107"/>
      <c r="J119" s="107"/>
      <c r="K119" s="107"/>
    </row>
    <row r="120" spans="1:11" x14ac:dyDescent="0.2">
      <c r="A120" s="107"/>
      <c r="B120" s="825">
        <f>+SUM(B110:B118)</f>
        <v>2857792</v>
      </c>
      <c r="C120" s="477">
        <f>+SUM(C110:C118)</f>
        <v>1901775</v>
      </c>
      <c r="D120" s="826">
        <f>+C120/B120</f>
        <v>0.66547005520345781</v>
      </c>
      <c r="E120" s="107"/>
      <c r="F120" s="107"/>
      <c r="G120" s="107"/>
      <c r="H120" s="107"/>
      <c r="I120" s="107"/>
      <c r="J120" s="107"/>
      <c r="K120" s="107"/>
    </row>
    <row r="121" spans="1:11" x14ac:dyDescent="0.2">
      <c r="A121" s="107"/>
      <c r="B121" s="107"/>
      <c r="C121" s="107"/>
      <c r="D121" s="107"/>
      <c r="E121" s="107"/>
      <c r="F121" s="107"/>
      <c r="G121" s="107"/>
      <c r="H121" s="107"/>
      <c r="I121" s="107"/>
      <c r="J121" s="107"/>
      <c r="K121" s="107"/>
    </row>
    <row r="122" spans="1:11" x14ac:dyDescent="0.2">
      <c r="A122" s="107"/>
      <c r="B122" s="107"/>
      <c r="C122" s="107"/>
      <c r="D122" s="107"/>
      <c r="E122" s="107"/>
      <c r="F122" s="107"/>
      <c r="G122" s="107"/>
      <c r="H122" s="107"/>
      <c r="I122" s="107"/>
      <c r="J122" s="107"/>
      <c r="K122" s="107"/>
    </row>
    <row r="123" spans="1:11" x14ac:dyDescent="0.2">
      <c r="A123" s="526" t="s">
        <v>1374</v>
      </c>
      <c r="B123" s="107"/>
      <c r="C123" s="107"/>
      <c r="D123" s="107"/>
      <c r="E123" s="107"/>
      <c r="F123" s="107"/>
      <c r="G123" s="107"/>
      <c r="H123" s="107"/>
      <c r="I123" s="107"/>
      <c r="J123" s="107"/>
      <c r="K123" s="107"/>
    </row>
    <row r="124" spans="1:11" ht="29.5" customHeight="1" x14ac:dyDescent="0.2">
      <c r="A124" s="827" t="s">
        <v>2649</v>
      </c>
      <c r="B124" s="828"/>
      <c r="C124" s="107"/>
      <c r="D124" s="107"/>
      <c r="E124" s="107"/>
      <c r="F124" s="107"/>
      <c r="G124" s="107"/>
      <c r="H124" s="107"/>
      <c r="I124" s="107"/>
      <c r="J124" s="107"/>
      <c r="K124" s="107"/>
    </row>
    <row r="125" spans="1:11" ht="27.5" customHeight="1" x14ac:dyDescent="0.2">
      <c r="A125" s="829" t="s">
        <v>2650</v>
      </c>
      <c r="B125" s="717">
        <v>224050</v>
      </c>
      <c r="C125" s="107"/>
      <c r="D125" s="107"/>
      <c r="E125" s="107"/>
      <c r="F125" s="107"/>
      <c r="G125" s="107"/>
      <c r="H125" s="107"/>
      <c r="I125" s="107"/>
      <c r="J125" s="107"/>
      <c r="K125" s="107"/>
    </row>
    <row r="126" spans="1:11" x14ac:dyDescent="0.2">
      <c r="A126" s="131" t="s">
        <v>2651</v>
      </c>
      <c r="B126" s="307">
        <v>135000</v>
      </c>
      <c r="C126" s="107"/>
      <c r="D126" s="107"/>
      <c r="E126" s="107"/>
      <c r="F126" s="107"/>
      <c r="G126" s="107"/>
      <c r="H126" s="107"/>
      <c r="I126" s="107"/>
      <c r="J126" s="107"/>
      <c r="K126" s="107"/>
    </row>
    <row r="127" spans="1:11" x14ac:dyDescent="0.2">
      <c r="A127" s="131" t="s">
        <v>2652</v>
      </c>
      <c r="B127" s="307">
        <v>247000</v>
      </c>
      <c r="C127" s="107"/>
      <c r="D127" s="107"/>
      <c r="E127" s="107"/>
      <c r="F127" s="107"/>
      <c r="G127" s="107"/>
      <c r="H127" s="107"/>
      <c r="I127" s="107"/>
      <c r="J127" s="107"/>
      <c r="K127" s="107"/>
    </row>
    <row r="128" spans="1:11" ht="30" x14ac:dyDescent="0.2">
      <c r="A128" s="539" t="s">
        <v>2653</v>
      </c>
      <c r="B128" s="307">
        <v>134625</v>
      </c>
      <c r="C128" s="107"/>
      <c r="D128" s="107"/>
      <c r="E128" s="107"/>
      <c r="F128" s="107"/>
      <c r="G128" s="107"/>
      <c r="H128" s="107"/>
      <c r="I128" s="107"/>
      <c r="J128" s="107"/>
      <c r="K128" s="107"/>
    </row>
    <row r="129" spans="1:11" x14ac:dyDescent="0.2">
      <c r="A129" s="131" t="s">
        <v>2654</v>
      </c>
      <c r="B129" s="307">
        <v>289505</v>
      </c>
      <c r="C129" s="107"/>
      <c r="D129" s="107"/>
      <c r="E129" s="107"/>
      <c r="F129" s="107"/>
      <c r="G129" s="107"/>
      <c r="H129" s="107"/>
      <c r="I129" s="107"/>
      <c r="J129" s="107"/>
      <c r="K129" s="107"/>
    </row>
    <row r="130" spans="1:11" x14ac:dyDescent="0.2">
      <c r="A130" s="131" t="s">
        <v>2655</v>
      </c>
      <c r="B130" s="307">
        <v>349956</v>
      </c>
      <c r="C130" s="107"/>
      <c r="D130" s="107"/>
      <c r="E130" s="107"/>
      <c r="F130" s="107"/>
      <c r="G130" s="107"/>
      <c r="H130" s="107"/>
      <c r="I130" s="107"/>
      <c r="J130" s="107"/>
      <c r="K130" s="107"/>
    </row>
    <row r="131" spans="1:11" x14ac:dyDescent="0.2">
      <c r="A131" s="539" t="s">
        <v>2656</v>
      </c>
      <c r="B131" s="307">
        <v>47263</v>
      </c>
      <c r="C131" s="107"/>
      <c r="D131" s="107"/>
      <c r="E131" s="107"/>
      <c r="F131" s="107"/>
      <c r="G131" s="107"/>
      <c r="H131" s="107"/>
      <c r="I131" s="107"/>
      <c r="J131" s="107"/>
      <c r="K131" s="107"/>
    </row>
    <row r="132" spans="1:11" x14ac:dyDescent="0.2">
      <c r="A132" s="131" t="s">
        <v>1401</v>
      </c>
      <c r="B132" s="307">
        <v>108407</v>
      </c>
      <c r="C132" s="107"/>
      <c r="D132" s="107"/>
      <c r="E132" s="107"/>
      <c r="F132" s="107"/>
      <c r="G132" s="107"/>
      <c r="H132" s="107"/>
      <c r="I132" s="107"/>
      <c r="J132" s="107"/>
      <c r="K132" s="107"/>
    </row>
    <row r="133" spans="1:11" x14ac:dyDescent="0.2">
      <c r="A133" s="131" t="s">
        <v>2657</v>
      </c>
      <c r="B133" s="307">
        <v>42954</v>
      </c>
      <c r="C133" s="107"/>
      <c r="D133" s="107"/>
      <c r="E133" s="107"/>
      <c r="F133" s="107"/>
      <c r="G133" s="107"/>
      <c r="H133" s="107"/>
      <c r="I133" s="107"/>
      <c r="J133" s="107"/>
      <c r="K133" s="107"/>
    </row>
    <row r="134" spans="1:11" x14ac:dyDescent="0.2">
      <c r="A134" s="131" t="s">
        <v>1812</v>
      </c>
      <c r="B134" s="307">
        <v>67068</v>
      </c>
      <c r="C134" s="107"/>
      <c r="D134" s="107"/>
      <c r="E134" s="107"/>
      <c r="F134" s="107"/>
      <c r="G134" s="107"/>
      <c r="H134" s="107"/>
      <c r="I134" s="107"/>
      <c r="J134" s="107"/>
      <c r="K134" s="107"/>
    </row>
    <row r="135" spans="1:11" x14ac:dyDescent="0.2">
      <c r="A135" s="131" t="s">
        <v>2658</v>
      </c>
      <c r="B135" s="307">
        <v>114247</v>
      </c>
      <c r="C135" s="107"/>
      <c r="D135" s="107"/>
      <c r="E135" s="107"/>
      <c r="F135" s="107"/>
      <c r="G135" s="107"/>
      <c r="H135" s="107"/>
      <c r="I135" s="107"/>
      <c r="J135" s="107"/>
      <c r="K135" s="107"/>
    </row>
    <row r="136" spans="1:11" x14ac:dyDescent="0.2">
      <c r="A136" s="131" t="s">
        <v>2659</v>
      </c>
      <c r="B136" s="307">
        <v>65630</v>
      </c>
      <c r="C136" s="107"/>
      <c r="D136" s="107"/>
      <c r="E136" s="107"/>
      <c r="F136" s="107"/>
      <c r="G136" s="107"/>
      <c r="H136" s="107"/>
      <c r="I136" s="107"/>
      <c r="J136" s="107"/>
      <c r="K136" s="107"/>
    </row>
    <row r="137" spans="1:11" x14ac:dyDescent="0.2">
      <c r="A137" s="131" t="s">
        <v>2660</v>
      </c>
      <c r="B137" s="307">
        <v>33646</v>
      </c>
      <c r="C137" s="107"/>
      <c r="D137" s="107"/>
      <c r="E137" s="107"/>
      <c r="F137" s="107"/>
      <c r="G137" s="107"/>
      <c r="H137" s="107"/>
      <c r="I137" s="107"/>
      <c r="J137" s="107"/>
      <c r="K137" s="107"/>
    </row>
    <row r="138" spans="1:11" x14ac:dyDescent="0.2">
      <c r="A138" s="131" t="s">
        <v>2661</v>
      </c>
      <c r="B138" s="307">
        <v>3783</v>
      </c>
      <c r="C138" s="107"/>
      <c r="D138" s="107"/>
      <c r="E138" s="107"/>
      <c r="F138" s="107"/>
      <c r="G138" s="107"/>
      <c r="H138" s="107"/>
      <c r="I138" s="107"/>
      <c r="J138" s="107"/>
      <c r="K138" s="107"/>
    </row>
    <row r="139" spans="1:11" x14ac:dyDescent="0.2">
      <c r="A139" s="131" t="s">
        <v>2662</v>
      </c>
      <c r="B139" s="307">
        <v>40000</v>
      </c>
      <c r="C139" s="107"/>
      <c r="D139" s="107"/>
      <c r="E139" s="107"/>
      <c r="F139" s="107"/>
      <c r="G139" s="107"/>
      <c r="H139" s="107"/>
      <c r="I139" s="107"/>
      <c r="J139" s="107"/>
      <c r="K139" s="107"/>
    </row>
    <row r="140" spans="1:11" ht="20" customHeight="1" thickBot="1" x14ac:dyDescent="0.25">
      <c r="A140" s="794" t="s">
        <v>2663</v>
      </c>
      <c r="B140" s="363">
        <v>1910928</v>
      </c>
      <c r="C140" s="107"/>
      <c r="D140" s="107"/>
      <c r="E140" s="107"/>
      <c r="F140" s="107"/>
      <c r="G140" s="107"/>
      <c r="H140" s="107"/>
      <c r="I140" s="107"/>
      <c r="J140" s="107"/>
      <c r="K140" s="107"/>
    </row>
    <row r="141" spans="1:11" ht="16" thickTop="1" x14ac:dyDescent="0.2">
      <c r="A141" s="107"/>
      <c r="B141" s="477">
        <f>+SUM(B125:B139)</f>
        <v>1903134</v>
      </c>
      <c r="C141" s="107"/>
      <c r="D141" s="107"/>
      <c r="E141" s="107"/>
      <c r="F141" s="107"/>
      <c r="G141" s="107"/>
      <c r="H141" s="107"/>
      <c r="I141" s="107"/>
      <c r="J141" s="107"/>
      <c r="K141" s="107"/>
    </row>
    <row r="142" spans="1:11" x14ac:dyDescent="0.2">
      <c r="A142" s="107"/>
      <c r="B142" s="107"/>
      <c r="C142" s="107"/>
      <c r="D142" s="107"/>
      <c r="E142" s="107"/>
      <c r="F142" s="107"/>
      <c r="G142" s="107"/>
      <c r="H142" s="107"/>
      <c r="I142" s="107"/>
      <c r="J142" s="107"/>
      <c r="K142" s="107"/>
    </row>
    <row r="143" spans="1:11" x14ac:dyDescent="0.2">
      <c r="A143" s="107"/>
      <c r="B143" s="107"/>
      <c r="C143" s="107"/>
      <c r="D143" s="107"/>
      <c r="E143" s="107"/>
      <c r="F143" s="107"/>
      <c r="G143" s="107"/>
      <c r="H143" s="107"/>
      <c r="I143" s="107"/>
      <c r="J143" s="107"/>
      <c r="K143" s="107"/>
    </row>
    <row r="144" spans="1:11" x14ac:dyDescent="0.2">
      <c r="A144" s="526" t="s">
        <v>1934</v>
      </c>
      <c r="B144" s="107"/>
      <c r="C144" s="107"/>
      <c r="D144" s="107"/>
      <c r="E144" s="107"/>
      <c r="F144" s="107"/>
      <c r="G144" s="107"/>
      <c r="H144" s="107"/>
      <c r="I144" s="107"/>
      <c r="J144" s="107"/>
      <c r="K144" s="107"/>
    </row>
    <row r="145" spans="1:11" ht="29.5" customHeight="1" x14ac:dyDescent="0.2">
      <c r="A145" s="664" t="s">
        <v>2664</v>
      </c>
      <c r="B145" s="665"/>
      <c r="C145" s="666"/>
      <c r="D145" s="107"/>
      <c r="E145" s="107"/>
      <c r="F145" s="107"/>
      <c r="G145" s="107"/>
      <c r="H145" s="107"/>
      <c r="I145" s="107"/>
      <c r="J145" s="107"/>
      <c r="K145" s="107"/>
    </row>
    <row r="146" spans="1:11" ht="25.25" customHeight="1" x14ac:dyDescent="0.2">
      <c r="A146" s="811" t="s">
        <v>2636</v>
      </c>
      <c r="B146" s="810" t="s">
        <v>2665</v>
      </c>
      <c r="C146" s="810" t="s">
        <v>2506</v>
      </c>
      <c r="D146" s="107"/>
      <c r="E146" s="107"/>
      <c r="F146" s="107"/>
      <c r="G146" s="107"/>
      <c r="H146" s="107"/>
      <c r="I146" s="107"/>
      <c r="J146" s="107"/>
      <c r="K146" s="107"/>
    </row>
    <row r="147" spans="1:11" x14ac:dyDescent="0.2">
      <c r="A147" s="131" t="s">
        <v>2616</v>
      </c>
      <c r="B147" s="533">
        <v>46372</v>
      </c>
      <c r="C147" s="533">
        <v>46372</v>
      </c>
      <c r="D147" s="107"/>
      <c r="E147" s="107"/>
      <c r="F147" s="107"/>
      <c r="G147" s="107"/>
      <c r="H147" s="107"/>
      <c r="I147" s="107"/>
      <c r="J147" s="107"/>
      <c r="K147" s="107"/>
    </row>
    <row r="148" spans="1:11" x14ac:dyDescent="0.2">
      <c r="A148" s="131" t="s">
        <v>2666</v>
      </c>
      <c r="B148" s="533">
        <v>119723</v>
      </c>
      <c r="C148" s="533">
        <v>105825</v>
      </c>
      <c r="D148" s="107"/>
      <c r="E148" s="107"/>
      <c r="F148" s="107"/>
      <c r="G148" s="107"/>
      <c r="H148" s="107"/>
      <c r="I148" s="107"/>
      <c r="J148" s="107"/>
      <c r="K148" s="107"/>
    </row>
    <row r="149" spans="1:11" x14ac:dyDescent="0.2">
      <c r="A149" s="131" t="s">
        <v>2618</v>
      </c>
      <c r="B149" s="533">
        <v>33343</v>
      </c>
      <c r="C149" s="533">
        <v>30749</v>
      </c>
      <c r="D149" s="107"/>
      <c r="E149" s="107"/>
      <c r="F149" s="107"/>
      <c r="G149" s="107"/>
      <c r="H149" s="107"/>
      <c r="I149" s="107"/>
      <c r="J149" s="107"/>
      <c r="K149" s="107"/>
    </row>
    <row r="150" spans="1:11" x14ac:dyDescent="0.2">
      <c r="A150" s="131" t="s">
        <v>2667</v>
      </c>
      <c r="B150" s="533">
        <v>89284</v>
      </c>
      <c r="C150" s="533">
        <v>83558</v>
      </c>
      <c r="D150" s="107"/>
      <c r="E150" s="107"/>
      <c r="F150" s="107"/>
      <c r="G150" s="107"/>
      <c r="H150" s="107"/>
      <c r="I150" s="107"/>
      <c r="J150" s="107"/>
      <c r="K150" s="107"/>
    </row>
    <row r="151" spans="1:11" x14ac:dyDescent="0.2">
      <c r="A151" s="131" t="s">
        <v>2668</v>
      </c>
      <c r="B151" s="533">
        <v>80041</v>
      </c>
      <c r="C151" s="533">
        <v>115193</v>
      </c>
      <c r="D151" s="107"/>
      <c r="E151" s="107"/>
      <c r="F151" s="107"/>
      <c r="G151" s="107"/>
      <c r="H151" s="107"/>
      <c r="I151" s="107"/>
      <c r="J151" s="107"/>
      <c r="K151" s="107"/>
    </row>
    <row r="152" spans="1:11" x14ac:dyDescent="0.2">
      <c r="A152" s="131" t="s">
        <v>2669</v>
      </c>
      <c r="B152" s="533">
        <v>27345</v>
      </c>
      <c r="C152" s="533">
        <v>28299</v>
      </c>
      <c r="D152" s="107"/>
      <c r="E152" s="107"/>
      <c r="F152" s="107"/>
      <c r="G152" s="107"/>
      <c r="H152" s="107"/>
      <c r="I152" s="107"/>
      <c r="J152" s="107"/>
      <c r="K152" s="107"/>
    </row>
    <row r="153" spans="1:11" x14ac:dyDescent="0.2">
      <c r="A153" s="131" t="s">
        <v>2670</v>
      </c>
      <c r="B153" s="533">
        <v>91402</v>
      </c>
      <c r="C153" s="533">
        <v>152753</v>
      </c>
      <c r="D153" s="107"/>
      <c r="E153" s="107"/>
      <c r="F153" s="107"/>
      <c r="G153" s="107"/>
      <c r="H153" s="107"/>
      <c r="I153" s="107"/>
      <c r="J153" s="107"/>
      <c r="K153" s="107"/>
    </row>
    <row r="154" spans="1:11" x14ac:dyDescent="0.2">
      <c r="A154" s="131" t="s">
        <v>2671</v>
      </c>
      <c r="B154" s="533">
        <v>177117</v>
      </c>
      <c r="C154" s="533">
        <v>173913</v>
      </c>
      <c r="D154" s="107"/>
      <c r="E154" s="107"/>
      <c r="F154" s="107"/>
      <c r="G154" s="107"/>
      <c r="H154" s="107"/>
      <c r="I154" s="107"/>
      <c r="J154" s="107"/>
      <c r="K154" s="107"/>
    </row>
    <row r="155" spans="1:11" x14ac:dyDescent="0.2">
      <c r="A155" s="131" t="s">
        <v>2672</v>
      </c>
      <c r="B155" s="535">
        <v>46361</v>
      </c>
      <c r="C155" s="535">
        <v>45613</v>
      </c>
      <c r="D155" s="107"/>
      <c r="E155" s="107"/>
      <c r="F155" s="107"/>
      <c r="G155" s="107"/>
      <c r="H155" s="107"/>
      <c r="I155" s="107"/>
      <c r="J155" s="107"/>
      <c r="K155" s="107"/>
    </row>
    <row r="156" spans="1:11" ht="16" thickBot="1" x14ac:dyDescent="0.25">
      <c r="A156" s="794" t="s">
        <v>2673</v>
      </c>
      <c r="B156" s="362">
        <v>720647</v>
      </c>
      <c r="C156" s="363">
        <v>798788</v>
      </c>
      <c r="D156" s="107"/>
      <c r="E156" s="107"/>
      <c r="F156" s="107"/>
      <c r="G156" s="107"/>
      <c r="H156" s="107"/>
      <c r="I156" s="107"/>
      <c r="J156" s="107"/>
      <c r="K156" s="107"/>
    </row>
    <row r="157" spans="1:11" ht="16" thickTop="1" x14ac:dyDescent="0.2">
      <c r="A157" s="622"/>
      <c r="B157" s="413">
        <f>+SUM(B147:B155)</f>
        <v>710988</v>
      </c>
      <c r="C157" s="413">
        <f>+SUM(C147:C155)</f>
        <v>782275</v>
      </c>
      <c r="D157" s="107"/>
      <c r="E157" s="107"/>
      <c r="F157" s="107"/>
      <c r="G157" s="107"/>
      <c r="H157" s="107"/>
      <c r="I157" s="107"/>
      <c r="J157" s="107"/>
      <c r="K157" s="107"/>
    </row>
    <row r="158" spans="1:11" ht="32" customHeight="1" x14ac:dyDescent="0.2">
      <c r="A158" s="830" t="s">
        <v>2674</v>
      </c>
      <c r="B158" s="831"/>
      <c r="C158" s="832"/>
      <c r="D158" s="107"/>
      <c r="E158" s="107"/>
      <c r="F158" s="107"/>
      <c r="G158" s="107"/>
      <c r="H158" s="107"/>
      <c r="I158" s="107"/>
      <c r="J158" s="107"/>
      <c r="K158" s="107"/>
    </row>
    <row r="159" spans="1:11" ht="30.5" customHeight="1" x14ac:dyDescent="0.2">
      <c r="A159" s="830" t="s">
        <v>2675</v>
      </c>
      <c r="B159" s="831"/>
      <c r="C159" s="832"/>
      <c r="D159" s="107"/>
      <c r="E159" s="107"/>
      <c r="F159" s="107"/>
      <c r="G159" s="107"/>
      <c r="H159" s="107"/>
      <c r="I159" s="107"/>
      <c r="J159" s="107"/>
      <c r="K159" s="107"/>
    </row>
    <row r="160" spans="1:11" ht="29" customHeight="1" x14ac:dyDescent="0.2">
      <c r="A160" s="830" t="s">
        <v>2676</v>
      </c>
      <c r="B160" s="831"/>
      <c r="C160" s="832"/>
      <c r="D160" s="107"/>
      <c r="E160" s="107"/>
      <c r="F160" s="107"/>
      <c r="G160" s="107"/>
      <c r="H160" s="107"/>
      <c r="I160" s="107"/>
      <c r="J160" s="107"/>
      <c r="K160" s="107"/>
    </row>
    <row r="161" spans="1:11" ht="29.5" customHeight="1" x14ac:dyDescent="0.2">
      <c r="A161" s="830" t="s">
        <v>2677</v>
      </c>
      <c r="B161" s="831"/>
      <c r="C161" s="832"/>
      <c r="D161" s="107"/>
      <c r="E161" s="107"/>
      <c r="F161" s="107"/>
      <c r="G161" s="107"/>
      <c r="H161" s="107"/>
      <c r="I161" s="107"/>
      <c r="J161" s="107"/>
      <c r="K161" s="107"/>
    </row>
    <row r="162" spans="1:11" ht="30" customHeight="1" x14ac:dyDescent="0.2">
      <c r="A162" s="833" t="s">
        <v>2678</v>
      </c>
      <c r="B162" s="834"/>
      <c r="C162" s="835"/>
      <c r="D162" s="107"/>
      <c r="E162" s="107"/>
      <c r="F162" s="107"/>
      <c r="G162" s="107"/>
      <c r="H162" s="107"/>
      <c r="I162" s="107"/>
      <c r="J162" s="107"/>
      <c r="K162" s="107"/>
    </row>
    <row r="163" spans="1:11" x14ac:dyDescent="0.2">
      <c r="A163" s="349" t="s">
        <v>2679</v>
      </c>
      <c r="B163" s="350"/>
      <c r="C163" s="717"/>
      <c r="D163" s="107"/>
      <c r="E163" s="107"/>
      <c r="F163" s="107"/>
      <c r="G163" s="107"/>
      <c r="H163" s="107"/>
      <c r="I163" s="107"/>
      <c r="J163" s="107"/>
      <c r="K163" s="107"/>
    </row>
    <row r="164" spans="1:11" x14ac:dyDescent="0.2">
      <c r="A164" s="480" t="s">
        <v>2680</v>
      </c>
      <c r="B164" s="481"/>
      <c r="C164" s="307">
        <v>343544</v>
      </c>
      <c r="D164" s="107"/>
      <c r="E164" s="107"/>
      <c r="F164" s="107"/>
      <c r="G164" s="107"/>
      <c r="H164" s="107"/>
      <c r="I164" s="107"/>
      <c r="J164" s="107"/>
      <c r="K164" s="107"/>
    </row>
    <row r="165" spans="1:11" x14ac:dyDescent="0.2">
      <c r="A165" s="480" t="s">
        <v>2681</v>
      </c>
      <c r="B165" s="481"/>
      <c r="C165" s="307">
        <v>376103</v>
      </c>
      <c r="D165" s="107"/>
      <c r="E165" s="107"/>
      <c r="F165" s="107"/>
      <c r="G165" s="107"/>
      <c r="H165" s="107"/>
      <c r="I165" s="107"/>
      <c r="J165" s="107"/>
      <c r="K165" s="107"/>
    </row>
    <row r="166" spans="1:11" ht="23.5" customHeight="1" thickBot="1" x14ac:dyDescent="0.25">
      <c r="A166" s="489" t="s">
        <v>2682</v>
      </c>
      <c r="B166" s="493"/>
      <c r="C166" s="836">
        <v>720647</v>
      </c>
      <c r="D166" s="107"/>
      <c r="E166" s="107"/>
      <c r="F166" s="107"/>
      <c r="G166" s="107"/>
      <c r="H166" s="107"/>
      <c r="I166" s="107"/>
      <c r="J166" s="107"/>
      <c r="K166" s="107"/>
    </row>
    <row r="167" spans="1:11" ht="23.5" customHeight="1" thickTop="1" x14ac:dyDescent="0.2">
      <c r="A167" s="622"/>
      <c r="B167" s="623"/>
      <c r="C167" s="837">
        <f>+C164+C165</f>
        <v>719647</v>
      </c>
      <c r="D167" s="107"/>
      <c r="E167" s="107"/>
      <c r="F167" s="107"/>
      <c r="G167" s="107"/>
      <c r="H167" s="107"/>
      <c r="I167" s="107"/>
      <c r="J167" s="107"/>
      <c r="K167" s="107"/>
    </row>
    <row r="168" spans="1:11" x14ac:dyDescent="0.2">
      <c r="A168" s="131" t="s">
        <v>2683</v>
      </c>
      <c r="B168" s="145"/>
      <c r="C168" s="307"/>
      <c r="D168" s="107"/>
      <c r="E168" s="107"/>
      <c r="F168" s="107"/>
      <c r="G168" s="107"/>
      <c r="H168" s="107"/>
      <c r="I168" s="107"/>
      <c r="J168" s="107"/>
      <c r="K168" s="107"/>
    </row>
    <row r="169" spans="1:11" x14ac:dyDescent="0.2">
      <c r="A169" s="480" t="s">
        <v>2047</v>
      </c>
      <c r="B169" s="481"/>
      <c r="C169" s="307">
        <v>34717</v>
      </c>
      <c r="D169" s="107"/>
      <c r="E169" s="107"/>
      <c r="F169" s="107"/>
      <c r="G169" s="107"/>
      <c r="H169" s="107"/>
      <c r="I169" s="107"/>
      <c r="J169" s="107"/>
      <c r="K169" s="107"/>
    </row>
    <row r="170" spans="1:11" x14ac:dyDescent="0.2">
      <c r="A170" s="480" t="s">
        <v>2684</v>
      </c>
      <c r="B170" s="481"/>
      <c r="C170" s="307">
        <v>40127</v>
      </c>
      <c r="D170" s="107"/>
      <c r="E170" s="107"/>
      <c r="F170" s="107"/>
      <c r="G170" s="107"/>
      <c r="H170" s="107"/>
      <c r="I170" s="107"/>
      <c r="J170" s="107"/>
      <c r="K170" s="107"/>
    </row>
    <row r="171" spans="1:11" x14ac:dyDescent="0.2">
      <c r="A171" s="480" t="s">
        <v>2685</v>
      </c>
      <c r="B171" s="481"/>
      <c r="C171" s="307">
        <v>130485</v>
      </c>
      <c r="D171" s="107"/>
      <c r="E171" s="107"/>
      <c r="F171" s="107"/>
      <c r="G171" s="107"/>
      <c r="H171" s="107"/>
      <c r="I171" s="107"/>
      <c r="J171" s="107"/>
      <c r="K171" s="107"/>
    </row>
    <row r="172" spans="1:11" x14ac:dyDescent="0.2">
      <c r="A172" s="480" t="s">
        <v>2686</v>
      </c>
      <c r="B172" s="481"/>
      <c r="C172" s="307">
        <v>71003</v>
      </c>
      <c r="D172" s="107"/>
      <c r="E172" s="107"/>
      <c r="F172" s="107"/>
      <c r="G172" s="107"/>
      <c r="H172" s="107"/>
      <c r="I172" s="107"/>
      <c r="J172" s="107"/>
      <c r="K172" s="107"/>
    </row>
    <row r="173" spans="1:11" x14ac:dyDescent="0.2">
      <c r="A173" s="480" t="s">
        <v>2687</v>
      </c>
      <c r="B173" s="481"/>
      <c r="C173" s="307">
        <v>122935</v>
      </c>
      <c r="D173" s="107"/>
      <c r="E173" s="107"/>
      <c r="F173" s="107"/>
      <c r="G173" s="107"/>
      <c r="H173" s="107"/>
      <c r="I173" s="107"/>
      <c r="J173" s="107"/>
      <c r="K173" s="107"/>
    </row>
    <row r="174" spans="1:11" x14ac:dyDescent="0.2">
      <c r="A174" s="480" t="s">
        <v>2688</v>
      </c>
      <c r="B174" s="481"/>
      <c r="C174" s="307">
        <v>336304</v>
      </c>
      <c r="D174" s="107"/>
      <c r="E174" s="107"/>
      <c r="F174" s="107"/>
      <c r="G174" s="107"/>
      <c r="H174" s="107"/>
      <c r="I174" s="107"/>
      <c r="J174" s="107"/>
      <c r="K174" s="107"/>
    </row>
    <row r="175" spans="1:11" ht="22.25" customHeight="1" thickBot="1" x14ac:dyDescent="0.25">
      <c r="A175" s="790" t="s">
        <v>2689</v>
      </c>
      <c r="B175" s="791"/>
      <c r="C175" s="836">
        <v>798788</v>
      </c>
      <c r="D175" s="107"/>
      <c r="E175" s="107"/>
      <c r="F175" s="107"/>
      <c r="G175" s="107"/>
      <c r="H175" s="107"/>
      <c r="I175" s="107"/>
      <c r="J175" s="107"/>
      <c r="K175" s="107"/>
    </row>
    <row r="176" spans="1:11" ht="16" thickTop="1" x14ac:dyDescent="0.2">
      <c r="A176" s="107"/>
      <c r="B176" s="107"/>
      <c r="C176" s="477">
        <f>+SUM(C169:C174)</f>
        <v>735571</v>
      </c>
      <c r="D176" s="107"/>
      <c r="E176" s="107"/>
      <c r="F176" s="107"/>
      <c r="G176" s="107"/>
      <c r="H176" s="107"/>
      <c r="I176" s="107"/>
      <c r="J176" s="107"/>
      <c r="K176" s="107"/>
    </row>
    <row r="177" spans="1:11" x14ac:dyDescent="0.2">
      <c r="A177" s="107"/>
      <c r="B177" s="107"/>
      <c r="C177" s="107"/>
      <c r="D177" s="107"/>
      <c r="E177" s="107"/>
      <c r="F177" s="107"/>
      <c r="G177" s="107"/>
      <c r="H177" s="107"/>
      <c r="I177" s="107"/>
      <c r="J177" s="107"/>
      <c r="K177" s="107"/>
    </row>
    <row r="178" spans="1:11" x14ac:dyDescent="0.2">
      <c r="A178" s="107"/>
      <c r="B178" s="107"/>
      <c r="C178" s="107"/>
      <c r="D178" s="107"/>
      <c r="E178" s="107"/>
      <c r="F178" s="107"/>
      <c r="G178" s="107"/>
      <c r="H178" s="107"/>
      <c r="I178" s="107"/>
      <c r="J178" s="107"/>
      <c r="K178" s="107"/>
    </row>
    <row r="179" spans="1:11" x14ac:dyDescent="0.2">
      <c r="A179" s="526" t="s">
        <v>1957</v>
      </c>
      <c r="B179" s="107"/>
      <c r="C179" s="107"/>
      <c r="D179" s="107"/>
      <c r="E179" s="107"/>
      <c r="F179" s="107"/>
      <c r="G179" s="107"/>
      <c r="H179" s="107"/>
      <c r="I179" s="107"/>
      <c r="J179" s="107"/>
      <c r="K179" s="107"/>
    </row>
    <row r="180" spans="1:11" x14ac:dyDescent="0.2">
      <c r="A180" s="838" t="s">
        <v>2636</v>
      </c>
      <c r="B180" s="793" t="s">
        <v>2690</v>
      </c>
      <c r="C180" s="793"/>
      <c r="D180" s="793"/>
      <c r="E180" s="107"/>
      <c r="F180" s="107"/>
      <c r="G180" s="107"/>
      <c r="H180" s="107"/>
      <c r="I180" s="107"/>
      <c r="J180" s="107"/>
      <c r="K180" s="107"/>
    </row>
    <row r="181" spans="1:11" ht="31.25" customHeight="1" x14ac:dyDescent="0.2">
      <c r="A181" s="485"/>
      <c r="B181" s="751">
        <v>1851</v>
      </c>
      <c r="C181" s="751" t="s">
        <v>2691</v>
      </c>
      <c r="D181" s="807" t="s">
        <v>2692</v>
      </c>
      <c r="E181" s="107"/>
      <c r="F181" s="107"/>
      <c r="G181" s="107"/>
      <c r="H181" s="107"/>
      <c r="I181" s="107"/>
      <c r="J181" s="107"/>
      <c r="K181" s="107"/>
    </row>
    <row r="182" spans="1:11" x14ac:dyDescent="0.2">
      <c r="A182" s="131" t="s">
        <v>1367</v>
      </c>
      <c r="B182" s="533">
        <v>106000</v>
      </c>
      <c r="C182" s="533">
        <v>143000</v>
      </c>
      <c r="D182" s="307">
        <v>343546</v>
      </c>
      <c r="E182" s="107"/>
      <c r="F182" s="107"/>
      <c r="G182" s="107"/>
      <c r="H182" s="107"/>
      <c r="I182" s="107"/>
      <c r="J182" s="107"/>
      <c r="K182" s="107"/>
    </row>
    <row r="183" spans="1:11" x14ac:dyDescent="0.2">
      <c r="A183" s="131" t="s">
        <v>2666</v>
      </c>
      <c r="B183" s="533">
        <v>119723</v>
      </c>
      <c r="C183" s="533">
        <v>111000</v>
      </c>
      <c r="D183" s="307">
        <v>233250</v>
      </c>
      <c r="E183" s="107"/>
      <c r="F183" s="107"/>
      <c r="G183" s="107"/>
      <c r="H183" s="107"/>
      <c r="I183" s="107"/>
      <c r="J183" s="107"/>
      <c r="K183" s="107"/>
    </row>
    <row r="184" spans="1:11" x14ac:dyDescent="0.2">
      <c r="A184" s="131" t="s">
        <v>2693</v>
      </c>
      <c r="B184" s="533">
        <v>58000</v>
      </c>
      <c r="C184" s="533">
        <v>41000</v>
      </c>
      <c r="D184" s="307">
        <v>104600</v>
      </c>
      <c r="E184" s="107"/>
      <c r="F184" s="107"/>
      <c r="G184" s="107"/>
      <c r="H184" s="107"/>
      <c r="I184" s="107"/>
      <c r="J184" s="107"/>
      <c r="K184" s="107"/>
    </row>
    <row r="185" spans="1:11" x14ac:dyDescent="0.2">
      <c r="A185" s="131" t="s">
        <v>2694</v>
      </c>
      <c r="B185" s="533">
        <v>140000</v>
      </c>
      <c r="C185" s="533">
        <v>116000</v>
      </c>
      <c r="D185" s="307">
        <v>212232</v>
      </c>
      <c r="E185" s="107"/>
      <c r="F185" s="107"/>
      <c r="G185" s="107"/>
      <c r="H185" s="107"/>
      <c r="I185" s="107"/>
      <c r="J185" s="107"/>
      <c r="K185" s="107"/>
    </row>
    <row r="186" spans="1:11" x14ac:dyDescent="0.2">
      <c r="A186" s="131" t="s">
        <v>2668</v>
      </c>
      <c r="B186" s="533">
        <v>80041</v>
      </c>
      <c r="C186" s="533">
        <v>80000</v>
      </c>
      <c r="D186" s="307">
        <v>341220</v>
      </c>
      <c r="E186" s="107"/>
      <c r="F186" s="107"/>
      <c r="G186" s="107"/>
      <c r="H186" s="107"/>
      <c r="I186" s="107"/>
      <c r="J186" s="107"/>
      <c r="K186" s="107"/>
    </row>
    <row r="187" spans="1:11" x14ac:dyDescent="0.2">
      <c r="A187" s="131" t="s">
        <v>2695</v>
      </c>
      <c r="B187" s="533">
        <v>52000</v>
      </c>
      <c r="C187" s="533">
        <v>59000</v>
      </c>
      <c r="D187" s="307">
        <v>70939</v>
      </c>
      <c r="E187" s="107"/>
      <c r="F187" s="107"/>
      <c r="G187" s="107"/>
      <c r="H187" s="107"/>
      <c r="I187" s="107"/>
      <c r="J187" s="107"/>
      <c r="K187" s="107"/>
    </row>
    <row r="188" spans="1:11" x14ac:dyDescent="0.2">
      <c r="A188" s="131" t="s">
        <v>1371</v>
      </c>
      <c r="B188" s="533">
        <v>107000</v>
      </c>
      <c r="C188" s="533">
        <v>143000</v>
      </c>
      <c r="D188" s="307">
        <v>296349</v>
      </c>
      <c r="E188" s="107"/>
      <c r="F188" s="107"/>
      <c r="G188" s="107"/>
      <c r="H188" s="107"/>
      <c r="I188" s="107"/>
      <c r="J188" s="107"/>
      <c r="K188" s="107"/>
    </row>
    <row r="189" spans="1:11" x14ac:dyDescent="0.2">
      <c r="A189" s="131" t="s">
        <v>2671</v>
      </c>
      <c r="B189" s="533">
        <v>107917</v>
      </c>
      <c r="C189" s="533">
        <v>95000</v>
      </c>
      <c r="D189" s="307">
        <v>190550</v>
      </c>
      <c r="E189" s="107"/>
      <c r="F189" s="107"/>
      <c r="G189" s="107"/>
      <c r="H189" s="107"/>
      <c r="I189" s="107"/>
      <c r="J189" s="107"/>
      <c r="K189" s="107"/>
    </row>
    <row r="190" spans="1:11" x14ac:dyDescent="0.2">
      <c r="A190" s="131" t="s">
        <v>2672</v>
      </c>
      <c r="B190" s="533">
        <v>46361</v>
      </c>
      <c r="C190" s="533">
        <v>52000</v>
      </c>
      <c r="D190" s="307">
        <v>117995</v>
      </c>
      <c r="E190" s="107"/>
      <c r="F190" s="107"/>
      <c r="G190" s="107"/>
      <c r="H190" s="107"/>
      <c r="I190" s="107"/>
      <c r="J190" s="107"/>
      <c r="K190" s="107"/>
    </row>
    <row r="191" spans="1:11" x14ac:dyDescent="0.2">
      <c r="A191" s="794" t="s">
        <v>2696</v>
      </c>
      <c r="B191" s="808">
        <v>817042</v>
      </c>
      <c r="C191" s="808">
        <v>840000</v>
      </c>
      <c r="D191" s="513">
        <v>1910928</v>
      </c>
      <c r="E191" s="107"/>
      <c r="F191" s="107"/>
      <c r="G191" s="107"/>
      <c r="H191" s="107"/>
      <c r="I191" s="107"/>
      <c r="J191" s="107"/>
      <c r="K191" s="107"/>
    </row>
    <row r="192" spans="1:11" x14ac:dyDescent="0.2">
      <c r="A192" s="107"/>
      <c r="B192" s="321">
        <f>+SUM(B182:B190)</f>
        <v>817042</v>
      </c>
      <c r="C192" s="321">
        <f>+SUM(C182:C190)</f>
        <v>840000</v>
      </c>
      <c r="D192" s="477">
        <f>+SUM(D182:D190)</f>
        <v>1910681</v>
      </c>
      <c r="E192" s="107"/>
      <c r="F192" s="107"/>
      <c r="G192" s="107"/>
      <c r="H192" s="107"/>
      <c r="I192" s="107"/>
      <c r="J192" s="107"/>
      <c r="K192" s="107"/>
    </row>
    <row r="193" spans="1:11" x14ac:dyDescent="0.2">
      <c r="A193" s="107"/>
      <c r="B193" s="107"/>
      <c r="C193" s="107"/>
      <c r="D193" s="107"/>
      <c r="E193" s="107"/>
      <c r="F193" s="107"/>
      <c r="G193" s="107"/>
      <c r="H193" s="107"/>
      <c r="I193" s="107"/>
      <c r="J193" s="107"/>
      <c r="K193" s="107"/>
    </row>
    <row r="194" spans="1:11" x14ac:dyDescent="0.2">
      <c r="A194" s="107"/>
      <c r="B194" s="107"/>
      <c r="C194" s="107"/>
      <c r="D194" s="107"/>
      <c r="E194" s="107"/>
      <c r="F194" s="107"/>
      <c r="G194" s="107"/>
      <c r="H194" s="107"/>
      <c r="I194" s="107"/>
      <c r="J194" s="107"/>
      <c r="K194" s="107"/>
    </row>
    <row r="195" spans="1:11" x14ac:dyDescent="0.2">
      <c r="A195" s="526" t="s">
        <v>1988</v>
      </c>
      <c r="B195" s="107"/>
      <c r="C195" s="107"/>
      <c r="D195" s="107"/>
      <c r="E195" s="107"/>
      <c r="F195" s="107"/>
      <c r="G195" s="107"/>
      <c r="H195" s="107"/>
      <c r="I195" s="107"/>
      <c r="J195" s="107"/>
      <c r="K195" s="107"/>
    </row>
    <row r="196" spans="1:11" ht="32.5" customHeight="1" x14ac:dyDescent="0.2">
      <c r="A196" s="839" t="s">
        <v>2697</v>
      </c>
      <c r="B196" s="840"/>
      <c r="C196" s="107"/>
      <c r="D196" s="107"/>
      <c r="E196" s="107"/>
      <c r="F196" s="107"/>
      <c r="G196" s="107"/>
      <c r="H196" s="107"/>
      <c r="I196" s="107"/>
      <c r="J196" s="107"/>
      <c r="K196" s="107"/>
    </row>
    <row r="197" spans="1:11" x14ac:dyDescent="0.2">
      <c r="A197" s="494" t="s">
        <v>2698</v>
      </c>
      <c r="B197" s="550"/>
      <c r="C197" s="107"/>
      <c r="D197" s="107"/>
      <c r="E197" s="107"/>
      <c r="F197" s="107"/>
      <c r="G197" s="107"/>
      <c r="H197" s="107"/>
      <c r="I197" s="107"/>
      <c r="J197" s="107"/>
      <c r="K197" s="107"/>
    </row>
    <row r="198" spans="1:11" x14ac:dyDescent="0.2">
      <c r="A198" s="131" t="s">
        <v>2699</v>
      </c>
      <c r="B198" s="307">
        <v>56380</v>
      </c>
      <c r="C198" s="107"/>
      <c r="D198" s="107"/>
      <c r="E198" s="107"/>
      <c r="F198" s="107"/>
      <c r="G198" s="107"/>
      <c r="H198" s="107"/>
      <c r="I198" s="107"/>
      <c r="J198" s="107"/>
      <c r="K198" s="107"/>
    </row>
    <row r="199" spans="1:11" x14ac:dyDescent="0.2">
      <c r="A199" s="131" t="s">
        <v>2700</v>
      </c>
      <c r="B199" s="307">
        <v>178851</v>
      </c>
      <c r="C199" s="107"/>
      <c r="D199" s="107"/>
      <c r="E199" s="107"/>
      <c r="F199" s="107"/>
      <c r="G199" s="107"/>
      <c r="H199" s="107"/>
      <c r="I199" s="107"/>
      <c r="J199" s="107"/>
      <c r="K199" s="107"/>
    </row>
    <row r="200" spans="1:11" x14ac:dyDescent="0.2">
      <c r="A200" s="131" t="s">
        <v>2701</v>
      </c>
      <c r="B200" s="307">
        <v>266091</v>
      </c>
      <c r="C200" s="107"/>
      <c r="D200" s="107"/>
      <c r="E200" s="107"/>
      <c r="F200" s="107"/>
      <c r="G200" s="107"/>
      <c r="H200" s="107"/>
      <c r="I200" s="107"/>
      <c r="J200" s="107"/>
      <c r="K200" s="107"/>
    </row>
    <row r="201" spans="1:11" x14ac:dyDescent="0.2">
      <c r="A201" s="131" t="s">
        <v>2702</v>
      </c>
      <c r="B201" s="307">
        <v>206879</v>
      </c>
      <c r="C201" s="107"/>
      <c r="D201" s="107"/>
      <c r="E201" s="107"/>
      <c r="F201" s="107"/>
      <c r="G201" s="107"/>
      <c r="H201" s="107"/>
      <c r="I201" s="107"/>
      <c r="J201" s="107"/>
      <c r="K201" s="107"/>
    </row>
    <row r="202" spans="1:11" x14ac:dyDescent="0.2">
      <c r="A202" s="131" t="s">
        <v>2703</v>
      </c>
      <c r="B202" s="307">
        <v>171524</v>
      </c>
      <c r="C202" s="107"/>
      <c r="D202" s="107"/>
      <c r="E202" s="107"/>
      <c r="F202" s="107"/>
      <c r="G202" s="107"/>
      <c r="H202" s="107"/>
      <c r="I202" s="107"/>
      <c r="J202" s="107"/>
      <c r="K202" s="107"/>
    </row>
    <row r="203" spans="1:11" x14ac:dyDescent="0.2">
      <c r="A203" s="131" t="s">
        <v>2704</v>
      </c>
      <c r="B203" s="307">
        <v>286941</v>
      </c>
      <c r="C203" s="107"/>
      <c r="D203" s="107"/>
      <c r="E203" s="107"/>
      <c r="F203" s="107"/>
      <c r="G203" s="107"/>
      <c r="H203" s="107"/>
      <c r="I203" s="107"/>
      <c r="J203" s="107"/>
      <c r="K203" s="107"/>
    </row>
    <row r="204" spans="1:11" x14ac:dyDescent="0.2">
      <c r="A204" s="131" t="s">
        <v>2705</v>
      </c>
      <c r="B204" s="307">
        <v>182651</v>
      </c>
      <c r="C204" s="107"/>
      <c r="D204" s="107"/>
      <c r="E204" s="107"/>
      <c r="F204" s="107"/>
      <c r="G204" s="107"/>
      <c r="H204" s="107"/>
      <c r="I204" s="107"/>
      <c r="J204" s="107"/>
      <c r="K204" s="107"/>
    </row>
    <row r="205" spans="1:11" x14ac:dyDescent="0.2">
      <c r="A205" s="131" t="s">
        <v>2706</v>
      </c>
      <c r="B205" s="307">
        <v>168273</v>
      </c>
      <c r="C205" s="107"/>
      <c r="D205" s="107"/>
      <c r="E205" s="107"/>
      <c r="F205" s="107"/>
      <c r="G205" s="107"/>
      <c r="H205" s="107"/>
      <c r="I205" s="107"/>
      <c r="J205" s="107"/>
      <c r="K205" s="107"/>
    </row>
    <row r="206" spans="1:11" x14ac:dyDescent="0.2">
      <c r="A206" s="131" t="s">
        <v>2707</v>
      </c>
      <c r="B206" s="307">
        <v>249698</v>
      </c>
      <c r="C206" s="107"/>
      <c r="D206" s="107"/>
      <c r="E206" s="107"/>
      <c r="F206" s="107"/>
      <c r="G206" s="107"/>
      <c r="H206" s="107"/>
      <c r="I206" s="107"/>
      <c r="J206" s="107"/>
      <c r="K206" s="107"/>
    </row>
    <row r="207" spans="1:11" x14ac:dyDescent="0.2">
      <c r="A207" s="131" t="s">
        <v>2708</v>
      </c>
      <c r="B207" s="307">
        <v>83180</v>
      </c>
      <c r="C207" s="107"/>
      <c r="D207" s="107"/>
      <c r="E207" s="107"/>
      <c r="F207" s="107"/>
      <c r="G207" s="107"/>
      <c r="H207" s="107"/>
      <c r="I207" s="107"/>
      <c r="J207" s="107"/>
      <c r="K207" s="107"/>
    </row>
    <row r="208" spans="1:11" x14ac:dyDescent="0.2">
      <c r="A208" s="131" t="s">
        <v>2709</v>
      </c>
      <c r="B208" s="307">
        <v>20202</v>
      </c>
      <c r="C208" s="107"/>
      <c r="D208" s="107"/>
      <c r="E208" s="107"/>
      <c r="F208" s="107"/>
      <c r="G208" s="107"/>
      <c r="H208" s="107"/>
      <c r="I208" s="107"/>
      <c r="J208" s="107"/>
      <c r="K208" s="107"/>
    </row>
    <row r="209" spans="1:11" x14ac:dyDescent="0.2">
      <c r="A209" s="131" t="s">
        <v>2710</v>
      </c>
      <c r="B209" s="307">
        <v>25000</v>
      </c>
      <c r="C209" s="107"/>
      <c r="D209" s="107"/>
      <c r="E209" s="107"/>
      <c r="F209" s="107"/>
      <c r="G209" s="107"/>
      <c r="H209" s="107"/>
      <c r="I209" s="107"/>
      <c r="J209" s="107"/>
      <c r="K209" s="107"/>
    </row>
    <row r="210" spans="1:11" x14ac:dyDescent="0.2">
      <c r="A210" s="131" t="s">
        <v>2711</v>
      </c>
      <c r="B210" s="307">
        <v>27672</v>
      </c>
      <c r="C210" s="107"/>
      <c r="D210" s="107"/>
      <c r="E210" s="107"/>
      <c r="F210" s="107"/>
      <c r="G210" s="107"/>
      <c r="H210" s="107"/>
      <c r="I210" s="107"/>
      <c r="J210" s="107"/>
      <c r="K210" s="107"/>
    </row>
    <row r="211" spans="1:11" x14ac:dyDescent="0.2">
      <c r="A211" s="131" t="s">
        <v>2712</v>
      </c>
      <c r="B211" s="307">
        <v>106362</v>
      </c>
      <c r="C211" s="107"/>
      <c r="D211" s="107"/>
      <c r="E211" s="107"/>
      <c r="F211" s="107"/>
      <c r="G211" s="107"/>
      <c r="H211" s="107"/>
      <c r="I211" s="107"/>
      <c r="J211" s="107"/>
      <c r="K211" s="107"/>
    </row>
    <row r="212" spans="1:11" ht="16" thickBot="1" x14ac:dyDescent="0.25">
      <c r="A212" s="794" t="s">
        <v>2713</v>
      </c>
      <c r="B212" s="596">
        <v>2029704</v>
      </c>
      <c r="C212" s="107"/>
      <c r="D212" s="107"/>
      <c r="E212" s="107"/>
      <c r="F212" s="107"/>
      <c r="G212" s="107"/>
      <c r="H212" s="107"/>
      <c r="I212" s="107"/>
      <c r="J212" s="107"/>
      <c r="K212" s="107"/>
    </row>
    <row r="213" spans="1:11" x14ac:dyDescent="0.2">
      <c r="A213" s="107"/>
      <c r="B213" s="321">
        <f>+SUM(B198:B211)</f>
        <v>2029704</v>
      </c>
      <c r="C213" s="107"/>
      <c r="D213" s="107"/>
      <c r="E213" s="107"/>
      <c r="F213" s="107"/>
      <c r="G213" s="107"/>
      <c r="H213" s="107"/>
      <c r="I213" s="107"/>
      <c r="J213" s="107"/>
      <c r="K213" s="107"/>
    </row>
    <row r="214" spans="1:11" x14ac:dyDescent="0.2">
      <c r="A214" s="107"/>
      <c r="B214" s="107"/>
      <c r="C214" s="107"/>
      <c r="D214" s="107"/>
      <c r="E214" s="107"/>
      <c r="F214" s="107"/>
      <c r="G214" s="107"/>
      <c r="H214" s="107"/>
      <c r="I214" s="107"/>
      <c r="J214" s="107"/>
      <c r="K214" s="107"/>
    </row>
    <row r="215" spans="1:11" x14ac:dyDescent="0.2">
      <c r="A215" s="107"/>
      <c r="B215" s="107"/>
      <c r="C215" s="107"/>
      <c r="D215" s="107"/>
      <c r="E215" s="107"/>
      <c r="F215" s="107"/>
      <c r="G215" s="107"/>
      <c r="H215" s="107"/>
      <c r="I215" s="107"/>
      <c r="J215" s="107"/>
      <c r="K215" s="107"/>
    </row>
    <row r="216" spans="1:11" x14ac:dyDescent="0.2">
      <c r="A216" s="526" t="s">
        <v>1993</v>
      </c>
      <c r="B216" s="107"/>
      <c r="C216" s="107"/>
      <c r="D216" s="107"/>
      <c r="E216" s="107"/>
      <c r="F216" s="107"/>
      <c r="G216" s="107"/>
      <c r="H216" s="107"/>
      <c r="I216" s="107"/>
      <c r="J216" s="107"/>
      <c r="K216" s="107"/>
    </row>
    <row r="217" spans="1:11" ht="34.25" customHeight="1" x14ac:dyDescent="0.2">
      <c r="A217" s="782" t="s">
        <v>2714</v>
      </c>
      <c r="B217" s="783"/>
      <c r="C217" s="784"/>
      <c r="D217" s="107"/>
      <c r="E217" s="107"/>
      <c r="F217" s="107"/>
      <c r="G217" s="107"/>
      <c r="H217" s="107"/>
      <c r="I217" s="107"/>
      <c r="J217" s="107"/>
      <c r="K217" s="107"/>
    </row>
    <row r="218" spans="1:11" ht="38" customHeight="1" x14ac:dyDescent="0.2">
      <c r="A218" s="811" t="s">
        <v>2715</v>
      </c>
      <c r="B218" s="810" t="s">
        <v>2583</v>
      </c>
      <c r="C218" s="810" t="s">
        <v>2716</v>
      </c>
      <c r="D218" s="107"/>
      <c r="E218" s="107"/>
      <c r="F218" s="107"/>
      <c r="G218" s="107"/>
      <c r="H218" s="107"/>
      <c r="I218" s="107"/>
      <c r="J218" s="107"/>
      <c r="K218" s="107"/>
    </row>
    <row r="219" spans="1:11" x14ac:dyDescent="0.2">
      <c r="A219" s="131" t="s">
        <v>2717</v>
      </c>
      <c r="B219" s="533">
        <v>336304</v>
      </c>
      <c r="C219" s="533">
        <v>426755</v>
      </c>
      <c r="D219" s="107"/>
      <c r="E219" s="107"/>
      <c r="F219" s="107"/>
      <c r="G219" s="107"/>
      <c r="H219" s="107"/>
      <c r="I219" s="107"/>
      <c r="J219" s="107"/>
      <c r="K219" s="107"/>
    </row>
    <row r="220" spans="1:11" x14ac:dyDescent="0.2">
      <c r="A220" s="131" t="s">
        <v>2718</v>
      </c>
      <c r="B220" s="533">
        <v>63217</v>
      </c>
      <c r="C220" s="533">
        <v>206879</v>
      </c>
      <c r="D220" s="107"/>
      <c r="E220" s="107"/>
      <c r="F220" s="107"/>
      <c r="G220" s="107"/>
      <c r="H220" s="107"/>
      <c r="I220" s="107"/>
      <c r="J220" s="107"/>
      <c r="K220" s="107"/>
    </row>
    <row r="221" spans="1:11" x14ac:dyDescent="0.2">
      <c r="A221" s="131" t="s">
        <v>2687</v>
      </c>
      <c r="B221" s="533">
        <v>122935</v>
      </c>
      <c r="C221" s="533">
        <v>266089</v>
      </c>
      <c r="D221" s="107"/>
      <c r="E221" s="107"/>
      <c r="F221" s="107"/>
      <c r="G221" s="107"/>
      <c r="H221" s="107"/>
      <c r="I221" s="107"/>
      <c r="J221" s="107"/>
      <c r="K221" s="107"/>
    </row>
    <row r="222" spans="1:11" x14ac:dyDescent="0.2">
      <c r="A222" s="140" t="s">
        <v>2048</v>
      </c>
      <c r="B222" s="533">
        <v>71003</v>
      </c>
      <c r="C222" s="533"/>
      <c r="D222" s="107"/>
      <c r="E222" s="107"/>
      <c r="F222" s="107"/>
      <c r="G222" s="107"/>
      <c r="H222" s="107"/>
      <c r="I222" s="107"/>
      <c r="J222" s="107"/>
      <c r="K222" s="107"/>
    </row>
    <row r="223" spans="1:11" x14ac:dyDescent="0.2">
      <c r="A223" s="140" t="s">
        <v>2685</v>
      </c>
      <c r="B223" s="533">
        <v>130485</v>
      </c>
      <c r="C223" s="533">
        <v>332143</v>
      </c>
      <c r="D223" s="107"/>
      <c r="E223" s="107"/>
      <c r="F223" s="107"/>
      <c r="G223" s="107"/>
      <c r="H223" s="107"/>
      <c r="I223" s="107"/>
      <c r="J223" s="107"/>
      <c r="K223" s="107"/>
    </row>
    <row r="224" spans="1:11" x14ac:dyDescent="0.2">
      <c r="A224" s="140" t="s">
        <v>2047</v>
      </c>
      <c r="B224" s="533">
        <v>34717</v>
      </c>
      <c r="C224" s="533">
        <v>168273</v>
      </c>
      <c r="D224" s="107"/>
      <c r="E224" s="107"/>
      <c r="F224" s="107"/>
      <c r="G224" s="107"/>
      <c r="H224" s="107"/>
      <c r="I224" s="107"/>
      <c r="J224" s="107"/>
      <c r="K224" s="107"/>
    </row>
    <row r="225" spans="1:11" x14ac:dyDescent="0.2">
      <c r="A225" s="140" t="s">
        <v>2719</v>
      </c>
      <c r="B225" s="533">
        <v>40127</v>
      </c>
      <c r="C225" s="533">
        <v>27672</v>
      </c>
      <c r="D225" s="107"/>
      <c r="E225" s="107"/>
      <c r="F225" s="107"/>
      <c r="G225" s="107"/>
      <c r="H225" s="107"/>
      <c r="I225" s="107"/>
      <c r="J225" s="107"/>
      <c r="K225" s="107"/>
    </row>
    <row r="226" spans="1:11" x14ac:dyDescent="0.2">
      <c r="A226" s="140" t="s">
        <v>2720</v>
      </c>
      <c r="B226" s="535"/>
      <c r="C226" s="535">
        <v>601883</v>
      </c>
      <c r="D226" s="107"/>
      <c r="E226" s="107"/>
      <c r="F226" s="107"/>
      <c r="G226" s="107"/>
      <c r="H226" s="107"/>
      <c r="I226" s="107"/>
      <c r="J226" s="107"/>
      <c r="K226" s="107"/>
    </row>
    <row r="227" spans="1:11" ht="16" thickBot="1" x14ac:dyDescent="0.25">
      <c r="A227" s="801" t="s">
        <v>2721</v>
      </c>
      <c r="B227" s="841">
        <v>798788</v>
      </c>
      <c r="C227" s="363">
        <v>2029704</v>
      </c>
      <c r="D227" s="107"/>
      <c r="E227" s="107"/>
      <c r="F227" s="107"/>
      <c r="G227" s="107"/>
      <c r="H227" s="107"/>
      <c r="I227" s="107"/>
      <c r="J227" s="107"/>
      <c r="K227" s="107"/>
    </row>
    <row r="228" spans="1:11" ht="16" thickTop="1" x14ac:dyDescent="0.2">
      <c r="A228" s="107"/>
      <c r="B228" s="321">
        <f>+SUM(B219:B226)</f>
        <v>798788</v>
      </c>
      <c r="C228" s="477">
        <f>+SUM(C219:C226)</f>
        <v>2029694</v>
      </c>
      <c r="D228" s="107"/>
      <c r="E228" s="107"/>
      <c r="F228" s="107"/>
      <c r="G228" s="107"/>
      <c r="H228" s="107"/>
      <c r="I228" s="107"/>
      <c r="J228" s="107"/>
      <c r="K228" s="107"/>
    </row>
    <row r="229" spans="1:11" x14ac:dyDescent="0.2">
      <c r="A229" s="107"/>
      <c r="B229" s="107"/>
      <c r="C229" s="107"/>
      <c r="D229" s="107"/>
      <c r="E229" s="107"/>
      <c r="F229" s="107"/>
      <c r="G229" s="107"/>
      <c r="H229" s="107"/>
      <c r="I229" s="107"/>
      <c r="J229" s="107"/>
      <c r="K229" s="107"/>
    </row>
    <row r="230" spans="1:11" x14ac:dyDescent="0.2">
      <c r="A230" s="107"/>
      <c r="B230" s="107"/>
      <c r="C230" s="107"/>
      <c r="D230" s="107"/>
      <c r="E230" s="107"/>
      <c r="F230" s="107"/>
      <c r="G230" s="107"/>
      <c r="H230" s="107"/>
      <c r="I230" s="107"/>
      <c r="J230" s="107"/>
      <c r="K230" s="107"/>
    </row>
    <row r="231" spans="1:11" x14ac:dyDescent="0.2">
      <c r="A231" s="526" t="s">
        <v>2008</v>
      </c>
      <c r="B231" s="107"/>
      <c r="C231" s="107"/>
      <c r="D231" s="107"/>
      <c r="E231" s="107"/>
      <c r="F231" s="107"/>
      <c r="G231" s="107"/>
      <c r="H231" s="107"/>
      <c r="I231" s="107"/>
      <c r="J231" s="107"/>
      <c r="K231" s="107"/>
    </row>
    <row r="232" spans="1:11" ht="29" customHeight="1" x14ac:dyDescent="0.2">
      <c r="A232" s="782" t="s">
        <v>2722</v>
      </c>
      <c r="B232" s="783"/>
      <c r="C232" s="783"/>
      <c r="D232" s="783"/>
      <c r="E232" s="783"/>
      <c r="F232" s="783"/>
      <c r="G232" s="783"/>
      <c r="H232" s="783"/>
      <c r="I232" s="783"/>
      <c r="J232" s="783"/>
      <c r="K232" s="784"/>
    </row>
    <row r="233" spans="1:11" ht="34.25" customHeight="1" x14ac:dyDescent="0.2">
      <c r="A233" s="751" t="s">
        <v>2723</v>
      </c>
      <c r="B233" s="751" t="s">
        <v>2724</v>
      </c>
      <c r="C233" s="751" t="s">
        <v>2725</v>
      </c>
      <c r="D233" s="751" t="s">
        <v>2726</v>
      </c>
      <c r="E233" s="751" t="s">
        <v>2727</v>
      </c>
      <c r="F233" s="751" t="s">
        <v>2728</v>
      </c>
      <c r="G233" s="751" t="s">
        <v>2729</v>
      </c>
      <c r="H233" s="751" t="s">
        <v>2730</v>
      </c>
      <c r="I233" s="751" t="s">
        <v>2731</v>
      </c>
      <c r="J233" s="751" t="s">
        <v>2732</v>
      </c>
      <c r="K233" s="751" t="s">
        <v>2519</v>
      </c>
    </row>
    <row r="234" spans="1:11" x14ac:dyDescent="0.2">
      <c r="A234" s="533" t="s">
        <v>2733</v>
      </c>
      <c r="B234" s="533">
        <v>3615</v>
      </c>
      <c r="C234" s="533">
        <v>6670</v>
      </c>
      <c r="D234" s="533">
        <v>6942</v>
      </c>
      <c r="E234" s="533">
        <v>8890</v>
      </c>
      <c r="F234" s="533">
        <v>6754</v>
      </c>
      <c r="G234" s="533">
        <v>4963</v>
      </c>
      <c r="H234" s="533">
        <v>8000</v>
      </c>
      <c r="I234" s="533">
        <v>5916</v>
      </c>
      <c r="J234" s="533">
        <v>4630</v>
      </c>
      <c r="K234" s="533">
        <v>56380</v>
      </c>
    </row>
    <row r="235" spans="1:11" x14ac:dyDescent="0.2">
      <c r="A235" s="533" t="s">
        <v>2734</v>
      </c>
      <c r="B235" s="533">
        <v>18558</v>
      </c>
      <c r="C235" s="533">
        <v>25187</v>
      </c>
      <c r="D235" s="533">
        <v>13376</v>
      </c>
      <c r="E235" s="533">
        <v>38556</v>
      </c>
      <c r="F235" s="533">
        <v>14254</v>
      </c>
      <c r="G235" s="533">
        <v>12752</v>
      </c>
      <c r="H235" s="533">
        <v>23458</v>
      </c>
      <c r="I235" s="533">
        <v>17810</v>
      </c>
      <c r="J235" s="533">
        <v>14900</v>
      </c>
      <c r="K235" s="533">
        <v>178851</v>
      </c>
    </row>
    <row r="236" spans="1:11" x14ac:dyDescent="0.2">
      <c r="A236" s="533" t="s">
        <v>2735</v>
      </c>
      <c r="B236" s="533">
        <v>37840</v>
      </c>
      <c r="C236" s="533">
        <v>23424</v>
      </c>
      <c r="D236" s="533">
        <v>21075</v>
      </c>
      <c r="E236" s="533">
        <v>43174</v>
      </c>
      <c r="F236" s="533">
        <v>42206</v>
      </c>
      <c r="G236" s="533">
        <v>12564</v>
      </c>
      <c r="H236" s="533">
        <v>23039</v>
      </c>
      <c r="I236" s="533">
        <v>40753</v>
      </c>
      <c r="J236" s="533">
        <v>22016</v>
      </c>
      <c r="K236" s="533">
        <v>266091</v>
      </c>
    </row>
    <row r="237" spans="1:11" x14ac:dyDescent="0.2">
      <c r="A237" s="533" t="s">
        <v>2736</v>
      </c>
      <c r="B237" s="533">
        <v>63938</v>
      </c>
      <c r="C237" s="533">
        <v>5605</v>
      </c>
      <c r="D237" s="533">
        <v>8100</v>
      </c>
      <c r="E237" s="533">
        <v>34672</v>
      </c>
      <c r="F237" s="533">
        <v>27618</v>
      </c>
      <c r="G237" s="533">
        <v>2962</v>
      </c>
      <c r="H237" s="533">
        <v>12198</v>
      </c>
      <c r="I237" s="533">
        <v>20376</v>
      </c>
      <c r="J237" s="533">
        <v>31410</v>
      </c>
      <c r="K237" s="533">
        <v>206879</v>
      </c>
    </row>
    <row r="238" spans="1:11" x14ac:dyDescent="0.2">
      <c r="A238" s="533" t="s">
        <v>2737</v>
      </c>
      <c r="B238" s="533">
        <v>1000</v>
      </c>
      <c r="C238" s="533">
        <v>28000</v>
      </c>
      <c r="D238" s="533">
        <v>11000</v>
      </c>
      <c r="E238" s="533">
        <v>12801</v>
      </c>
      <c r="F238" s="533">
        <v>36000</v>
      </c>
      <c r="G238" s="533"/>
      <c r="H238" s="533">
        <v>70000</v>
      </c>
      <c r="I238" s="533">
        <v>20850</v>
      </c>
      <c r="J238" s="533">
        <v>3000</v>
      </c>
      <c r="K238" s="533">
        <v>182651</v>
      </c>
    </row>
    <row r="239" spans="1:11" x14ac:dyDescent="0.2">
      <c r="A239" s="533" t="s">
        <v>2738</v>
      </c>
      <c r="B239" s="533">
        <v>26116</v>
      </c>
      <c r="C239" s="533">
        <v>27686</v>
      </c>
      <c r="D239" s="533">
        <v>6940</v>
      </c>
      <c r="E239" s="533">
        <v>30010</v>
      </c>
      <c r="F239" s="533">
        <v>21496</v>
      </c>
      <c r="G239" s="533">
        <v>5360</v>
      </c>
      <c r="H239" s="533">
        <v>31712</v>
      </c>
      <c r="I239" s="533">
        <v>10492</v>
      </c>
      <c r="J239" s="533">
        <v>11712</v>
      </c>
      <c r="K239" s="533">
        <v>171524</v>
      </c>
    </row>
    <row r="240" spans="1:11" x14ac:dyDescent="0.2">
      <c r="A240" s="533" t="s">
        <v>2739</v>
      </c>
      <c r="B240" s="533">
        <v>107355</v>
      </c>
      <c r="C240" s="533">
        <v>23456</v>
      </c>
      <c r="D240" s="533"/>
      <c r="E240" s="533">
        <v>17427</v>
      </c>
      <c r="F240" s="533">
        <v>6000</v>
      </c>
      <c r="G240" s="533">
        <v>3320</v>
      </c>
      <c r="H240" s="533">
        <v>61650</v>
      </c>
      <c r="I240" s="533">
        <v>3947</v>
      </c>
      <c r="J240" s="533">
        <v>63786</v>
      </c>
      <c r="K240" s="533">
        <v>286941</v>
      </c>
    </row>
    <row r="241" spans="1:12" x14ac:dyDescent="0.2">
      <c r="A241" s="533" t="s">
        <v>1384</v>
      </c>
      <c r="B241" s="533">
        <v>26000</v>
      </c>
      <c r="C241" s="533">
        <v>4400</v>
      </c>
      <c r="D241" s="533">
        <v>18632</v>
      </c>
      <c r="E241" s="533">
        <v>32266</v>
      </c>
      <c r="F241" s="533">
        <v>121000</v>
      </c>
      <c r="G241" s="533">
        <v>500</v>
      </c>
      <c r="H241" s="533"/>
      <c r="I241" s="533">
        <v>37150</v>
      </c>
      <c r="J241" s="533">
        <v>9750</v>
      </c>
      <c r="K241" s="533">
        <v>249698</v>
      </c>
    </row>
    <row r="242" spans="1:12" x14ac:dyDescent="0.2">
      <c r="A242" s="533" t="s">
        <v>2047</v>
      </c>
      <c r="B242" s="533">
        <v>17764</v>
      </c>
      <c r="C242" s="533">
        <v>48147</v>
      </c>
      <c r="D242" s="533">
        <v>4496</v>
      </c>
      <c r="E242" s="533">
        <v>17390</v>
      </c>
      <c r="F242" s="533">
        <v>12200</v>
      </c>
      <c r="G242" s="533">
        <v>2000</v>
      </c>
      <c r="H242" s="533">
        <v>10400</v>
      </c>
      <c r="I242" s="533">
        <v>46126</v>
      </c>
      <c r="J242" s="533">
        <v>9750</v>
      </c>
      <c r="K242" s="533">
        <v>168273</v>
      </c>
    </row>
    <row r="243" spans="1:12" x14ac:dyDescent="0.2">
      <c r="A243" s="533" t="s">
        <v>2719</v>
      </c>
      <c r="B243" s="533">
        <v>10970</v>
      </c>
      <c r="C243" s="533">
        <v>2291</v>
      </c>
      <c r="D243" s="533">
        <v>950</v>
      </c>
      <c r="E243" s="533">
        <v>3250</v>
      </c>
      <c r="F243" s="533">
        <v>1000</v>
      </c>
      <c r="G243" s="533"/>
      <c r="H243" s="533">
        <v>1214</v>
      </c>
      <c r="I243" s="533">
        <v>7781</v>
      </c>
      <c r="J243" s="533">
        <v>216</v>
      </c>
      <c r="K243" s="533">
        <v>27672</v>
      </c>
    </row>
    <row r="244" spans="1:12" x14ac:dyDescent="0.2">
      <c r="A244" s="533" t="s">
        <v>1175</v>
      </c>
      <c r="B244" s="533">
        <v>3502</v>
      </c>
      <c r="C244" s="533">
        <v>3000</v>
      </c>
      <c r="D244" s="533">
        <v>800</v>
      </c>
      <c r="E244" s="533"/>
      <c r="F244" s="533">
        <v>1520</v>
      </c>
      <c r="G244" s="533">
        <v>3500</v>
      </c>
      <c r="H244" s="533">
        <v>1800</v>
      </c>
      <c r="I244" s="533">
        <v>6080</v>
      </c>
      <c r="J244" s="533"/>
      <c r="K244" s="533">
        <v>20202</v>
      </c>
    </row>
    <row r="245" spans="1:12" x14ac:dyDescent="0.2">
      <c r="A245" s="533" t="s">
        <v>2740</v>
      </c>
      <c r="B245" s="533">
        <v>6500</v>
      </c>
      <c r="C245" s="533">
        <v>2600</v>
      </c>
      <c r="D245" s="533">
        <v>4000</v>
      </c>
      <c r="E245" s="533">
        <v>8000</v>
      </c>
      <c r="F245" s="533">
        <v>2000</v>
      </c>
      <c r="G245" s="533">
        <v>1600</v>
      </c>
      <c r="H245" s="533">
        <v>58480</v>
      </c>
      <c r="I245" s="533"/>
      <c r="J245" s="533"/>
      <c r="K245" s="533">
        <v>83180</v>
      </c>
    </row>
    <row r="246" spans="1:12" x14ac:dyDescent="0.2">
      <c r="A246" s="533" t="s">
        <v>2741</v>
      </c>
      <c r="B246" s="533"/>
      <c r="C246" s="533">
        <v>25000</v>
      </c>
      <c r="D246" s="533"/>
      <c r="E246" s="533"/>
      <c r="F246" s="533"/>
      <c r="G246" s="533"/>
      <c r="H246" s="533"/>
      <c r="I246" s="533"/>
      <c r="J246" s="533"/>
      <c r="K246" s="533">
        <v>25000</v>
      </c>
    </row>
    <row r="247" spans="1:12" x14ac:dyDescent="0.2">
      <c r="A247" s="533" t="s">
        <v>2742</v>
      </c>
      <c r="B247" s="533">
        <v>19388</v>
      </c>
      <c r="C247" s="533">
        <v>1900</v>
      </c>
      <c r="D247" s="533">
        <v>9065</v>
      </c>
      <c r="E247" s="533">
        <v>4737</v>
      </c>
      <c r="F247" s="533">
        <v>4120</v>
      </c>
      <c r="G247" s="533">
        <v>18621</v>
      </c>
      <c r="H247" s="533">
        <v>42004</v>
      </c>
      <c r="I247" s="533">
        <v>2760</v>
      </c>
      <c r="J247" s="533">
        <v>3767</v>
      </c>
      <c r="K247" s="533">
        <v>106362</v>
      </c>
    </row>
    <row r="248" spans="1:12" x14ac:dyDescent="0.2">
      <c r="A248" s="535"/>
      <c r="B248" s="808">
        <v>342546</v>
      </c>
      <c r="C248" s="808">
        <v>227366</v>
      </c>
      <c r="D248" s="808">
        <v>105376</v>
      </c>
      <c r="E248" s="808">
        <v>251173</v>
      </c>
      <c r="F248" s="808">
        <v>296168</v>
      </c>
      <c r="G248" s="808">
        <v>68142</v>
      </c>
      <c r="H248" s="808">
        <v>343955</v>
      </c>
      <c r="I248" s="808">
        <v>220041</v>
      </c>
      <c r="J248" s="808">
        <v>174937</v>
      </c>
      <c r="K248" s="808">
        <v>2029704</v>
      </c>
    </row>
    <row r="249" spans="1:12" x14ac:dyDescent="0.2">
      <c r="A249" s="107"/>
      <c r="B249" s="321">
        <f>+SUM(B234:B247)</f>
        <v>342546</v>
      </c>
      <c r="C249" s="321">
        <f t="shared" ref="C249:K249" si="1">+SUM(C234:C247)</f>
        <v>227366</v>
      </c>
      <c r="D249" s="321">
        <f t="shared" si="1"/>
        <v>105376</v>
      </c>
      <c r="E249" s="321">
        <f t="shared" si="1"/>
        <v>251173</v>
      </c>
      <c r="F249" s="321">
        <f t="shared" si="1"/>
        <v>296168</v>
      </c>
      <c r="G249" s="321">
        <f t="shared" si="1"/>
        <v>68142</v>
      </c>
      <c r="H249" s="321">
        <f t="shared" si="1"/>
        <v>343955</v>
      </c>
      <c r="I249" s="321">
        <f t="shared" si="1"/>
        <v>220041</v>
      </c>
      <c r="J249" s="321">
        <f t="shared" si="1"/>
        <v>174937</v>
      </c>
      <c r="K249" s="321">
        <f t="shared" si="1"/>
        <v>2029704</v>
      </c>
    </row>
    <row r="250" spans="1:12" x14ac:dyDescent="0.2">
      <c r="A250" s="107"/>
      <c r="B250" s="107"/>
      <c r="C250" s="107"/>
      <c r="D250" s="107"/>
      <c r="E250" s="107"/>
      <c r="F250" s="107"/>
      <c r="G250" s="107"/>
      <c r="H250" s="107"/>
      <c r="I250" s="107"/>
      <c r="J250" s="107"/>
      <c r="K250" s="107"/>
    </row>
    <row r="251" spans="1:12" x14ac:dyDescent="0.2">
      <c r="A251" s="107"/>
      <c r="B251" s="107"/>
      <c r="C251" s="107"/>
      <c r="D251" s="107"/>
      <c r="E251" s="107"/>
      <c r="F251" s="107"/>
      <c r="G251" s="107"/>
      <c r="H251" s="107"/>
      <c r="I251" s="107"/>
      <c r="J251" s="107"/>
      <c r="K251" s="107"/>
    </row>
    <row r="252" spans="1:12" x14ac:dyDescent="0.2">
      <c r="A252" s="526" t="s">
        <v>2077</v>
      </c>
      <c r="B252" s="107"/>
      <c r="C252" s="107"/>
      <c r="D252" s="107"/>
      <c r="E252" s="107"/>
      <c r="F252" s="107"/>
      <c r="G252" s="107"/>
      <c r="H252" s="107"/>
      <c r="I252" s="107"/>
      <c r="J252" s="107"/>
      <c r="K252" s="107"/>
    </row>
    <row r="253" spans="1:12" ht="34.25" customHeight="1" x14ac:dyDescent="0.2">
      <c r="A253" s="782" t="s">
        <v>2743</v>
      </c>
      <c r="B253" s="783"/>
      <c r="C253" s="783"/>
      <c r="D253" s="783"/>
      <c r="E253" s="783"/>
      <c r="F253" s="783"/>
      <c r="G253" s="783"/>
      <c r="H253" s="783"/>
      <c r="I253" s="783"/>
      <c r="J253" s="783"/>
      <c r="K253" s="784"/>
    </row>
    <row r="254" spans="1:12" ht="35" customHeight="1" x14ac:dyDescent="0.2">
      <c r="A254" s="751" t="s">
        <v>1881</v>
      </c>
      <c r="B254" s="751" t="s">
        <v>2724</v>
      </c>
      <c r="C254" s="751" t="s">
        <v>2725</v>
      </c>
      <c r="D254" s="751" t="s">
        <v>2726</v>
      </c>
      <c r="E254" s="751" t="s">
        <v>2727</v>
      </c>
      <c r="F254" s="751" t="s">
        <v>2728</v>
      </c>
      <c r="G254" s="751" t="s">
        <v>2729</v>
      </c>
      <c r="H254" s="751" t="s">
        <v>2730</v>
      </c>
      <c r="I254" s="751" t="s">
        <v>2731</v>
      </c>
      <c r="J254" s="751" t="s">
        <v>2732</v>
      </c>
      <c r="K254" s="751" t="s">
        <v>2519</v>
      </c>
    </row>
    <row r="255" spans="1:12" x14ac:dyDescent="0.2">
      <c r="A255" s="533" t="s">
        <v>2744</v>
      </c>
      <c r="B255" s="533"/>
      <c r="C255" s="533">
        <v>80000</v>
      </c>
      <c r="D255" s="533"/>
      <c r="E255" s="533"/>
      <c r="F255" s="533">
        <v>20000</v>
      </c>
      <c r="G255" s="533"/>
      <c r="H255" s="533">
        <v>94050</v>
      </c>
      <c r="I255" s="533"/>
      <c r="J255" s="533">
        <v>30000</v>
      </c>
      <c r="K255" s="533">
        <v>224050</v>
      </c>
      <c r="L255" s="321">
        <f>+SUM(B255:J255)</f>
        <v>224050</v>
      </c>
    </row>
    <row r="256" spans="1:12" x14ac:dyDescent="0.2">
      <c r="A256" s="533" t="s">
        <v>2745</v>
      </c>
      <c r="B256" s="533"/>
      <c r="C256" s="533"/>
      <c r="D256" s="533"/>
      <c r="E256" s="533"/>
      <c r="F256" s="533">
        <v>75000</v>
      </c>
      <c r="G256" s="533"/>
      <c r="H256" s="533">
        <v>14000</v>
      </c>
      <c r="I256" s="533">
        <v>16000</v>
      </c>
      <c r="J256" s="533">
        <v>30000</v>
      </c>
      <c r="K256" s="533">
        <v>135000</v>
      </c>
      <c r="L256" s="321">
        <f t="shared" ref="L256:L270" si="2">+SUM(B256:J256)</f>
        <v>135000</v>
      </c>
    </row>
    <row r="257" spans="1:12" x14ac:dyDescent="0.2">
      <c r="A257" s="533" t="s">
        <v>2746</v>
      </c>
      <c r="B257" s="533">
        <v>75000</v>
      </c>
      <c r="C257" s="533">
        <v>30000</v>
      </c>
      <c r="D257" s="533">
        <v>26000</v>
      </c>
      <c r="E257" s="533">
        <v>13000</v>
      </c>
      <c r="F257" s="533"/>
      <c r="G257" s="533">
        <v>12605</v>
      </c>
      <c r="H257" s="533">
        <v>10900</v>
      </c>
      <c r="I257" s="533">
        <v>112000</v>
      </c>
      <c r="J257" s="533">
        <v>10000</v>
      </c>
      <c r="K257" s="533">
        <v>289505</v>
      </c>
      <c r="L257" s="321">
        <f t="shared" si="2"/>
        <v>289505</v>
      </c>
    </row>
    <row r="258" spans="1:12" x14ac:dyDescent="0.2">
      <c r="A258" s="533" t="s">
        <v>2747</v>
      </c>
      <c r="B258" s="533">
        <v>75000</v>
      </c>
      <c r="C258" s="533">
        <v>4000</v>
      </c>
      <c r="D258" s="533"/>
      <c r="E258" s="533">
        <v>100000</v>
      </c>
      <c r="F258" s="533">
        <v>68000</v>
      </c>
      <c r="G258" s="533"/>
      <c r="H258" s="533"/>
      <c r="I258" s="533"/>
      <c r="J258" s="533"/>
      <c r="K258" s="533">
        <v>247000</v>
      </c>
      <c r="L258" s="321">
        <f t="shared" si="2"/>
        <v>247000</v>
      </c>
    </row>
    <row r="259" spans="1:12" x14ac:dyDescent="0.2">
      <c r="A259" s="533" t="s">
        <v>2748</v>
      </c>
      <c r="B259" s="533">
        <v>85000</v>
      </c>
      <c r="C259" s="533">
        <v>4000</v>
      </c>
      <c r="D259" s="533"/>
      <c r="E259" s="533">
        <v>33625</v>
      </c>
      <c r="F259" s="533">
        <v>12000</v>
      </c>
      <c r="G259" s="533"/>
      <c r="H259" s="533"/>
      <c r="I259" s="533"/>
      <c r="J259" s="533"/>
      <c r="K259" s="533">
        <v>134625</v>
      </c>
      <c r="L259" s="321">
        <f t="shared" si="2"/>
        <v>134625</v>
      </c>
    </row>
    <row r="260" spans="1:12" x14ac:dyDescent="0.2">
      <c r="A260" s="533" t="s">
        <v>2749</v>
      </c>
      <c r="B260" s="533">
        <v>58100</v>
      </c>
      <c r="C260" s="533">
        <v>85000</v>
      </c>
      <c r="D260" s="533"/>
      <c r="E260" s="533">
        <v>18000</v>
      </c>
      <c r="F260" s="533">
        <v>60000</v>
      </c>
      <c r="G260" s="533">
        <v>11223</v>
      </c>
      <c r="H260" s="533">
        <v>54633</v>
      </c>
      <c r="I260" s="533">
        <v>48000</v>
      </c>
      <c r="J260" s="533">
        <v>15000</v>
      </c>
      <c r="K260" s="533">
        <v>349956</v>
      </c>
      <c r="L260" s="321">
        <f t="shared" si="2"/>
        <v>349956</v>
      </c>
    </row>
    <row r="261" spans="1:12" x14ac:dyDescent="0.2">
      <c r="A261" s="533" t="s">
        <v>2750</v>
      </c>
      <c r="B261" s="533"/>
      <c r="C261" s="533"/>
      <c r="D261" s="533"/>
      <c r="E261" s="533"/>
      <c r="F261" s="533"/>
      <c r="G261" s="533">
        <v>3063</v>
      </c>
      <c r="H261" s="533">
        <v>44200</v>
      </c>
      <c r="I261" s="533"/>
      <c r="J261" s="533"/>
      <c r="K261" s="533">
        <v>47263</v>
      </c>
      <c r="L261" s="321">
        <f t="shared" si="2"/>
        <v>47263</v>
      </c>
    </row>
    <row r="262" spans="1:12" x14ac:dyDescent="0.2">
      <c r="A262" s="533" t="s">
        <v>2751</v>
      </c>
      <c r="B262" s="533">
        <v>6341</v>
      </c>
      <c r="C262" s="533">
        <v>5000</v>
      </c>
      <c r="D262" s="533">
        <v>2600</v>
      </c>
      <c r="E262" s="533">
        <v>4000</v>
      </c>
      <c r="F262" s="533">
        <v>15000</v>
      </c>
      <c r="G262" s="533">
        <v>713</v>
      </c>
      <c r="H262" s="533">
        <v>5300</v>
      </c>
      <c r="I262" s="533"/>
      <c r="J262" s="533">
        <v>4000</v>
      </c>
      <c r="K262" s="533">
        <v>42954</v>
      </c>
      <c r="L262" s="321">
        <f t="shared" si="2"/>
        <v>42954</v>
      </c>
    </row>
    <row r="263" spans="1:12" x14ac:dyDescent="0.2">
      <c r="A263" s="533" t="s">
        <v>1401</v>
      </c>
      <c r="B263" s="533">
        <v>11517</v>
      </c>
      <c r="C263" s="533">
        <v>11000</v>
      </c>
      <c r="D263" s="533">
        <v>12000</v>
      </c>
      <c r="E263" s="533">
        <v>20000</v>
      </c>
      <c r="F263" s="533">
        <v>25000</v>
      </c>
      <c r="G263" s="533"/>
      <c r="H263" s="533">
        <v>16400</v>
      </c>
      <c r="I263" s="533"/>
      <c r="J263" s="533">
        <v>12500</v>
      </c>
      <c r="K263" s="533">
        <v>108417</v>
      </c>
      <c r="L263" s="321">
        <f t="shared" si="2"/>
        <v>108417</v>
      </c>
    </row>
    <row r="264" spans="1:12" x14ac:dyDescent="0.2">
      <c r="A264" s="533" t="s">
        <v>2752</v>
      </c>
      <c r="B264" s="533"/>
      <c r="C264" s="533"/>
      <c r="D264" s="533">
        <v>18632</v>
      </c>
      <c r="E264" s="533">
        <v>2570</v>
      </c>
      <c r="F264" s="533">
        <v>21200</v>
      </c>
      <c r="G264" s="533">
        <v>25000</v>
      </c>
      <c r="H264" s="533">
        <v>25000</v>
      </c>
      <c r="I264" s="533">
        <v>12850</v>
      </c>
      <c r="J264" s="533">
        <v>8995</v>
      </c>
      <c r="K264" s="533">
        <v>114247</v>
      </c>
      <c r="L264" s="321">
        <f t="shared" si="2"/>
        <v>114247</v>
      </c>
    </row>
    <row r="265" spans="1:12" x14ac:dyDescent="0.2">
      <c r="A265" s="533" t="s">
        <v>2753</v>
      </c>
      <c r="B265" s="533"/>
      <c r="C265" s="533"/>
      <c r="D265" s="533">
        <v>45000</v>
      </c>
      <c r="E265" s="533"/>
      <c r="F265" s="533"/>
      <c r="G265" s="533">
        <v>15630</v>
      </c>
      <c r="H265" s="533">
        <v>5000</v>
      </c>
      <c r="I265" s="533"/>
      <c r="J265" s="533"/>
      <c r="K265" s="533">
        <v>65630</v>
      </c>
      <c r="L265" s="321">
        <f t="shared" si="2"/>
        <v>65630</v>
      </c>
    </row>
    <row r="266" spans="1:12" x14ac:dyDescent="0.2">
      <c r="A266" s="533" t="s">
        <v>1175</v>
      </c>
      <c r="B266" s="533">
        <v>1164</v>
      </c>
      <c r="C266" s="533">
        <v>1400</v>
      </c>
      <c r="D266" s="533"/>
      <c r="E266" s="533">
        <v>200</v>
      </c>
      <c r="F266" s="533">
        <v>5020</v>
      </c>
      <c r="G266" s="533"/>
      <c r="H266" s="533"/>
      <c r="I266" s="533"/>
      <c r="J266" s="533"/>
      <c r="K266" s="533">
        <v>7784</v>
      </c>
      <c r="L266" s="321">
        <f t="shared" si="2"/>
        <v>7784</v>
      </c>
    </row>
    <row r="267" spans="1:12" x14ac:dyDescent="0.2">
      <c r="A267" s="533" t="s">
        <v>2754</v>
      </c>
      <c r="B267" s="533">
        <v>14913</v>
      </c>
      <c r="C267" s="533">
        <v>6550</v>
      </c>
      <c r="D267" s="533"/>
      <c r="E267" s="533"/>
      <c r="F267" s="533"/>
      <c r="G267" s="533"/>
      <c r="H267" s="533">
        <v>12183</v>
      </c>
      <c r="I267" s="533"/>
      <c r="J267" s="533"/>
      <c r="K267" s="533">
        <v>33646</v>
      </c>
      <c r="L267" s="321">
        <f t="shared" si="2"/>
        <v>33646</v>
      </c>
    </row>
    <row r="268" spans="1:12" x14ac:dyDescent="0.2">
      <c r="A268" s="533" t="s">
        <v>2662</v>
      </c>
      <c r="B268" s="533"/>
      <c r="C268" s="533"/>
      <c r="D268" s="533"/>
      <c r="E268" s="533"/>
      <c r="F268" s="533">
        <v>40000</v>
      </c>
      <c r="G268" s="533"/>
      <c r="H268" s="533"/>
      <c r="I268" s="533"/>
      <c r="J268" s="533"/>
      <c r="K268" s="533">
        <v>40000</v>
      </c>
      <c r="L268" s="321">
        <f t="shared" si="2"/>
        <v>40000</v>
      </c>
    </row>
    <row r="269" spans="1:12" x14ac:dyDescent="0.2">
      <c r="A269" s="533" t="s">
        <v>1423</v>
      </c>
      <c r="B269" s="533"/>
      <c r="C269" s="533"/>
      <c r="D269" s="533"/>
      <c r="E269" s="533"/>
      <c r="F269" s="533"/>
      <c r="G269" s="533"/>
      <c r="H269" s="533">
        <v>3783</v>
      </c>
      <c r="I269" s="533"/>
      <c r="J269" s="533"/>
      <c r="K269" s="533">
        <v>3783</v>
      </c>
      <c r="L269" s="321">
        <f t="shared" si="2"/>
        <v>3783</v>
      </c>
    </row>
    <row r="270" spans="1:12" x14ac:dyDescent="0.2">
      <c r="A270" s="534" t="s">
        <v>2755</v>
      </c>
      <c r="B270" s="533">
        <v>16511</v>
      </c>
      <c r="C270" s="533">
        <v>6300</v>
      </c>
      <c r="D270" s="533"/>
      <c r="E270" s="533">
        <v>21452</v>
      </c>
      <c r="F270" s="533"/>
      <c r="G270" s="533">
        <v>2705</v>
      </c>
      <c r="H270" s="533">
        <v>10900</v>
      </c>
      <c r="I270" s="533">
        <v>1700</v>
      </c>
      <c r="J270" s="533">
        <v>7500</v>
      </c>
      <c r="K270" s="533">
        <v>67068</v>
      </c>
      <c r="L270" s="321">
        <f t="shared" si="2"/>
        <v>67068</v>
      </c>
    </row>
    <row r="271" spans="1:12" x14ac:dyDescent="0.2">
      <c r="A271" s="230"/>
      <c r="B271" s="808">
        <v>343546</v>
      </c>
      <c r="C271" s="808">
        <v>233250</v>
      </c>
      <c r="D271" s="808">
        <v>104232</v>
      </c>
      <c r="E271" s="808">
        <v>212847</v>
      </c>
      <c r="F271" s="808">
        <v>341220</v>
      </c>
      <c r="G271" s="808">
        <v>70939</v>
      </c>
      <c r="H271" s="808">
        <v>296349</v>
      </c>
      <c r="I271" s="808">
        <v>190550</v>
      </c>
      <c r="J271" s="808">
        <v>117995</v>
      </c>
      <c r="K271" s="808">
        <v>1910928</v>
      </c>
    </row>
    <row r="272" spans="1:12" x14ac:dyDescent="0.2">
      <c r="A272" s="131"/>
      <c r="B272" s="343">
        <f>+SUM(B255:B270)</f>
        <v>343546</v>
      </c>
      <c r="C272" s="343">
        <f t="shared" ref="C272:K272" si="3">+SUM(C255:C270)</f>
        <v>233250</v>
      </c>
      <c r="D272" s="343">
        <f t="shared" si="3"/>
        <v>104232</v>
      </c>
      <c r="E272" s="343">
        <f t="shared" si="3"/>
        <v>212847</v>
      </c>
      <c r="F272" s="343">
        <f t="shared" si="3"/>
        <v>341220</v>
      </c>
      <c r="G272" s="343">
        <f t="shared" si="3"/>
        <v>70939</v>
      </c>
      <c r="H272" s="343">
        <f t="shared" si="3"/>
        <v>296349</v>
      </c>
      <c r="I272" s="343">
        <f t="shared" si="3"/>
        <v>190550</v>
      </c>
      <c r="J272" s="343">
        <f t="shared" si="3"/>
        <v>117995</v>
      </c>
      <c r="K272" s="343">
        <f t="shared" si="3"/>
        <v>1910928</v>
      </c>
    </row>
    <row r="273" spans="1:11" ht="26" customHeight="1" x14ac:dyDescent="0.2">
      <c r="A273" s="842"/>
      <c r="B273" s="843" t="s">
        <v>2756</v>
      </c>
      <c r="C273" s="844"/>
      <c r="D273" s="844"/>
      <c r="E273" s="844"/>
      <c r="F273" s="844"/>
      <c r="G273" s="845"/>
      <c r="H273" s="353"/>
      <c r="I273" s="354"/>
      <c r="J273" s="354"/>
      <c r="K273" s="604"/>
    </row>
    <row r="274" spans="1:11" ht="27.5" customHeight="1" x14ac:dyDescent="0.2">
      <c r="A274" s="846"/>
      <c r="B274" s="485" t="s">
        <v>2636</v>
      </c>
      <c r="C274" s="712"/>
      <c r="D274" s="712"/>
      <c r="E274" s="486"/>
      <c r="F274" s="811" t="s">
        <v>1881</v>
      </c>
      <c r="G274" s="810" t="s">
        <v>2506</v>
      </c>
      <c r="H274" s="494"/>
      <c r="I274" s="495"/>
      <c r="J274" s="495"/>
      <c r="K274" s="550"/>
    </row>
    <row r="275" spans="1:11" x14ac:dyDescent="0.2">
      <c r="A275" s="846"/>
      <c r="B275" s="847" t="s">
        <v>2724</v>
      </c>
      <c r="C275" s="848"/>
      <c r="D275" s="848"/>
      <c r="E275" s="849"/>
      <c r="F275" s="131">
        <v>343546</v>
      </c>
      <c r="G275" s="533">
        <v>342546</v>
      </c>
      <c r="H275" s="494"/>
      <c r="I275" s="495"/>
      <c r="J275" s="495"/>
      <c r="K275" s="550"/>
    </row>
    <row r="276" spans="1:11" x14ac:dyDescent="0.2">
      <c r="A276" s="846"/>
      <c r="B276" s="847" t="s">
        <v>2725</v>
      </c>
      <c r="C276" s="848"/>
      <c r="D276" s="848"/>
      <c r="E276" s="849"/>
      <c r="F276" s="131">
        <v>233250</v>
      </c>
      <c r="G276" s="533">
        <v>227366</v>
      </c>
      <c r="H276" s="494"/>
      <c r="I276" s="495"/>
      <c r="J276" s="495"/>
      <c r="K276" s="550"/>
    </row>
    <row r="277" spans="1:11" x14ac:dyDescent="0.2">
      <c r="A277" s="846"/>
      <c r="B277" s="847" t="s">
        <v>2726</v>
      </c>
      <c r="C277" s="848"/>
      <c r="D277" s="848"/>
      <c r="E277" s="849"/>
      <c r="F277" s="131">
        <v>104232</v>
      </c>
      <c r="G277" s="533">
        <v>105376</v>
      </c>
      <c r="H277" s="494"/>
      <c r="I277" s="495"/>
      <c r="J277" s="495"/>
      <c r="K277" s="550"/>
    </row>
    <row r="278" spans="1:11" x14ac:dyDescent="0.2">
      <c r="A278" s="846"/>
      <c r="B278" s="847" t="s">
        <v>2727</v>
      </c>
      <c r="C278" s="848"/>
      <c r="D278" s="848"/>
      <c r="E278" s="849"/>
      <c r="F278" s="131">
        <v>212847</v>
      </c>
      <c r="G278" s="533">
        <v>251173</v>
      </c>
      <c r="H278" s="494"/>
      <c r="I278" s="495"/>
      <c r="J278" s="495"/>
      <c r="K278" s="550"/>
    </row>
    <row r="279" spans="1:11" x14ac:dyDescent="0.2">
      <c r="A279" s="846"/>
      <c r="B279" s="847" t="s">
        <v>2728</v>
      </c>
      <c r="C279" s="848"/>
      <c r="D279" s="848"/>
      <c r="E279" s="849"/>
      <c r="F279" s="131">
        <v>341220</v>
      </c>
      <c r="G279" s="533">
        <v>296168</v>
      </c>
      <c r="H279" s="494"/>
      <c r="I279" s="495"/>
      <c r="J279" s="495"/>
      <c r="K279" s="550"/>
    </row>
    <row r="280" spans="1:11" x14ac:dyDescent="0.2">
      <c r="A280" s="846"/>
      <c r="B280" s="847" t="s">
        <v>2729</v>
      </c>
      <c r="C280" s="848"/>
      <c r="D280" s="848"/>
      <c r="E280" s="849"/>
      <c r="F280" s="131">
        <v>70939</v>
      </c>
      <c r="G280" s="533">
        <v>68142</v>
      </c>
      <c r="H280" s="494"/>
      <c r="I280" s="495"/>
      <c r="J280" s="495"/>
      <c r="K280" s="550"/>
    </row>
    <row r="281" spans="1:11" x14ac:dyDescent="0.2">
      <c r="A281" s="846"/>
      <c r="B281" s="847" t="s">
        <v>2730</v>
      </c>
      <c r="C281" s="848"/>
      <c r="D281" s="848"/>
      <c r="E281" s="849"/>
      <c r="F281" s="131">
        <v>296349</v>
      </c>
      <c r="G281" s="533">
        <v>343955</v>
      </c>
      <c r="H281" s="494"/>
      <c r="I281" s="495"/>
      <c r="J281" s="495"/>
      <c r="K281" s="550"/>
    </row>
    <row r="282" spans="1:11" x14ac:dyDescent="0.2">
      <c r="A282" s="846"/>
      <c r="B282" s="847" t="s">
        <v>2731</v>
      </c>
      <c r="C282" s="848"/>
      <c r="D282" s="848"/>
      <c r="E282" s="849"/>
      <c r="F282" s="131">
        <v>190550</v>
      </c>
      <c r="G282" s="533">
        <v>220041</v>
      </c>
      <c r="H282" s="494"/>
      <c r="I282" s="495"/>
      <c r="J282" s="495"/>
      <c r="K282" s="550"/>
    </row>
    <row r="283" spans="1:11" x14ac:dyDescent="0.2">
      <c r="A283" s="846"/>
      <c r="B283" s="847" t="s">
        <v>2732</v>
      </c>
      <c r="C283" s="848"/>
      <c r="D283" s="848"/>
      <c r="E283" s="849"/>
      <c r="F283" s="131">
        <v>117995</v>
      </c>
      <c r="G283" s="533">
        <v>174937</v>
      </c>
      <c r="H283" s="494"/>
      <c r="I283" s="495"/>
      <c r="J283" s="495"/>
      <c r="K283" s="550"/>
    </row>
    <row r="284" spans="1:11" x14ac:dyDescent="0.2">
      <c r="A284" s="850"/>
      <c r="B284" s="851" t="s">
        <v>2757</v>
      </c>
      <c r="C284" s="852"/>
      <c r="D284" s="852"/>
      <c r="E284" s="853"/>
      <c r="F284" s="240">
        <v>1910928</v>
      </c>
      <c r="G284" s="808">
        <v>2029704</v>
      </c>
      <c r="H284" s="355"/>
      <c r="I284" s="356"/>
      <c r="J284" s="356"/>
      <c r="K284" s="357"/>
    </row>
    <row r="285" spans="1:11" x14ac:dyDescent="0.2">
      <c r="A285" s="107"/>
      <c r="B285" s="107"/>
      <c r="C285" s="107"/>
      <c r="D285" s="107"/>
      <c r="E285" s="107"/>
      <c r="F285" s="107"/>
      <c r="G285" s="107"/>
      <c r="H285" s="107"/>
      <c r="I285" s="107"/>
      <c r="J285" s="107"/>
      <c r="K285" s="107"/>
    </row>
    <row r="286" spans="1:11" x14ac:dyDescent="0.2">
      <c r="A286" s="107"/>
      <c r="B286" s="107"/>
      <c r="C286" s="107"/>
      <c r="D286" s="107"/>
      <c r="E286" s="107"/>
      <c r="F286" s="107"/>
      <c r="G286" s="107"/>
      <c r="H286" s="107"/>
      <c r="I286" s="107"/>
      <c r="J286" s="107"/>
      <c r="K286" s="107"/>
    </row>
    <row r="287" spans="1:11" x14ac:dyDescent="0.2">
      <c r="A287" s="107"/>
      <c r="B287" s="107"/>
      <c r="C287" s="107"/>
      <c r="D287" s="107"/>
      <c r="E287" s="107"/>
      <c r="F287" s="107"/>
      <c r="G287" s="107"/>
      <c r="H287" s="107"/>
      <c r="I287" s="107"/>
      <c r="J287" s="107"/>
      <c r="K287" s="107"/>
    </row>
    <row r="288" spans="1:11" x14ac:dyDescent="0.2">
      <c r="A288" s="107"/>
      <c r="B288" s="107"/>
      <c r="C288" s="107"/>
      <c r="D288" s="107"/>
      <c r="E288" s="107"/>
      <c r="F288" s="107"/>
      <c r="G288" s="107"/>
      <c r="H288" s="107"/>
      <c r="I288" s="107"/>
      <c r="J288" s="107"/>
      <c r="K288" s="107"/>
    </row>
    <row r="289" spans="1:11" x14ac:dyDescent="0.2">
      <c r="A289" s="107"/>
      <c r="B289" s="107"/>
      <c r="C289" s="107"/>
      <c r="D289" s="107"/>
      <c r="E289" s="107"/>
      <c r="F289" s="107"/>
      <c r="G289" s="107"/>
      <c r="H289" s="107"/>
      <c r="I289" s="107"/>
      <c r="J289" s="107"/>
      <c r="K289" s="107"/>
    </row>
    <row r="290" spans="1:11" x14ac:dyDescent="0.2">
      <c r="A290" s="107"/>
      <c r="B290" s="107"/>
      <c r="C290" s="107"/>
      <c r="D290" s="107"/>
      <c r="E290" s="107"/>
      <c r="F290" s="107"/>
      <c r="G290" s="107"/>
      <c r="H290" s="107"/>
      <c r="I290" s="107"/>
      <c r="J290" s="107"/>
      <c r="K290" s="107"/>
    </row>
    <row r="291" spans="1:11" x14ac:dyDescent="0.2">
      <c r="A291" s="107"/>
      <c r="B291" s="107"/>
      <c r="C291" s="107"/>
      <c r="D291" s="107"/>
      <c r="E291" s="107"/>
      <c r="F291" s="107"/>
      <c r="G291" s="107"/>
      <c r="H291" s="107"/>
      <c r="I291" s="107"/>
      <c r="J291" s="107"/>
      <c r="K291" s="107"/>
    </row>
    <row r="292" spans="1:11" x14ac:dyDescent="0.2">
      <c r="A292" s="107"/>
      <c r="B292" s="107"/>
      <c r="C292" s="107"/>
      <c r="D292" s="107"/>
      <c r="E292" s="107"/>
      <c r="F292" s="107"/>
      <c r="G292" s="107"/>
      <c r="H292" s="107"/>
      <c r="I292" s="107"/>
      <c r="J292" s="107"/>
      <c r="K292" s="107"/>
    </row>
    <row r="293" spans="1:11" x14ac:dyDescent="0.2">
      <c r="A293" s="107"/>
      <c r="B293" s="107"/>
      <c r="C293" s="107"/>
      <c r="D293" s="107"/>
      <c r="E293" s="107"/>
      <c r="F293" s="107"/>
      <c r="G293" s="107"/>
      <c r="H293" s="107"/>
      <c r="I293" s="107"/>
      <c r="J293" s="107"/>
      <c r="K293" s="107"/>
    </row>
    <row r="294" spans="1:11" x14ac:dyDescent="0.2">
      <c r="A294" s="107"/>
      <c r="B294" s="107"/>
      <c r="C294" s="107"/>
      <c r="D294" s="107"/>
      <c r="E294" s="107"/>
      <c r="F294" s="107"/>
      <c r="G294" s="107"/>
      <c r="H294" s="107"/>
      <c r="I294" s="107"/>
      <c r="J294" s="107"/>
      <c r="K294" s="107"/>
    </row>
    <row r="295" spans="1:11" x14ac:dyDescent="0.2">
      <c r="A295" s="107"/>
      <c r="B295" s="107"/>
      <c r="C295" s="107"/>
      <c r="D295" s="107"/>
      <c r="E295" s="107"/>
      <c r="F295" s="107"/>
      <c r="G295" s="107"/>
      <c r="H295" s="107"/>
      <c r="I295" s="107"/>
      <c r="J295" s="107"/>
      <c r="K295" s="107"/>
    </row>
    <row r="296" spans="1:11" x14ac:dyDescent="0.2">
      <c r="A296" s="107"/>
      <c r="B296" s="107"/>
      <c r="C296" s="107"/>
      <c r="D296" s="107"/>
      <c r="E296" s="107"/>
      <c r="F296" s="107"/>
      <c r="G296" s="107"/>
      <c r="H296" s="107"/>
      <c r="I296" s="107"/>
      <c r="J296" s="107"/>
      <c r="K296" s="107"/>
    </row>
    <row r="297" spans="1:11" x14ac:dyDescent="0.2">
      <c r="A297" s="107"/>
      <c r="B297" s="107"/>
      <c r="C297" s="107"/>
      <c r="D297" s="107"/>
      <c r="E297" s="107"/>
      <c r="F297" s="107"/>
      <c r="G297" s="107"/>
      <c r="H297" s="107"/>
      <c r="I297" s="107"/>
      <c r="J297" s="107"/>
      <c r="K297" s="107"/>
    </row>
    <row r="298" spans="1:11" x14ac:dyDescent="0.2">
      <c r="A298" s="107"/>
      <c r="B298" s="107"/>
      <c r="C298" s="107"/>
      <c r="D298" s="107"/>
      <c r="E298" s="107"/>
      <c r="F298" s="107"/>
      <c r="G298" s="107"/>
      <c r="H298" s="107"/>
      <c r="I298" s="107"/>
      <c r="J298" s="107"/>
      <c r="K298" s="107"/>
    </row>
    <row r="299" spans="1:11" x14ac:dyDescent="0.2">
      <c r="A299" s="107"/>
      <c r="B299" s="107"/>
      <c r="C299" s="107"/>
      <c r="D299" s="107"/>
      <c r="E299" s="107"/>
      <c r="F299" s="107"/>
      <c r="G299" s="107"/>
      <c r="H299" s="107"/>
      <c r="I299" s="107"/>
      <c r="J299" s="107"/>
      <c r="K299" s="107"/>
    </row>
    <row r="300" spans="1:11" x14ac:dyDescent="0.2">
      <c r="A300" s="107"/>
      <c r="B300" s="107"/>
      <c r="C300" s="107"/>
      <c r="D300" s="107"/>
      <c r="E300" s="107"/>
      <c r="F300" s="107"/>
      <c r="G300" s="107"/>
      <c r="H300" s="107"/>
      <c r="I300" s="107"/>
      <c r="J300" s="107"/>
      <c r="K300" s="107"/>
    </row>
    <row r="301" spans="1:11" x14ac:dyDescent="0.2">
      <c r="A301" s="107"/>
      <c r="B301" s="107"/>
      <c r="C301" s="107"/>
      <c r="D301" s="107"/>
      <c r="E301" s="107"/>
      <c r="F301" s="107"/>
      <c r="G301" s="107"/>
      <c r="H301" s="107"/>
      <c r="I301" s="107"/>
      <c r="J301" s="107"/>
      <c r="K301" s="107"/>
    </row>
    <row r="302" spans="1:11" x14ac:dyDescent="0.2">
      <c r="A302" s="107"/>
      <c r="B302" s="107"/>
      <c r="C302" s="107"/>
      <c r="D302" s="107"/>
      <c r="E302" s="107"/>
      <c r="F302" s="107"/>
      <c r="G302" s="107"/>
      <c r="H302" s="107"/>
      <c r="I302" s="107"/>
      <c r="J302" s="107"/>
      <c r="K302" s="107"/>
    </row>
    <row r="303" spans="1:11" x14ac:dyDescent="0.2">
      <c r="A303" s="107"/>
      <c r="B303" s="107"/>
      <c r="C303" s="107"/>
      <c r="D303" s="107"/>
      <c r="E303" s="107"/>
      <c r="F303" s="107"/>
      <c r="G303" s="107"/>
      <c r="H303" s="107"/>
      <c r="I303" s="107"/>
      <c r="J303" s="107"/>
      <c r="K303" s="107"/>
    </row>
    <row r="304" spans="1:11" x14ac:dyDescent="0.2">
      <c r="A304" s="107"/>
      <c r="B304" s="107"/>
      <c r="C304" s="107"/>
      <c r="D304" s="107"/>
      <c r="E304" s="107"/>
      <c r="F304" s="107"/>
      <c r="G304" s="107"/>
      <c r="H304" s="107"/>
      <c r="I304" s="107"/>
      <c r="J304" s="107"/>
      <c r="K304" s="107"/>
    </row>
    <row r="305" spans="1:11" x14ac:dyDescent="0.2">
      <c r="A305" s="107"/>
      <c r="B305" s="107"/>
      <c r="C305" s="107"/>
      <c r="D305" s="107"/>
      <c r="E305" s="107"/>
      <c r="F305" s="107"/>
      <c r="G305" s="107"/>
      <c r="H305" s="107"/>
      <c r="I305" s="107"/>
      <c r="J305" s="107"/>
      <c r="K305" s="107"/>
    </row>
    <row r="306" spans="1:11" x14ac:dyDescent="0.2">
      <c r="A306" s="107"/>
      <c r="B306" s="107"/>
      <c r="C306" s="107"/>
      <c r="D306" s="107"/>
      <c r="E306" s="107"/>
      <c r="F306" s="107"/>
      <c r="G306" s="107"/>
      <c r="H306" s="107"/>
      <c r="I306" s="107"/>
      <c r="J306" s="107"/>
      <c r="K306" s="107"/>
    </row>
    <row r="307" spans="1:11" x14ac:dyDescent="0.2">
      <c r="A307" s="107"/>
      <c r="B307" s="107"/>
      <c r="C307" s="107"/>
      <c r="D307" s="107"/>
      <c r="E307" s="107"/>
      <c r="F307" s="107"/>
      <c r="G307" s="107"/>
      <c r="H307" s="107"/>
      <c r="I307" s="107"/>
      <c r="J307" s="107"/>
      <c r="K307" s="107"/>
    </row>
    <row r="308" spans="1:11" x14ac:dyDescent="0.2">
      <c r="A308" s="107"/>
      <c r="B308" s="107"/>
      <c r="C308" s="107"/>
      <c r="D308" s="107"/>
      <c r="E308" s="107"/>
      <c r="F308" s="107"/>
      <c r="G308" s="107"/>
      <c r="H308" s="107"/>
      <c r="I308" s="107"/>
      <c r="J308" s="107"/>
      <c r="K308" s="107"/>
    </row>
    <row r="309" spans="1:11" x14ac:dyDescent="0.2">
      <c r="A309" s="107"/>
      <c r="B309" s="107"/>
      <c r="C309" s="107"/>
      <c r="D309" s="107"/>
      <c r="E309" s="107"/>
      <c r="F309" s="107"/>
      <c r="G309" s="107"/>
      <c r="H309" s="107"/>
      <c r="I309" s="107"/>
      <c r="J309" s="107"/>
      <c r="K309" s="107"/>
    </row>
    <row r="310" spans="1:11" x14ac:dyDescent="0.2">
      <c r="A310" s="107"/>
      <c r="B310" s="107"/>
      <c r="C310" s="107"/>
      <c r="D310" s="107"/>
      <c r="E310" s="107"/>
      <c r="F310" s="107"/>
      <c r="G310" s="107"/>
      <c r="H310" s="107"/>
      <c r="I310" s="107"/>
      <c r="J310" s="107"/>
      <c r="K310" s="107"/>
    </row>
    <row r="311" spans="1:11" x14ac:dyDescent="0.2">
      <c r="A311" s="107"/>
      <c r="B311" s="107"/>
      <c r="C311" s="107"/>
      <c r="D311" s="107"/>
      <c r="E311" s="107"/>
      <c r="F311" s="107"/>
      <c r="G311" s="107"/>
      <c r="H311" s="107"/>
      <c r="I311" s="107"/>
      <c r="J311" s="107"/>
      <c r="K311" s="107"/>
    </row>
    <row r="312" spans="1:11" x14ac:dyDescent="0.2">
      <c r="A312" s="107"/>
      <c r="B312" s="107"/>
      <c r="C312" s="107"/>
      <c r="D312" s="107"/>
      <c r="E312" s="107"/>
      <c r="F312" s="107"/>
      <c r="G312" s="107"/>
      <c r="H312" s="107"/>
      <c r="I312" s="107"/>
      <c r="J312" s="107"/>
      <c r="K312" s="107"/>
    </row>
    <row r="313" spans="1:11" x14ac:dyDescent="0.2">
      <c r="A313" s="107"/>
      <c r="B313" s="107"/>
      <c r="C313" s="107"/>
      <c r="D313" s="107"/>
      <c r="E313" s="107"/>
      <c r="F313" s="107"/>
      <c r="G313" s="107"/>
      <c r="H313" s="107"/>
      <c r="I313" s="107"/>
      <c r="J313" s="107"/>
      <c r="K313" s="107"/>
    </row>
    <row r="314" spans="1:11" x14ac:dyDescent="0.2">
      <c r="A314" s="107"/>
      <c r="B314" s="107"/>
      <c r="C314" s="107"/>
      <c r="D314" s="107"/>
      <c r="E314" s="107"/>
      <c r="F314" s="107"/>
      <c r="G314" s="107"/>
      <c r="H314" s="107"/>
      <c r="I314" s="107"/>
      <c r="J314" s="107"/>
      <c r="K314" s="107"/>
    </row>
    <row r="315" spans="1:11" x14ac:dyDescent="0.2">
      <c r="A315" s="107"/>
      <c r="B315" s="107"/>
      <c r="C315" s="107"/>
      <c r="D315" s="107"/>
      <c r="E315" s="107"/>
      <c r="F315" s="107"/>
      <c r="G315" s="107"/>
      <c r="H315" s="107"/>
      <c r="I315" s="107"/>
      <c r="J315" s="107"/>
      <c r="K315" s="107"/>
    </row>
    <row r="316" spans="1:11" x14ac:dyDescent="0.2">
      <c r="A316" s="107"/>
      <c r="B316" s="107"/>
      <c r="C316" s="107"/>
      <c r="D316" s="107"/>
      <c r="E316" s="107"/>
      <c r="F316" s="107"/>
      <c r="G316" s="107"/>
      <c r="H316" s="107"/>
      <c r="I316" s="107"/>
      <c r="J316" s="107"/>
      <c r="K316" s="107"/>
    </row>
    <row r="317" spans="1:11" x14ac:dyDescent="0.2">
      <c r="A317" s="107"/>
      <c r="B317" s="107"/>
      <c r="C317" s="107"/>
      <c r="D317" s="107"/>
      <c r="E317" s="107"/>
      <c r="F317" s="107"/>
      <c r="G317" s="107"/>
      <c r="H317" s="107"/>
      <c r="I317" s="107"/>
      <c r="J317" s="107"/>
      <c r="K317" s="107"/>
    </row>
    <row r="318" spans="1:11" x14ac:dyDescent="0.2">
      <c r="A318" s="107"/>
      <c r="B318" s="107"/>
      <c r="C318" s="107"/>
      <c r="D318" s="107"/>
      <c r="E318" s="107"/>
      <c r="F318" s="107"/>
      <c r="G318" s="107"/>
      <c r="H318" s="107"/>
      <c r="I318" s="107"/>
      <c r="J318" s="107"/>
      <c r="K318" s="107"/>
    </row>
    <row r="319" spans="1:11" x14ac:dyDescent="0.2">
      <c r="A319" s="107"/>
      <c r="B319" s="107"/>
      <c r="C319" s="107"/>
      <c r="D319" s="107"/>
      <c r="E319" s="107"/>
      <c r="F319" s="107"/>
      <c r="G319" s="107"/>
      <c r="H319" s="107"/>
      <c r="I319" s="107"/>
      <c r="J319" s="107"/>
      <c r="K319" s="107"/>
    </row>
    <row r="320" spans="1:11" x14ac:dyDescent="0.2">
      <c r="A320" s="107"/>
      <c r="B320" s="107"/>
      <c r="C320" s="107"/>
      <c r="D320" s="107"/>
      <c r="E320" s="107"/>
      <c r="F320" s="107"/>
      <c r="G320" s="107"/>
      <c r="H320" s="107"/>
      <c r="I320" s="107"/>
      <c r="J320" s="107"/>
      <c r="K320" s="107"/>
    </row>
    <row r="321" spans="1:11" x14ac:dyDescent="0.2">
      <c r="A321" s="107"/>
      <c r="B321" s="107"/>
      <c r="C321" s="107"/>
      <c r="D321" s="107"/>
      <c r="E321" s="107"/>
      <c r="F321" s="107"/>
      <c r="G321" s="107"/>
      <c r="H321" s="107"/>
      <c r="I321" s="107"/>
      <c r="J321" s="107"/>
      <c r="K321" s="107"/>
    </row>
    <row r="322" spans="1:11" x14ac:dyDescent="0.2">
      <c r="A322" s="107"/>
      <c r="B322" s="107"/>
      <c r="C322" s="107"/>
      <c r="D322" s="107"/>
      <c r="E322" s="107"/>
      <c r="F322" s="107"/>
      <c r="G322" s="107"/>
      <c r="H322" s="107"/>
      <c r="I322" s="107"/>
      <c r="J322" s="107"/>
      <c r="K322" s="107"/>
    </row>
    <row r="323" spans="1:11" x14ac:dyDescent="0.2">
      <c r="A323" s="107"/>
      <c r="B323" s="107"/>
      <c r="C323" s="107"/>
      <c r="D323" s="107"/>
      <c r="E323" s="107"/>
      <c r="F323" s="107"/>
      <c r="G323" s="107"/>
      <c r="H323" s="107"/>
      <c r="I323" s="107"/>
      <c r="J323" s="107"/>
      <c r="K323" s="107"/>
    </row>
    <row r="324" spans="1:11" x14ac:dyDescent="0.2">
      <c r="A324" s="107"/>
      <c r="B324" s="107"/>
      <c r="C324" s="107"/>
      <c r="D324" s="107"/>
      <c r="E324" s="107"/>
      <c r="F324" s="107"/>
      <c r="G324" s="107"/>
      <c r="H324" s="107"/>
      <c r="I324" s="107"/>
      <c r="J324" s="107"/>
      <c r="K324" s="107"/>
    </row>
    <row r="325" spans="1:11" x14ac:dyDescent="0.2">
      <c r="A325" s="107"/>
      <c r="B325" s="107"/>
      <c r="C325" s="107"/>
      <c r="D325" s="107"/>
      <c r="E325" s="107"/>
      <c r="F325" s="107"/>
      <c r="G325" s="107"/>
      <c r="H325" s="107"/>
      <c r="I325" s="107"/>
      <c r="J325" s="107"/>
      <c r="K325" s="107"/>
    </row>
    <row r="326" spans="1:11" x14ac:dyDescent="0.2">
      <c r="A326" s="107"/>
      <c r="B326" s="107"/>
      <c r="C326" s="107"/>
      <c r="D326" s="107"/>
      <c r="E326" s="107"/>
      <c r="F326" s="107"/>
      <c r="G326" s="107"/>
      <c r="H326" s="107"/>
      <c r="I326" s="107"/>
      <c r="J326" s="107"/>
      <c r="K326" s="107"/>
    </row>
    <row r="327" spans="1:11" x14ac:dyDescent="0.2">
      <c r="A327" s="107"/>
      <c r="B327" s="107"/>
      <c r="C327" s="107"/>
      <c r="D327" s="107"/>
      <c r="E327" s="107"/>
      <c r="F327" s="107"/>
      <c r="G327" s="107"/>
      <c r="H327" s="107"/>
      <c r="I327" s="107"/>
      <c r="J327" s="107"/>
      <c r="K327" s="107"/>
    </row>
    <row r="328" spans="1:11" x14ac:dyDescent="0.2">
      <c r="A328" s="107"/>
      <c r="B328" s="107"/>
      <c r="C328" s="107"/>
      <c r="D328" s="107"/>
      <c r="E328" s="107"/>
      <c r="F328" s="107"/>
      <c r="G328" s="107"/>
      <c r="H328" s="107"/>
      <c r="I328" s="107"/>
      <c r="J328" s="107"/>
      <c r="K328" s="107"/>
    </row>
    <row r="329" spans="1:11" x14ac:dyDescent="0.2">
      <c r="A329" s="107"/>
      <c r="B329" s="107"/>
      <c r="C329" s="107"/>
      <c r="D329" s="107"/>
      <c r="E329" s="107"/>
      <c r="F329" s="107"/>
      <c r="G329" s="107"/>
      <c r="H329" s="107"/>
      <c r="I329" s="107"/>
      <c r="J329" s="107"/>
      <c r="K329" s="107"/>
    </row>
    <row r="330" spans="1:11" x14ac:dyDescent="0.2">
      <c r="A330" s="107"/>
      <c r="B330" s="107"/>
      <c r="C330" s="107"/>
      <c r="D330" s="107"/>
      <c r="E330" s="107"/>
      <c r="F330" s="107"/>
      <c r="G330" s="107"/>
      <c r="H330" s="107"/>
      <c r="I330" s="107"/>
      <c r="J330" s="107"/>
      <c r="K330" s="107"/>
    </row>
    <row r="331" spans="1:11" x14ac:dyDescent="0.2">
      <c r="A331" s="107"/>
      <c r="B331" s="107"/>
      <c r="C331" s="107"/>
      <c r="D331" s="107"/>
      <c r="E331" s="107"/>
      <c r="F331" s="107"/>
      <c r="G331" s="107"/>
      <c r="H331" s="107"/>
      <c r="I331" s="107"/>
      <c r="J331" s="107"/>
      <c r="K331" s="107"/>
    </row>
    <row r="332" spans="1:11" x14ac:dyDescent="0.2">
      <c r="A332" s="107"/>
      <c r="B332" s="107"/>
      <c r="C332" s="107"/>
      <c r="D332" s="107"/>
      <c r="E332" s="107"/>
      <c r="F332" s="107"/>
      <c r="G332" s="107"/>
      <c r="H332" s="107"/>
      <c r="I332" s="107"/>
      <c r="J332" s="107"/>
      <c r="K332" s="107"/>
    </row>
    <row r="333" spans="1:11" x14ac:dyDescent="0.2">
      <c r="A333" s="107"/>
      <c r="B333" s="107"/>
      <c r="C333" s="107"/>
      <c r="D333" s="107"/>
      <c r="E333" s="107"/>
      <c r="F333" s="107"/>
      <c r="G333" s="107"/>
      <c r="H333" s="107"/>
      <c r="I333" s="107"/>
      <c r="J333" s="107"/>
      <c r="K333" s="107"/>
    </row>
    <row r="334" spans="1:11" x14ac:dyDescent="0.2">
      <c r="A334" s="107"/>
      <c r="B334" s="107"/>
      <c r="C334" s="107"/>
      <c r="D334" s="107"/>
      <c r="E334" s="107"/>
      <c r="F334" s="107"/>
      <c r="G334" s="107"/>
      <c r="H334" s="107"/>
      <c r="I334" s="107"/>
      <c r="J334" s="107"/>
      <c r="K334" s="107"/>
    </row>
    <row r="335" spans="1:11" x14ac:dyDescent="0.2">
      <c r="A335" s="107"/>
      <c r="B335" s="107"/>
      <c r="C335" s="107"/>
      <c r="D335" s="107"/>
      <c r="E335" s="107"/>
      <c r="F335" s="107"/>
      <c r="G335" s="107"/>
      <c r="H335" s="107"/>
      <c r="I335" s="107"/>
      <c r="J335" s="107"/>
      <c r="K335" s="107"/>
    </row>
    <row r="336" spans="1:11" x14ac:dyDescent="0.2">
      <c r="A336" s="107"/>
      <c r="B336" s="107"/>
      <c r="C336" s="107"/>
      <c r="D336" s="107"/>
      <c r="E336" s="107"/>
      <c r="F336" s="107"/>
      <c r="G336" s="107"/>
      <c r="H336" s="107"/>
      <c r="I336" s="107"/>
      <c r="J336" s="107"/>
      <c r="K336" s="107"/>
    </row>
    <row r="337" spans="1:11" x14ac:dyDescent="0.2">
      <c r="A337" s="107"/>
      <c r="B337" s="107"/>
      <c r="C337" s="107"/>
      <c r="D337" s="107"/>
      <c r="E337" s="107"/>
      <c r="F337" s="107"/>
      <c r="G337" s="107"/>
      <c r="H337" s="107"/>
      <c r="I337" s="107"/>
      <c r="J337" s="107"/>
      <c r="K337" s="107"/>
    </row>
    <row r="338" spans="1:11" x14ac:dyDescent="0.2">
      <c r="A338" s="107"/>
      <c r="B338" s="107"/>
      <c r="C338" s="107"/>
      <c r="D338" s="107"/>
      <c r="E338" s="107"/>
      <c r="F338" s="107"/>
      <c r="G338" s="107"/>
      <c r="H338" s="107"/>
      <c r="I338" s="107"/>
      <c r="J338" s="107"/>
      <c r="K338" s="107"/>
    </row>
    <row r="339" spans="1:11" x14ac:dyDescent="0.2">
      <c r="A339" s="107"/>
      <c r="B339" s="107"/>
      <c r="C339" s="107"/>
      <c r="D339" s="107"/>
      <c r="E339" s="107"/>
      <c r="F339" s="107"/>
      <c r="G339" s="107"/>
      <c r="H339" s="107"/>
      <c r="I339" s="107"/>
      <c r="J339" s="107"/>
      <c r="K339" s="107"/>
    </row>
    <row r="340" spans="1:11" x14ac:dyDescent="0.2">
      <c r="A340" s="107"/>
      <c r="B340" s="107"/>
      <c r="C340" s="107"/>
      <c r="D340" s="107"/>
      <c r="E340" s="107"/>
      <c r="F340" s="107"/>
      <c r="G340" s="107"/>
      <c r="H340" s="107"/>
      <c r="I340" s="107"/>
      <c r="J340" s="107"/>
      <c r="K340" s="107"/>
    </row>
    <row r="341" spans="1:11" x14ac:dyDescent="0.2">
      <c r="A341" s="107"/>
      <c r="B341" s="107"/>
      <c r="C341" s="107"/>
      <c r="D341" s="107"/>
      <c r="E341" s="107"/>
      <c r="F341" s="107"/>
      <c r="G341" s="107"/>
      <c r="H341" s="107"/>
      <c r="I341" s="107"/>
      <c r="J341" s="107"/>
      <c r="K341" s="107"/>
    </row>
    <row r="342" spans="1:11" x14ac:dyDescent="0.2">
      <c r="A342" s="107"/>
      <c r="B342" s="107"/>
      <c r="C342" s="107"/>
      <c r="D342" s="107"/>
      <c r="E342" s="107"/>
      <c r="F342" s="107"/>
      <c r="G342" s="107"/>
      <c r="H342" s="107"/>
      <c r="I342" s="107"/>
      <c r="J342" s="107"/>
      <c r="K342" s="107"/>
    </row>
    <row r="343" spans="1:11" x14ac:dyDescent="0.2">
      <c r="A343" s="107"/>
      <c r="B343" s="107"/>
      <c r="C343" s="107"/>
      <c r="D343" s="107"/>
      <c r="E343" s="107"/>
      <c r="F343" s="107"/>
      <c r="G343" s="107"/>
      <c r="H343" s="107"/>
      <c r="I343" s="107"/>
      <c r="J343" s="107"/>
      <c r="K343" s="107"/>
    </row>
    <row r="344" spans="1:11" x14ac:dyDescent="0.2">
      <c r="A344" s="107"/>
      <c r="B344" s="107"/>
      <c r="C344" s="107"/>
      <c r="D344" s="107"/>
      <c r="E344" s="107"/>
      <c r="F344" s="107"/>
      <c r="G344" s="107"/>
      <c r="H344" s="107"/>
      <c r="I344" s="107"/>
      <c r="J344" s="107"/>
      <c r="K344" s="107"/>
    </row>
    <row r="345" spans="1:11" x14ac:dyDescent="0.2">
      <c r="A345" s="107"/>
      <c r="B345" s="107"/>
      <c r="C345" s="107"/>
      <c r="D345" s="107"/>
      <c r="E345" s="107"/>
      <c r="F345" s="107"/>
      <c r="G345" s="107"/>
      <c r="H345" s="107"/>
      <c r="I345" s="107"/>
      <c r="J345" s="107"/>
      <c r="K345" s="107"/>
    </row>
    <row r="346" spans="1:11" x14ac:dyDescent="0.2">
      <c r="A346" s="107"/>
      <c r="B346" s="107"/>
      <c r="C346" s="107"/>
      <c r="D346" s="107"/>
      <c r="E346" s="107"/>
      <c r="F346" s="107"/>
      <c r="G346" s="107"/>
      <c r="H346" s="107"/>
      <c r="I346" s="107"/>
      <c r="J346" s="107"/>
      <c r="K346" s="107"/>
    </row>
    <row r="347" spans="1:11" x14ac:dyDescent="0.2">
      <c r="A347" s="107"/>
      <c r="B347" s="107"/>
      <c r="C347" s="107"/>
      <c r="D347" s="107"/>
      <c r="E347" s="107"/>
      <c r="F347" s="107"/>
      <c r="G347" s="107"/>
      <c r="H347" s="107"/>
      <c r="I347" s="107"/>
      <c r="J347" s="107"/>
      <c r="K347" s="107"/>
    </row>
    <row r="348" spans="1:11" x14ac:dyDescent="0.2">
      <c r="A348" s="107"/>
      <c r="B348" s="107"/>
      <c r="C348" s="107"/>
      <c r="D348" s="107"/>
      <c r="E348" s="107"/>
      <c r="F348" s="107"/>
      <c r="G348" s="107"/>
      <c r="H348" s="107"/>
      <c r="I348" s="107"/>
      <c r="J348" s="107"/>
      <c r="K348" s="107"/>
    </row>
    <row r="349" spans="1:11" x14ac:dyDescent="0.2">
      <c r="A349" s="107"/>
      <c r="B349" s="107"/>
      <c r="C349" s="107"/>
      <c r="D349" s="107"/>
      <c r="E349" s="107"/>
      <c r="F349" s="107"/>
      <c r="G349" s="107"/>
      <c r="H349" s="107"/>
      <c r="I349" s="107"/>
      <c r="J349" s="107"/>
      <c r="K349" s="107"/>
    </row>
    <row r="350" spans="1:11" x14ac:dyDescent="0.2">
      <c r="A350" s="107"/>
      <c r="B350" s="107"/>
      <c r="C350" s="107"/>
      <c r="D350" s="107"/>
      <c r="E350" s="107"/>
      <c r="F350" s="107"/>
      <c r="G350" s="107"/>
      <c r="H350" s="107"/>
      <c r="I350" s="107"/>
      <c r="J350" s="107"/>
      <c r="K350" s="107"/>
    </row>
    <row r="351" spans="1:11" x14ac:dyDescent="0.2">
      <c r="A351" s="107"/>
      <c r="B351" s="107"/>
      <c r="C351" s="107"/>
      <c r="D351" s="107"/>
      <c r="E351" s="107"/>
      <c r="F351" s="107"/>
      <c r="G351" s="107"/>
      <c r="H351" s="107"/>
      <c r="I351" s="107"/>
      <c r="J351" s="107"/>
      <c r="K351" s="107"/>
    </row>
    <row r="352" spans="1:11" x14ac:dyDescent="0.2">
      <c r="A352" s="107"/>
      <c r="B352" s="107"/>
      <c r="C352" s="107"/>
      <c r="D352" s="107"/>
      <c r="E352" s="107"/>
      <c r="F352" s="107"/>
      <c r="G352" s="107"/>
      <c r="H352" s="107"/>
      <c r="I352" s="107"/>
      <c r="J352" s="107"/>
      <c r="K352" s="107"/>
    </row>
    <row r="353" spans="1:11" x14ac:dyDescent="0.2">
      <c r="A353" s="107"/>
      <c r="B353" s="107"/>
      <c r="C353" s="107"/>
      <c r="D353" s="107"/>
      <c r="E353" s="107"/>
      <c r="F353" s="107"/>
      <c r="G353" s="107"/>
      <c r="H353" s="107"/>
      <c r="I353" s="107"/>
      <c r="J353" s="107"/>
      <c r="K353" s="107"/>
    </row>
    <row r="354" spans="1:11" x14ac:dyDescent="0.2">
      <c r="A354" s="107"/>
      <c r="B354" s="107"/>
      <c r="C354" s="107"/>
      <c r="D354" s="107"/>
      <c r="E354" s="107"/>
      <c r="F354" s="107"/>
      <c r="G354" s="107"/>
      <c r="H354" s="107"/>
      <c r="I354" s="107"/>
      <c r="J354" s="107"/>
      <c r="K354" s="107"/>
    </row>
    <row r="355" spans="1:11" x14ac:dyDescent="0.2">
      <c r="A355" s="107"/>
      <c r="B355" s="107"/>
      <c r="C355" s="107"/>
      <c r="D355" s="107"/>
      <c r="E355" s="107"/>
      <c r="F355" s="107"/>
      <c r="G355" s="107"/>
      <c r="H355" s="107"/>
      <c r="I355" s="107"/>
      <c r="J355" s="107"/>
      <c r="K355" s="107"/>
    </row>
    <row r="356" spans="1:11" x14ac:dyDescent="0.2">
      <c r="A356" s="107"/>
      <c r="B356" s="107"/>
      <c r="C356" s="107"/>
      <c r="D356" s="107"/>
      <c r="E356" s="107"/>
      <c r="F356" s="107"/>
      <c r="G356" s="107"/>
      <c r="H356" s="107"/>
      <c r="I356" s="107"/>
      <c r="J356" s="107"/>
      <c r="K356" s="107"/>
    </row>
    <row r="357" spans="1:11" x14ac:dyDescent="0.2">
      <c r="A357" s="107"/>
      <c r="B357" s="107"/>
      <c r="C357" s="107"/>
      <c r="D357" s="107"/>
      <c r="E357" s="107"/>
      <c r="F357" s="107"/>
      <c r="G357" s="107"/>
      <c r="H357" s="107"/>
      <c r="I357" s="107"/>
      <c r="J357" s="107"/>
      <c r="K357" s="107"/>
    </row>
    <row r="358" spans="1:11" x14ac:dyDescent="0.2">
      <c r="A358" s="107"/>
      <c r="B358" s="107"/>
      <c r="C358" s="107"/>
      <c r="D358" s="107"/>
      <c r="E358" s="107"/>
      <c r="F358" s="107"/>
      <c r="G358" s="107"/>
      <c r="H358" s="107"/>
      <c r="I358" s="107"/>
      <c r="J358" s="107"/>
      <c r="K358" s="107"/>
    </row>
    <row r="359" spans="1:11" x14ac:dyDescent="0.2">
      <c r="A359" s="107"/>
      <c r="B359" s="107"/>
      <c r="C359" s="107"/>
      <c r="D359" s="107"/>
      <c r="E359" s="107"/>
      <c r="F359" s="107"/>
      <c r="G359" s="107"/>
      <c r="H359" s="107"/>
      <c r="I359" s="107"/>
      <c r="J359" s="107"/>
      <c r="K359" s="107"/>
    </row>
    <row r="360" spans="1:11" x14ac:dyDescent="0.2">
      <c r="A360" s="107"/>
      <c r="B360" s="107"/>
      <c r="C360" s="107"/>
      <c r="D360" s="107"/>
      <c r="E360" s="107"/>
      <c r="F360" s="107"/>
      <c r="G360" s="107"/>
      <c r="H360" s="107"/>
      <c r="I360" s="107"/>
      <c r="J360" s="107"/>
      <c r="K360" s="107"/>
    </row>
    <row r="361" spans="1:11" x14ac:dyDescent="0.2">
      <c r="A361" s="107"/>
      <c r="B361" s="107"/>
      <c r="C361" s="107"/>
      <c r="D361" s="107"/>
      <c r="E361" s="107"/>
      <c r="F361" s="107"/>
      <c r="G361" s="107"/>
      <c r="H361" s="107"/>
      <c r="I361" s="107"/>
      <c r="J361" s="107"/>
      <c r="K361" s="107"/>
    </row>
    <row r="362" spans="1:11" x14ac:dyDescent="0.2">
      <c r="A362" s="107"/>
      <c r="B362" s="107"/>
      <c r="C362" s="107"/>
      <c r="D362" s="107"/>
      <c r="E362" s="107"/>
      <c r="F362" s="107"/>
      <c r="G362" s="107"/>
      <c r="H362" s="107"/>
      <c r="I362" s="107"/>
      <c r="J362" s="107"/>
      <c r="K362" s="107"/>
    </row>
    <row r="363" spans="1:11" x14ac:dyDescent="0.2">
      <c r="A363" s="107"/>
      <c r="B363" s="107"/>
      <c r="C363" s="107"/>
      <c r="D363" s="107"/>
      <c r="E363" s="107"/>
      <c r="F363" s="107"/>
      <c r="G363" s="107"/>
      <c r="H363" s="107"/>
      <c r="I363" s="107"/>
      <c r="J363" s="107"/>
      <c r="K363" s="107"/>
    </row>
    <row r="364" spans="1:11" x14ac:dyDescent="0.2">
      <c r="A364" s="107"/>
      <c r="B364" s="107"/>
      <c r="C364" s="107"/>
      <c r="D364" s="107"/>
      <c r="E364" s="107"/>
      <c r="F364" s="107"/>
      <c r="G364" s="107"/>
      <c r="H364" s="107"/>
      <c r="I364" s="107"/>
      <c r="J364" s="107"/>
      <c r="K364" s="107"/>
    </row>
    <row r="365" spans="1:11" x14ac:dyDescent="0.2">
      <c r="A365" s="107"/>
      <c r="B365" s="107"/>
      <c r="C365" s="107"/>
      <c r="D365" s="107"/>
      <c r="E365" s="107"/>
      <c r="F365" s="107"/>
      <c r="G365" s="107"/>
      <c r="H365" s="107"/>
      <c r="I365" s="107"/>
      <c r="J365" s="107"/>
      <c r="K365" s="107"/>
    </row>
    <row r="366" spans="1:11" x14ac:dyDescent="0.2">
      <c r="A366" s="107"/>
      <c r="B366" s="107"/>
      <c r="C366" s="107"/>
      <c r="D366" s="107"/>
      <c r="E366" s="107"/>
      <c r="F366" s="107"/>
      <c r="G366" s="107"/>
      <c r="H366" s="107"/>
      <c r="I366" s="107"/>
      <c r="J366" s="107"/>
      <c r="K366" s="107"/>
    </row>
    <row r="367" spans="1:11" x14ac:dyDescent="0.2">
      <c r="A367" s="107"/>
      <c r="B367" s="107"/>
      <c r="C367" s="107"/>
      <c r="D367" s="107"/>
      <c r="E367" s="107"/>
      <c r="F367" s="107"/>
      <c r="G367" s="107"/>
      <c r="H367" s="107"/>
      <c r="I367" s="107"/>
      <c r="J367" s="107"/>
      <c r="K367" s="107"/>
    </row>
    <row r="368" spans="1:11" x14ac:dyDescent="0.2">
      <c r="A368" s="107"/>
      <c r="B368" s="107"/>
      <c r="C368" s="107"/>
      <c r="D368" s="107"/>
      <c r="E368" s="107"/>
      <c r="F368" s="107"/>
      <c r="G368" s="107"/>
      <c r="H368" s="107"/>
      <c r="I368" s="107"/>
      <c r="J368" s="107"/>
      <c r="K368" s="107"/>
    </row>
    <row r="369" spans="1:11" x14ac:dyDescent="0.2">
      <c r="A369" s="107"/>
      <c r="B369" s="107"/>
      <c r="C369" s="107"/>
      <c r="D369" s="107"/>
      <c r="E369" s="107"/>
      <c r="F369" s="107"/>
      <c r="G369" s="107"/>
      <c r="H369" s="107"/>
      <c r="I369" s="107"/>
      <c r="J369" s="107"/>
      <c r="K369" s="107"/>
    </row>
    <row r="370" spans="1:11" x14ac:dyDescent="0.2">
      <c r="A370" s="107"/>
      <c r="B370" s="107"/>
      <c r="C370" s="107"/>
      <c r="D370" s="107"/>
      <c r="E370" s="107"/>
      <c r="F370" s="107"/>
      <c r="G370" s="107"/>
      <c r="H370" s="107"/>
      <c r="I370" s="107"/>
      <c r="J370" s="107"/>
      <c r="K370" s="107"/>
    </row>
    <row r="371" spans="1:11" x14ac:dyDescent="0.2">
      <c r="A371" s="107"/>
      <c r="B371" s="107"/>
      <c r="C371" s="107"/>
      <c r="D371" s="107"/>
      <c r="E371" s="107"/>
      <c r="F371" s="107"/>
      <c r="G371" s="107"/>
      <c r="H371" s="107"/>
      <c r="I371" s="107"/>
      <c r="J371" s="107"/>
      <c r="K371" s="107"/>
    </row>
    <row r="372" spans="1:11" x14ac:dyDescent="0.2">
      <c r="A372" s="107"/>
      <c r="B372" s="107"/>
      <c r="C372" s="107"/>
      <c r="D372" s="107"/>
      <c r="E372" s="107"/>
      <c r="F372" s="107"/>
      <c r="G372" s="107"/>
      <c r="H372" s="107"/>
      <c r="I372" s="107"/>
      <c r="J372" s="107"/>
      <c r="K372" s="107"/>
    </row>
    <row r="373" spans="1:11" x14ac:dyDescent="0.2">
      <c r="A373" s="107"/>
      <c r="B373" s="107"/>
      <c r="C373" s="107"/>
      <c r="D373" s="107"/>
      <c r="E373" s="107"/>
      <c r="F373" s="107"/>
      <c r="G373" s="107"/>
      <c r="H373" s="107"/>
      <c r="I373" s="107"/>
      <c r="J373" s="107"/>
      <c r="K373" s="107"/>
    </row>
    <row r="374" spans="1:11" x14ac:dyDescent="0.2">
      <c r="A374" s="107"/>
      <c r="B374" s="107"/>
      <c r="C374" s="107"/>
      <c r="D374" s="107"/>
      <c r="E374" s="107"/>
      <c r="F374" s="107"/>
      <c r="G374" s="107"/>
      <c r="H374" s="107"/>
      <c r="I374" s="107"/>
      <c r="J374" s="107"/>
      <c r="K374" s="107"/>
    </row>
    <row r="375" spans="1:11" x14ac:dyDescent="0.2">
      <c r="A375" s="107"/>
      <c r="B375" s="107"/>
      <c r="C375" s="107"/>
      <c r="D375" s="107"/>
      <c r="E375" s="107"/>
      <c r="F375" s="107"/>
      <c r="G375" s="107"/>
      <c r="H375" s="107"/>
      <c r="I375" s="107"/>
      <c r="J375" s="107"/>
      <c r="K375" s="107"/>
    </row>
    <row r="376" spans="1:11" x14ac:dyDescent="0.2">
      <c r="A376" s="107"/>
      <c r="B376" s="107"/>
      <c r="C376" s="107"/>
      <c r="D376" s="107"/>
      <c r="E376" s="107"/>
      <c r="F376" s="107"/>
      <c r="G376" s="107"/>
      <c r="H376" s="107"/>
      <c r="I376" s="107"/>
      <c r="J376" s="107"/>
      <c r="K376" s="107"/>
    </row>
    <row r="377" spans="1:11" x14ac:dyDescent="0.2">
      <c r="A377" s="107"/>
      <c r="B377" s="107"/>
      <c r="C377" s="107"/>
      <c r="D377" s="107"/>
      <c r="E377" s="107"/>
      <c r="F377" s="107"/>
      <c r="G377" s="107"/>
      <c r="H377" s="107"/>
      <c r="I377" s="107"/>
      <c r="J377" s="107"/>
      <c r="K377" s="107"/>
    </row>
    <row r="378" spans="1:11" x14ac:dyDescent="0.2">
      <c r="A378" s="107"/>
      <c r="B378" s="107"/>
      <c r="C378" s="107"/>
      <c r="D378" s="107"/>
      <c r="E378" s="107"/>
      <c r="F378" s="107"/>
      <c r="G378" s="107"/>
      <c r="H378" s="107"/>
      <c r="I378" s="107"/>
      <c r="J378" s="107"/>
      <c r="K378" s="107"/>
    </row>
    <row r="379" spans="1:11" x14ac:dyDescent="0.2">
      <c r="A379" s="107"/>
      <c r="B379" s="107"/>
      <c r="C379" s="107"/>
      <c r="D379" s="107"/>
      <c r="E379" s="107"/>
      <c r="F379" s="107"/>
      <c r="G379" s="107"/>
      <c r="H379" s="107"/>
      <c r="I379" s="107"/>
      <c r="J379" s="107"/>
      <c r="K379" s="107"/>
    </row>
    <row r="380" spans="1:11" x14ac:dyDescent="0.2">
      <c r="A380" s="107"/>
      <c r="B380" s="107"/>
      <c r="C380" s="107"/>
      <c r="D380" s="107"/>
      <c r="E380" s="107"/>
      <c r="F380" s="107"/>
      <c r="G380" s="107"/>
      <c r="H380" s="107"/>
      <c r="I380" s="107"/>
      <c r="J380" s="107"/>
      <c r="K380" s="107"/>
    </row>
    <row r="381" spans="1:11" x14ac:dyDescent="0.2">
      <c r="A381" s="107"/>
      <c r="B381" s="107"/>
      <c r="C381" s="107"/>
      <c r="D381" s="107"/>
      <c r="E381" s="107"/>
      <c r="F381" s="107"/>
      <c r="G381" s="107"/>
      <c r="H381" s="107"/>
      <c r="I381" s="107"/>
      <c r="J381" s="107"/>
      <c r="K381" s="107"/>
    </row>
    <row r="382" spans="1:11" x14ac:dyDescent="0.2">
      <c r="A382" s="107"/>
      <c r="B382" s="107"/>
      <c r="C382" s="107"/>
      <c r="D382" s="107"/>
      <c r="E382" s="107"/>
      <c r="F382" s="107"/>
      <c r="G382" s="107"/>
      <c r="H382" s="107"/>
      <c r="I382" s="107"/>
      <c r="J382" s="107"/>
      <c r="K382" s="107"/>
    </row>
    <row r="383" spans="1:11" x14ac:dyDescent="0.2">
      <c r="A383" s="107"/>
      <c r="B383" s="107"/>
      <c r="C383" s="107"/>
      <c r="D383" s="107"/>
      <c r="E383" s="107"/>
      <c r="F383" s="107"/>
      <c r="G383" s="107"/>
      <c r="H383" s="107"/>
      <c r="I383" s="107"/>
      <c r="J383" s="107"/>
      <c r="K383" s="107"/>
    </row>
    <row r="384" spans="1:11" x14ac:dyDescent="0.2">
      <c r="A384" s="107"/>
      <c r="B384" s="107"/>
      <c r="C384" s="107"/>
      <c r="D384" s="107"/>
      <c r="E384" s="107"/>
      <c r="F384" s="107"/>
      <c r="G384" s="107"/>
      <c r="H384" s="107"/>
      <c r="I384" s="107"/>
      <c r="J384" s="107"/>
      <c r="K384" s="107"/>
    </row>
    <row r="385" spans="1:11" x14ac:dyDescent="0.2">
      <c r="A385" s="107"/>
      <c r="B385" s="107"/>
      <c r="C385" s="107"/>
      <c r="D385" s="107"/>
      <c r="E385" s="107"/>
      <c r="F385" s="107"/>
      <c r="G385" s="107"/>
      <c r="H385" s="107"/>
      <c r="I385" s="107"/>
      <c r="J385" s="107"/>
      <c r="K385" s="107"/>
    </row>
    <row r="386" spans="1:11" x14ac:dyDescent="0.2">
      <c r="A386" s="107"/>
      <c r="B386" s="107"/>
      <c r="C386" s="107"/>
      <c r="D386" s="107"/>
      <c r="E386" s="107"/>
      <c r="F386" s="107"/>
      <c r="G386" s="107"/>
      <c r="H386" s="107"/>
      <c r="I386" s="107"/>
      <c r="J386" s="107"/>
      <c r="K386" s="107"/>
    </row>
    <row r="387" spans="1:11" x14ac:dyDescent="0.2">
      <c r="A387" s="107"/>
      <c r="B387" s="107"/>
      <c r="C387" s="107"/>
      <c r="D387" s="107"/>
      <c r="E387" s="107"/>
      <c r="F387" s="107"/>
      <c r="G387" s="107"/>
      <c r="H387" s="107"/>
      <c r="I387" s="107"/>
      <c r="J387" s="107"/>
      <c r="K387" s="107"/>
    </row>
    <row r="388" spans="1:11" x14ac:dyDescent="0.2">
      <c r="A388" s="107"/>
      <c r="B388" s="107"/>
      <c r="C388" s="107"/>
      <c r="D388" s="107"/>
      <c r="E388" s="107"/>
      <c r="F388" s="107"/>
      <c r="G388" s="107"/>
      <c r="H388" s="107"/>
      <c r="I388" s="107"/>
      <c r="J388" s="107"/>
      <c r="K388" s="107"/>
    </row>
    <row r="389" spans="1:11" x14ac:dyDescent="0.2">
      <c r="A389" s="107"/>
      <c r="B389" s="107"/>
      <c r="C389" s="107"/>
      <c r="D389" s="107"/>
      <c r="E389" s="107"/>
      <c r="F389" s="107"/>
      <c r="G389" s="107"/>
      <c r="H389" s="107"/>
      <c r="I389" s="107"/>
      <c r="J389" s="107"/>
      <c r="K389" s="107"/>
    </row>
    <row r="390" spans="1:11" x14ac:dyDescent="0.2">
      <c r="A390" s="107"/>
      <c r="B390" s="107"/>
      <c r="C390" s="107"/>
      <c r="D390" s="107"/>
      <c r="E390" s="107"/>
      <c r="F390" s="107"/>
      <c r="G390" s="107"/>
      <c r="H390" s="107"/>
      <c r="I390" s="107"/>
      <c r="J390" s="107"/>
      <c r="K390" s="107"/>
    </row>
    <row r="391" spans="1:11" x14ac:dyDescent="0.2">
      <c r="A391" s="107"/>
      <c r="B391" s="107"/>
      <c r="C391" s="107"/>
      <c r="D391" s="107"/>
      <c r="E391" s="107"/>
      <c r="F391" s="107"/>
      <c r="G391" s="107"/>
      <c r="H391" s="107"/>
      <c r="I391" s="107"/>
      <c r="J391" s="107"/>
      <c r="K391" s="107"/>
    </row>
    <row r="392" spans="1:11" x14ac:dyDescent="0.2">
      <c r="A392" s="107"/>
      <c r="B392" s="107"/>
      <c r="C392" s="107"/>
      <c r="D392" s="107"/>
      <c r="E392" s="107"/>
      <c r="F392" s="107"/>
      <c r="G392" s="107"/>
      <c r="H392" s="107"/>
      <c r="I392" s="107"/>
      <c r="J392" s="107"/>
      <c r="K392" s="107"/>
    </row>
    <row r="393" spans="1:11" x14ac:dyDescent="0.2">
      <c r="A393" s="107"/>
      <c r="B393" s="107"/>
      <c r="C393" s="107"/>
      <c r="D393" s="107"/>
      <c r="E393" s="107"/>
      <c r="F393" s="107"/>
      <c r="G393" s="107"/>
      <c r="H393" s="107"/>
      <c r="I393" s="107"/>
      <c r="J393" s="107"/>
      <c r="K393" s="107"/>
    </row>
    <row r="394" spans="1:11" x14ac:dyDescent="0.2">
      <c r="A394" s="107"/>
      <c r="B394" s="107"/>
      <c r="C394" s="107"/>
      <c r="D394" s="107"/>
      <c r="E394" s="107"/>
      <c r="F394" s="107"/>
      <c r="G394" s="107"/>
      <c r="H394" s="107"/>
      <c r="I394" s="107"/>
      <c r="J394" s="107"/>
      <c r="K394" s="107"/>
    </row>
    <row r="395" spans="1:11" x14ac:dyDescent="0.2">
      <c r="A395" s="107"/>
      <c r="B395" s="107"/>
      <c r="C395" s="107"/>
      <c r="D395" s="107"/>
      <c r="E395" s="107"/>
      <c r="F395" s="107"/>
      <c r="G395" s="107"/>
      <c r="H395" s="107"/>
      <c r="I395" s="107"/>
      <c r="J395" s="107"/>
      <c r="K395" s="107"/>
    </row>
    <row r="396" spans="1:11" x14ac:dyDescent="0.2">
      <c r="A396" s="107"/>
      <c r="B396" s="107"/>
      <c r="C396" s="107"/>
      <c r="D396" s="107"/>
      <c r="E396" s="107"/>
      <c r="F396" s="107"/>
      <c r="G396" s="107"/>
      <c r="H396" s="107"/>
      <c r="I396" s="107"/>
      <c r="J396" s="107"/>
      <c r="K396" s="107"/>
    </row>
    <row r="397" spans="1:11" x14ac:dyDescent="0.2">
      <c r="A397" s="107"/>
      <c r="B397" s="107"/>
      <c r="C397" s="107"/>
      <c r="D397" s="107"/>
      <c r="E397" s="107"/>
      <c r="F397" s="107"/>
      <c r="G397" s="107"/>
      <c r="H397" s="107"/>
      <c r="I397" s="107"/>
      <c r="J397" s="107"/>
      <c r="K397" s="107"/>
    </row>
    <row r="398" spans="1:11" x14ac:dyDescent="0.2">
      <c r="A398" s="107"/>
      <c r="B398" s="107"/>
      <c r="C398" s="107"/>
      <c r="D398" s="107"/>
      <c r="E398" s="107"/>
      <c r="F398" s="107"/>
      <c r="G398" s="107"/>
      <c r="H398" s="107"/>
      <c r="I398" s="107"/>
      <c r="J398" s="107"/>
      <c r="K398" s="107"/>
    </row>
    <row r="399" spans="1:11" x14ac:dyDescent="0.2">
      <c r="A399" s="107"/>
      <c r="B399" s="107"/>
      <c r="C399" s="107"/>
      <c r="D399" s="107"/>
      <c r="E399" s="107"/>
      <c r="F399" s="107"/>
      <c r="G399" s="107"/>
      <c r="H399" s="107"/>
      <c r="I399" s="107"/>
      <c r="J399" s="107"/>
      <c r="K399" s="107"/>
    </row>
    <row r="400" spans="1:11" x14ac:dyDescent="0.2">
      <c r="A400" s="107"/>
      <c r="B400" s="107"/>
      <c r="C400" s="107"/>
      <c r="D400" s="107"/>
      <c r="E400" s="107"/>
      <c r="F400" s="107"/>
      <c r="G400" s="107"/>
      <c r="H400" s="107"/>
      <c r="I400" s="107"/>
      <c r="J400" s="107"/>
      <c r="K400" s="107"/>
    </row>
    <row r="401" spans="1:11" x14ac:dyDescent="0.2">
      <c r="A401" s="107"/>
      <c r="B401" s="107"/>
      <c r="C401" s="107"/>
      <c r="D401" s="107"/>
      <c r="E401" s="107"/>
      <c r="F401" s="107"/>
      <c r="G401" s="107"/>
      <c r="H401" s="107"/>
      <c r="I401" s="107"/>
      <c r="J401" s="107"/>
      <c r="K401" s="107"/>
    </row>
    <row r="402" spans="1:11" x14ac:dyDescent="0.2">
      <c r="A402" s="107"/>
      <c r="B402" s="107"/>
      <c r="C402" s="107"/>
      <c r="D402" s="107"/>
      <c r="E402" s="107"/>
      <c r="F402" s="107"/>
      <c r="G402" s="107"/>
      <c r="H402" s="107"/>
      <c r="I402" s="107"/>
      <c r="J402" s="107"/>
      <c r="K402" s="107"/>
    </row>
    <row r="403" spans="1:11" x14ac:dyDescent="0.2">
      <c r="A403" s="107"/>
      <c r="B403" s="107"/>
      <c r="C403" s="107"/>
      <c r="D403" s="107"/>
      <c r="E403" s="107"/>
      <c r="F403" s="107"/>
      <c r="G403" s="107"/>
      <c r="H403" s="107"/>
      <c r="I403" s="107"/>
      <c r="J403" s="107"/>
      <c r="K403" s="107"/>
    </row>
    <row r="404" spans="1:11" x14ac:dyDescent="0.2">
      <c r="A404" s="107"/>
      <c r="B404" s="107"/>
      <c r="C404" s="107"/>
      <c r="D404" s="107"/>
      <c r="E404" s="107"/>
      <c r="F404" s="107"/>
      <c r="G404" s="107"/>
      <c r="H404" s="107"/>
      <c r="I404" s="107"/>
      <c r="J404" s="107"/>
      <c r="K404" s="107"/>
    </row>
    <row r="405" spans="1:11" x14ac:dyDescent="0.2">
      <c r="A405" s="107"/>
      <c r="B405" s="107"/>
      <c r="C405" s="107"/>
      <c r="D405" s="107"/>
      <c r="E405" s="107"/>
      <c r="F405" s="107"/>
      <c r="G405" s="107"/>
      <c r="H405" s="107"/>
      <c r="I405" s="107"/>
      <c r="J405" s="107"/>
      <c r="K405" s="107"/>
    </row>
    <row r="406" spans="1:11" x14ac:dyDescent="0.2">
      <c r="A406" s="107"/>
      <c r="B406" s="107"/>
      <c r="C406" s="107"/>
      <c r="D406" s="107"/>
      <c r="E406" s="107"/>
      <c r="F406" s="107"/>
      <c r="G406" s="107"/>
      <c r="H406" s="107"/>
      <c r="I406" s="107"/>
      <c r="J406" s="107"/>
      <c r="K406" s="107"/>
    </row>
  </sheetData>
  <mergeCells count="54">
    <mergeCell ref="B283:E283"/>
    <mergeCell ref="B284:E284"/>
    <mergeCell ref="B277:E277"/>
    <mergeCell ref="B278:E278"/>
    <mergeCell ref="B279:E279"/>
    <mergeCell ref="B280:E280"/>
    <mergeCell ref="B281:E281"/>
    <mergeCell ref="B282:E282"/>
    <mergeCell ref="A197:B197"/>
    <mergeCell ref="A217:C217"/>
    <mergeCell ref="A232:K232"/>
    <mergeCell ref="A253:K253"/>
    <mergeCell ref="A273:A284"/>
    <mergeCell ref="B273:G273"/>
    <mergeCell ref="H273:K284"/>
    <mergeCell ref="B274:E274"/>
    <mergeCell ref="B275:E275"/>
    <mergeCell ref="B276:E276"/>
    <mergeCell ref="A173:B173"/>
    <mergeCell ref="A174:B174"/>
    <mergeCell ref="A175:B175"/>
    <mergeCell ref="A180:A181"/>
    <mergeCell ref="B180:D180"/>
    <mergeCell ref="A196:B196"/>
    <mergeCell ref="A165:B165"/>
    <mergeCell ref="A166:B166"/>
    <mergeCell ref="A169:B169"/>
    <mergeCell ref="A170:B170"/>
    <mergeCell ref="A171:B171"/>
    <mergeCell ref="A172:B172"/>
    <mergeCell ref="A158:C158"/>
    <mergeCell ref="A159:C159"/>
    <mergeCell ref="A160:C160"/>
    <mergeCell ref="A161:C161"/>
    <mergeCell ref="A162:C162"/>
    <mergeCell ref="A164:B164"/>
    <mergeCell ref="A101:D101"/>
    <mergeCell ref="A102:D102"/>
    <mergeCell ref="A103:D103"/>
    <mergeCell ref="A108:D108"/>
    <mergeCell ref="A124:B124"/>
    <mergeCell ref="A145:C145"/>
    <mergeCell ref="A95:D95"/>
    <mergeCell ref="A96:D96"/>
    <mergeCell ref="A97:D97"/>
    <mergeCell ref="A98:D98"/>
    <mergeCell ref="A99:D99"/>
    <mergeCell ref="A100:D100"/>
    <mergeCell ref="A4:B4"/>
    <mergeCell ref="A15:B15"/>
    <mergeCell ref="A28:E28"/>
    <mergeCell ref="A57:B57"/>
    <mergeCell ref="A70:B70"/>
    <mergeCell ref="A82:D82"/>
  </mergeCells>
  <pageMargins left="0.7" right="0.7" top="0.75" bottom="0.75" header="0.3" footer="0.3"/>
  <legacy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74"/>
  <sheetViews>
    <sheetView topLeftCell="A191" workbookViewId="0">
      <selection activeCell="B1" sqref="B1"/>
    </sheetView>
  </sheetViews>
  <sheetFormatPr baseColWidth="10" defaultRowHeight="15" x14ac:dyDescent="0.2"/>
  <cols>
    <col min="1" max="1" width="48.83203125" style="106" customWidth="1"/>
    <col min="2" max="2" width="10.83203125" style="106"/>
    <col min="3" max="3" width="6.33203125" style="106" customWidth="1"/>
    <col min="4" max="4" width="10.1640625" style="106" customWidth="1"/>
    <col min="5" max="5" width="10.83203125" style="106"/>
    <col min="6" max="6" width="10.6640625" style="106" customWidth="1"/>
    <col min="7" max="7" width="10.1640625" style="106" customWidth="1"/>
    <col min="8" max="8" width="10.83203125" style="106"/>
    <col min="9" max="9" width="9" style="106" customWidth="1"/>
    <col min="10" max="10" width="10.1640625" style="106" customWidth="1"/>
    <col min="11" max="11" width="9.83203125" style="106" customWidth="1"/>
    <col min="12" max="12" width="10.6640625" style="106" customWidth="1"/>
    <col min="13" max="13" width="8.83203125" style="106" customWidth="1"/>
    <col min="14" max="14" width="9.1640625" style="106" customWidth="1"/>
    <col min="15" max="15" width="8.83203125" style="106" customWidth="1"/>
    <col min="16" max="16" width="9.5" style="106" customWidth="1"/>
    <col min="17" max="17" width="11.83203125" style="106" customWidth="1"/>
    <col min="18" max="18" width="7.83203125" style="106" customWidth="1"/>
    <col min="19" max="16384" width="10.83203125" style="106"/>
  </cols>
  <sheetData>
    <row r="1" spans="1:4" x14ac:dyDescent="0.2">
      <c r="A1" s="458" t="s">
        <v>2758</v>
      </c>
    </row>
    <row r="3" spans="1:4" ht="12" customHeight="1" x14ac:dyDescent="0.2">
      <c r="A3" s="113" t="s">
        <v>1111</v>
      </c>
    </row>
    <row r="4" spans="1:4" ht="35" customHeight="1" x14ac:dyDescent="0.2">
      <c r="A4" s="385" t="s">
        <v>2759</v>
      </c>
      <c r="B4" s="387"/>
    </row>
    <row r="5" spans="1:4" x14ac:dyDescent="0.2">
      <c r="A5" s="164" t="s">
        <v>1861</v>
      </c>
      <c r="B5" s="307">
        <v>1496750</v>
      </c>
    </row>
    <row r="6" spans="1:4" x14ac:dyDescent="0.2">
      <c r="A6" s="164" t="s">
        <v>2760</v>
      </c>
      <c r="B6" s="307">
        <v>7479</v>
      </c>
      <c r="D6" s="107"/>
    </row>
    <row r="7" spans="1:4" x14ac:dyDescent="0.2">
      <c r="A7" s="164" t="s">
        <v>1569</v>
      </c>
      <c r="B7" s="307">
        <v>699616</v>
      </c>
      <c r="D7" s="107"/>
    </row>
    <row r="8" spans="1:4" x14ac:dyDescent="0.2">
      <c r="A8" s="164" t="s">
        <v>1175</v>
      </c>
      <c r="B8" s="307">
        <v>48995</v>
      </c>
    </row>
    <row r="9" spans="1:4" x14ac:dyDescent="0.2">
      <c r="A9" s="164" t="s">
        <v>1573</v>
      </c>
      <c r="B9" s="307">
        <v>13559</v>
      </c>
    </row>
    <row r="10" spans="1:4" x14ac:dyDescent="0.2">
      <c r="A10" s="164" t="s">
        <v>1811</v>
      </c>
      <c r="B10" s="307">
        <v>3779</v>
      </c>
    </row>
    <row r="11" spans="1:4" x14ac:dyDescent="0.2">
      <c r="A11" s="164" t="s">
        <v>1808</v>
      </c>
      <c r="B11" s="307">
        <v>33000</v>
      </c>
    </row>
    <row r="12" spans="1:4" x14ac:dyDescent="0.2">
      <c r="A12" s="164" t="s">
        <v>2761</v>
      </c>
      <c r="B12" s="307">
        <v>1258503</v>
      </c>
    </row>
    <row r="13" spans="1:4" x14ac:dyDescent="0.2">
      <c r="A13" s="164" t="s">
        <v>2762</v>
      </c>
      <c r="B13" s="307">
        <v>193549</v>
      </c>
    </row>
    <row r="14" spans="1:4" x14ac:dyDescent="0.2">
      <c r="A14" s="164" t="s">
        <v>2763</v>
      </c>
      <c r="B14" s="307">
        <v>3290</v>
      </c>
    </row>
    <row r="15" spans="1:4" x14ac:dyDescent="0.2">
      <c r="A15" s="164" t="s">
        <v>1992</v>
      </c>
      <c r="B15" s="307">
        <v>178980</v>
      </c>
    </row>
    <row r="16" spans="1:4" x14ac:dyDescent="0.2">
      <c r="A16" s="854" t="s">
        <v>2764</v>
      </c>
      <c r="B16" s="717">
        <v>3937500</v>
      </c>
    </row>
    <row r="17" spans="1:3" x14ac:dyDescent="0.2">
      <c r="A17" s="854"/>
      <c r="B17" s="855">
        <f>+SUM(B5:B15)</f>
        <v>3937500</v>
      </c>
    </row>
    <row r="18" spans="1:3" x14ac:dyDescent="0.2">
      <c r="A18" s="856" t="s">
        <v>2765</v>
      </c>
      <c r="B18" s="717">
        <v>2067485</v>
      </c>
    </row>
    <row r="19" spans="1:3" x14ac:dyDescent="0.2">
      <c r="A19" s="219" t="s">
        <v>2766</v>
      </c>
      <c r="B19" s="307">
        <v>31389</v>
      </c>
    </row>
    <row r="20" spans="1:3" x14ac:dyDescent="0.2">
      <c r="A20" s="219" t="s">
        <v>2767</v>
      </c>
      <c r="B20" s="307">
        <v>2098874</v>
      </c>
    </row>
    <row r="21" spans="1:3" x14ac:dyDescent="0.2">
      <c r="A21" s="219" t="s">
        <v>2768</v>
      </c>
      <c r="B21" s="307">
        <v>602124</v>
      </c>
    </row>
    <row r="22" spans="1:3" ht="16" thickBot="1" x14ac:dyDescent="0.25">
      <c r="A22" s="857" t="s">
        <v>2769</v>
      </c>
      <c r="B22" s="596">
        <v>1496750</v>
      </c>
    </row>
    <row r="23" spans="1:3" x14ac:dyDescent="0.2">
      <c r="B23" s="321">
        <f>+B18+B19-B21</f>
        <v>1496750</v>
      </c>
    </row>
    <row r="26" spans="1:3" x14ac:dyDescent="0.2">
      <c r="A26" s="113" t="s">
        <v>1171</v>
      </c>
    </row>
    <row r="27" spans="1:3" ht="39.5" customHeight="1" x14ac:dyDescent="0.2">
      <c r="A27" s="858" t="s">
        <v>2770</v>
      </c>
      <c r="B27" s="859"/>
      <c r="C27" s="860"/>
    </row>
    <row r="28" spans="1:3" ht="26" customHeight="1" x14ac:dyDescent="0.2">
      <c r="A28" s="475" t="s">
        <v>2771</v>
      </c>
      <c r="B28" s="476"/>
    </row>
    <row r="29" spans="1:3" x14ac:dyDescent="0.2">
      <c r="A29" s="164" t="s">
        <v>2772</v>
      </c>
      <c r="B29" s="307">
        <v>561281</v>
      </c>
    </row>
    <row r="30" spans="1:3" x14ac:dyDescent="0.2">
      <c r="A30" s="164" t="s">
        <v>2773</v>
      </c>
      <c r="B30" s="307">
        <v>101984</v>
      </c>
    </row>
    <row r="31" spans="1:3" ht="18" customHeight="1" x14ac:dyDescent="0.2">
      <c r="A31" s="178" t="s">
        <v>2774</v>
      </c>
      <c r="B31" s="307">
        <v>83520</v>
      </c>
    </row>
    <row r="32" spans="1:3" x14ac:dyDescent="0.2">
      <c r="A32" s="164" t="s">
        <v>2775</v>
      </c>
      <c r="B32" s="307">
        <v>11483</v>
      </c>
    </row>
    <row r="33" spans="1:7" x14ac:dyDescent="0.2">
      <c r="A33" s="164" t="s">
        <v>2776</v>
      </c>
      <c r="B33" s="307">
        <v>182754</v>
      </c>
    </row>
    <row r="34" spans="1:7" ht="15.5" customHeight="1" x14ac:dyDescent="0.2">
      <c r="A34" s="178" t="s">
        <v>2777</v>
      </c>
      <c r="B34" s="307">
        <v>169380</v>
      </c>
    </row>
    <row r="35" spans="1:7" x14ac:dyDescent="0.2">
      <c r="A35" s="164" t="s">
        <v>2778</v>
      </c>
      <c r="B35" s="307">
        <v>66960</v>
      </c>
    </row>
    <row r="36" spans="1:7" x14ac:dyDescent="0.2">
      <c r="A36" s="164" t="s">
        <v>2779</v>
      </c>
      <c r="B36" s="307">
        <v>138553</v>
      </c>
    </row>
    <row r="37" spans="1:7" x14ac:dyDescent="0.2">
      <c r="A37" s="164" t="s">
        <v>2780</v>
      </c>
      <c r="B37" s="307">
        <v>14700</v>
      </c>
    </row>
    <row r="38" spans="1:7" x14ac:dyDescent="0.2">
      <c r="A38" s="164" t="s">
        <v>2781</v>
      </c>
      <c r="B38" s="307">
        <v>65603</v>
      </c>
    </row>
    <row r="39" spans="1:7" x14ac:dyDescent="0.2">
      <c r="A39" s="164" t="s">
        <v>2782</v>
      </c>
      <c r="B39" s="307">
        <v>51140</v>
      </c>
    </row>
    <row r="40" spans="1:7" x14ac:dyDescent="0.2">
      <c r="A40" s="164" t="s">
        <v>2783</v>
      </c>
      <c r="B40" s="307">
        <v>1092675</v>
      </c>
    </row>
    <row r="41" spans="1:7" ht="30" x14ac:dyDescent="0.2">
      <c r="A41" s="178" t="s">
        <v>2784</v>
      </c>
      <c r="B41" s="307">
        <v>119828</v>
      </c>
    </row>
    <row r="42" spans="1:7" x14ac:dyDescent="0.2">
      <c r="A42" s="164" t="s">
        <v>2785</v>
      </c>
      <c r="B42" s="307">
        <v>14578</v>
      </c>
    </row>
    <row r="43" spans="1:7" ht="31" thickBot="1" x14ac:dyDescent="0.25">
      <c r="A43" s="320" t="s">
        <v>2786</v>
      </c>
      <c r="B43" s="596">
        <v>2674439</v>
      </c>
    </row>
    <row r="44" spans="1:7" x14ac:dyDescent="0.2">
      <c r="B44" s="321">
        <f>+SUM(B29:B42)</f>
        <v>2674439</v>
      </c>
    </row>
    <row r="47" spans="1:7" x14ac:dyDescent="0.2">
      <c r="A47" s="113" t="s">
        <v>1182</v>
      </c>
    </row>
    <row r="48" spans="1:7" ht="36.5" customHeight="1" x14ac:dyDescent="0.2">
      <c r="A48" s="544" t="s">
        <v>2787</v>
      </c>
      <c r="B48" s="545"/>
      <c r="C48" s="545"/>
      <c r="D48" s="545"/>
      <c r="E48" s="545"/>
      <c r="F48" s="545"/>
      <c r="G48" s="546"/>
    </row>
    <row r="49" spans="1:7" ht="21" customHeight="1" x14ac:dyDescent="0.2">
      <c r="A49" s="861" t="s">
        <v>2788</v>
      </c>
      <c r="B49" s="862"/>
      <c r="C49" s="862"/>
      <c r="D49" s="862"/>
      <c r="E49" s="862"/>
      <c r="F49" s="862"/>
      <c r="G49" s="863"/>
    </row>
    <row r="50" spans="1:7" x14ac:dyDescent="0.2">
      <c r="A50" s="480" t="s">
        <v>2789</v>
      </c>
      <c r="B50" s="481"/>
      <c r="C50" s="481"/>
      <c r="D50" s="481"/>
      <c r="E50" s="145">
        <v>236729</v>
      </c>
      <c r="F50" s="145">
        <v>25</v>
      </c>
      <c r="G50" s="307"/>
    </row>
    <row r="51" spans="1:7" x14ac:dyDescent="0.2">
      <c r="A51" s="494" t="s">
        <v>2790</v>
      </c>
      <c r="B51" s="495"/>
      <c r="C51" s="495"/>
      <c r="D51" s="495"/>
      <c r="E51" s="495"/>
      <c r="F51" s="495"/>
      <c r="G51" s="550"/>
    </row>
    <row r="52" spans="1:7" ht="17.5" customHeight="1" x14ac:dyDescent="0.2">
      <c r="A52" s="539" t="s">
        <v>2791</v>
      </c>
      <c r="B52" s="145">
        <v>21862</v>
      </c>
      <c r="C52" s="145">
        <v>5</v>
      </c>
      <c r="D52" s="145"/>
      <c r="E52" s="145"/>
      <c r="F52" s="145"/>
      <c r="G52" s="307"/>
    </row>
    <row r="53" spans="1:7" x14ac:dyDescent="0.2">
      <c r="A53" s="131" t="s">
        <v>2792</v>
      </c>
      <c r="B53" s="145">
        <v>9079</v>
      </c>
      <c r="C53" s="145">
        <v>60</v>
      </c>
      <c r="D53" s="145"/>
      <c r="E53" s="145"/>
      <c r="F53" s="145"/>
      <c r="G53" s="307"/>
    </row>
    <row r="54" spans="1:7" ht="16" thickBot="1" x14ac:dyDescent="0.25">
      <c r="A54" s="131" t="s">
        <v>2793</v>
      </c>
      <c r="B54" s="187">
        <v>9012</v>
      </c>
      <c r="C54" s="187"/>
      <c r="D54" s="187"/>
      <c r="E54" s="145">
        <v>39953</v>
      </c>
      <c r="F54" s="145">
        <v>65</v>
      </c>
      <c r="G54" s="307"/>
    </row>
    <row r="55" spans="1:7" x14ac:dyDescent="0.2">
      <c r="A55" s="131"/>
      <c r="B55" s="145"/>
      <c r="C55" s="145"/>
      <c r="D55" s="145"/>
      <c r="E55" s="138">
        <f>+SUM(B52:B54)</f>
        <v>39953</v>
      </c>
      <c r="F55" s="138">
        <f>+SUM(C52:C54)</f>
        <v>65</v>
      </c>
      <c r="G55" s="188"/>
    </row>
    <row r="56" spans="1:7" ht="20" customHeight="1" x14ac:dyDescent="0.2">
      <c r="A56" s="494" t="s">
        <v>2794</v>
      </c>
      <c r="B56" s="495"/>
      <c r="C56" s="495"/>
      <c r="D56" s="495"/>
      <c r="E56" s="495"/>
      <c r="F56" s="495"/>
      <c r="G56" s="550"/>
    </row>
    <row r="57" spans="1:7" ht="19.25" customHeight="1" x14ac:dyDescent="0.2">
      <c r="A57" s="480" t="s">
        <v>2795</v>
      </c>
      <c r="B57" s="481"/>
      <c r="C57" s="481"/>
      <c r="D57" s="481"/>
      <c r="E57" s="145">
        <v>17600</v>
      </c>
      <c r="F57" s="145"/>
      <c r="G57" s="307"/>
    </row>
    <row r="58" spans="1:7" ht="20" customHeight="1" x14ac:dyDescent="0.2">
      <c r="A58" s="861" t="s">
        <v>2796</v>
      </c>
      <c r="B58" s="862"/>
      <c r="C58" s="862"/>
      <c r="D58" s="862"/>
      <c r="E58" s="862"/>
      <c r="F58" s="862"/>
      <c r="G58" s="863"/>
    </row>
    <row r="59" spans="1:7" ht="16" thickBot="1" x14ac:dyDescent="0.25">
      <c r="A59" s="480" t="s">
        <v>2797</v>
      </c>
      <c r="B59" s="481"/>
      <c r="C59" s="481"/>
      <c r="D59" s="481"/>
      <c r="E59" s="187">
        <v>35896</v>
      </c>
      <c r="F59" s="187">
        <v>40</v>
      </c>
      <c r="G59" s="444"/>
    </row>
    <row r="60" spans="1:7" ht="25.25" customHeight="1" x14ac:dyDescent="0.2">
      <c r="A60" s="861" t="s">
        <v>2798</v>
      </c>
      <c r="B60" s="862"/>
      <c r="C60" s="862"/>
      <c r="D60" s="862"/>
      <c r="E60" s="862"/>
      <c r="F60" s="862"/>
      <c r="G60" s="863"/>
    </row>
    <row r="61" spans="1:7" x14ac:dyDescent="0.2">
      <c r="A61" s="131" t="s">
        <v>2799</v>
      </c>
      <c r="B61" s="145">
        <v>110384</v>
      </c>
      <c r="C61" s="145">
        <v>80</v>
      </c>
      <c r="D61" s="145"/>
      <c r="E61" s="145"/>
      <c r="F61" s="145"/>
      <c r="G61" s="307"/>
    </row>
    <row r="62" spans="1:7" x14ac:dyDescent="0.2">
      <c r="A62" s="131" t="s">
        <v>2800</v>
      </c>
      <c r="B62" s="145">
        <v>10312</v>
      </c>
      <c r="C62" s="145">
        <v>80</v>
      </c>
      <c r="D62" s="145"/>
      <c r="E62" s="145"/>
      <c r="F62" s="145"/>
      <c r="G62" s="307"/>
    </row>
    <row r="63" spans="1:7" ht="16.25" customHeight="1" x14ac:dyDescent="0.2">
      <c r="A63" s="539" t="s">
        <v>2801</v>
      </c>
      <c r="B63" s="145">
        <v>14384</v>
      </c>
      <c r="C63" s="145">
        <v>35</v>
      </c>
      <c r="D63" s="145"/>
      <c r="E63" s="145"/>
      <c r="F63" s="145"/>
      <c r="G63" s="307"/>
    </row>
    <row r="64" spans="1:7" x14ac:dyDescent="0.2">
      <c r="A64" s="131" t="s">
        <v>2802</v>
      </c>
      <c r="B64" s="145">
        <v>13990</v>
      </c>
      <c r="C64" s="145">
        <v>40</v>
      </c>
      <c r="D64" s="145"/>
      <c r="E64" s="145"/>
      <c r="F64" s="145"/>
      <c r="G64" s="307"/>
    </row>
    <row r="65" spans="1:7" ht="17.5" customHeight="1" x14ac:dyDescent="0.2">
      <c r="A65" s="539" t="s">
        <v>2803</v>
      </c>
      <c r="B65" s="145">
        <v>14889</v>
      </c>
      <c r="C65" s="145">
        <v>35</v>
      </c>
      <c r="D65" s="145"/>
      <c r="E65" s="145"/>
      <c r="F65" s="145"/>
      <c r="G65" s="307"/>
    </row>
    <row r="66" spans="1:7" ht="16" thickBot="1" x14ac:dyDescent="0.25">
      <c r="A66" s="131" t="s">
        <v>2804</v>
      </c>
      <c r="B66" s="187">
        <v>1806</v>
      </c>
      <c r="C66" s="187">
        <v>70</v>
      </c>
      <c r="D66" s="187"/>
      <c r="E66" s="145">
        <v>165768</v>
      </c>
      <c r="F66" s="145">
        <v>40</v>
      </c>
      <c r="G66" s="307"/>
    </row>
    <row r="67" spans="1:7" x14ac:dyDescent="0.2">
      <c r="A67" s="131"/>
      <c r="B67" s="145"/>
      <c r="C67" s="145"/>
      <c r="D67" s="145"/>
      <c r="E67" s="138">
        <f>+SUM(B61:B66)</f>
        <v>165765</v>
      </c>
      <c r="F67" s="138">
        <f>+SUM(C61:C66)</f>
        <v>340</v>
      </c>
      <c r="G67" s="188">
        <f>+SUM(D61:D66)</f>
        <v>0</v>
      </c>
    </row>
    <row r="68" spans="1:7" ht="23.5" customHeight="1" x14ac:dyDescent="0.2">
      <c r="A68" s="861" t="s">
        <v>2805</v>
      </c>
      <c r="B68" s="862"/>
      <c r="C68" s="862"/>
      <c r="D68" s="862"/>
      <c r="E68" s="862"/>
      <c r="F68" s="862"/>
      <c r="G68" s="863"/>
    </row>
    <row r="69" spans="1:7" x14ac:dyDescent="0.2">
      <c r="A69" s="131" t="s">
        <v>2806</v>
      </c>
      <c r="B69" s="145">
        <v>30857</v>
      </c>
      <c r="C69" s="145">
        <v>57</v>
      </c>
      <c r="D69" s="145"/>
      <c r="E69" s="145"/>
      <c r="F69" s="145"/>
      <c r="G69" s="307"/>
    </row>
    <row r="70" spans="1:7" x14ac:dyDescent="0.2">
      <c r="A70" s="131" t="s">
        <v>2807</v>
      </c>
      <c r="B70" s="145">
        <v>6902</v>
      </c>
      <c r="C70" s="145">
        <v>10</v>
      </c>
      <c r="D70" s="145"/>
      <c r="E70" s="145">
        <v>37759</v>
      </c>
      <c r="F70" s="145">
        <v>67</v>
      </c>
      <c r="G70" s="307"/>
    </row>
    <row r="71" spans="1:7" x14ac:dyDescent="0.2">
      <c r="A71" s="131"/>
      <c r="B71" s="145"/>
      <c r="C71" s="145"/>
      <c r="D71" s="145"/>
      <c r="E71" s="138">
        <f>+SUM(B69:B70)</f>
        <v>37759</v>
      </c>
      <c r="F71" s="138">
        <f>+SUM(C69:C70)</f>
        <v>67</v>
      </c>
      <c r="G71" s="188">
        <f>+SUM(D69:D70)</f>
        <v>0</v>
      </c>
    </row>
    <row r="72" spans="1:7" ht="22.25" customHeight="1" x14ac:dyDescent="0.2">
      <c r="A72" s="861" t="s">
        <v>2808</v>
      </c>
      <c r="B72" s="862"/>
      <c r="C72" s="862"/>
      <c r="D72" s="862"/>
      <c r="E72" s="862"/>
      <c r="F72" s="862"/>
      <c r="G72" s="863"/>
    </row>
    <row r="73" spans="1:7" x14ac:dyDescent="0.2">
      <c r="A73" s="140" t="s">
        <v>2809</v>
      </c>
      <c r="B73" s="145">
        <v>16063</v>
      </c>
      <c r="C73" s="145">
        <v>50</v>
      </c>
      <c r="D73" s="145"/>
      <c r="E73" s="145"/>
      <c r="F73" s="145"/>
      <c r="G73" s="307"/>
    </row>
    <row r="74" spans="1:7" ht="16" thickBot="1" x14ac:dyDescent="0.25">
      <c r="A74" s="140" t="s">
        <v>2810</v>
      </c>
      <c r="B74" s="187">
        <v>5859</v>
      </c>
      <c r="C74" s="187">
        <v>60</v>
      </c>
      <c r="D74" s="187"/>
      <c r="E74" s="145">
        <v>21923</v>
      </c>
      <c r="F74" s="145">
        <v>10</v>
      </c>
      <c r="G74" s="307"/>
    </row>
    <row r="75" spans="1:7" x14ac:dyDescent="0.2">
      <c r="A75" s="140"/>
      <c r="B75" s="145"/>
      <c r="C75" s="145"/>
      <c r="D75" s="145"/>
      <c r="E75" s="138">
        <f>+SUM(B73:B74)</f>
        <v>21922</v>
      </c>
      <c r="F75" s="138">
        <f>+SUM(C73:C74)</f>
        <v>110</v>
      </c>
      <c r="G75" s="188">
        <f>+SUM(D73:D74)</f>
        <v>0</v>
      </c>
    </row>
    <row r="76" spans="1:7" ht="20" customHeight="1" x14ac:dyDescent="0.2">
      <c r="A76" s="861" t="s">
        <v>2811</v>
      </c>
      <c r="B76" s="862"/>
      <c r="C76" s="862"/>
      <c r="D76" s="862"/>
      <c r="E76" s="862"/>
      <c r="F76" s="862"/>
      <c r="G76" s="863"/>
    </row>
    <row r="77" spans="1:7" x14ac:dyDescent="0.2">
      <c r="A77" s="588" t="s">
        <v>2812</v>
      </c>
      <c r="B77" s="589"/>
      <c r="C77" s="589"/>
      <c r="D77" s="589"/>
      <c r="E77" s="145">
        <v>28773</v>
      </c>
      <c r="F77" s="145">
        <v>95</v>
      </c>
      <c r="G77" s="307"/>
    </row>
    <row r="78" spans="1:7" ht="21.5" customHeight="1" x14ac:dyDescent="0.2">
      <c r="A78" s="861" t="s">
        <v>2813</v>
      </c>
      <c r="B78" s="862"/>
      <c r="C78" s="862"/>
      <c r="D78" s="862"/>
      <c r="E78" s="862"/>
      <c r="F78" s="862"/>
      <c r="G78" s="863"/>
    </row>
    <row r="79" spans="1:7" ht="21.5" customHeight="1" x14ac:dyDescent="0.2">
      <c r="A79" s="588" t="s">
        <v>2814</v>
      </c>
      <c r="B79" s="589"/>
      <c r="C79" s="589"/>
      <c r="D79" s="589"/>
      <c r="E79" s="145">
        <v>53999</v>
      </c>
      <c r="F79" s="145">
        <v>60</v>
      </c>
      <c r="G79" s="307"/>
    </row>
    <row r="80" spans="1:7" ht="22.25" customHeight="1" x14ac:dyDescent="0.2">
      <c r="A80" s="861" t="s">
        <v>2815</v>
      </c>
      <c r="B80" s="862"/>
      <c r="C80" s="862"/>
      <c r="D80" s="862"/>
      <c r="E80" s="862"/>
      <c r="F80" s="862"/>
      <c r="G80" s="863"/>
    </row>
    <row r="81" spans="1:7" x14ac:dyDescent="0.2">
      <c r="A81" s="131" t="s">
        <v>2816</v>
      </c>
      <c r="B81" s="145">
        <v>23190</v>
      </c>
      <c r="C81" s="145">
        <v>35</v>
      </c>
      <c r="D81" s="145"/>
      <c r="E81" s="145"/>
      <c r="F81" s="145"/>
      <c r="G81" s="307"/>
    </row>
    <row r="82" spans="1:7" ht="16.25" customHeight="1" x14ac:dyDescent="0.2">
      <c r="A82" s="539" t="s">
        <v>2817</v>
      </c>
      <c r="B82" s="145">
        <v>81122</v>
      </c>
      <c r="C82" s="145">
        <v>83</v>
      </c>
      <c r="D82" s="145"/>
      <c r="E82" s="145"/>
      <c r="F82" s="145"/>
      <c r="G82" s="307"/>
    </row>
    <row r="83" spans="1:7" x14ac:dyDescent="0.2">
      <c r="A83" s="131" t="s">
        <v>2818</v>
      </c>
      <c r="B83" s="145">
        <v>2755</v>
      </c>
      <c r="C83" s="145">
        <v>50</v>
      </c>
      <c r="D83" s="145"/>
      <c r="E83" s="145"/>
      <c r="F83" s="145"/>
      <c r="G83" s="307"/>
    </row>
    <row r="84" spans="1:7" x14ac:dyDescent="0.2">
      <c r="A84" s="131" t="s">
        <v>2819</v>
      </c>
      <c r="B84" s="145">
        <v>27879</v>
      </c>
      <c r="C84" s="145">
        <v>10</v>
      </c>
      <c r="D84" s="145"/>
      <c r="E84" s="145"/>
      <c r="F84" s="145"/>
      <c r="G84" s="307"/>
    </row>
    <row r="85" spans="1:7" x14ac:dyDescent="0.2">
      <c r="A85" s="131" t="s">
        <v>2820</v>
      </c>
      <c r="B85" s="145">
        <v>124629</v>
      </c>
      <c r="C85" s="145">
        <v>30</v>
      </c>
      <c r="D85" s="145"/>
      <c r="E85" s="145"/>
      <c r="F85" s="145"/>
      <c r="G85" s="307"/>
    </row>
    <row r="86" spans="1:7" x14ac:dyDescent="0.2">
      <c r="A86" s="131" t="s">
        <v>2821</v>
      </c>
      <c r="B86" s="145">
        <v>29736</v>
      </c>
      <c r="C86" s="145">
        <v>39</v>
      </c>
      <c r="D86" s="145"/>
      <c r="E86" s="145"/>
      <c r="F86" s="145"/>
      <c r="G86" s="307"/>
    </row>
    <row r="87" spans="1:7" x14ac:dyDescent="0.2">
      <c r="A87" s="131" t="s">
        <v>2822</v>
      </c>
      <c r="B87" s="145">
        <v>88038</v>
      </c>
      <c r="C87" s="145">
        <v>62</v>
      </c>
      <c r="D87" s="180">
        <v>0.5</v>
      </c>
      <c r="E87" s="145"/>
      <c r="F87" s="145"/>
      <c r="G87" s="307"/>
    </row>
    <row r="88" spans="1:7" x14ac:dyDescent="0.2">
      <c r="A88" s="131" t="s">
        <v>2804</v>
      </c>
      <c r="B88" s="145">
        <v>21823</v>
      </c>
      <c r="C88" s="145">
        <v>39</v>
      </c>
      <c r="D88" s="145"/>
      <c r="E88" s="145"/>
      <c r="F88" s="145"/>
      <c r="G88" s="307"/>
    </row>
    <row r="89" spans="1:7" ht="16" thickBot="1" x14ac:dyDescent="0.25">
      <c r="A89" s="131" t="s">
        <v>2823</v>
      </c>
      <c r="B89" s="187">
        <v>2601</v>
      </c>
      <c r="C89" s="187">
        <v>64</v>
      </c>
      <c r="D89" s="187"/>
      <c r="E89" s="145">
        <v>401777</v>
      </c>
      <c r="F89" s="145">
        <v>12</v>
      </c>
      <c r="G89" s="133">
        <v>0.5</v>
      </c>
    </row>
    <row r="90" spans="1:7" x14ac:dyDescent="0.2">
      <c r="A90" s="131"/>
      <c r="B90" s="145"/>
      <c r="C90" s="145"/>
      <c r="D90" s="145"/>
      <c r="E90" s="138">
        <f>+SUM(B81:B89)</f>
        <v>401773</v>
      </c>
      <c r="F90" s="138">
        <f>+SUM(C81:C89)</f>
        <v>412</v>
      </c>
      <c r="G90" s="188">
        <f>+SUM(D81:D89)</f>
        <v>0.5</v>
      </c>
    </row>
    <row r="91" spans="1:7" ht="22.25" customHeight="1" x14ac:dyDescent="0.2">
      <c r="A91" s="861" t="s">
        <v>2824</v>
      </c>
      <c r="B91" s="862"/>
      <c r="C91" s="862"/>
      <c r="D91" s="862"/>
      <c r="E91" s="862"/>
      <c r="F91" s="862"/>
      <c r="G91" s="863"/>
    </row>
    <row r="92" spans="1:7" ht="44.5" customHeight="1" x14ac:dyDescent="0.2">
      <c r="A92" s="516" t="s">
        <v>2825</v>
      </c>
      <c r="B92" s="517"/>
      <c r="C92" s="517"/>
      <c r="D92" s="517"/>
      <c r="E92" s="145">
        <v>8184</v>
      </c>
      <c r="F92" s="145">
        <v>55</v>
      </c>
      <c r="G92" s="307"/>
    </row>
    <row r="93" spans="1:7" ht="24.5" customHeight="1" x14ac:dyDescent="0.2">
      <c r="A93" s="861" t="s">
        <v>2826</v>
      </c>
      <c r="B93" s="862"/>
      <c r="C93" s="862"/>
      <c r="D93" s="862"/>
      <c r="E93" s="862"/>
      <c r="F93" s="862"/>
      <c r="G93" s="863"/>
    </row>
    <row r="94" spans="1:7" x14ac:dyDescent="0.2">
      <c r="A94" s="131" t="s">
        <v>2827</v>
      </c>
      <c r="B94" s="145">
        <v>42071</v>
      </c>
      <c r="C94" s="145">
        <v>5</v>
      </c>
      <c r="D94" s="145"/>
      <c r="E94" s="145"/>
      <c r="F94" s="145"/>
      <c r="G94" s="307"/>
    </row>
    <row r="95" spans="1:7" ht="16" thickBot="1" x14ac:dyDescent="0.25">
      <c r="A95" s="131" t="s">
        <v>2828</v>
      </c>
      <c r="B95" s="187">
        <v>65628</v>
      </c>
      <c r="C95" s="187">
        <v>75</v>
      </c>
      <c r="D95" s="187"/>
      <c r="E95" s="145">
        <v>107699</v>
      </c>
      <c r="F95" s="145">
        <v>80</v>
      </c>
      <c r="G95" s="307"/>
    </row>
    <row r="96" spans="1:7" x14ac:dyDescent="0.2">
      <c r="A96" s="131"/>
      <c r="B96" s="145"/>
      <c r="C96" s="145"/>
      <c r="D96" s="145"/>
      <c r="E96" s="138">
        <f>+SUM(B94:B95)</f>
        <v>107699</v>
      </c>
      <c r="F96" s="138">
        <f>+SUM(C94:C95)</f>
        <v>80</v>
      </c>
      <c r="G96" s="188">
        <f>+SUM(D94:D95)</f>
        <v>0</v>
      </c>
    </row>
    <row r="97" spans="1:7" ht="22.25" customHeight="1" x14ac:dyDescent="0.2">
      <c r="A97" s="861" t="s">
        <v>2829</v>
      </c>
      <c r="B97" s="862"/>
      <c r="C97" s="862"/>
      <c r="D97" s="862"/>
      <c r="E97" s="862"/>
      <c r="F97" s="862"/>
      <c r="G97" s="863"/>
    </row>
    <row r="98" spans="1:7" x14ac:dyDescent="0.2">
      <c r="A98" s="131" t="s">
        <v>2830</v>
      </c>
      <c r="B98" s="145">
        <v>14999</v>
      </c>
      <c r="C98" s="145">
        <v>25</v>
      </c>
      <c r="D98" s="145"/>
      <c r="E98" s="145"/>
      <c r="F98" s="145"/>
      <c r="G98" s="307"/>
    </row>
    <row r="99" spans="1:7" x14ac:dyDescent="0.2">
      <c r="A99" s="131" t="s">
        <v>2831</v>
      </c>
      <c r="B99" s="145">
        <v>310000</v>
      </c>
      <c r="C99" s="145"/>
      <c r="D99" s="145"/>
      <c r="E99" s="145"/>
      <c r="F99" s="145"/>
      <c r="G99" s="307"/>
    </row>
    <row r="100" spans="1:7" x14ac:dyDescent="0.2">
      <c r="A100" s="131" t="s">
        <v>2832</v>
      </c>
      <c r="B100" s="145">
        <v>91391</v>
      </c>
      <c r="C100" s="145"/>
      <c r="D100" s="145"/>
      <c r="E100" s="145"/>
      <c r="F100" s="145"/>
      <c r="G100" s="307"/>
    </row>
    <row r="101" spans="1:7" ht="16" thickBot="1" x14ac:dyDescent="0.25">
      <c r="A101" s="131" t="s">
        <v>2833</v>
      </c>
      <c r="B101" s="187">
        <v>440</v>
      </c>
      <c r="C101" s="187"/>
      <c r="D101" s="187"/>
      <c r="E101" s="145">
        <v>416830</v>
      </c>
      <c r="F101" s="145">
        <v>25</v>
      </c>
      <c r="G101" s="307"/>
    </row>
    <row r="102" spans="1:7" x14ac:dyDescent="0.2">
      <c r="A102" s="131"/>
      <c r="B102" s="145"/>
      <c r="C102" s="145"/>
      <c r="D102" s="145"/>
      <c r="E102" s="138">
        <f>+SUM(B98:B101)</f>
        <v>416830</v>
      </c>
      <c r="F102" s="138">
        <f>+SUM(C98:C101)</f>
        <v>25</v>
      </c>
      <c r="G102" s="188">
        <f>+SUM(D98:D101)</f>
        <v>0</v>
      </c>
    </row>
    <row r="103" spans="1:7" ht="30" customHeight="1" thickBot="1" x14ac:dyDescent="0.25">
      <c r="A103" s="516" t="s">
        <v>2834</v>
      </c>
      <c r="B103" s="517"/>
      <c r="C103" s="517"/>
      <c r="D103" s="517"/>
      <c r="E103" s="187">
        <v>1572895</v>
      </c>
      <c r="F103" s="187">
        <v>74</v>
      </c>
      <c r="G103" s="189">
        <v>0.5</v>
      </c>
    </row>
    <row r="104" spans="1:7" ht="18.5" customHeight="1" thickBot="1" x14ac:dyDescent="0.25">
      <c r="A104" s="864"/>
      <c r="B104" s="865"/>
      <c r="C104" s="865"/>
      <c r="D104" s="865"/>
      <c r="E104" s="866">
        <f>+SUM(E101+E95+E89+E92+E79+E77+E74+E70+E66+E59+E57+E54+E50)</f>
        <v>1572890</v>
      </c>
      <c r="F104" s="866">
        <f t="shared" ref="F104:G104" si="0">+SUM(F101+F95+F89+F92+F79+F77+F74+F70+F66+F59+F57+F54+F50)</f>
        <v>574</v>
      </c>
      <c r="G104" s="867">
        <f t="shared" si="0"/>
        <v>0.5</v>
      </c>
    </row>
    <row r="105" spans="1:7" x14ac:dyDescent="0.2">
      <c r="A105" s="494"/>
      <c r="B105" s="495"/>
      <c r="C105" s="495"/>
      <c r="D105" s="495"/>
      <c r="E105" s="495"/>
      <c r="F105" s="495"/>
      <c r="G105" s="550"/>
    </row>
    <row r="106" spans="1:7" x14ac:dyDescent="0.2">
      <c r="A106" s="830" t="s">
        <v>2835</v>
      </c>
      <c r="B106" s="831"/>
      <c r="C106" s="831"/>
      <c r="D106" s="831"/>
      <c r="E106" s="145">
        <v>2674439</v>
      </c>
      <c r="F106" s="145"/>
      <c r="G106" s="307"/>
    </row>
    <row r="107" spans="1:7" x14ac:dyDescent="0.2">
      <c r="A107" s="830" t="s">
        <v>2836</v>
      </c>
      <c r="B107" s="831"/>
      <c r="C107" s="831"/>
      <c r="D107" s="831"/>
      <c r="E107" s="145">
        <v>1572895</v>
      </c>
      <c r="F107" s="145">
        <v>74</v>
      </c>
      <c r="G107" s="307">
        <v>0.5</v>
      </c>
    </row>
    <row r="108" spans="1:7" x14ac:dyDescent="0.2">
      <c r="A108" s="830" t="s">
        <v>2837</v>
      </c>
      <c r="B108" s="831"/>
      <c r="C108" s="831"/>
      <c r="D108" s="831"/>
      <c r="E108" s="145">
        <v>4247334</v>
      </c>
      <c r="F108" s="145">
        <v>74</v>
      </c>
      <c r="G108" s="307">
        <v>0.5</v>
      </c>
    </row>
    <row r="109" spans="1:7" x14ac:dyDescent="0.2">
      <c r="A109" s="830" t="s">
        <v>2838</v>
      </c>
      <c r="B109" s="831"/>
      <c r="C109" s="831"/>
      <c r="D109" s="831"/>
      <c r="E109" s="145">
        <v>3937500</v>
      </c>
      <c r="F109" s="145"/>
      <c r="G109" s="307"/>
    </row>
    <row r="110" spans="1:7" ht="16" thickBot="1" x14ac:dyDescent="0.25">
      <c r="A110" s="868" t="s">
        <v>2839</v>
      </c>
      <c r="B110" s="869"/>
      <c r="C110" s="869"/>
      <c r="D110" s="869"/>
      <c r="E110" s="362">
        <v>309834</v>
      </c>
      <c r="F110" s="362">
        <v>74</v>
      </c>
      <c r="G110" s="373">
        <v>0.5</v>
      </c>
    </row>
    <row r="111" spans="1:7" ht="16" thickTop="1" x14ac:dyDescent="0.2"/>
    <row r="112" spans="1:7" x14ac:dyDescent="0.2">
      <c r="E112" s="107"/>
    </row>
    <row r="114" spans="1:5" x14ac:dyDescent="0.2">
      <c r="A114" s="113" t="s">
        <v>1182</v>
      </c>
    </row>
    <row r="115" spans="1:5" ht="31.25" customHeight="1" x14ac:dyDescent="0.2">
      <c r="A115" s="870" t="s">
        <v>2840</v>
      </c>
      <c r="B115" s="871"/>
      <c r="C115" s="871"/>
      <c r="D115" s="871"/>
      <c r="E115" s="872"/>
    </row>
    <row r="116" spans="1:5" ht="27.5" customHeight="1" x14ac:dyDescent="0.2">
      <c r="A116" s="554"/>
      <c r="B116" s="252" t="s">
        <v>2841</v>
      </c>
      <c r="C116" s="254"/>
      <c r="D116" s="252" t="s">
        <v>2842</v>
      </c>
      <c r="E116" s="254"/>
    </row>
    <row r="117" spans="1:5" ht="43.25" customHeight="1" x14ac:dyDescent="0.2">
      <c r="A117" s="873" t="s">
        <v>2843</v>
      </c>
      <c r="B117" s="131">
        <v>87</v>
      </c>
      <c r="C117" s="307"/>
      <c r="D117" s="131">
        <v>5663</v>
      </c>
      <c r="E117" s="307">
        <v>60</v>
      </c>
    </row>
    <row r="118" spans="1:5" ht="30" x14ac:dyDescent="0.2">
      <c r="A118" s="874" t="s">
        <v>2844</v>
      </c>
      <c r="B118" s="230">
        <v>108</v>
      </c>
      <c r="C118" s="364"/>
      <c r="D118" s="230">
        <v>1663</v>
      </c>
      <c r="E118" s="364">
        <v>95</v>
      </c>
    </row>
    <row r="121" spans="1:5" x14ac:dyDescent="0.2">
      <c r="A121" s="113" t="s">
        <v>1226</v>
      </c>
    </row>
    <row r="122" spans="1:5" ht="26.5" customHeight="1" x14ac:dyDescent="0.2">
      <c r="A122" s="504" t="s">
        <v>2845</v>
      </c>
      <c r="B122" s="505"/>
      <c r="C122" s="505"/>
      <c r="D122" s="505"/>
      <c r="E122" s="506"/>
    </row>
    <row r="123" spans="1:5" ht="26" customHeight="1" x14ac:dyDescent="0.2">
      <c r="A123" s="164"/>
      <c r="B123" s="511" t="s">
        <v>2841</v>
      </c>
      <c r="C123" s="512"/>
      <c r="D123" s="511" t="s">
        <v>2846</v>
      </c>
      <c r="E123" s="512"/>
    </row>
    <row r="124" spans="1:5" ht="44.5" customHeight="1" x14ac:dyDescent="0.2">
      <c r="A124" s="320" t="s">
        <v>2847</v>
      </c>
      <c r="B124" s="151">
        <v>360</v>
      </c>
      <c r="C124" s="195"/>
      <c r="D124" s="151">
        <v>8100</v>
      </c>
      <c r="E124" s="195">
        <v>95</v>
      </c>
    </row>
    <row r="128" spans="1:5" x14ac:dyDescent="0.2">
      <c r="A128" s="113" t="s">
        <v>1272</v>
      </c>
    </row>
    <row r="129" spans="1:22" ht="42" customHeight="1" x14ac:dyDescent="0.2">
      <c r="A129" s="875" t="s">
        <v>2848</v>
      </c>
      <c r="B129" s="876"/>
      <c r="C129" s="876"/>
      <c r="D129" s="876"/>
      <c r="E129" s="876"/>
      <c r="F129" s="876"/>
      <c r="G129" s="876"/>
      <c r="H129" s="876"/>
      <c r="I129" s="876"/>
      <c r="J129" s="876"/>
      <c r="K129" s="876"/>
      <c r="L129" s="876"/>
      <c r="M129" s="876"/>
      <c r="N129" s="876"/>
      <c r="O129" s="876"/>
      <c r="P129" s="876"/>
      <c r="Q129" s="876"/>
      <c r="R129" s="876"/>
      <c r="S129" s="876"/>
      <c r="T129" s="876"/>
      <c r="U129" s="877"/>
    </row>
    <row r="130" spans="1:22" ht="86.5" customHeight="1" x14ac:dyDescent="0.2">
      <c r="A130" s="811" t="s">
        <v>2849</v>
      </c>
      <c r="B130" s="608" t="s">
        <v>2850</v>
      </c>
      <c r="C130" s="609"/>
      <c r="D130" s="778" t="s">
        <v>2851</v>
      </c>
      <c r="E130" s="609"/>
      <c r="F130" s="778" t="s">
        <v>2852</v>
      </c>
      <c r="G130" s="778"/>
      <c r="H130" s="608" t="s">
        <v>2853</v>
      </c>
      <c r="I130" s="778"/>
      <c r="J130" s="609"/>
      <c r="K130" s="608" t="s">
        <v>2854</v>
      </c>
      <c r="L130" s="778"/>
      <c r="M130" s="609"/>
      <c r="N130" s="608" t="s">
        <v>2855</v>
      </c>
      <c r="O130" s="778"/>
      <c r="P130" s="609"/>
      <c r="Q130" s="608" t="s">
        <v>2856</v>
      </c>
      <c r="R130" s="778"/>
      <c r="S130" s="609"/>
      <c r="T130" s="608" t="s">
        <v>2857</v>
      </c>
      <c r="U130" s="609"/>
    </row>
    <row r="131" spans="1:22" x14ac:dyDescent="0.2">
      <c r="A131" s="131" t="s">
        <v>1174</v>
      </c>
      <c r="B131" s="131">
        <v>900000</v>
      </c>
      <c r="C131" s="307"/>
      <c r="D131" s="145">
        <v>620940</v>
      </c>
      <c r="E131" s="307">
        <v>835</v>
      </c>
      <c r="F131" s="145">
        <v>592349</v>
      </c>
      <c r="G131" s="145">
        <v>785</v>
      </c>
      <c r="H131" s="131"/>
      <c r="I131" s="145"/>
      <c r="J131" s="145"/>
      <c r="K131" s="131"/>
      <c r="L131" s="145"/>
      <c r="M131" s="307"/>
      <c r="N131" s="145">
        <v>620940</v>
      </c>
      <c r="O131" s="145">
        <v>835</v>
      </c>
      <c r="P131" s="307"/>
      <c r="Q131" s="145">
        <v>592349</v>
      </c>
      <c r="R131" s="145">
        <v>785</v>
      </c>
      <c r="S131" s="145"/>
      <c r="T131" s="131">
        <v>28591</v>
      </c>
      <c r="U131" s="307">
        <v>50</v>
      </c>
      <c r="V131" s="107"/>
    </row>
    <row r="132" spans="1:22" x14ac:dyDescent="0.2">
      <c r="A132" s="131" t="s">
        <v>1573</v>
      </c>
      <c r="B132" s="131">
        <v>20000</v>
      </c>
      <c r="C132" s="307"/>
      <c r="D132" s="145">
        <v>15828</v>
      </c>
      <c r="E132" s="307">
        <v>388</v>
      </c>
      <c r="F132" s="145">
        <v>15828</v>
      </c>
      <c r="G132" s="145">
        <v>388</v>
      </c>
      <c r="H132" s="131"/>
      <c r="I132" s="145"/>
      <c r="J132" s="145"/>
      <c r="K132" s="131"/>
      <c r="L132" s="145"/>
      <c r="M132" s="307"/>
      <c r="N132" s="145">
        <v>15828</v>
      </c>
      <c r="O132" s="145">
        <v>388</v>
      </c>
      <c r="P132" s="307"/>
      <c r="Q132" s="145">
        <v>15828</v>
      </c>
      <c r="R132" s="145">
        <v>388</v>
      </c>
      <c r="S132" s="145"/>
      <c r="T132" s="131"/>
      <c r="U132" s="307"/>
    </row>
    <row r="133" spans="1:22" x14ac:dyDescent="0.2">
      <c r="A133" s="131" t="s">
        <v>2858</v>
      </c>
      <c r="B133" s="131">
        <v>200000</v>
      </c>
      <c r="C133" s="307"/>
      <c r="D133" s="145">
        <v>158970</v>
      </c>
      <c r="E133" s="307">
        <v>635</v>
      </c>
      <c r="F133" s="145">
        <v>158970</v>
      </c>
      <c r="G133" s="145">
        <v>635</v>
      </c>
      <c r="H133" s="131"/>
      <c r="I133" s="145"/>
      <c r="J133" s="145"/>
      <c r="K133" s="131"/>
      <c r="L133" s="145"/>
      <c r="M133" s="307"/>
      <c r="N133" s="145">
        <v>158970</v>
      </c>
      <c r="O133" s="145">
        <v>635</v>
      </c>
      <c r="P133" s="307"/>
      <c r="Q133" s="145">
        <v>158970</v>
      </c>
      <c r="R133" s="145">
        <v>635</v>
      </c>
      <c r="S133" s="145"/>
      <c r="T133" s="131"/>
      <c r="U133" s="307"/>
    </row>
    <row r="134" spans="1:22" x14ac:dyDescent="0.2">
      <c r="A134" s="131" t="s">
        <v>1808</v>
      </c>
      <c r="B134" s="131">
        <v>30000</v>
      </c>
      <c r="C134" s="307"/>
      <c r="D134" s="145">
        <v>55901</v>
      </c>
      <c r="E134" s="307">
        <v>96</v>
      </c>
      <c r="F134" s="145">
        <v>55411</v>
      </c>
      <c r="G134" s="145">
        <v>96</v>
      </c>
      <c r="H134" s="131"/>
      <c r="I134" s="145"/>
      <c r="J134" s="145"/>
      <c r="K134" s="131">
        <v>17</v>
      </c>
      <c r="L134" s="145">
        <v>515</v>
      </c>
      <c r="M134" s="307"/>
      <c r="N134" s="145">
        <v>55901</v>
      </c>
      <c r="O134" s="145">
        <v>96</v>
      </c>
      <c r="P134" s="307"/>
      <c r="Q134" s="145">
        <v>55428</v>
      </c>
      <c r="R134" s="145">
        <v>611</v>
      </c>
      <c r="S134" s="145"/>
      <c r="T134" s="131">
        <v>472</v>
      </c>
      <c r="U134" s="307">
        <v>485</v>
      </c>
    </row>
    <row r="135" spans="1:22" x14ac:dyDescent="0.2">
      <c r="A135" s="131" t="s">
        <v>1175</v>
      </c>
      <c r="B135" s="131">
        <v>50000</v>
      </c>
      <c r="C135" s="307"/>
      <c r="D135" s="145">
        <v>17803</v>
      </c>
      <c r="E135" s="307">
        <v>945</v>
      </c>
      <c r="F135" s="145">
        <v>17544</v>
      </c>
      <c r="G135" s="145">
        <v>280</v>
      </c>
      <c r="H135" s="131">
        <v>16</v>
      </c>
      <c r="I135" s="145">
        <v>300</v>
      </c>
      <c r="J135" s="145"/>
      <c r="K135" s="131">
        <v>16</v>
      </c>
      <c r="L135" s="145">
        <v>300</v>
      </c>
      <c r="M135" s="307"/>
      <c r="N135" s="145">
        <v>17820</v>
      </c>
      <c r="O135" s="145">
        <v>245</v>
      </c>
      <c r="P135" s="307"/>
      <c r="Q135" s="145">
        <v>17560</v>
      </c>
      <c r="R135" s="145">
        <v>580</v>
      </c>
      <c r="S135" s="145"/>
      <c r="T135" s="131">
        <v>259</v>
      </c>
      <c r="U135" s="307">
        <v>665</v>
      </c>
    </row>
    <row r="136" spans="1:22" x14ac:dyDescent="0.2">
      <c r="A136" s="131" t="s">
        <v>2859</v>
      </c>
      <c r="B136" s="131">
        <v>200000</v>
      </c>
      <c r="C136" s="307"/>
      <c r="D136" s="145"/>
      <c r="E136" s="307"/>
      <c r="F136" s="145"/>
      <c r="G136" s="145"/>
      <c r="H136" s="131"/>
      <c r="I136" s="145"/>
      <c r="J136" s="145"/>
      <c r="K136" s="131"/>
      <c r="L136" s="145"/>
      <c r="M136" s="307"/>
      <c r="N136" s="145"/>
      <c r="O136" s="145"/>
      <c r="P136" s="307"/>
      <c r="Q136" s="145"/>
      <c r="R136" s="145"/>
      <c r="S136" s="145"/>
      <c r="T136" s="131"/>
      <c r="U136" s="307"/>
    </row>
    <row r="137" spans="1:22" x14ac:dyDescent="0.2">
      <c r="A137" s="131" t="s">
        <v>2860</v>
      </c>
      <c r="B137" s="131">
        <v>25000</v>
      </c>
      <c r="C137" s="307"/>
      <c r="D137" s="145"/>
      <c r="E137" s="307"/>
      <c r="F137" s="145"/>
      <c r="G137" s="145"/>
      <c r="H137" s="131"/>
      <c r="I137" s="145"/>
      <c r="J137" s="145"/>
      <c r="K137" s="131"/>
      <c r="L137" s="145"/>
      <c r="M137" s="307"/>
      <c r="N137" s="145"/>
      <c r="O137" s="145"/>
      <c r="P137" s="307"/>
      <c r="Q137" s="145"/>
      <c r="R137" s="145"/>
      <c r="S137" s="145"/>
      <c r="T137" s="131"/>
      <c r="U137" s="307"/>
    </row>
    <row r="138" spans="1:22" x14ac:dyDescent="0.2">
      <c r="A138" s="131" t="s">
        <v>1569</v>
      </c>
      <c r="B138" s="131">
        <v>700000</v>
      </c>
      <c r="C138" s="307"/>
      <c r="D138" s="145">
        <v>675081</v>
      </c>
      <c r="E138" s="307">
        <v>75</v>
      </c>
      <c r="F138" s="145">
        <v>674430</v>
      </c>
      <c r="G138" s="145">
        <v>125</v>
      </c>
      <c r="H138" s="131"/>
      <c r="I138" s="145"/>
      <c r="J138" s="145"/>
      <c r="K138" s="131"/>
      <c r="L138" s="145"/>
      <c r="M138" s="307"/>
      <c r="N138" s="145">
        <v>675081</v>
      </c>
      <c r="O138" s="145">
        <v>75</v>
      </c>
      <c r="P138" s="307"/>
      <c r="Q138" s="145">
        <v>674430</v>
      </c>
      <c r="R138" s="145">
        <v>125</v>
      </c>
      <c r="S138" s="145"/>
      <c r="T138" s="131">
        <v>650</v>
      </c>
      <c r="U138" s="307">
        <v>950</v>
      </c>
    </row>
    <row r="139" spans="1:22" x14ac:dyDescent="0.2">
      <c r="A139" s="131" t="s">
        <v>1992</v>
      </c>
      <c r="B139" s="131">
        <v>25000</v>
      </c>
      <c r="C139" s="307"/>
      <c r="D139" s="145">
        <v>26799</v>
      </c>
      <c r="E139" s="307">
        <v>364</v>
      </c>
      <c r="F139" s="145">
        <v>23532</v>
      </c>
      <c r="G139" s="145">
        <v>152</v>
      </c>
      <c r="H139" s="131"/>
      <c r="I139" s="145"/>
      <c r="J139" s="145"/>
      <c r="K139" s="131">
        <v>1959</v>
      </c>
      <c r="L139" s="145">
        <v>575</v>
      </c>
      <c r="M139" s="307"/>
      <c r="N139" s="145">
        <v>26799</v>
      </c>
      <c r="O139" s="145">
        <v>364</v>
      </c>
      <c r="P139" s="307"/>
      <c r="Q139" s="145">
        <v>25491</v>
      </c>
      <c r="R139" s="145">
        <v>727</v>
      </c>
      <c r="S139" s="145"/>
      <c r="T139" s="131">
        <v>1307</v>
      </c>
      <c r="U139" s="307">
        <v>637</v>
      </c>
    </row>
    <row r="140" spans="1:22" x14ac:dyDescent="0.2">
      <c r="A140" s="794" t="s">
        <v>2566</v>
      </c>
      <c r="B140" s="240">
        <v>2150000</v>
      </c>
      <c r="C140" s="513"/>
      <c r="D140" s="318">
        <v>1571325</v>
      </c>
      <c r="E140" s="513">
        <v>338</v>
      </c>
      <c r="F140" s="318">
        <v>1538066</v>
      </c>
      <c r="G140" s="318">
        <v>461</v>
      </c>
      <c r="H140" s="240">
        <v>16</v>
      </c>
      <c r="I140" s="318">
        <v>300</v>
      </c>
      <c r="J140" s="318"/>
      <c r="K140" s="240">
        <v>1993</v>
      </c>
      <c r="L140" s="318">
        <v>390</v>
      </c>
      <c r="M140" s="513"/>
      <c r="N140" s="318">
        <v>1571341</v>
      </c>
      <c r="O140" s="318">
        <v>638</v>
      </c>
      <c r="P140" s="513"/>
      <c r="Q140" s="318">
        <v>1540059</v>
      </c>
      <c r="R140" s="318">
        <v>851</v>
      </c>
      <c r="S140" s="318"/>
      <c r="T140" s="240">
        <v>31281</v>
      </c>
      <c r="U140" s="513">
        <v>787</v>
      </c>
    </row>
    <row r="141" spans="1:22" x14ac:dyDescent="0.2">
      <c r="A141" s="131"/>
      <c r="B141" s="138">
        <f>+SUM(B131:B139)</f>
        <v>2150000</v>
      </c>
      <c r="C141" s="138">
        <f t="shared" ref="C141:U141" si="1">+SUM(C131:C139)</f>
        <v>0</v>
      </c>
      <c r="D141" s="138">
        <f t="shared" si="1"/>
        <v>1571322</v>
      </c>
      <c r="E141" s="138">
        <f t="shared" si="1"/>
        <v>3338</v>
      </c>
      <c r="F141" s="138">
        <f t="shared" si="1"/>
        <v>1538064</v>
      </c>
      <c r="G141" s="138">
        <f t="shared" si="1"/>
        <v>2461</v>
      </c>
      <c r="H141" s="138">
        <f t="shared" si="1"/>
        <v>16</v>
      </c>
      <c r="I141" s="138">
        <f t="shared" si="1"/>
        <v>300</v>
      </c>
      <c r="J141" s="138">
        <f t="shared" si="1"/>
        <v>0</v>
      </c>
      <c r="K141" s="138">
        <f t="shared" si="1"/>
        <v>1992</v>
      </c>
      <c r="L141" s="138">
        <f t="shared" si="1"/>
        <v>1390</v>
      </c>
      <c r="M141" s="138">
        <f t="shared" si="1"/>
        <v>0</v>
      </c>
      <c r="N141" s="138">
        <f t="shared" si="1"/>
        <v>1571339</v>
      </c>
      <c r="O141" s="138">
        <f t="shared" si="1"/>
        <v>2638</v>
      </c>
      <c r="P141" s="138">
        <f t="shared" si="1"/>
        <v>0</v>
      </c>
      <c r="Q141" s="138">
        <f t="shared" si="1"/>
        <v>1540056</v>
      </c>
      <c r="R141" s="138">
        <f t="shared" si="1"/>
        <v>3851</v>
      </c>
      <c r="S141" s="138">
        <f t="shared" si="1"/>
        <v>0</v>
      </c>
      <c r="T141" s="138">
        <f t="shared" si="1"/>
        <v>31279</v>
      </c>
      <c r="U141" s="634">
        <f t="shared" si="1"/>
        <v>2787</v>
      </c>
    </row>
    <row r="142" spans="1:22" ht="102.5" customHeight="1" x14ac:dyDescent="0.2">
      <c r="A142" s="811" t="s">
        <v>2861</v>
      </c>
      <c r="B142" s="608" t="s">
        <v>2862</v>
      </c>
      <c r="C142" s="609"/>
      <c r="D142" s="778" t="s">
        <v>2863</v>
      </c>
      <c r="E142" s="609"/>
      <c r="F142" s="778" t="s">
        <v>2864</v>
      </c>
      <c r="G142" s="778"/>
      <c r="H142" s="608" t="s">
        <v>2865</v>
      </c>
      <c r="I142" s="778"/>
      <c r="J142" s="609"/>
      <c r="K142" s="608" t="s">
        <v>2866</v>
      </c>
      <c r="L142" s="778"/>
      <c r="M142" s="609"/>
      <c r="N142" s="608" t="s">
        <v>2855</v>
      </c>
      <c r="O142" s="778"/>
      <c r="P142" s="609"/>
      <c r="Q142" s="608" t="s">
        <v>2867</v>
      </c>
      <c r="R142" s="778"/>
      <c r="S142" s="609"/>
      <c r="T142" s="608" t="s">
        <v>2868</v>
      </c>
      <c r="U142" s="609"/>
    </row>
    <row r="143" spans="1:22" x14ac:dyDescent="0.2">
      <c r="A143" s="131" t="s">
        <v>2043</v>
      </c>
      <c r="B143" s="131">
        <v>391559</v>
      </c>
      <c r="C143" s="307"/>
      <c r="D143" s="131">
        <v>198917</v>
      </c>
      <c r="E143" s="307">
        <v>865</v>
      </c>
      <c r="F143" s="131">
        <v>193731</v>
      </c>
      <c r="G143" s="307">
        <v>185</v>
      </c>
      <c r="H143" s="131">
        <v>3934</v>
      </c>
      <c r="I143" s="145">
        <v>935</v>
      </c>
      <c r="J143" s="307"/>
      <c r="K143" s="131">
        <v>6733</v>
      </c>
      <c r="L143" s="145">
        <v>690</v>
      </c>
      <c r="M143" s="133"/>
      <c r="N143" s="131">
        <v>202852</v>
      </c>
      <c r="O143" s="145">
        <v>800</v>
      </c>
      <c r="P143" s="133"/>
      <c r="Q143" s="131">
        <v>200464</v>
      </c>
      <c r="R143" s="145">
        <v>875</v>
      </c>
      <c r="S143" s="133"/>
      <c r="T143" s="131">
        <v>2387</v>
      </c>
      <c r="U143" s="307">
        <v>925</v>
      </c>
    </row>
    <row r="144" spans="1:22" x14ac:dyDescent="0.2">
      <c r="A144" s="140" t="s">
        <v>2044</v>
      </c>
      <c r="B144" s="131">
        <v>68120</v>
      </c>
      <c r="C144" s="307">
        <v>800</v>
      </c>
      <c r="D144" s="131">
        <v>13685</v>
      </c>
      <c r="E144" s="307">
        <v>860</v>
      </c>
      <c r="F144" s="131">
        <v>13685</v>
      </c>
      <c r="G144" s="307">
        <v>860</v>
      </c>
      <c r="H144" s="131"/>
      <c r="I144" s="145"/>
      <c r="J144" s="307"/>
      <c r="K144" s="131"/>
      <c r="L144" s="145"/>
      <c r="M144" s="133"/>
      <c r="N144" s="131">
        <v>13685</v>
      </c>
      <c r="O144" s="145">
        <v>860</v>
      </c>
      <c r="P144" s="133"/>
      <c r="Q144" s="131">
        <v>13685</v>
      </c>
      <c r="R144" s="145">
        <v>860</v>
      </c>
      <c r="S144" s="133"/>
      <c r="T144" s="131"/>
      <c r="U144" s="307"/>
    </row>
    <row r="145" spans="1:24" x14ac:dyDescent="0.2">
      <c r="A145" s="140" t="s">
        <v>2049</v>
      </c>
      <c r="B145" s="131">
        <v>78096</v>
      </c>
      <c r="C145" s="307"/>
      <c r="D145" s="131">
        <v>13840</v>
      </c>
      <c r="E145" s="307"/>
      <c r="F145" s="131">
        <v>13840</v>
      </c>
      <c r="G145" s="307"/>
      <c r="H145" s="131"/>
      <c r="I145" s="145"/>
      <c r="J145" s="307"/>
      <c r="K145" s="131"/>
      <c r="L145" s="145"/>
      <c r="M145" s="133"/>
      <c r="N145" s="131">
        <v>13840</v>
      </c>
      <c r="O145" s="145"/>
      <c r="P145" s="133"/>
      <c r="Q145" s="131">
        <v>13840</v>
      </c>
      <c r="R145" s="145"/>
      <c r="S145" s="133"/>
      <c r="T145" s="131"/>
      <c r="U145" s="307"/>
    </row>
    <row r="146" spans="1:24" x14ac:dyDescent="0.2">
      <c r="A146" s="140" t="s">
        <v>2042</v>
      </c>
      <c r="B146" s="131">
        <v>73000</v>
      </c>
      <c r="C146" s="307"/>
      <c r="D146" s="131">
        <v>11635</v>
      </c>
      <c r="E146" s="307">
        <v>35</v>
      </c>
      <c r="F146" s="131">
        <v>11635</v>
      </c>
      <c r="G146" s="307">
        <v>35</v>
      </c>
      <c r="H146" s="131"/>
      <c r="I146" s="145"/>
      <c r="J146" s="307"/>
      <c r="K146" s="131"/>
      <c r="L146" s="145"/>
      <c r="M146" s="133"/>
      <c r="N146" s="131">
        <v>11635</v>
      </c>
      <c r="O146" s="145">
        <v>35</v>
      </c>
      <c r="P146" s="133"/>
      <c r="Q146" s="131">
        <v>11635</v>
      </c>
      <c r="R146" s="145">
        <v>35</v>
      </c>
      <c r="S146" s="133"/>
      <c r="T146" s="131"/>
      <c r="U146" s="307"/>
    </row>
    <row r="147" spans="1:24" x14ac:dyDescent="0.2">
      <c r="A147" s="140" t="s">
        <v>2046</v>
      </c>
      <c r="B147" s="131">
        <v>89000</v>
      </c>
      <c r="C147" s="307"/>
      <c r="D147" s="131">
        <v>9244</v>
      </c>
      <c r="E147" s="307">
        <v>895</v>
      </c>
      <c r="F147" s="131">
        <v>9244</v>
      </c>
      <c r="G147" s="307">
        <v>895</v>
      </c>
      <c r="H147" s="131">
        <v>24</v>
      </c>
      <c r="I147" s="145"/>
      <c r="J147" s="307"/>
      <c r="K147" s="131">
        <v>24</v>
      </c>
      <c r="L147" s="145"/>
      <c r="M147" s="133"/>
      <c r="N147" s="131">
        <v>9268</v>
      </c>
      <c r="O147" s="145">
        <v>895</v>
      </c>
      <c r="P147" s="133"/>
      <c r="Q147" s="131">
        <v>9268</v>
      </c>
      <c r="R147" s="145">
        <v>895</v>
      </c>
      <c r="S147" s="133"/>
      <c r="T147" s="131"/>
      <c r="U147" s="307"/>
    </row>
    <row r="148" spans="1:24" x14ac:dyDescent="0.2">
      <c r="A148" s="140" t="s">
        <v>2869</v>
      </c>
      <c r="B148" s="131">
        <v>37218</v>
      </c>
      <c r="C148" s="307"/>
      <c r="D148" s="131">
        <v>30875</v>
      </c>
      <c r="E148" s="307">
        <v>880</v>
      </c>
      <c r="F148" s="131">
        <v>30875</v>
      </c>
      <c r="G148" s="307">
        <v>880</v>
      </c>
      <c r="H148" s="131"/>
      <c r="I148" s="145"/>
      <c r="J148" s="307"/>
      <c r="K148" s="131"/>
      <c r="L148" s="145"/>
      <c r="M148" s="133"/>
      <c r="N148" s="131">
        <v>30875</v>
      </c>
      <c r="O148" s="145">
        <v>880</v>
      </c>
      <c r="P148" s="133"/>
      <c r="Q148" s="131">
        <v>30875</v>
      </c>
      <c r="R148" s="145">
        <v>880</v>
      </c>
      <c r="S148" s="133"/>
      <c r="T148" s="131"/>
      <c r="U148" s="307"/>
    </row>
    <row r="149" spans="1:24" x14ac:dyDescent="0.2">
      <c r="A149" s="140" t="s">
        <v>2040</v>
      </c>
      <c r="B149" s="131">
        <v>616477</v>
      </c>
      <c r="C149" s="307"/>
      <c r="D149" s="131">
        <v>333769</v>
      </c>
      <c r="E149" s="307">
        <v>755</v>
      </c>
      <c r="F149" s="131">
        <v>326093</v>
      </c>
      <c r="G149" s="307">
        <v>120</v>
      </c>
      <c r="H149" s="131">
        <v>4556</v>
      </c>
      <c r="I149" s="145">
        <v>995</v>
      </c>
      <c r="J149" s="307"/>
      <c r="K149" s="131">
        <v>6578</v>
      </c>
      <c r="L149" s="145">
        <v>785</v>
      </c>
      <c r="M149" s="133"/>
      <c r="N149" s="131">
        <v>338326</v>
      </c>
      <c r="O149" s="145">
        <v>750</v>
      </c>
      <c r="P149" s="133"/>
      <c r="Q149" s="131">
        <v>332671</v>
      </c>
      <c r="R149" s="145">
        <v>905</v>
      </c>
      <c r="S149" s="133"/>
      <c r="T149" s="131">
        <v>5654</v>
      </c>
      <c r="U149" s="307">
        <v>845</v>
      </c>
      <c r="V149" s="106" t="s">
        <v>2870</v>
      </c>
    </row>
    <row r="150" spans="1:24" x14ac:dyDescent="0.2">
      <c r="A150" s="140" t="s">
        <v>2871</v>
      </c>
      <c r="B150" s="131">
        <v>482504</v>
      </c>
      <c r="C150" s="307"/>
      <c r="D150" s="131">
        <v>279394</v>
      </c>
      <c r="E150" s="307">
        <v>8</v>
      </c>
      <c r="F150" s="131">
        <v>269390</v>
      </c>
      <c r="G150" s="307">
        <v>828</v>
      </c>
      <c r="H150" s="131">
        <v>20967</v>
      </c>
      <c r="I150" s="145">
        <v>782</v>
      </c>
      <c r="J150" s="133">
        <v>0.5</v>
      </c>
      <c r="K150" s="131">
        <v>22357</v>
      </c>
      <c r="L150" s="145">
        <v>447</v>
      </c>
      <c r="M150" s="133">
        <v>0.5</v>
      </c>
      <c r="N150" s="131">
        <v>300361</v>
      </c>
      <c r="O150" s="145">
        <v>790</v>
      </c>
      <c r="P150" s="133">
        <v>0.5</v>
      </c>
      <c r="Q150" s="131">
        <v>291748</v>
      </c>
      <c r="R150" s="145">
        <v>275</v>
      </c>
      <c r="S150" s="133">
        <v>0.5</v>
      </c>
      <c r="T150" s="131">
        <v>8613</v>
      </c>
      <c r="U150" s="307">
        <v>515</v>
      </c>
    </row>
    <row r="151" spans="1:24" x14ac:dyDescent="0.2">
      <c r="A151" s="140" t="s">
        <v>2462</v>
      </c>
      <c r="B151" s="131">
        <v>1798698</v>
      </c>
      <c r="C151" s="307">
        <v>400</v>
      </c>
      <c r="D151" s="131">
        <v>402588</v>
      </c>
      <c r="E151" s="307">
        <v>915</v>
      </c>
      <c r="F151" s="131">
        <v>402518</v>
      </c>
      <c r="G151" s="307">
        <v>915</v>
      </c>
      <c r="H151" s="131">
        <v>98</v>
      </c>
      <c r="I151" s="145">
        <v>600</v>
      </c>
      <c r="J151" s="307"/>
      <c r="K151" s="131">
        <v>98</v>
      </c>
      <c r="L151" s="145">
        <v>600</v>
      </c>
      <c r="M151" s="133"/>
      <c r="N151" s="131">
        <v>402687</v>
      </c>
      <c r="O151" s="145">
        <v>515</v>
      </c>
      <c r="P151" s="133"/>
      <c r="Q151" s="131">
        <v>402617</v>
      </c>
      <c r="R151" s="145">
        <v>515</v>
      </c>
      <c r="S151" s="133"/>
      <c r="T151" s="131">
        <v>70</v>
      </c>
      <c r="U151" s="307"/>
    </row>
    <row r="152" spans="1:24" x14ac:dyDescent="0.2">
      <c r="A152" s="794" t="s">
        <v>2566</v>
      </c>
      <c r="B152" s="240">
        <v>3634673</v>
      </c>
      <c r="C152" s="513">
        <v>200</v>
      </c>
      <c r="D152" s="318">
        <v>1293952</v>
      </c>
      <c r="E152" s="513">
        <v>213</v>
      </c>
      <c r="F152" s="318">
        <v>1271015</v>
      </c>
      <c r="G152" s="318">
        <v>718</v>
      </c>
      <c r="H152" s="240">
        <v>29583</v>
      </c>
      <c r="I152" s="318">
        <v>312</v>
      </c>
      <c r="J152" s="319">
        <v>0.5</v>
      </c>
      <c r="K152" s="240"/>
      <c r="L152" s="318"/>
      <c r="M152" s="241"/>
      <c r="N152" s="318">
        <v>1323534</v>
      </c>
      <c r="O152" s="318">
        <v>525</v>
      </c>
      <c r="P152" s="241">
        <v>0.5</v>
      </c>
      <c r="Q152" s="318">
        <v>1306808</v>
      </c>
      <c r="R152" s="318">
        <v>240</v>
      </c>
      <c r="S152" s="241">
        <v>0.5</v>
      </c>
      <c r="T152" s="240">
        <v>16726</v>
      </c>
      <c r="U152" s="513">
        <v>285</v>
      </c>
    </row>
    <row r="153" spans="1:24" x14ac:dyDescent="0.2">
      <c r="A153" s="794"/>
      <c r="B153" s="417">
        <f>+SUM(B143:B151)</f>
        <v>3634672</v>
      </c>
      <c r="C153" s="417">
        <f t="shared" ref="C153:U153" si="2">+SUM(C143:C151)</f>
        <v>1200</v>
      </c>
      <c r="D153" s="417">
        <f t="shared" si="2"/>
        <v>1293947</v>
      </c>
      <c r="E153" s="417">
        <f t="shared" si="2"/>
        <v>5213</v>
      </c>
      <c r="F153" s="417">
        <f t="shared" si="2"/>
        <v>1271011</v>
      </c>
      <c r="G153" s="417">
        <f t="shared" si="2"/>
        <v>4718</v>
      </c>
      <c r="H153" s="417">
        <f t="shared" si="2"/>
        <v>29579</v>
      </c>
      <c r="I153" s="417">
        <f t="shared" si="2"/>
        <v>3312</v>
      </c>
      <c r="J153" s="878">
        <f t="shared" si="2"/>
        <v>0.5</v>
      </c>
      <c r="K153" s="417">
        <f t="shared" si="2"/>
        <v>35790</v>
      </c>
      <c r="L153" s="417">
        <f t="shared" si="2"/>
        <v>2522</v>
      </c>
      <c r="M153" s="878">
        <f t="shared" si="2"/>
        <v>0.5</v>
      </c>
      <c r="N153" s="417">
        <f t="shared" si="2"/>
        <v>1323529</v>
      </c>
      <c r="O153" s="417">
        <f t="shared" si="2"/>
        <v>5525</v>
      </c>
      <c r="P153" s="878">
        <f t="shared" si="2"/>
        <v>0.5</v>
      </c>
      <c r="Q153" s="417">
        <f t="shared" si="2"/>
        <v>1306803</v>
      </c>
      <c r="R153" s="417">
        <f t="shared" si="2"/>
        <v>5240</v>
      </c>
      <c r="S153" s="878">
        <f t="shared" si="2"/>
        <v>0.5</v>
      </c>
      <c r="T153" s="417">
        <f t="shared" si="2"/>
        <v>16724</v>
      </c>
      <c r="U153" s="634">
        <f t="shared" si="2"/>
        <v>2285</v>
      </c>
    </row>
    <row r="154" spans="1:24" ht="29" customHeight="1" x14ac:dyDescent="0.2">
      <c r="A154" s="879" t="s">
        <v>2872</v>
      </c>
      <c r="B154" s="880"/>
      <c r="C154" s="880"/>
      <c r="D154" s="880"/>
      <c r="E154" s="880"/>
      <c r="F154" s="880"/>
      <c r="G154" s="880"/>
      <c r="H154" s="880"/>
      <c r="I154" s="880"/>
      <c r="J154" s="880"/>
      <c r="K154" s="880"/>
      <c r="L154" s="880"/>
      <c r="M154" s="880"/>
      <c r="N154" s="880"/>
      <c r="O154" s="880"/>
      <c r="P154" s="880"/>
      <c r="Q154" s="880"/>
      <c r="R154" s="880"/>
      <c r="S154" s="880"/>
      <c r="T154" s="880"/>
      <c r="U154" s="881"/>
    </row>
    <row r="158" spans="1:24" x14ac:dyDescent="0.2">
      <c r="A158" s="113" t="s">
        <v>1342</v>
      </c>
    </row>
    <row r="159" spans="1:24" ht="48.5" customHeight="1" x14ac:dyDescent="0.2">
      <c r="A159" s="875" t="s">
        <v>2873</v>
      </c>
      <c r="B159" s="876"/>
      <c r="C159" s="876"/>
      <c r="D159" s="876"/>
      <c r="E159" s="876"/>
      <c r="F159" s="876"/>
      <c r="G159" s="876"/>
      <c r="H159" s="876"/>
      <c r="I159" s="876"/>
      <c r="J159" s="876"/>
      <c r="K159" s="876"/>
      <c r="L159" s="876"/>
      <c r="M159" s="876"/>
      <c r="N159" s="876"/>
      <c r="O159" s="876"/>
      <c r="P159" s="876"/>
      <c r="Q159" s="876"/>
      <c r="R159" s="876"/>
      <c r="S159" s="876"/>
      <c r="T159" s="876"/>
      <c r="U159" s="876"/>
      <c r="V159" s="876"/>
      <c r="W159" s="876"/>
      <c r="X159" s="877"/>
    </row>
    <row r="160" spans="1:24" ht="87" customHeight="1" x14ac:dyDescent="0.2">
      <c r="A160" s="811" t="s">
        <v>2849</v>
      </c>
      <c r="B160" s="608" t="s">
        <v>2850</v>
      </c>
      <c r="C160" s="609"/>
      <c r="D160" s="608" t="s">
        <v>2851</v>
      </c>
      <c r="E160" s="778"/>
      <c r="F160" s="609"/>
      <c r="G160" s="608" t="s">
        <v>2852</v>
      </c>
      <c r="H160" s="778"/>
      <c r="I160" s="609"/>
      <c r="J160" s="608" t="s">
        <v>2874</v>
      </c>
      <c r="K160" s="778"/>
      <c r="L160" s="609"/>
      <c r="M160" s="608" t="s">
        <v>2875</v>
      </c>
      <c r="N160" s="778"/>
      <c r="O160" s="609"/>
      <c r="P160" s="608" t="s">
        <v>2855</v>
      </c>
      <c r="Q160" s="778"/>
      <c r="R160" s="609"/>
      <c r="S160" s="608" t="s">
        <v>2856</v>
      </c>
      <c r="T160" s="778"/>
      <c r="U160" s="609"/>
      <c r="V160" s="608" t="s">
        <v>2857</v>
      </c>
      <c r="W160" s="778"/>
      <c r="X160" s="609"/>
    </row>
    <row r="161" spans="1:24" x14ac:dyDescent="0.2">
      <c r="A161" s="131" t="s">
        <v>1174</v>
      </c>
      <c r="B161" s="131">
        <v>800000</v>
      </c>
      <c r="C161" s="307"/>
      <c r="D161" s="145">
        <v>397411</v>
      </c>
      <c r="E161" s="145">
        <v>441</v>
      </c>
      <c r="F161" s="133"/>
      <c r="G161" s="145">
        <v>395575</v>
      </c>
      <c r="H161" s="145">
        <v>41</v>
      </c>
      <c r="I161" s="133"/>
      <c r="J161" s="145"/>
      <c r="K161" s="145"/>
      <c r="L161" s="133"/>
      <c r="M161" s="145"/>
      <c r="N161" s="145"/>
      <c r="O161" s="133"/>
      <c r="P161" s="145">
        <v>397411</v>
      </c>
      <c r="Q161" s="145">
        <v>441</v>
      </c>
      <c r="R161" s="133"/>
      <c r="S161" s="145">
        <v>395575</v>
      </c>
      <c r="T161" s="145">
        <v>41</v>
      </c>
      <c r="U161" s="133"/>
      <c r="V161" s="145">
        <v>1836</v>
      </c>
      <c r="W161" s="145">
        <v>400</v>
      </c>
      <c r="X161" s="133"/>
    </row>
    <row r="162" spans="1:24" x14ac:dyDescent="0.2">
      <c r="A162" s="131" t="s">
        <v>1573</v>
      </c>
      <c r="B162" s="131">
        <v>20000</v>
      </c>
      <c r="C162" s="307"/>
      <c r="D162" s="145">
        <v>12683</v>
      </c>
      <c r="E162" s="145">
        <v>590</v>
      </c>
      <c r="F162" s="133">
        <v>0.5</v>
      </c>
      <c r="G162" s="145">
        <v>12683</v>
      </c>
      <c r="H162" s="145">
        <v>590</v>
      </c>
      <c r="I162" s="133">
        <v>0.5</v>
      </c>
      <c r="J162" s="145"/>
      <c r="K162" s="145"/>
      <c r="L162" s="133"/>
      <c r="M162" s="145"/>
      <c r="N162" s="145"/>
      <c r="O162" s="133"/>
      <c r="P162" s="145">
        <v>12683</v>
      </c>
      <c r="Q162" s="145">
        <v>590</v>
      </c>
      <c r="R162" s="133">
        <v>0.5</v>
      </c>
      <c r="S162" s="145">
        <v>12683</v>
      </c>
      <c r="T162" s="145">
        <v>590</v>
      </c>
      <c r="U162" s="133">
        <v>0.5</v>
      </c>
      <c r="V162" s="145"/>
      <c r="W162" s="145"/>
      <c r="X162" s="133"/>
    </row>
    <row r="163" spans="1:24" x14ac:dyDescent="0.2">
      <c r="A163" s="131" t="s">
        <v>2858</v>
      </c>
      <c r="B163" s="131">
        <v>300000</v>
      </c>
      <c r="C163" s="307"/>
      <c r="D163" s="145">
        <v>395265</v>
      </c>
      <c r="E163" s="145">
        <v>550</v>
      </c>
      <c r="F163" s="133"/>
      <c r="G163" s="145">
        <v>395265</v>
      </c>
      <c r="H163" s="145">
        <v>550</v>
      </c>
      <c r="I163" s="133"/>
      <c r="J163" s="145"/>
      <c r="K163" s="145"/>
      <c r="L163" s="133"/>
      <c r="M163" s="145"/>
      <c r="N163" s="145"/>
      <c r="O163" s="133"/>
      <c r="P163" s="145">
        <v>395265</v>
      </c>
      <c r="Q163" s="145">
        <v>550</v>
      </c>
      <c r="R163" s="133"/>
      <c r="S163" s="145">
        <v>395265</v>
      </c>
      <c r="T163" s="145">
        <v>550</v>
      </c>
      <c r="U163" s="133"/>
      <c r="V163" s="145"/>
      <c r="W163" s="145"/>
      <c r="X163" s="133"/>
    </row>
    <row r="164" spans="1:24" x14ac:dyDescent="0.2">
      <c r="A164" s="131" t="s">
        <v>1808</v>
      </c>
      <c r="B164" s="131">
        <v>30000</v>
      </c>
      <c r="C164" s="307"/>
      <c r="D164" s="145">
        <v>106301</v>
      </c>
      <c r="E164" s="145">
        <v>572</v>
      </c>
      <c r="F164" s="133">
        <v>0.5</v>
      </c>
      <c r="G164" s="145">
        <v>106301</v>
      </c>
      <c r="H164" s="145">
        <v>572</v>
      </c>
      <c r="I164" s="133">
        <v>0.5</v>
      </c>
      <c r="J164" s="145">
        <v>6960</v>
      </c>
      <c r="K164" s="145">
        <v>980</v>
      </c>
      <c r="L164" s="133"/>
      <c r="M164" s="145">
        <v>6960</v>
      </c>
      <c r="N164" s="145">
        <v>980</v>
      </c>
      <c r="O164" s="133"/>
      <c r="P164" s="145">
        <v>113262</v>
      </c>
      <c r="Q164" s="145">
        <v>552</v>
      </c>
      <c r="R164" s="133">
        <v>0.5</v>
      </c>
      <c r="S164" s="145">
        <v>113262</v>
      </c>
      <c r="T164" s="145">
        <v>552</v>
      </c>
      <c r="U164" s="133">
        <v>0.5</v>
      </c>
      <c r="V164" s="145"/>
      <c r="W164" s="145"/>
      <c r="X164" s="133"/>
    </row>
    <row r="165" spans="1:24" x14ac:dyDescent="0.2">
      <c r="A165" s="131" t="s">
        <v>1175</v>
      </c>
      <c r="B165" s="131">
        <v>25000</v>
      </c>
      <c r="C165" s="307"/>
      <c r="D165" s="145">
        <v>36939</v>
      </c>
      <c r="E165" s="145">
        <v>517</v>
      </c>
      <c r="F165" s="133">
        <v>0.5</v>
      </c>
      <c r="G165" s="145">
        <v>36655</v>
      </c>
      <c r="H165" s="145">
        <v>947</v>
      </c>
      <c r="I165" s="133">
        <v>0.5</v>
      </c>
      <c r="J165" s="145">
        <v>1715</v>
      </c>
      <c r="K165" s="145">
        <v>515</v>
      </c>
      <c r="L165" s="133"/>
      <c r="M165" s="145">
        <v>1629</v>
      </c>
      <c r="N165" s="145">
        <v>240</v>
      </c>
      <c r="O165" s="133"/>
      <c r="P165" s="145">
        <v>38655</v>
      </c>
      <c r="Q165" s="145">
        <v>32</v>
      </c>
      <c r="R165" s="133">
        <v>0.5</v>
      </c>
      <c r="S165" s="145">
        <v>38285</v>
      </c>
      <c r="T165" s="145">
        <v>187</v>
      </c>
      <c r="U165" s="133">
        <v>0.5</v>
      </c>
      <c r="V165" s="145">
        <v>369</v>
      </c>
      <c r="W165" s="145">
        <v>845</v>
      </c>
      <c r="X165" s="133"/>
    </row>
    <row r="166" spans="1:24" x14ac:dyDescent="0.2">
      <c r="A166" s="131" t="s">
        <v>2859</v>
      </c>
      <c r="B166" s="131">
        <v>300000</v>
      </c>
      <c r="C166" s="307"/>
      <c r="D166" s="145"/>
      <c r="E166" s="145"/>
      <c r="F166" s="133"/>
      <c r="G166" s="145"/>
      <c r="H166" s="145"/>
      <c r="I166" s="133"/>
      <c r="J166" s="145"/>
      <c r="K166" s="145"/>
      <c r="L166" s="133"/>
      <c r="M166" s="145"/>
      <c r="N166" s="145"/>
      <c r="O166" s="133"/>
      <c r="P166" s="145"/>
      <c r="Q166" s="145"/>
      <c r="R166" s="133"/>
      <c r="S166" s="145"/>
      <c r="T166" s="145"/>
      <c r="U166" s="133"/>
      <c r="V166" s="145"/>
      <c r="W166" s="145"/>
      <c r="X166" s="133"/>
    </row>
    <row r="167" spans="1:24" x14ac:dyDescent="0.2">
      <c r="A167" s="131" t="s">
        <v>2860</v>
      </c>
      <c r="B167" s="131">
        <v>25000</v>
      </c>
      <c r="C167" s="307"/>
      <c r="D167" s="145">
        <v>30836</v>
      </c>
      <c r="E167" s="145">
        <v>610</v>
      </c>
      <c r="F167" s="133"/>
      <c r="G167" s="145">
        <v>30836</v>
      </c>
      <c r="H167" s="145">
        <v>610</v>
      </c>
      <c r="I167" s="133"/>
      <c r="J167" s="145"/>
      <c r="K167" s="145"/>
      <c r="L167" s="133"/>
      <c r="M167" s="145"/>
      <c r="N167" s="145"/>
      <c r="O167" s="133"/>
      <c r="P167" s="145">
        <v>30836</v>
      </c>
      <c r="Q167" s="145">
        <v>610</v>
      </c>
      <c r="R167" s="133"/>
      <c r="S167" s="145">
        <v>30836</v>
      </c>
      <c r="T167" s="145">
        <v>610</v>
      </c>
      <c r="U167" s="133"/>
      <c r="V167" s="145"/>
      <c r="W167" s="145"/>
      <c r="X167" s="133"/>
    </row>
    <row r="168" spans="1:24" x14ac:dyDescent="0.2">
      <c r="A168" s="131" t="s">
        <v>1569</v>
      </c>
      <c r="B168" s="131">
        <v>700000</v>
      </c>
      <c r="C168" s="307"/>
      <c r="D168" s="145">
        <v>561941</v>
      </c>
      <c r="E168" s="145">
        <v>25</v>
      </c>
      <c r="F168" s="133"/>
      <c r="G168" s="145">
        <v>561941</v>
      </c>
      <c r="H168" s="145">
        <v>25</v>
      </c>
      <c r="I168" s="133"/>
      <c r="J168" s="145"/>
      <c r="K168" s="145"/>
      <c r="L168" s="133"/>
      <c r="M168" s="145"/>
      <c r="N168" s="145"/>
      <c r="O168" s="133"/>
      <c r="P168" s="145">
        <v>561941</v>
      </c>
      <c r="Q168" s="145">
        <v>25</v>
      </c>
      <c r="R168" s="133"/>
      <c r="S168" s="145">
        <v>561941</v>
      </c>
      <c r="T168" s="145">
        <v>25</v>
      </c>
      <c r="U168" s="133"/>
      <c r="V168" s="145"/>
      <c r="W168" s="145"/>
      <c r="X168" s="133"/>
    </row>
    <row r="169" spans="1:24" x14ac:dyDescent="0.2">
      <c r="A169" s="131" t="s">
        <v>1992</v>
      </c>
      <c r="B169" s="131">
        <v>25000</v>
      </c>
      <c r="C169" s="307"/>
      <c r="D169" s="145">
        <v>10900</v>
      </c>
      <c r="E169" s="145">
        <v>429</v>
      </c>
      <c r="F169" s="133">
        <v>0.5</v>
      </c>
      <c r="G169" s="145">
        <v>10900</v>
      </c>
      <c r="H169" s="145">
        <v>429</v>
      </c>
      <c r="I169" s="133">
        <v>0.5</v>
      </c>
      <c r="J169" s="145">
        <v>16</v>
      </c>
      <c r="K169" s="145">
        <v>30</v>
      </c>
      <c r="L169" s="133"/>
      <c r="M169" s="145">
        <v>16</v>
      </c>
      <c r="N169" s="145">
        <v>30</v>
      </c>
      <c r="O169" s="133"/>
      <c r="P169" s="145">
        <v>10916</v>
      </c>
      <c r="Q169" s="145">
        <v>459</v>
      </c>
      <c r="R169" s="133">
        <v>0.5</v>
      </c>
      <c r="S169" s="145">
        <v>10916</v>
      </c>
      <c r="T169" s="145">
        <v>459</v>
      </c>
      <c r="U169" s="133">
        <v>0.5</v>
      </c>
      <c r="V169" s="145"/>
      <c r="W169" s="145"/>
      <c r="X169" s="133"/>
    </row>
    <row r="170" spans="1:24" x14ac:dyDescent="0.2">
      <c r="A170" s="794" t="s">
        <v>2566</v>
      </c>
      <c r="B170" s="240">
        <v>2225000</v>
      </c>
      <c r="C170" s="513"/>
      <c r="D170" s="318">
        <v>1552279</v>
      </c>
      <c r="E170" s="318">
        <v>736</v>
      </c>
      <c r="F170" s="241"/>
      <c r="G170" s="318">
        <v>1550159</v>
      </c>
      <c r="H170" s="318">
        <v>766</v>
      </c>
      <c r="I170" s="241"/>
      <c r="J170" s="318">
        <v>8692</v>
      </c>
      <c r="K170" s="318">
        <v>525</v>
      </c>
      <c r="L170" s="241"/>
      <c r="M170" s="318">
        <v>8606</v>
      </c>
      <c r="N170" s="318">
        <v>250</v>
      </c>
      <c r="O170" s="241"/>
      <c r="P170" s="318">
        <v>1560972</v>
      </c>
      <c r="Q170" s="318">
        <v>261</v>
      </c>
      <c r="R170" s="241"/>
      <c r="S170" s="318">
        <v>1558766</v>
      </c>
      <c r="T170" s="318">
        <v>16</v>
      </c>
      <c r="U170" s="241"/>
      <c r="V170" s="318">
        <v>2206</v>
      </c>
      <c r="W170" s="318">
        <v>245</v>
      </c>
      <c r="X170" s="241"/>
    </row>
    <row r="171" spans="1:24" x14ac:dyDescent="0.2">
      <c r="A171" s="131"/>
      <c r="B171" s="138">
        <f>+SUM(B161:B169)</f>
        <v>2225000</v>
      </c>
      <c r="C171" s="312">
        <f t="shared" ref="C171:X171" si="3">+SUM(C161:C169)</f>
        <v>0</v>
      </c>
      <c r="D171" s="138">
        <f t="shared" si="3"/>
        <v>1552276</v>
      </c>
      <c r="E171" s="138">
        <f t="shared" si="3"/>
        <v>3734</v>
      </c>
      <c r="F171" s="312">
        <f t="shared" si="3"/>
        <v>2</v>
      </c>
      <c r="G171" s="138">
        <f t="shared" si="3"/>
        <v>1550156</v>
      </c>
      <c r="H171" s="138">
        <f t="shared" si="3"/>
        <v>3764</v>
      </c>
      <c r="I171" s="312">
        <f t="shared" si="3"/>
        <v>2</v>
      </c>
      <c r="J171" s="138">
        <f t="shared" si="3"/>
        <v>8691</v>
      </c>
      <c r="K171" s="138">
        <f t="shared" si="3"/>
        <v>1525</v>
      </c>
      <c r="L171" s="312">
        <f t="shared" si="3"/>
        <v>0</v>
      </c>
      <c r="M171" s="138">
        <f t="shared" si="3"/>
        <v>8605</v>
      </c>
      <c r="N171" s="138">
        <f t="shared" si="3"/>
        <v>1250</v>
      </c>
      <c r="O171" s="312">
        <f t="shared" si="3"/>
        <v>0</v>
      </c>
      <c r="P171" s="138">
        <f t="shared" si="3"/>
        <v>1560969</v>
      </c>
      <c r="Q171" s="138">
        <f t="shared" si="3"/>
        <v>3259</v>
      </c>
      <c r="R171" s="138">
        <f t="shared" si="3"/>
        <v>2</v>
      </c>
      <c r="S171" s="138">
        <f t="shared" si="3"/>
        <v>1558763</v>
      </c>
      <c r="T171" s="138">
        <f t="shared" si="3"/>
        <v>3014</v>
      </c>
      <c r="U171" s="312">
        <f t="shared" si="3"/>
        <v>2</v>
      </c>
      <c r="V171" s="138">
        <f t="shared" si="3"/>
        <v>2205</v>
      </c>
      <c r="W171" s="138">
        <f t="shared" si="3"/>
        <v>1245</v>
      </c>
      <c r="X171" s="312">
        <f t="shared" si="3"/>
        <v>0</v>
      </c>
    </row>
    <row r="172" spans="1:24" ht="101.5" customHeight="1" x14ac:dyDescent="0.2">
      <c r="A172" s="811" t="s">
        <v>2861</v>
      </c>
      <c r="B172" s="608" t="s">
        <v>2862</v>
      </c>
      <c r="C172" s="609"/>
      <c r="D172" s="608" t="s">
        <v>2863</v>
      </c>
      <c r="E172" s="778"/>
      <c r="F172" s="609"/>
      <c r="G172" s="608" t="s">
        <v>2864</v>
      </c>
      <c r="H172" s="778"/>
      <c r="I172" s="609"/>
      <c r="J172" s="608" t="s">
        <v>2876</v>
      </c>
      <c r="K172" s="778"/>
      <c r="L172" s="609"/>
      <c r="M172" s="608" t="s">
        <v>2877</v>
      </c>
      <c r="N172" s="778"/>
      <c r="O172" s="609"/>
      <c r="P172" s="608" t="s">
        <v>2855</v>
      </c>
      <c r="Q172" s="778"/>
      <c r="R172" s="609"/>
      <c r="S172" s="608" t="s">
        <v>2867</v>
      </c>
      <c r="T172" s="778"/>
      <c r="U172" s="609"/>
      <c r="V172" s="608" t="s">
        <v>2868</v>
      </c>
      <c r="W172" s="778"/>
      <c r="X172" s="609"/>
    </row>
    <row r="173" spans="1:24" x14ac:dyDescent="0.2">
      <c r="A173" s="131" t="s">
        <v>2043</v>
      </c>
      <c r="B173" s="131">
        <v>434513</v>
      </c>
      <c r="C173" s="307"/>
      <c r="D173" s="131">
        <v>191217</v>
      </c>
      <c r="E173" s="145">
        <v>905</v>
      </c>
      <c r="F173" s="133"/>
      <c r="G173" s="131">
        <v>178923</v>
      </c>
      <c r="H173" s="145">
        <v>310</v>
      </c>
      <c r="I173" s="133"/>
      <c r="J173" s="131">
        <v>39553</v>
      </c>
      <c r="K173" s="145">
        <v>900</v>
      </c>
      <c r="L173" s="133"/>
      <c r="M173" s="131">
        <v>51421</v>
      </c>
      <c r="N173" s="145">
        <v>685</v>
      </c>
      <c r="O173" s="133"/>
      <c r="P173" s="131">
        <v>230771</v>
      </c>
      <c r="Q173" s="145">
        <v>805</v>
      </c>
      <c r="R173" s="133"/>
      <c r="S173" s="131">
        <v>230344</v>
      </c>
      <c r="T173" s="145">
        <v>995</v>
      </c>
      <c r="U173" s="133"/>
      <c r="V173" s="131">
        <v>426</v>
      </c>
      <c r="W173" s="145">
        <v>810</v>
      </c>
      <c r="X173" s="133"/>
    </row>
    <row r="174" spans="1:24" x14ac:dyDescent="0.2">
      <c r="A174" s="140" t="s">
        <v>2044</v>
      </c>
      <c r="B174" s="131">
        <v>91060</v>
      </c>
      <c r="C174" s="307">
        <v>800</v>
      </c>
      <c r="D174" s="131">
        <v>17606</v>
      </c>
      <c r="E174" s="145">
        <v>250</v>
      </c>
      <c r="F174" s="133"/>
      <c r="G174" s="131">
        <v>16107</v>
      </c>
      <c r="H174" s="145">
        <v>250</v>
      </c>
      <c r="I174" s="133"/>
      <c r="J174" s="131"/>
      <c r="K174" s="145">
        <v>750</v>
      </c>
      <c r="L174" s="133"/>
      <c r="M174" s="131">
        <v>1499</v>
      </c>
      <c r="N174" s="145">
        <v>750</v>
      </c>
      <c r="O174" s="133"/>
      <c r="P174" s="131">
        <v>17607</v>
      </c>
      <c r="Q174" s="145"/>
      <c r="R174" s="133"/>
      <c r="S174" s="131">
        <v>17607</v>
      </c>
      <c r="T174" s="145"/>
      <c r="U174" s="133"/>
      <c r="V174" s="131"/>
      <c r="W174" s="145"/>
      <c r="X174" s="133"/>
    </row>
    <row r="175" spans="1:24" x14ac:dyDescent="0.2">
      <c r="A175" s="140" t="s">
        <v>2042</v>
      </c>
      <c r="B175" s="131">
        <v>95600</v>
      </c>
      <c r="C175" s="307"/>
      <c r="D175" s="131">
        <v>36330</v>
      </c>
      <c r="E175" s="145">
        <v>960</v>
      </c>
      <c r="F175" s="133"/>
      <c r="G175" s="131">
        <v>35664</v>
      </c>
      <c r="H175" s="145">
        <v>260</v>
      </c>
      <c r="I175" s="133"/>
      <c r="J175" s="131">
        <v>932</v>
      </c>
      <c r="K175" s="145">
        <v>700</v>
      </c>
      <c r="L175" s="133"/>
      <c r="M175" s="131">
        <v>1599</v>
      </c>
      <c r="N175" s="145">
        <v>400</v>
      </c>
      <c r="O175" s="133"/>
      <c r="P175" s="131">
        <v>37263</v>
      </c>
      <c r="Q175" s="145">
        <v>660</v>
      </c>
      <c r="R175" s="133"/>
      <c r="S175" s="131">
        <v>37263</v>
      </c>
      <c r="T175" s="145">
        <v>660</v>
      </c>
      <c r="U175" s="133"/>
      <c r="V175" s="131"/>
      <c r="W175" s="145"/>
      <c r="X175" s="133"/>
    </row>
    <row r="176" spans="1:24" x14ac:dyDescent="0.2">
      <c r="A176" s="140" t="s">
        <v>2046</v>
      </c>
      <c r="B176" s="131">
        <v>111000</v>
      </c>
      <c r="C176" s="307"/>
      <c r="D176" s="131">
        <v>7067</v>
      </c>
      <c r="E176" s="145">
        <v>150</v>
      </c>
      <c r="F176" s="133"/>
      <c r="G176" s="131">
        <v>6750</v>
      </c>
      <c r="H176" s="145">
        <v>500</v>
      </c>
      <c r="I176" s="133"/>
      <c r="J176" s="131">
        <v>1356</v>
      </c>
      <c r="K176" s="145">
        <v>310</v>
      </c>
      <c r="L176" s="133"/>
      <c r="M176" s="131">
        <v>1839</v>
      </c>
      <c r="N176" s="145">
        <v>620</v>
      </c>
      <c r="O176" s="133"/>
      <c r="P176" s="131">
        <v>8423</v>
      </c>
      <c r="Q176" s="145">
        <v>460</v>
      </c>
      <c r="R176" s="133"/>
      <c r="S176" s="131">
        <v>8590</v>
      </c>
      <c r="T176" s="145">
        <v>120</v>
      </c>
      <c r="U176" s="133"/>
      <c r="V176" s="131"/>
      <c r="W176" s="145"/>
      <c r="X176" s="133"/>
    </row>
    <row r="177" spans="1:24" x14ac:dyDescent="0.2">
      <c r="A177" s="140" t="s">
        <v>2869</v>
      </c>
      <c r="B177" s="131">
        <v>38662</v>
      </c>
      <c r="C177" s="307"/>
      <c r="D177" s="131">
        <v>34535</v>
      </c>
      <c r="E177" s="145">
        <v>750</v>
      </c>
      <c r="F177" s="133"/>
      <c r="G177" s="131">
        <v>31695</v>
      </c>
      <c r="H177" s="145">
        <v>800</v>
      </c>
      <c r="I177" s="133"/>
      <c r="J177" s="131">
        <v>49</v>
      </c>
      <c r="K177" s="145">
        <v>700</v>
      </c>
      <c r="L177" s="133"/>
      <c r="M177" s="131">
        <v>2889</v>
      </c>
      <c r="N177" s="145">
        <v>650</v>
      </c>
      <c r="O177" s="133"/>
      <c r="P177" s="131">
        <v>34585</v>
      </c>
      <c r="Q177" s="145">
        <v>450</v>
      </c>
      <c r="R177" s="133"/>
      <c r="S177" s="131">
        <v>34585</v>
      </c>
      <c r="T177" s="145">
        <v>450</v>
      </c>
      <c r="U177" s="133"/>
      <c r="V177" s="131"/>
      <c r="W177" s="145"/>
      <c r="X177" s="133"/>
    </row>
    <row r="178" spans="1:24" x14ac:dyDescent="0.2">
      <c r="A178" s="140" t="s">
        <v>2040</v>
      </c>
      <c r="B178" s="131">
        <v>767864</v>
      </c>
      <c r="C178" s="307"/>
      <c r="D178" s="131">
        <v>145220</v>
      </c>
      <c r="E178" s="145">
        <v>557</v>
      </c>
      <c r="F178" s="133">
        <v>0.5</v>
      </c>
      <c r="G178" s="131">
        <v>113389</v>
      </c>
      <c r="H178" s="145">
        <v>992</v>
      </c>
      <c r="I178" s="133">
        <v>0.5</v>
      </c>
      <c r="J178" s="131">
        <v>201748</v>
      </c>
      <c r="K178" s="145">
        <v>880</v>
      </c>
      <c r="L178" s="133"/>
      <c r="M178" s="131">
        <v>235779</v>
      </c>
      <c r="N178" s="145">
        <v>795</v>
      </c>
      <c r="O178" s="133"/>
      <c r="P178" s="131">
        <v>346969</v>
      </c>
      <c r="Q178" s="145">
        <v>437</v>
      </c>
      <c r="R178" s="133">
        <v>0.5</v>
      </c>
      <c r="S178" s="131">
        <v>349169</v>
      </c>
      <c r="T178" s="145">
        <v>787</v>
      </c>
      <c r="U178" s="133">
        <v>0.5</v>
      </c>
      <c r="V178" s="131"/>
      <c r="W178" s="145"/>
      <c r="X178" s="133"/>
    </row>
    <row r="179" spans="1:24" x14ac:dyDescent="0.2">
      <c r="A179" s="140" t="s">
        <v>2871</v>
      </c>
      <c r="B179" s="131">
        <v>591467</v>
      </c>
      <c r="C179" s="307">
        <v>150</v>
      </c>
      <c r="D179" s="131">
        <v>270630</v>
      </c>
      <c r="E179" s="145">
        <v>312</v>
      </c>
      <c r="F179" s="133">
        <v>0.5</v>
      </c>
      <c r="G179" s="131">
        <v>272624</v>
      </c>
      <c r="H179" s="145">
        <v>809</v>
      </c>
      <c r="I179" s="133">
        <v>0.5</v>
      </c>
      <c r="J179" s="131">
        <v>39202</v>
      </c>
      <c r="K179" s="145">
        <v>137</v>
      </c>
      <c r="L179" s="133">
        <v>0.5</v>
      </c>
      <c r="M179" s="131">
        <v>47290</v>
      </c>
      <c r="N179" s="145">
        <v>242</v>
      </c>
      <c r="O179" s="133">
        <v>0.5</v>
      </c>
      <c r="P179" s="131">
        <v>309832</v>
      </c>
      <c r="Q179" s="145">
        <v>450</v>
      </c>
      <c r="R179" s="133"/>
      <c r="S179" s="131">
        <v>319915</v>
      </c>
      <c r="T179" s="145">
        <v>52</v>
      </c>
      <c r="U179" s="133"/>
      <c r="V179" s="131"/>
      <c r="W179" s="145"/>
      <c r="X179" s="133"/>
    </row>
    <row r="180" spans="1:24" x14ac:dyDescent="0.2">
      <c r="A180" s="140" t="s">
        <v>2462</v>
      </c>
      <c r="B180" s="131">
        <v>583740</v>
      </c>
      <c r="C180" s="307"/>
      <c r="D180" s="131">
        <v>250642</v>
      </c>
      <c r="E180" s="145">
        <v>637</v>
      </c>
      <c r="F180" s="133">
        <v>0.5</v>
      </c>
      <c r="G180" s="131">
        <v>209773</v>
      </c>
      <c r="H180" s="145">
        <v>195</v>
      </c>
      <c r="I180" s="133"/>
      <c r="J180" s="131">
        <v>25446</v>
      </c>
      <c r="K180" s="145">
        <v>515</v>
      </c>
      <c r="L180" s="133"/>
      <c r="M180" s="131">
        <v>66155</v>
      </c>
      <c r="N180" s="145">
        <v>960</v>
      </c>
      <c r="O180" s="133"/>
      <c r="P180" s="131">
        <v>276089</v>
      </c>
      <c r="Q180" s="145">
        <v>152</v>
      </c>
      <c r="R180" s="133">
        <v>0.5</v>
      </c>
      <c r="S180" s="131">
        <v>275929</v>
      </c>
      <c r="T180" s="145">
        <v>155</v>
      </c>
      <c r="U180" s="133"/>
      <c r="V180" s="131">
        <v>159</v>
      </c>
      <c r="W180" s="145">
        <v>997</v>
      </c>
      <c r="X180" s="133">
        <v>0.5</v>
      </c>
    </row>
    <row r="181" spans="1:24" x14ac:dyDescent="0.2">
      <c r="A181" s="794" t="s">
        <v>2566</v>
      </c>
      <c r="B181" s="240">
        <v>2713906</v>
      </c>
      <c r="C181" s="513">
        <v>950</v>
      </c>
      <c r="D181" s="318">
        <v>953251</v>
      </c>
      <c r="E181" s="318">
        <v>522</v>
      </c>
      <c r="F181" s="241">
        <v>0.5</v>
      </c>
      <c r="G181" s="318">
        <v>864929</v>
      </c>
      <c r="H181" s="318">
        <v>117</v>
      </c>
      <c r="I181" s="241"/>
      <c r="J181" s="318">
        <v>308290</v>
      </c>
      <c r="K181" s="318">
        <v>892</v>
      </c>
      <c r="L181" s="241">
        <v>0.5</v>
      </c>
      <c r="M181" s="318">
        <v>408476</v>
      </c>
      <c r="N181" s="318">
        <v>102</v>
      </c>
      <c r="O181" s="241">
        <v>0.5</v>
      </c>
      <c r="P181" s="318">
        <v>1261542</v>
      </c>
      <c r="Q181" s="318">
        <v>415</v>
      </c>
      <c r="R181" s="241"/>
      <c r="S181" s="318">
        <v>1273405</v>
      </c>
      <c r="T181" s="318">
        <v>219</v>
      </c>
      <c r="U181" s="241">
        <v>0.5</v>
      </c>
      <c r="V181" s="318">
        <v>586</v>
      </c>
      <c r="W181" s="318">
        <v>807</v>
      </c>
      <c r="X181" s="241">
        <v>0.5</v>
      </c>
    </row>
    <row r="182" spans="1:24" x14ac:dyDescent="0.2">
      <c r="B182" s="321">
        <f>+SUM(B173:B180)</f>
        <v>2713906</v>
      </c>
      <c r="C182" s="321">
        <f>+SUM(C173:C180)</f>
        <v>950</v>
      </c>
      <c r="D182" s="138">
        <f t="shared" ref="D182:X182" si="4">+SUM(D173:D180)</f>
        <v>953247</v>
      </c>
      <c r="E182" s="138">
        <f t="shared" si="4"/>
        <v>4521</v>
      </c>
      <c r="F182" s="312">
        <f t="shared" si="4"/>
        <v>1.5</v>
      </c>
      <c r="G182" s="138">
        <f t="shared" si="4"/>
        <v>864925</v>
      </c>
      <c r="H182" s="138">
        <f t="shared" si="4"/>
        <v>4116</v>
      </c>
      <c r="I182" s="312">
        <f t="shared" si="4"/>
        <v>1</v>
      </c>
      <c r="J182" s="138">
        <f t="shared" si="4"/>
        <v>308286</v>
      </c>
      <c r="K182" s="138">
        <f t="shared" si="4"/>
        <v>4892</v>
      </c>
      <c r="L182" s="312">
        <f t="shared" si="4"/>
        <v>0.5</v>
      </c>
      <c r="M182" s="138">
        <f t="shared" si="4"/>
        <v>408471</v>
      </c>
      <c r="N182" s="138">
        <f t="shared" si="4"/>
        <v>5102</v>
      </c>
      <c r="O182" s="312">
        <f t="shared" si="4"/>
        <v>0.5</v>
      </c>
      <c r="P182" s="138">
        <f t="shared" si="4"/>
        <v>1261539</v>
      </c>
      <c r="Q182" s="138">
        <f t="shared" si="4"/>
        <v>3414</v>
      </c>
      <c r="R182" s="138">
        <f t="shared" si="4"/>
        <v>1</v>
      </c>
      <c r="S182" s="138">
        <f t="shared" si="4"/>
        <v>1273402</v>
      </c>
      <c r="T182" s="138">
        <f t="shared" si="4"/>
        <v>3219</v>
      </c>
      <c r="U182" s="312">
        <f t="shared" si="4"/>
        <v>0.5</v>
      </c>
      <c r="V182" s="138">
        <f t="shared" si="4"/>
        <v>585</v>
      </c>
      <c r="W182" s="138">
        <f t="shared" si="4"/>
        <v>1807</v>
      </c>
      <c r="X182" s="312">
        <f t="shared" si="4"/>
        <v>0.5</v>
      </c>
    </row>
    <row r="185" spans="1:24" x14ac:dyDescent="0.2">
      <c r="A185" s="113" t="s">
        <v>1358</v>
      </c>
    </row>
    <row r="186" spans="1:24" ht="44.5" customHeight="1" x14ac:dyDescent="0.2">
      <c r="A186" s="875" t="s">
        <v>2878</v>
      </c>
      <c r="B186" s="876"/>
      <c r="C186" s="876"/>
      <c r="D186" s="876"/>
      <c r="E186" s="876"/>
      <c r="F186" s="876"/>
      <c r="G186" s="876"/>
      <c r="H186" s="876"/>
      <c r="I186" s="876"/>
      <c r="J186" s="876"/>
      <c r="K186" s="876"/>
      <c r="L186" s="876"/>
      <c r="M186" s="876"/>
      <c r="N186" s="876"/>
      <c r="O186" s="876"/>
      <c r="P186" s="877"/>
    </row>
    <row r="187" spans="1:24" ht="78" customHeight="1" x14ac:dyDescent="0.2">
      <c r="A187" s="810" t="s">
        <v>2849</v>
      </c>
      <c r="B187" s="608" t="s">
        <v>2850</v>
      </c>
      <c r="C187" s="609"/>
      <c r="D187" s="608" t="s">
        <v>2851</v>
      </c>
      <c r="E187" s="778"/>
      <c r="F187" s="609"/>
      <c r="G187" s="608" t="s">
        <v>2852</v>
      </c>
      <c r="H187" s="778"/>
      <c r="I187" s="609"/>
      <c r="J187" s="778" t="s">
        <v>2879</v>
      </c>
      <c r="K187" s="778"/>
      <c r="L187" s="608" t="s">
        <v>2880</v>
      </c>
      <c r="M187" s="778"/>
      <c r="N187" s="609"/>
      <c r="O187" s="608" t="s">
        <v>2881</v>
      </c>
      <c r="P187" s="609"/>
    </row>
    <row r="188" spans="1:24" x14ac:dyDescent="0.2">
      <c r="A188" s="533" t="s">
        <v>1174</v>
      </c>
      <c r="B188" s="131">
        <v>1001200</v>
      </c>
      <c r="C188" s="307"/>
      <c r="D188" s="349">
        <v>1366466</v>
      </c>
      <c r="E188" s="350">
        <v>830</v>
      </c>
      <c r="F188" s="352"/>
      <c r="G188" s="349">
        <v>1383718</v>
      </c>
      <c r="H188" s="350">
        <v>745</v>
      </c>
      <c r="I188" s="352"/>
      <c r="J188" s="145"/>
      <c r="K188" s="145"/>
      <c r="L188" s="349">
        <v>382518</v>
      </c>
      <c r="M188" s="350">
        <v>745</v>
      </c>
      <c r="N188" s="352"/>
      <c r="O188" s="131"/>
      <c r="P188" s="307"/>
    </row>
    <row r="189" spans="1:24" x14ac:dyDescent="0.2">
      <c r="A189" s="533" t="s">
        <v>1573</v>
      </c>
      <c r="B189" s="131">
        <v>20000</v>
      </c>
      <c r="C189" s="307"/>
      <c r="D189" s="131">
        <v>12434</v>
      </c>
      <c r="E189" s="145">
        <v>936</v>
      </c>
      <c r="F189" s="133"/>
      <c r="G189" s="131">
        <v>12434</v>
      </c>
      <c r="H189" s="145">
        <v>936</v>
      </c>
      <c r="I189" s="133"/>
      <c r="J189" s="145"/>
      <c r="K189" s="145"/>
      <c r="L189" s="131"/>
      <c r="M189" s="145"/>
      <c r="N189" s="133"/>
      <c r="O189" s="131">
        <v>7565</v>
      </c>
      <c r="P189" s="307">
        <v>64</v>
      </c>
    </row>
    <row r="190" spans="1:24" x14ac:dyDescent="0.2">
      <c r="A190" s="533" t="s">
        <v>1175</v>
      </c>
      <c r="B190" s="131">
        <v>30000</v>
      </c>
      <c r="C190" s="307"/>
      <c r="D190" s="131">
        <v>49950</v>
      </c>
      <c r="E190" s="145">
        <v>770</v>
      </c>
      <c r="F190" s="133"/>
      <c r="G190" s="131">
        <v>49825</v>
      </c>
      <c r="H190" s="145">
        <v>215</v>
      </c>
      <c r="I190" s="133"/>
      <c r="J190" s="145">
        <v>125</v>
      </c>
      <c r="K190" s="145">
        <v>555</v>
      </c>
      <c r="L190" s="131">
        <v>19959</v>
      </c>
      <c r="M190" s="145">
        <v>770</v>
      </c>
      <c r="N190" s="133"/>
      <c r="O190" s="131"/>
      <c r="P190" s="307"/>
    </row>
    <row r="191" spans="1:24" x14ac:dyDescent="0.2">
      <c r="A191" s="533" t="s">
        <v>1808</v>
      </c>
      <c r="B191" s="131">
        <v>60000</v>
      </c>
      <c r="C191" s="307"/>
      <c r="D191" s="131">
        <v>167605</v>
      </c>
      <c r="E191" s="145">
        <v>97</v>
      </c>
      <c r="F191" s="133">
        <v>0.5</v>
      </c>
      <c r="G191" s="131">
        <v>167257</v>
      </c>
      <c r="H191" s="145">
        <v>997</v>
      </c>
      <c r="I191" s="133">
        <v>0.5</v>
      </c>
      <c r="J191" s="145">
        <v>347</v>
      </c>
      <c r="K191" s="145">
        <v>100</v>
      </c>
      <c r="L191" s="131">
        <v>107605</v>
      </c>
      <c r="M191" s="145">
        <v>97</v>
      </c>
      <c r="N191" s="133">
        <v>0.5</v>
      </c>
      <c r="O191" s="131"/>
      <c r="P191" s="307"/>
    </row>
    <row r="192" spans="1:24" x14ac:dyDescent="0.2">
      <c r="A192" s="533" t="s">
        <v>2860</v>
      </c>
      <c r="B192" s="131">
        <v>25000</v>
      </c>
      <c r="C192" s="307"/>
      <c r="D192" s="131">
        <v>55150</v>
      </c>
      <c r="E192" s="145"/>
      <c r="F192" s="133"/>
      <c r="G192" s="131">
        <v>55150</v>
      </c>
      <c r="H192" s="145"/>
      <c r="I192" s="133"/>
      <c r="J192" s="145"/>
      <c r="K192" s="145"/>
      <c r="L192" s="131">
        <v>30150</v>
      </c>
      <c r="M192" s="145"/>
      <c r="N192" s="133"/>
      <c r="O192" s="131"/>
      <c r="P192" s="307"/>
    </row>
    <row r="193" spans="1:22" x14ac:dyDescent="0.2">
      <c r="A193" s="533" t="s">
        <v>1569</v>
      </c>
      <c r="B193" s="131">
        <v>800000</v>
      </c>
      <c r="C193" s="307"/>
      <c r="D193" s="131">
        <v>591568</v>
      </c>
      <c r="E193" s="145">
        <v>325</v>
      </c>
      <c r="F193" s="133"/>
      <c r="G193" s="131">
        <v>591568</v>
      </c>
      <c r="H193" s="145">
        <v>325</v>
      </c>
      <c r="I193" s="133"/>
      <c r="J193" s="145"/>
      <c r="K193" s="145"/>
      <c r="L193" s="131"/>
      <c r="M193" s="145"/>
      <c r="N193" s="133"/>
      <c r="O193" s="131">
        <v>208431</v>
      </c>
      <c r="P193" s="307">
        <v>675</v>
      </c>
    </row>
    <row r="194" spans="1:22" x14ac:dyDescent="0.2">
      <c r="A194" s="533" t="s">
        <v>2882</v>
      </c>
      <c r="B194" s="131">
        <v>60000</v>
      </c>
      <c r="C194" s="307"/>
      <c r="D194" s="131">
        <v>3220876</v>
      </c>
      <c r="E194" s="145">
        <v>142</v>
      </c>
      <c r="F194" s="133">
        <v>0.5</v>
      </c>
      <c r="G194" s="131">
        <v>3215452</v>
      </c>
      <c r="H194" s="145">
        <v>167</v>
      </c>
      <c r="I194" s="133">
        <v>0.5</v>
      </c>
      <c r="J194" s="145">
        <v>5423</v>
      </c>
      <c r="K194" s="145">
        <v>975</v>
      </c>
      <c r="L194" s="131">
        <v>3160870</v>
      </c>
      <c r="M194" s="145">
        <v>142</v>
      </c>
      <c r="N194" s="133">
        <v>0.5</v>
      </c>
      <c r="O194" s="131"/>
      <c r="P194" s="307"/>
    </row>
    <row r="195" spans="1:22" x14ac:dyDescent="0.2">
      <c r="A195" s="533" t="s">
        <v>1992</v>
      </c>
      <c r="B195" s="131">
        <v>25000</v>
      </c>
      <c r="C195" s="307"/>
      <c r="D195" s="131">
        <v>126321</v>
      </c>
      <c r="E195" s="145">
        <v>42</v>
      </c>
      <c r="F195" s="133"/>
      <c r="G195" s="131">
        <v>124328</v>
      </c>
      <c r="H195" s="145">
        <v>487</v>
      </c>
      <c r="I195" s="133"/>
      <c r="J195" s="145">
        <v>1992</v>
      </c>
      <c r="K195" s="145">
        <v>555</v>
      </c>
      <c r="L195" s="131">
        <v>101321</v>
      </c>
      <c r="M195" s="145">
        <v>42</v>
      </c>
      <c r="N195" s="133"/>
      <c r="O195" s="131"/>
      <c r="P195" s="307"/>
    </row>
    <row r="196" spans="1:22" x14ac:dyDescent="0.2">
      <c r="A196" s="785" t="s">
        <v>2566</v>
      </c>
      <c r="B196" s="240">
        <v>2021200</v>
      </c>
      <c r="C196" s="513"/>
      <c r="D196" s="240">
        <v>5590373</v>
      </c>
      <c r="E196" s="318">
        <v>143</v>
      </c>
      <c r="F196" s="241"/>
      <c r="G196" s="240">
        <v>5599735</v>
      </c>
      <c r="H196" s="318">
        <v>873</v>
      </c>
      <c r="I196" s="241"/>
      <c r="J196" s="318">
        <v>7889</v>
      </c>
      <c r="K196" s="318">
        <v>185</v>
      </c>
      <c r="L196" s="240">
        <v>3802421</v>
      </c>
      <c r="M196" s="318">
        <v>797</v>
      </c>
      <c r="N196" s="241"/>
      <c r="O196" s="240"/>
      <c r="P196" s="513"/>
    </row>
    <row r="197" spans="1:22" x14ac:dyDescent="0.2">
      <c r="A197" s="622"/>
      <c r="B197" s="321">
        <f>+SUM(B188:B195)</f>
        <v>2021200</v>
      </c>
      <c r="C197" s="321">
        <f t="shared" ref="C197:P197" si="5">+SUM(C188:C195)</f>
        <v>0</v>
      </c>
      <c r="D197" s="138">
        <f t="shared" si="5"/>
        <v>5590370</v>
      </c>
      <c r="E197" s="138">
        <f t="shared" si="5"/>
        <v>3142</v>
      </c>
      <c r="F197" s="312">
        <f t="shared" si="5"/>
        <v>1</v>
      </c>
      <c r="G197" s="138">
        <f t="shared" si="5"/>
        <v>5599732</v>
      </c>
      <c r="H197" s="138">
        <f t="shared" si="5"/>
        <v>3872</v>
      </c>
      <c r="I197" s="312">
        <f t="shared" si="5"/>
        <v>1</v>
      </c>
      <c r="J197" s="138">
        <f t="shared" si="5"/>
        <v>7887</v>
      </c>
      <c r="K197" s="138">
        <f t="shared" si="5"/>
        <v>2185</v>
      </c>
      <c r="L197" s="413">
        <f t="shared" si="5"/>
        <v>3802423</v>
      </c>
      <c r="M197" s="138">
        <f t="shared" si="5"/>
        <v>1796</v>
      </c>
      <c r="N197" s="312">
        <f t="shared" si="5"/>
        <v>1</v>
      </c>
      <c r="O197" s="138">
        <f t="shared" si="5"/>
        <v>215996</v>
      </c>
      <c r="P197" s="138">
        <f t="shared" si="5"/>
        <v>739</v>
      </c>
      <c r="R197" s="107"/>
      <c r="S197" s="107"/>
      <c r="T197" s="107"/>
      <c r="U197" s="107"/>
      <c r="V197" s="107"/>
    </row>
    <row r="198" spans="1:22" ht="72" customHeight="1" x14ac:dyDescent="0.2">
      <c r="A198" s="811" t="s">
        <v>2861</v>
      </c>
      <c r="B198" s="608" t="s">
        <v>2862</v>
      </c>
      <c r="C198" s="609"/>
      <c r="D198" s="608" t="s">
        <v>2863</v>
      </c>
      <c r="E198" s="778"/>
      <c r="F198" s="609"/>
      <c r="G198" s="608" t="s">
        <v>2864</v>
      </c>
      <c r="H198" s="778"/>
      <c r="I198" s="609"/>
      <c r="J198" s="608" t="s">
        <v>2883</v>
      </c>
      <c r="K198" s="778"/>
      <c r="L198" s="608" t="s">
        <v>2884</v>
      </c>
      <c r="M198" s="778"/>
      <c r="N198" s="609"/>
      <c r="O198" s="778" t="s">
        <v>2885</v>
      </c>
      <c r="P198" s="609"/>
      <c r="R198" s="107"/>
      <c r="S198" s="107"/>
      <c r="T198" s="107"/>
      <c r="U198" s="107"/>
      <c r="V198" s="107"/>
    </row>
    <row r="199" spans="1:22" x14ac:dyDescent="0.2">
      <c r="A199" s="131" t="s">
        <v>2043</v>
      </c>
      <c r="B199" s="131">
        <v>397969</v>
      </c>
      <c r="C199" s="307"/>
      <c r="D199" s="349">
        <v>194846</v>
      </c>
      <c r="E199" s="350">
        <v>10</v>
      </c>
      <c r="F199" s="352"/>
      <c r="G199" s="145">
        <v>178820</v>
      </c>
      <c r="H199" s="145">
        <v>660</v>
      </c>
      <c r="I199" s="180"/>
      <c r="J199" s="349">
        <v>16025</v>
      </c>
      <c r="K199" s="717">
        <v>350</v>
      </c>
      <c r="L199" s="145">
        <v>203122</v>
      </c>
      <c r="M199" s="145">
        <v>990</v>
      </c>
      <c r="N199" s="133"/>
      <c r="O199" s="131"/>
      <c r="P199" s="307"/>
      <c r="R199" s="107"/>
      <c r="S199" s="107"/>
      <c r="T199" s="107"/>
      <c r="U199" s="107"/>
      <c r="V199" s="107"/>
    </row>
    <row r="200" spans="1:22" x14ac:dyDescent="0.2">
      <c r="A200" s="131" t="s">
        <v>2047</v>
      </c>
      <c r="B200" s="131">
        <v>7328</v>
      </c>
      <c r="C200" s="307"/>
      <c r="D200" s="131">
        <v>839</v>
      </c>
      <c r="E200" s="145">
        <v>800</v>
      </c>
      <c r="F200" s="133"/>
      <c r="G200" s="145">
        <v>773</v>
      </c>
      <c r="H200" s="145">
        <v>150</v>
      </c>
      <c r="I200" s="180"/>
      <c r="J200" s="131">
        <v>66</v>
      </c>
      <c r="K200" s="307">
        <v>650</v>
      </c>
      <c r="L200" s="145">
        <v>6488</v>
      </c>
      <c r="M200" s="145">
        <v>200</v>
      </c>
      <c r="N200" s="133"/>
      <c r="O200" s="131"/>
      <c r="P200" s="307"/>
      <c r="R200" s="107"/>
      <c r="S200" s="107"/>
      <c r="T200" s="107"/>
      <c r="U200" s="107"/>
      <c r="V200" s="107"/>
    </row>
    <row r="201" spans="1:22" x14ac:dyDescent="0.2">
      <c r="A201" s="140" t="s">
        <v>2044</v>
      </c>
      <c r="B201" s="131">
        <v>44944</v>
      </c>
      <c r="C201" s="307"/>
      <c r="D201" s="131">
        <v>19341</v>
      </c>
      <c r="E201" s="145">
        <v>300</v>
      </c>
      <c r="F201" s="133"/>
      <c r="G201" s="145">
        <v>17812</v>
      </c>
      <c r="H201" s="145">
        <v>700</v>
      </c>
      <c r="I201" s="180"/>
      <c r="J201" s="131">
        <v>1528</v>
      </c>
      <c r="K201" s="307">
        <v>600</v>
      </c>
      <c r="L201" s="145">
        <v>25602</v>
      </c>
      <c r="M201" s="145">
        <v>700</v>
      </c>
      <c r="N201" s="133"/>
      <c r="O201" s="131"/>
      <c r="P201" s="307"/>
      <c r="R201" s="107"/>
      <c r="S201" s="107"/>
      <c r="T201" s="107"/>
      <c r="U201" s="107"/>
      <c r="V201" s="107"/>
    </row>
    <row r="202" spans="1:22" x14ac:dyDescent="0.2">
      <c r="A202" s="140" t="s">
        <v>2042</v>
      </c>
      <c r="B202" s="131">
        <v>65783</v>
      </c>
      <c r="C202" s="307">
        <v>250</v>
      </c>
      <c r="D202" s="131">
        <v>4382</v>
      </c>
      <c r="E202" s="145">
        <v>750</v>
      </c>
      <c r="F202" s="133"/>
      <c r="G202" s="145">
        <v>1742</v>
      </c>
      <c r="H202" s="145">
        <v>750</v>
      </c>
      <c r="I202" s="180"/>
      <c r="J202" s="131">
        <v>2640</v>
      </c>
      <c r="K202" s="307"/>
      <c r="L202" s="145">
        <v>61400</v>
      </c>
      <c r="M202" s="145">
        <v>500</v>
      </c>
      <c r="N202" s="133"/>
      <c r="O202" s="131"/>
      <c r="P202" s="307"/>
      <c r="R202" s="107"/>
      <c r="S202" s="107"/>
      <c r="T202" s="107"/>
      <c r="U202" s="107"/>
      <c r="V202" s="107"/>
    </row>
    <row r="203" spans="1:22" x14ac:dyDescent="0.2">
      <c r="A203" s="140" t="s">
        <v>2046</v>
      </c>
      <c r="B203" s="131">
        <v>76000</v>
      </c>
      <c r="C203" s="307"/>
      <c r="D203" s="131">
        <v>33536</v>
      </c>
      <c r="E203" s="145">
        <v>980</v>
      </c>
      <c r="F203" s="133"/>
      <c r="G203" s="145">
        <v>33406</v>
      </c>
      <c r="H203" s="145">
        <v>980</v>
      </c>
      <c r="I203" s="180"/>
      <c r="J203" s="131">
        <v>130</v>
      </c>
      <c r="K203" s="307"/>
      <c r="L203" s="145">
        <v>42463</v>
      </c>
      <c r="M203" s="145">
        <v>20</v>
      </c>
      <c r="N203" s="133"/>
      <c r="O203" s="131"/>
      <c r="P203" s="307"/>
      <c r="R203" s="107"/>
      <c r="S203" s="107"/>
      <c r="T203" s="107"/>
      <c r="U203" s="107"/>
      <c r="V203" s="107"/>
    </row>
    <row r="204" spans="1:22" x14ac:dyDescent="0.2">
      <c r="A204" s="140" t="s">
        <v>2871</v>
      </c>
      <c r="B204" s="131">
        <v>585695</v>
      </c>
      <c r="C204" s="307">
        <v>500</v>
      </c>
      <c r="D204" s="131">
        <v>265282</v>
      </c>
      <c r="E204" s="145">
        <v>922</v>
      </c>
      <c r="F204" s="133">
        <v>0.5</v>
      </c>
      <c r="G204" s="145">
        <v>283493</v>
      </c>
      <c r="H204" s="145">
        <v>974</v>
      </c>
      <c r="I204" s="180">
        <v>0.5</v>
      </c>
      <c r="J204" s="131"/>
      <c r="K204" s="307"/>
      <c r="L204" s="145">
        <v>320412</v>
      </c>
      <c r="M204" s="145">
        <v>577</v>
      </c>
      <c r="N204" s="133">
        <v>0.5</v>
      </c>
      <c r="O204" s="131"/>
      <c r="P204" s="307"/>
      <c r="R204" s="107"/>
      <c r="S204" s="107"/>
      <c r="T204" s="107"/>
      <c r="U204" s="107"/>
      <c r="V204" s="107"/>
    </row>
    <row r="205" spans="1:22" x14ac:dyDescent="0.2">
      <c r="A205" s="140" t="s">
        <v>2886</v>
      </c>
      <c r="B205" s="131">
        <v>2000</v>
      </c>
      <c r="C205" s="307"/>
      <c r="D205" s="131"/>
      <c r="E205" s="145"/>
      <c r="F205" s="133"/>
      <c r="G205" s="145"/>
      <c r="H205" s="145"/>
      <c r="I205" s="180"/>
      <c r="J205" s="131"/>
      <c r="K205" s="307"/>
      <c r="L205" s="145">
        <v>2000</v>
      </c>
      <c r="M205" s="145"/>
      <c r="N205" s="133"/>
      <c r="O205" s="131"/>
      <c r="P205" s="307"/>
      <c r="R205" s="107"/>
      <c r="S205" s="107"/>
      <c r="T205" s="107"/>
      <c r="U205" s="107"/>
      <c r="V205" s="107"/>
    </row>
    <row r="206" spans="1:22" x14ac:dyDescent="0.2">
      <c r="A206" s="140" t="s">
        <v>2869</v>
      </c>
      <c r="B206" s="131">
        <v>375830</v>
      </c>
      <c r="C206" s="307"/>
      <c r="D206" s="131">
        <v>170448</v>
      </c>
      <c r="E206" s="145">
        <v>950</v>
      </c>
      <c r="F206" s="133"/>
      <c r="G206" s="145">
        <v>162049</v>
      </c>
      <c r="H206" s="145">
        <v>450</v>
      </c>
      <c r="I206" s="180"/>
      <c r="J206" s="131">
        <v>8399</v>
      </c>
      <c r="K206" s="307">
        <v>500</v>
      </c>
      <c r="L206" s="145">
        <v>205381</v>
      </c>
      <c r="M206" s="145">
        <v>50</v>
      </c>
      <c r="N206" s="133"/>
      <c r="O206" s="131"/>
      <c r="P206" s="307"/>
      <c r="R206" s="107"/>
      <c r="S206" s="107"/>
      <c r="T206" s="107"/>
      <c r="U206" s="107"/>
      <c r="V206" s="107"/>
    </row>
    <row r="207" spans="1:22" x14ac:dyDescent="0.2">
      <c r="A207" s="140" t="s">
        <v>2040</v>
      </c>
      <c r="B207" s="131">
        <v>924527</v>
      </c>
      <c r="C207" s="307">
        <v>915</v>
      </c>
      <c r="D207" s="131">
        <v>174971</v>
      </c>
      <c r="E207" s="145">
        <v>125</v>
      </c>
      <c r="F207" s="133"/>
      <c r="G207" s="145">
        <v>140041</v>
      </c>
      <c r="H207" s="145">
        <v>700</v>
      </c>
      <c r="I207" s="180"/>
      <c r="J207" s="131">
        <v>34929</v>
      </c>
      <c r="K207" s="307">
        <v>425</v>
      </c>
      <c r="L207" s="145">
        <v>749556</v>
      </c>
      <c r="M207" s="145">
        <v>790</v>
      </c>
      <c r="N207" s="133"/>
      <c r="O207" s="131"/>
      <c r="P207" s="307"/>
      <c r="R207" s="107"/>
      <c r="S207" s="107"/>
      <c r="T207" s="107"/>
      <c r="U207" s="107"/>
      <c r="V207" s="107"/>
    </row>
    <row r="208" spans="1:22" x14ac:dyDescent="0.2">
      <c r="A208" s="140" t="s">
        <v>2462</v>
      </c>
      <c r="B208" s="131">
        <v>380385</v>
      </c>
      <c r="C208" s="307">
        <v>400</v>
      </c>
      <c r="D208" s="131">
        <v>439871</v>
      </c>
      <c r="E208" s="145">
        <v>220</v>
      </c>
      <c r="F208" s="133"/>
      <c r="G208" s="145">
        <v>373067</v>
      </c>
      <c r="H208" s="145">
        <v>800</v>
      </c>
      <c r="I208" s="180"/>
      <c r="J208" s="131">
        <v>66803</v>
      </c>
      <c r="K208" s="307">
        <v>420</v>
      </c>
      <c r="L208" s="145"/>
      <c r="M208" s="145"/>
      <c r="N208" s="133"/>
      <c r="O208" s="131">
        <v>59485</v>
      </c>
      <c r="P208" s="307">
        <v>820</v>
      </c>
      <c r="R208" s="107"/>
      <c r="S208" s="107"/>
      <c r="T208" s="107"/>
      <c r="U208" s="107"/>
      <c r="V208" s="107"/>
    </row>
    <row r="209" spans="1:23" x14ac:dyDescent="0.2">
      <c r="A209" s="785" t="s">
        <v>2566</v>
      </c>
      <c r="B209" s="240">
        <v>2860463</v>
      </c>
      <c r="C209" s="513">
        <v>65</v>
      </c>
      <c r="D209" s="240">
        <v>1303521</v>
      </c>
      <c r="E209" s="318">
        <v>57</v>
      </c>
      <c r="F209" s="241">
        <v>0.5</v>
      </c>
      <c r="G209" s="318">
        <v>1191209</v>
      </c>
      <c r="H209" s="318">
        <v>164</v>
      </c>
      <c r="I209" s="319">
        <v>0.5</v>
      </c>
      <c r="J209" s="240">
        <v>130522</v>
      </c>
      <c r="K209" s="513">
        <v>945</v>
      </c>
      <c r="L209" s="318">
        <v>1616427</v>
      </c>
      <c r="M209" s="318">
        <v>827</v>
      </c>
      <c r="N209" s="319">
        <v>0.5</v>
      </c>
      <c r="O209" s="240">
        <v>59485</v>
      </c>
      <c r="P209" s="513">
        <v>820</v>
      </c>
      <c r="R209" s="107"/>
      <c r="S209" s="107"/>
      <c r="T209" s="107"/>
      <c r="U209" s="107"/>
      <c r="V209" s="107"/>
      <c r="W209" s="882"/>
    </row>
    <row r="210" spans="1:23" x14ac:dyDescent="0.2">
      <c r="A210" s="622"/>
      <c r="B210" s="321">
        <f>+SUM(B199:B208)</f>
        <v>2860461</v>
      </c>
      <c r="C210" s="321">
        <f t="shared" ref="C210:P210" si="6">+SUM(C199:C208)</f>
        <v>2065</v>
      </c>
      <c r="D210" s="138">
        <f t="shared" si="6"/>
        <v>1303516</v>
      </c>
      <c r="E210" s="138">
        <f t="shared" si="6"/>
        <v>5057</v>
      </c>
      <c r="F210" s="312">
        <f t="shared" si="6"/>
        <v>0.5</v>
      </c>
      <c r="G210" s="138">
        <f t="shared" si="6"/>
        <v>1191203</v>
      </c>
      <c r="H210" s="138">
        <f t="shared" si="6"/>
        <v>6164</v>
      </c>
      <c r="I210" s="312">
        <f t="shared" si="6"/>
        <v>0.5</v>
      </c>
      <c r="J210" s="138">
        <f t="shared" si="6"/>
        <v>130520</v>
      </c>
      <c r="K210" s="138">
        <f t="shared" si="6"/>
        <v>2945</v>
      </c>
      <c r="L210" s="138">
        <f t="shared" si="6"/>
        <v>1616424</v>
      </c>
      <c r="M210" s="138">
        <f t="shared" si="6"/>
        <v>3827</v>
      </c>
      <c r="N210" s="312">
        <f t="shared" si="6"/>
        <v>0.5</v>
      </c>
      <c r="O210" s="138">
        <f t="shared" si="6"/>
        <v>59485</v>
      </c>
      <c r="P210" s="138">
        <f t="shared" si="6"/>
        <v>820</v>
      </c>
      <c r="R210" s="107"/>
      <c r="S210" s="107"/>
      <c r="T210" s="107"/>
      <c r="U210" s="107"/>
      <c r="V210" s="107"/>
    </row>
    <row r="211" spans="1:23" s="107" customFormat="1" ht="42.5" customHeight="1" x14ac:dyDescent="0.2">
      <c r="A211" s="664" t="s">
        <v>2086</v>
      </c>
      <c r="B211" s="665"/>
      <c r="C211" s="665"/>
      <c r="D211" s="665"/>
      <c r="E211" s="665"/>
      <c r="F211" s="665"/>
      <c r="G211" s="665"/>
      <c r="H211" s="665"/>
      <c r="I211" s="665"/>
      <c r="J211" s="665"/>
      <c r="K211" s="665"/>
      <c r="L211" s="665"/>
      <c r="M211" s="665"/>
      <c r="N211" s="665"/>
      <c r="O211" s="354"/>
      <c r="P211" s="604"/>
    </row>
    <row r="212" spans="1:23" s="107" customFormat="1" x14ac:dyDescent="0.2">
      <c r="A212" s="588" t="s">
        <v>2887</v>
      </c>
      <c r="B212" s="589"/>
      <c r="C212" s="589"/>
      <c r="D212" s="589"/>
      <c r="E212" s="589"/>
      <c r="F212" s="589"/>
      <c r="G212" s="589"/>
      <c r="H212" s="589"/>
      <c r="I212" s="589"/>
      <c r="J212" s="589"/>
      <c r="K212" s="589"/>
      <c r="L212" s="145">
        <v>5599735</v>
      </c>
      <c r="M212" s="145">
        <v>873</v>
      </c>
      <c r="N212" s="145"/>
      <c r="O212" s="495"/>
      <c r="P212" s="550"/>
    </row>
    <row r="213" spans="1:23" s="107" customFormat="1" x14ac:dyDescent="0.2">
      <c r="A213" s="588" t="s">
        <v>2888</v>
      </c>
      <c r="B213" s="589"/>
      <c r="C213" s="589"/>
      <c r="D213" s="589"/>
      <c r="E213" s="589"/>
      <c r="F213" s="589"/>
      <c r="G213" s="589"/>
      <c r="H213" s="589"/>
      <c r="I213" s="589"/>
      <c r="J213" s="589"/>
      <c r="K213" s="589"/>
      <c r="L213" s="145">
        <v>1303521</v>
      </c>
      <c r="M213" s="145">
        <v>57</v>
      </c>
      <c r="N213" s="180">
        <v>0.5</v>
      </c>
      <c r="O213" s="495"/>
      <c r="P213" s="550"/>
      <c r="Q213" s="883"/>
    </row>
    <row r="214" spans="1:23" s="107" customFormat="1" ht="16" thickBot="1" x14ac:dyDescent="0.25">
      <c r="A214" s="797" t="s">
        <v>2363</v>
      </c>
      <c r="B214" s="798"/>
      <c r="C214" s="798"/>
      <c r="D214" s="798"/>
      <c r="E214" s="798"/>
      <c r="F214" s="798"/>
      <c r="G214" s="798"/>
      <c r="H214" s="798"/>
      <c r="I214" s="798"/>
      <c r="J214" s="798"/>
      <c r="K214" s="798"/>
      <c r="L214" s="595">
        <v>4296214</v>
      </c>
      <c r="M214" s="595">
        <v>815</v>
      </c>
      <c r="N214" s="884">
        <v>0.5</v>
      </c>
      <c r="O214" s="495"/>
      <c r="P214" s="550"/>
    </row>
    <row r="215" spans="1:23" s="107" customFormat="1" ht="20.5" customHeight="1" x14ac:dyDescent="0.2">
      <c r="A215" s="301" t="s">
        <v>2889</v>
      </c>
      <c r="B215" s="302"/>
      <c r="C215" s="302"/>
      <c r="D215" s="302"/>
      <c r="E215" s="302"/>
      <c r="F215" s="302"/>
      <c r="G215" s="302"/>
      <c r="H215" s="302"/>
      <c r="I215" s="302"/>
      <c r="J215" s="302"/>
      <c r="K215" s="302"/>
      <c r="L215" s="302"/>
      <c r="M215" s="302"/>
      <c r="N215" s="302"/>
      <c r="O215" s="356"/>
      <c r="P215" s="357"/>
    </row>
    <row r="219" spans="1:23" x14ac:dyDescent="0.2">
      <c r="A219" s="113" t="s">
        <v>1374</v>
      </c>
    </row>
    <row r="220" spans="1:23" ht="44.5" customHeight="1" x14ac:dyDescent="0.2">
      <c r="A220" s="875" t="s">
        <v>2890</v>
      </c>
      <c r="B220" s="876"/>
      <c r="C220" s="876"/>
      <c r="D220" s="876"/>
      <c r="E220" s="876"/>
      <c r="F220" s="876"/>
      <c r="G220" s="876"/>
      <c r="H220" s="876"/>
      <c r="I220" s="876"/>
      <c r="J220" s="876"/>
      <c r="K220" s="876"/>
      <c r="L220" s="876"/>
      <c r="M220" s="876"/>
      <c r="N220" s="876"/>
      <c r="O220" s="876"/>
      <c r="P220" s="876"/>
      <c r="Q220" s="876"/>
      <c r="R220" s="877"/>
    </row>
    <row r="221" spans="1:23" ht="83.5" customHeight="1" x14ac:dyDescent="0.2">
      <c r="A221" s="810" t="s">
        <v>2849</v>
      </c>
      <c r="B221" s="608" t="s">
        <v>2891</v>
      </c>
      <c r="C221" s="609"/>
      <c r="D221" s="608" t="s">
        <v>2892</v>
      </c>
      <c r="E221" s="778"/>
      <c r="F221" s="609"/>
      <c r="G221" s="608" t="s">
        <v>2893</v>
      </c>
      <c r="H221" s="778"/>
      <c r="I221" s="609"/>
      <c r="J221" s="608" t="s">
        <v>2894</v>
      </c>
      <c r="K221" s="778"/>
      <c r="L221" s="609"/>
      <c r="M221" s="608" t="s">
        <v>2895</v>
      </c>
      <c r="N221" s="778"/>
      <c r="O221" s="609"/>
      <c r="P221" s="608" t="s">
        <v>2896</v>
      </c>
      <c r="Q221" s="778"/>
      <c r="R221" s="609"/>
    </row>
    <row r="222" spans="1:23" x14ac:dyDescent="0.2">
      <c r="A222" s="131" t="s">
        <v>1174</v>
      </c>
      <c r="B222" s="131">
        <v>2701200</v>
      </c>
      <c r="C222" s="307"/>
      <c r="D222" s="349">
        <v>2384819</v>
      </c>
      <c r="E222" s="350">
        <v>106</v>
      </c>
      <c r="F222" s="352"/>
      <c r="G222" s="349">
        <v>2371643</v>
      </c>
      <c r="H222" s="350">
        <v>571</v>
      </c>
      <c r="I222" s="352"/>
      <c r="J222" s="349">
        <v>30427</v>
      </c>
      <c r="K222" s="350">
        <v>450</v>
      </c>
      <c r="L222" s="352"/>
      <c r="M222" s="349">
        <v>382518</v>
      </c>
      <c r="N222" s="350">
        <v>745</v>
      </c>
      <c r="O222" s="352"/>
      <c r="P222" s="349">
        <v>681647</v>
      </c>
      <c r="Q222" s="350">
        <v>724</v>
      </c>
      <c r="R222" s="352"/>
    </row>
    <row r="223" spans="1:23" x14ac:dyDescent="0.2">
      <c r="A223" s="131" t="s">
        <v>1573</v>
      </c>
      <c r="B223" s="131">
        <v>60000</v>
      </c>
      <c r="C223" s="307"/>
      <c r="D223" s="131">
        <v>40946</v>
      </c>
      <c r="E223" s="145">
        <v>914</v>
      </c>
      <c r="F223" s="133">
        <v>0.5</v>
      </c>
      <c r="G223" s="131">
        <v>40946</v>
      </c>
      <c r="H223" s="145">
        <v>914</v>
      </c>
      <c r="I223" s="133">
        <v>0.5</v>
      </c>
      <c r="J223" s="131"/>
      <c r="K223" s="145"/>
      <c r="L223" s="133"/>
      <c r="M223" s="131"/>
      <c r="N223" s="145"/>
      <c r="O223" s="133"/>
      <c r="P223" s="131">
        <v>19053</v>
      </c>
      <c r="Q223" s="145">
        <v>85</v>
      </c>
      <c r="R223" s="133">
        <v>0.5</v>
      </c>
    </row>
    <row r="224" spans="1:23" x14ac:dyDescent="0.2">
      <c r="A224" s="131" t="s">
        <v>2761</v>
      </c>
      <c r="B224" s="131">
        <v>560000</v>
      </c>
      <c r="C224" s="307"/>
      <c r="D224" s="131">
        <v>3775112</v>
      </c>
      <c r="E224" s="145">
        <v>327</v>
      </c>
      <c r="F224" s="133">
        <v>0.5</v>
      </c>
      <c r="G224" s="131">
        <v>3769688</v>
      </c>
      <c r="H224" s="145">
        <v>352</v>
      </c>
      <c r="I224" s="133">
        <v>0.5</v>
      </c>
      <c r="J224" s="131">
        <v>5423</v>
      </c>
      <c r="K224" s="145">
        <v>975</v>
      </c>
      <c r="L224" s="133"/>
      <c r="M224" s="131">
        <v>3256141</v>
      </c>
      <c r="N224" s="145">
        <v>692</v>
      </c>
      <c r="O224" s="133">
        <v>0.5</v>
      </c>
      <c r="P224" s="131">
        <v>41029</v>
      </c>
      <c r="Q224" s="145">
        <v>365</v>
      </c>
      <c r="R224" s="133"/>
    </row>
    <row r="225" spans="1:18" x14ac:dyDescent="0.2">
      <c r="A225" s="131" t="s">
        <v>1808</v>
      </c>
      <c r="B225" s="131">
        <v>120000</v>
      </c>
      <c r="C225" s="307"/>
      <c r="D225" s="131">
        <v>336768</v>
      </c>
      <c r="E225" s="145">
        <v>746</v>
      </c>
      <c r="F225" s="133"/>
      <c r="G225" s="131">
        <v>335949</v>
      </c>
      <c r="H225" s="145">
        <v>161</v>
      </c>
      <c r="I225" s="133"/>
      <c r="J225" s="131">
        <v>819</v>
      </c>
      <c r="K225" s="145">
        <v>585</v>
      </c>
      <c r="L225" s="133"/>
      <c r="M225" s="131">
        <v>216768</v>
      </c>
      <c r="N225" s="145">
        <v>746</v>
      </c>
      <c r="O225" s="133"/>
      <c r="P225" s="131"/>
      <c r="Q225" s="145"/>
      <c r="R225" s="133"/>
    </row>
    <row r="226" spans="1:18" x14ac:dyDescent="0.2">
      <c r="A226" s="131" t="s">
        <v>1175</v>
      </c>
      <c r="B226" s="131">
        <v>105000</v>
      </c>
      <c r="C226" s="307"/>
      <c r="D226" s="131">
        <v>106426</v>
      </c>
      <c r="E226" s="145">
        <v>47</v>
      </c>
      <c r="F226" s="133">
        <v>0.5</v>
      </c>
      <c r="G226" s="131">
        <v>105670</v>
      </c>
      <c r="H226" s="145">
        <v>982</v>
      </c>
      <c r="I226" s="133">
        <v>0.5</v>
      </c>
      <c r="J226" s="131">
        <v>755</v>
      </c>
      <c r="K226" s="145">
        <v>65</v>
      </c>
      <c r="L226" s="133"/>
      <c r="M226" s="131">
        <v>33605</v>
      </c>
      <c r="N226" s="145">
        <v>802</v>
      </c>
      <c r="O226" s="133">
        <v>0.5</v>
      </c>
      <c r="P226" s="131">
        <v>32179</v>
      </c>
      <c r="Q226" s="145">
        <v>755</v>
      </c>
      <c r="R226" s="133"/>
    </row>
    <row r="227" spans="1:18" x14ac:dyDescent="0.2">
      <c r="A227" s="131" t="s">
        <v>2859</v>
      </c>
      <c r="B227" s="131">
        <v>500000</v>
      </c>
      <c r="C227" s="307"/>
      <c r="D227" s="131"/>
      <c r="E227" s="145"/>
      <c r="F227" s="133"/>
      <c r="G227" s="131"/>
      <c r="H227" s="145"/>
      <c r="I227" s="133"/>
      <c r="J227" s="131"/>
      <c r="K227" s="145"/>
      <c r="L227" s="133"/>
      <c r="M227" s="131"/>
      <c r="N227" s="145"/>
      <c r="O227" s="133"/>
      <c r="P227" s="131">
        <v>500000</v>
      </c>
      <c r="Q227" s="145"/>
      <c r="R227" s="133"/>
    </row>
    <row r="228" spans="1:18" x14ac:dyDescent="0.2">
      <c r="A228" s="131" t="s">
        <v>2860</v>
      </c>
      <c r="B228" s="131">
        <v>75000</v>
      </c>
      <c r="C228" s="307"/>
      <c r="D228" s="131">
        <v>85986</v>
      </c>
      <c r="E228" s="145">
        <v>610</v>
      </c>
      <c r="F228" s="133"/>
      <c r="G228" s="131">
        <v>85986</v>
      </c>
      <c r="H228" s="145">
        <v>610</v>
      </c>
      <c r="I228" s="133"/>
      <c r="J228" s="131"/>
      <c r="K228" s="145"/>
      <c r="L228" s="133"/>
      <c r="M228" s="131">
        <v>35986</v>
      </c>
      <c r="N228" s="145">
        <v>610</v>
      </c>
      <c r="O228" s="133"/>
      <c r="P228" s="131">
        <v>25000</v>
      </c>
      <c r="Q228" s="145"/>
      <c r="R228" s="133"/>
    </row>
    <row r="229" spans="1:18" x14ac:dyDescent="0.2">
      <c r="A229" s="131" t="s">
        <v>1569</v>
      </c>
      <c r="B229" s="131">
        <v>2200000</v>
      </c>
      <c r="C229" s="307"/>
      <c r="D229" s="131">
        <v>1828590</v>
      </c>
      <c r="E229" s="145">
        <v>425</v>
      </c>
      <c r="F229" s="133"/>
      <c r="G229" s="131">
        <v>1827939</v>
      </c>
      <c r="H229" s="145">
        <v>475</v>
      </c>
      <c r="I229" s="133"/>
      <c r="J229" s="131">
        <v>650</v>
      </c>
      <c r="K229" s="145">
        <v>950</v>
      </c>
      <c r="L229" s="133"/>
      <c r="M229" s="131"/>
      <c r="N229" s="145"/>
      <c r="O229" s="133"/>
      <c r="P229" s="131">
        <v>371409</v>
      </c>
      <c r="Q229" s="145">
        <v>575</v>
      </c>
      <c r="R229" s="133"/>
    </row>
    <row r="230" spans="1:18" x14ac:dyDescent="0.2">
      <c r="A230" s="131" t="s">
        <v>1992</v>
      </c>
      <c r="B230" s="131">
        <v>75000</v>
      </c>
      <c r="C230" s="307"/>
      <c r="D230" s="131">
        <v>164036</v>
      </c>
      <c r="E230" s="145">
        <v>865</v>
      </c>
      <c r="F230" s="133">
        <v>0.5</v>
      </c>
      <c r="G230" s="131">
        <v>160736</v>
      </c>
      <c r="H230" s="145">
        <v>673</v>
      </c>
      <c r="I230" s="133">
        <v>0.5</v>
      </c>
      <c r="J230" s="131">
        <v>3300</v>
      </c>
      <c r="K230" s="145">
        <v>192</v>
      </c>
      <c r="L230" s="133"/>
      <c r="M230" s="131">
        <v>103120</v>
      </c>
      <c r="N230" s="145">
        <v>406</v>
      </c>
      <c r="O230" s="133"/>
      <c r="P230" s="131">
        <v>14083</v>
      </c>
      <c r="Q230" s="145">
        <v>540</v>
      </c>
      <c r="R230" s="133">
        <v>0.5</v>
      </c>
    </row>
    <row r="231" spans="1:18" x14ac:dyDescent="0.2">
      <c r="A231" s="785" t="s">
        <v>2566</v>
      </c>
      <c r="B231" s="240">
        <v>6396200</v>
      </c>
      <c r="C231" s="513"/>
      <c r="D231" s="240">
        <v>8722687</v>
      </c>
      <c r="E231" s="318">
        <v>42</v>
      </c>
      <c r="F231" s="241"/>
      <c r="G231" s="240">
        <v>8698561</v>
      </c>
      <c r="H231" s="318">
        <v>740</v>
      </c>
      <c r="I231" s="241"/>
      <c r="J231" s="240">
        <v>41377</v>
      </c>
      <c r="K231" s="318">
        <v>217</v>
      </c>
      <c r="L231" s="241"/>
      <c r="M231" s="240">
        <v>4028142</v>
      </c>
      <c r="N231" s="318">
        <v>2</v>
      </c>
      <c r="O231" s="241"/>
      <c r="P231" s="240">
        <v>1684403</v>
      </c>
      <c r="Q231" s="318">
        <v>45</v>
      </c>
      <c r="R231" s="241"/>
    </row>
    <row r="232" spans="1:18" x14ac:dyDescent="0.2">
      <c r="A232" s="885"/>
      <c r="B232" s="886">
        <f>SUM(B222:B230)</f>
        <v>6396200</v>
      </c>
      <c r="C232" s="886">
        <f>SUM(C222:C230)</f>
        <v>0</v>
      </c>
      <c r="D232" s="886">
        <f>SUM(D222:D230)</f>
        <v>8722683</v>
      </c>
      <c r="E232" s="886">
        <f>SUM(E222:E230)</f>
        <v>4040</v>
      </c>
      <c r="F232" s="887">
        <f>SUM(F222:F230)</f>
        <v>2</v>
      </c>
      <c r="G232" s="886">
        <f t="shared" ref="G232:R232" si="7">SUM(G222:G230)</f>
        <v>8698557</v>
      </c>
      <c r="H232" s="886">
        <f t="shared" si="7"/>
        <v>4738</v>
      </c>
      <c r="I232" s="887">
        <f>SUM(I222:I230)</f>
        <v>2</v>
      </c>
      <c r="J232" s="886">
        <f t="shared" si="7"/>
        <v>41374</v>
      </c>
      <c r="K232" s="886">
        <f t="shared" si="7"/>
        <v>3217</v>
      </c>
      <c r="L232" s="887">
        <f t="shared" si="7"/>
        <v>0</v>
      </c>
      <c r="M232" s="886">
        <f>SUM(M222:M230)</f>
        <v>4028138</v>
      </c>
      <c r="N232" s="886">
        <f>SUM(N222:N230)</f>
        <v>4001</v>
      </c>
      <c r="O232" s="887">
        <f t="shared" si="7"/>
        <v>1</v>
      </c>
      <c r="P232" s="886">
        <f t="shared" si="7"/>
        <v>1684400</v>
      </c>
      <c r="Q232" s="886">
        <f t="shared" si="7"/>
        <v>3044</v>
      </c>
      <c r="R232" s="887">
        <f t="shared" si="7"/>
        <v>1</v>
      </c>
    </row>
    <row r="233" spans="1:18" ht="104.5" customHeight="1" x14ac:dyDescent="0.2">
      <c r="A233" s="811" t="s">
        <v>2861</v>
      </c>
      <c r="B233" s="608" t="s">
        <v>2897</v>
      </c>
      <c r="C233" s="609"/>
      <c r="D233" s="608" t="s">
        <v>2898</v>
      </c>
      <c r="E233" s="778"/>
      <c r="F233" s="609"/>
      <c r="G233" s="608" t="s">
        <v>2899</v>
      </c>
      <c r="H233" s="778"/>
      <c r="I233" s="609"/>
      <c r="J233" s="608" t="s">
        <v>2900</v>
      </c>
      <c r="K233" s="778"/>
      <c r="L233" s="609"/>
      <c r="M233" s="608" t="s">
        <v>2901</v>
      </c>
      <c r="N233" s="778"/>
      <c r="O233" s="609"/>
      <c r="P233" s="608" t="s">
        <v>2902</v>
      </c>
      <c r="Q233" s="778"/>
      <c r="R233" s="609"/>
    </row>
    <row r="234" spans="1:18" x14ac:dyDescent="0.2">
      <c r="A234" s="131" t="s">
        <v>2043</v>
      </c>
      <c r="B234" s="131">
        <v>1224041</v>
      </c>
      <c r="C234" s="307"/>
      <c r="D234" s="349">
        <v>628470</v>
      </c>
      <c r="E234" s="350">
        <v>615</v>
      </c>
      <c r="F234" s="352"/>
      <c r="G234" s="349">
        <v>609630</v>
      </c>
      <c r="H234" s="350">
        <v>530</v>
      </c>
      <c r="I234" s="352"/>
      <c r="J234" s="349">
        <v>18840</v>
      </c>
      <c r="K234" s="350">
        <v>85</v>
      </c>
      <c r="L234" s="352"/>
      <c r="M234" s="349">
        <v>595570</v>
      </c>
      <c r="N234" s="350">
        <v>385</v>
      </c>
      <c r="O234" s="352"/>
      <c r="P234" s="349"/>
      <c r="Q234" s="350"/>
      <c r="R234" s="352"/>
    </row>
    <row r="235" spans="1:18" x14ac:dyDescent="0.2">
      <c r="A235" s="131" t="s">
        <v>2047</v>
      </c>
      <c r="B235" s="131">
        <v>7328</v>
      </c>
      <c r="C235" s="307"/>
      <c r="D235" s="131">
        <v>839</v>
      </c>
      <c r="E235" s="145">
        <v>800</v>
      </c>
      <c r="F235" s="133"/>
      <c r="G235" s="131">
        <v>773</v>
      </c>
      <c r="H235" s="145">
        <v>150</v>
      </c>
      <c r="I235" s="133"/>
      <c r="J235" s="131">
        <v>66</v>
      </c>
      <c r="K235" s="145">
        <v>650</v>
      </c>
      <c r="L235" s="133"/>
      <c r="M235" s="131">
        <v>6488</v>
      </c>
      <c r="N235" s="145">
        <v>200</v>
      </c>
      <c r="O235" s="133"/>
      <c r="P235" s="131"/>
      <c r="Q235" s="145"/>
      <c r="R235" s="133"/>
    </row>
    <row r="236" spans="1:18" x14ac:dyDescent="0.2">
      <c r="A236" s="140" t="s">
        <v>2044</v>
      </c>
      <c r="B236" s="131">
        <v>204125</v>
      </c>
      <c r="C236" s="307">
        <v>600</v>
      </c>
      <c r="D236" s="131">
        <v>50634</v>
      </c>
      <c r="E236" s="145">
        <v>160</v>
      </c>
      <c r="F236" s="133"/>
      <c r="G236" s="131">
        <v>49105</v>
      </c>
      <c r="H236" s="145">
        <v>560</v>
      </c>
      <c r="I236" s="133"/>
      <c r="J236" s="131">
        <v>1528</v>
      </c>
      <c r="K236" s="145">
        <v>600</v>
      </c>
      <c r="L236" s="133"/>
      <c r="M236" s="131">
        <v>153491</v>
      </c>
      <c r="N236" s="145">
        <v>440</v>
      </c>
      <c r="O236" s="133"/>
      <c r="P236" s="131"/>
      <c r="Q236" s="145"/>
      <c r="R236" s="133"/>
    </row>
    <row r="237" spans="1:18" x14ac:dyDescent="0.2">
      <c r="A237" s="140" t="s">
        <v>2049</v>
      </c>
      <c r="B237" s="131">
        <v>78096</v>
      </c>
      <c r="C237" s="307"/>
      <c r="D237" s="131">
        <v>13840</v>
      </c>
      <c r="E237" s="145"/>
      <c r="F237" s="133"/>
      <c r="G237" s="131">
        <v>13840</v>
      </c>
      <c r="H237" s="145"/>
      <c r="I237" s="133"/>
      <c r="J237" s="131"/>
      <c r="K237" s="145"/>
      <c r="L237" s="133"/>
      <c r="M237" s="131">
        <v>64256</v>
      </c>
      <c r="N237" s="145"/>
      <c r="O237" s="133"/>
      <c r="P237" s="131"/>
      <c r="Q237" s="145"/>
      <c r="R237" s="133"/>
    </row>
    <row r="238" spans="1:18" x14ac:dyDescent="0.2">
      <c r="A238" s="140" t="s">
        <v>2042</v>
      </c>
      <c r="B238" s="131">
        <v>234383</v>
      </c>
      <c r="C238" s="307">
        <v>250</v>
      </c>
      <c r="D238" s="131">
        <v>53281</v>
      </c>
      <c r="E238" s="145">
        <v>445</v>
      </c>
      <c r="F238" s="133"/>
      <c r="G238" s="131">
        <v>50641</v>
      </c>
      <c r="H238" s="145">
        <v>445</v>
      </c>
      <c r="I238" s="133"/>
      <c r="J238" s="131">
        <v>2640</v>
      </c>
      <c r="K238" s="145"/>
      <c r="L238" s="133"/>
      <c r="M238" s="131">
        <v>181101</v>
      </c>
      <c r="N238" s="145">
        <v>805</v>
      </c>
      <c r="O238" s="133"/>
      <c r="P238" s="131"/>
      <c r="Q238" s="145"/>
      <c r="R238" s="133"/>
    </row>
    <row r="239" spans="1:18" x14ac:dyDescent="0.2">
      <c r="A239" s="140" t="s">
        <v>2046</v>
      </c>
      <c r="B239" s="131">
        <v>276000</v>
      </c>
      <c r="C239" s="307"/>
      <c r="D239" s="131">
        <v>51229</v>
      </c>
      <c r="E239" s="145">
        <v>335</v>
      </c>
      <c r="F239" s="133"/>
      <c r="G239" s="131">
        <v>51265</v>
      </c>
      <c r="H239" s="145">
        <v>995</v>
      </c>
      <c r="I239" s="133"/>
      <c r="J239" s="131">
        <v>130</v>
      </c>
      <c r="K239" s="145"/>
      <c r="L239" s="133"/>
      <c r="M239" s="131">
        <v>224604</v>
      </c>
      <c r="N239" s="145">
        <v>5</v>
      </c>
      <c r="O239" s="133"/>
      <c r="P239" s="131"/>
      <c r="Q239" s="145"/>
      <c r="R239" s="133"/>
    </row>
    <row r="240" spans="1:18" x14ac:dyDescent="0.2">
      <c r="A240" s="140" t="s">
        <v>2869</v>
      </c>
      <c r="B240" s="131">
        <v>451710</v>
      </c>
      <c r="C240" s="307"/>
      <c r="D240" s="131">
        <v>235910</v>
      </c>
      <c r="E240" s="145">
        <v>280</v>
      </c>
      <c r="F240" s="133"/>
      <c r="G240" s="131">
        <v>227510</v>
      </c>
      <c r="H240" s="145">
        <v>780</v>
      </c>
      <c r="I240" s="133"/>
      <c r="J240" s="131">
        <v>8399</v>
      </c>
      <c r="K240" s="145">
        <v>500</v>
      </c>
      <c r="L240" s="133"/>
      <c r="M240" s="131">
        <v>215799</v>
      </c>
      <c r="N240" s="145">
        <v>720</v>
      </c>
      <c r="O240" s="133"/>
      <c r="P240" s="131"/>
      <c r="Q240" s="145"/>
      <c r="R240" s="133"/>
    </row>
    <row r="241" spans="1:18" x14ac:dyDescent="0.2">
      <c r="A241" s="140" t="s">
        <v>2886</v>
      </c>
      <c r="B241" s="131">
        <v>2000</v>
      </c>
      <c r="C241" s="307"/>
      <c r="D241" s="131"/>
      <c r="E241" s="145"/>
      <c r="F241" s="133"/>
      <c r="G241" s="131"/>
      <c r="H241" s="145"/>
      <c r="I241" s="133"/>
      <c r="J241" s="131"/>
      <c r="K241" s="145"/>
      <c r="L241" s="133"/>
      <c r="M241" s="131">
        <v>2000</v>
      </c>
      <c r="N241" s="145"/>
      <c r="O241" s="133"/>
      <c r="P241" s="131"/>
      <c r="Q241" s="145"/>
      <c r="R241" s="133"/>
    </row>
    <row r="242" spans="1:18" x14ac:dyDescent="0.2">
      <c r="A242" s="140" t="s">
        <v>2040</v>
      </c>
      <c r="B242" s="131">
        <v>2308868</v>
      </c>
      <c r="C242" s="307">
        <v>915</v>
      </c>
      <c r="D242" s="131">
        <v>860267</v>
      </c>
      <c r="E242" s="145">
        <v>312</v>
      </c>
      <c r="F242" s="133">
        <v>0.5</v>
      </c>
      <c r="G242" s="131">
        <v>821883</v>
      </c>
      <c r="H242" s="145">
        <v>392</v>
      </c>
      <c r="I242" s="133">
        <v>0.5</v>
      </c>
      <c r="J242" s="131">
        <v>40584</v>
      </c>
      <c r="K242" s="145">
        <v>270</v>
      </c>
      <c r="L242" s="133"/>
      <c r="M242" s="131">
        <v>1446401</v>
      </c>
      <c r="N242" s="145">
        <v>252</v>
      </c>
      <c r="O242" s="133">
        <v>0.5</v>
      </c>
      <c r="P242" s="131"/>
      <c r="Q242" s="145"/>
      <c r="R242" s="133"/>
    </row>
    <row r="243" spans="1:18" x14ac:dyDescent="0.2">
      <c r="A243" s="140" t="s">
        <v>2871</v>
      </c>
      <c r="B243" s="131">
        <v>1659666</v>
      </c>
      <c r="C243" s="307">
        <v>650</v>
      </c>
      <c r="D243" s="131">
        <v>875477</v>
      </c>
      <c r="E243" s="145">
        <v>163</v>
      </c>
      <c r="F243" s="133"/>
      <c r="G243" s="131">
        <v>895157</v>
      </c>
      <c r="H243" s="145">
        <v>302</v>
      </c>
      <c r="I243" s="133"/>
      <c r="J243" s="131">
        <v>8613</v>
      </c>
      <c r="K243" s="145">
        <v>515</v>
      </c>
      <c r="L243" s="133"/>
      <c r="M243" s="131">
        <v>774106</v>
      </c>
      <c r="N243" s="145">
        <v>885</v>
      </c>
      <c r="O243" s="133">
        <v>0.5</v>
      </c>
      <c r="P243" s="131"/>
      <c r="Q243" s="145"/>
      <c r="R243" s="133"/>
    </row>
    <row r="244" spans="1:18" x14ac:dyDescent="0.2">
      <c r="A244" s="140" t="s">
        <v>2462</v>
      </c>
      <c r="B244" s="131">
        <v>2762823</v>
      </c>
      <c r="C244" s="307">
        <v>800</v>
      </c>
      <c r="D244" s="131">
        <v>1118647</v>
      </c>
      <c r="E244" s="145">
        <v>887</v>
      </c>
      <c r="F244" s="133">
        <v>0.5</v>
      </c>
      <c r="G244" s="131">
        <v>1051614</v>
      </c>
      <c r="H244" s="145">
        <v>470</v>
      </c>
      <c r="I244" s="133"/>
      <c r="J244" s="131">
        <v>67033</v>
      </c>
      <c r="K244" s="145">
        <v>417</v>
      </c>
      <c r="L244" s="133">
        <v>0.5</v>
      </c>
      <c r="M244" s="131">
        <v>1703661</v>
      </c>
      <c r="N244" s="145">
        <v>732</v>
      </c>
      <c r="O244" s="133">
        <v>0.5</v>
      </c>
      <c r="P244" s="131">
        <v>59485</v>
      </c>
      <c r="Q244" s="145">
        <v>820</v>
      </c>
      <c r="R244" s="133"/>
    </row>
    <row r="245" spans="1:18" x14ac:dyDescent="0.2">
      <c r="A245" s="785" t="s">
        <v>2566</v>
      </c>
      <c r="B245" s="240">
        <v>9209043</v>
      </c>
      <c r="C245" s="513">
        <v>215</v>
      </c>
      <c r="D245" s="240">
        <v>3888597</v>
      </c>
      <c r="E245" s="318">
        <v>998</v>
      </c>
      <c r="F245" s="241"/>
      <c r="G245" s="240">
        <v>3771422</v>
      </c>
      <c r="H245" s="318">
        <v>624</v>
      </c>
      <c r="I245" s="241">
        <v>0.5</v>
      </c>
      <c r="J245" s="240">
        <v>147836</v>
      </c>
      <c r="K245" s="318">
        <v>37</v>
      </c>
      <c r="L245" s="241">
        <v>0.5</v>
      </c>
      <c r="M245" s="240">
        <v>5367481</v>
      </c>
      <c r="N245" s="318">
        <v>425</v>
      </c>
      <c r="O245" s="241">
        <v>0.5</v>
      </c>
      <c r="P245" s="240">
        <v>59485</v>
      </c>
      <c r="Q245" s="318">
        <v>820</v>
      </c>
      <c r="R245" s="241"/>
    </row>
    <row r="246" spans="1:18" x14ac:dyDescent="0.2">
      <c r="B246" s="886">
        <f>+SUM(B234:B244)</f>
        <v>9209040</v>
      </c>
      <c r="C246" s="886">
        <f t="shared" ref="C246:R246" si="8">+SUM(C234:C244)</f>
        <v>3215</v>
      </c>
      <c r="D246" s="886">
        <f t="shared" si="8"/>
        <v>3888594</v>
      </c>
      <c r="E246" s="886">
        <f t="shared" si="8"/>
        <v>3997</v>
      </c>
      <c r="F246" s="887">
        <f t="shared" si="8"/>
        <v>1</v>
      </c>
      <c r="G246" s="886">
        <f t="shared" si="8"/>
        <v>3771418</v>
      </c>
      <c r="H246" s="886">
        <f t="shared" si="8"/>
        <v>4624</v>
      </c>
      <c r="I246" s="887">
        <f t="shared" si="8"/>
        <v>0.5</v>
      </c>
      <c r="J246" s="886">
        <f t="shared" si="8"/>
        <v>147833</v>
      </c>
      <c r="K246" s="886">
        <f t="shared" si="8"/>
        <v>3037</v>
      </c>
      <c r="L246" s="887">
        <f t="shared" si="8"/>
        <v>0.5</v>
      </c>
      <c r="M246" s="886">
        <f t="shared" si="8"/>
        <v>5367477</v>
      </c>
      <c r="N246" s="886">
        <f t="shared" si="8"/>
        <v>4424</v>
      </c>
      <c r="O246" s="887">
        <f t="shared" si="8"/>
        <v>1.5</v>
      </c>
      <c r="P246" s="886">
        <f t="shared" si="8"/>
        <v>59485</v>
      </c>
      <c r="Q246" s="886">
        <f t="shared" si="8"/>
        <v>820</v>
      </c>
      <c r="R246" s="887">
        <f t="shared" si="8"/>
        <v>0</v>
      </c>
    </row>
    <row r="249" spans="1:18" x14ac:dyDescent="0.2">
      <c r="A249" s="113" t="s">
        <v>1934</v>
      </c>
    </row>
    <row r="250" spans="1:18" ht="47" customHeight="1" x14ac:dyDescent="0.2">
      <c r="A250" s="664" t="s">
        <v>2903</v>
      </c>
      <c r="B250" s="665"/>
      <c r="C250" s="665"/>
      <c r="D250" s="666"/>
      <c r="E250" s="107"/>
      <c r="F250" s="107"/>
      <c r="G250" s="107"/>
      <c r="H250" s="107"/>
      <c r="I250" s="107"/>
      <c r="J250" s="107"/>
      <c r="K250" s="107"/>
      <c r="L250" s="107"/>
      <c r="M250" s="107"/>
      <c r="N250" s="107"/>
      <c r="O250" s="107"/>
      <c r="P250" s="107"/>
      <c r="Q250" s="107"/>
    </row>
    <row r="251" spans="1:18" ht="23.5" customHeight="1" x14ac:dyDescent="0.2">
      <c r="A251" s="661" t="s">
        <v>2904</v>
      </c>
      <c r="B251" s="662"/>
      <c r="C251" s="662"/>
      <c r="D251" s="663"/>
      <c r="E251" s="107"/>
      <c r="F251" s="107"/>
      <c r="G251" s="107"/>
      <c r="H251" s="107"/>
      <c r="I251" s="107"/>
      <c r="J251" s="107"/>
      <c r="K251" s="107"/>
      <c r="L251" s="107"/>
      <c r="M251" s="107"/>
      <c r="N251" s="107"/>
      <c r="O251" s="107"/>
      <c r="P251" s="107"/>
      <c r="Q251" s="107"/>
    </row>
    <row r="252" spans="1:18" ht="30" x14ac:dyDescent="0.2">
      <c r="A252" s="888" t="s">
        <v>2905</v>
      </c>
      <c r="B252" s="145">
        <v>3594492</v>
      </c>
      <c r="C252" s="145">
        <v>200</v>
      </c>
      <c r="D252" s="307"/>
      <c r="E252" s="107"/>
      <c r="F252" s="107"/>
      <c r="G252" s="107"/>
      <c r="H252" s="107"/>
      <c r="I252" s="107"/>
      <c r="J252" s="107"/>
      <c r="K252" s="107"/>
      <c r="L252" s="107"/>
      <c r="M252" s="107"/>
      <c r="N252" s="107"/>
      <c r="O252" s="107"/>
      <c r="P252" s="107"/>
      <c r="Q252" s="107"/>
    </row>
    <row r="253" spans="1:18" ht="31" thickBot="1" x14ac:dyDescent="0.25">
      <c r="A253" s="888" t="s">
        <v>2906</v>
      </c>
      <c r="B253" s="187">
        <v>40181</v>
      </c>
      <c r="C253" s="187"/>
      <c r="D253" s="444"/>
      <c r="E253" s="107"/>
      <c r="F253" s="107"/>
      <c r="G253" s="107"/>
      <c r="H253" s="107"/>
      <c r="I253" s="107"/>
      <c r="J253" s="107"/>
      <c r="K253" s="107"/>
      <c r="L253" s="107"/>
      <c r="M253" s="107"/>
      <c r="N253" s="107"/>
      <c r="O253" s="107"/>
      <c r="P253" s="107"/>
      <c r="Q253" s="107"/>
    </row>
    <row r="254" spans="1:18" x14ac:dyDescent="0.2">
      <c r="A254" s="649" t="s">
        <v>2907</v>
      </c>
      <c r="B254" s="145">
        <v>3634673</v>
      </c>
      <c r="C254" s="145">
        <v>200</v>
      </c>
      <c r="D254" s="307"/>
      <c r="E254" s="107"/>
      <c r="F254" s="107"/>
      <c r="G254" s="107"/>
      <c r="H254" s="107"/>
      <c r="I254" s="107"/>
      <c r="J254" s="107"/>
      <c r="K254" s="107"/>
      <c r="L254" s="107"/>
      <c r="M254" s="107"/>
      <c r="N254" s="107"/>
      <c r="O254" s="107"/>
      <c r="P254" s="107"/>
      <c r="Q254" s="107"/>
    </row>
    <row r="255" spans="1:18" x14ac:dyDescent="0.2">
      <c r="A255" s="888" t="s">
        <v>2908</v>
      </c>
      <c r="B255" s="145">
        <v>2150000</v>
      </c>
      <c r="C255" s="145"/>
      <c r="D255" s="307"/>
      <c r="E255" s="107"/>
      <c r="F255" s="107"/>
      <c r="G255" s="107"/>
      <c r="H255" s="107"/>
      <c r="I255" s="107"/>
      <c r="J255" s="107"/>
      <c r="K255" s="107"/>
      <c r="L255" s="107"/>
      <c r="M255" s="107"/>
      <c r="N255" s="107"/>
      <c r="O255" s="107"/>
      <c r="P255" s="107"/>
      <c r="Q255" s="107"/>
    </row>
    <row r="256" spans="1:18" ht="16" thickBot="1" x14ac:dyDescent="0.25">
      <c r="A256" s="888" t="s">
        <v>2909</v>
      </c>
      <c r="B256" s="187">
        <v>1484673</v>
      </c>
      <c r="C256" s="187">
        <v>200</v>
      </c>
      <c r="D256" s="444"/>
      <c r="E256" s="107"/>
      <c r="F256" s="107"/>
      <c r="G256" s="107"/>
      <c r="H256" s="107"/>
      <c r="I256" s="107"/>
      <c r="J256" s="107"/>
      <c r="K256" s="107"/>
      <c r="L256" s="107"/>
      <c r="M256" s="107"/>
      <c r="N256" s="107"/>
      <c r="O256" s="107"/>
      <c r="P256" s="107"/>
      <c r="Q256" s="107"/>
    </row>
    <row r="257" spans="1:17" ht="30" x14ac:dyDescent="0.2">
      <c r="A257" s="888" t="s">
        <v>2910</v>
      </c>
      <c r="B257" s="145">
        <v>1571341</v>
      </c>
      <c r="C257" s="145">
        <v>638</v>
      </c>
      <c r="D257" s="307"/>
      <c r="E257" s="107"/>
      <c r="F257" s="107"/>
      <c r="G257" s="107"/>
      <c r="H257" s="107"/>
      <c r="I257" s="107"/>
      <c r="J257" s="107"/>
      <c r="K257" s="107"/>
      <c r="L257" s="107"/>
      <c r="M257" s="107"/>
      <c r="N257" s="107"/>
      <c r="O257" s="107"/>
      <c r="P257" s="107"/>
      <c r="Q257" s="107"/>
    </row>
    <row r="258" spans="1:17" ht="16" thickBot="1" x14ac:dyDescent="0.25">
      <c r="A258" s="888" t="s">
        <v>2911</v>
      </c>
      <c r="B258" s="187">
        <v>1323534</v>
      </c>
      <c r="C258" s="187">
        <v>525</v>
      </c>
      <c r="D258" s="189">
        <v>0.5</v>
      </c>
      <c r="E258" s="107"/>
      <c r="F258" s="107"/>
      <c r="G258" s="107"/>
      <c r="H258" s="107"/>
      <c r="I258" s="107"/>
      <c r="J258" s="107"/>
      <c r="K258" s="107"/>
      <c r="L258" s="107"/>
      <c r="M258" s="107"/>
      <c r="N258" s="107"/>
      <c r="O258" s="107"/>
      <c r="P258" s="107"/>
      <c r="Q258" s="107"/>
    </row>
    <row r="259" spans="1:17" ht="16" thickBot="1" x14ac:dyDescent="0.25">
      <c r="A259" s="888" t="s">
        <v>2912</v>
      </c>
      <c r="B259" s="187">
        <v>247807</v>
      </c>
      <c r="C259" s="187">
        <v>112</v>
      </c>
      <c r="D259" s="189">
        <v>0.5</v>
      </c>
      <c r="E259" s="107"/>
      <c r="F259" s="107"/>
      <c r="G259" s="107"/>
      <c r="H259" s="107"/>
      <c r="I259" s="107"/>
      <c r="J259" s="107"/>
      <c r="K259" s="107"/>
      <c r="L259" s="107"/>
      <c r="M259" s="107"/>
      <c r="N259" s="107"/>
      <c r="O259" s="107"/>
      <c r="P259" s="107"/>
      <c r="Q259" s="107"/>
    </row>
    <row r="260" spans="1:17" ht="24" customHeight="1" x14ac:dyDescent="0.2">
      <c r="A260" s="661" t="s">
        <v>2913</v>
      </c>
      <c r="B260" s="662"/>
      <c r="C260" s="662"/>
      <c r="D260" s="663"/>
      <c r="E260" s="107"/>
      <c r="F260" s="107"/>
      <c r="G260" s="107"/>
      <c r="H260" s="107"/>
      <c r="I260" s="107"/>
      <c r="J260" s="107"/>
      <c r="K260" s="107"/>
      <c r="L260" s="107"/>
      <c r="M260" s="107"/>
      <c r="N260" s="107"/>
      <c r="O260" s="107"/>
      <c r="P260" s="107"/>
      <c r="Q260" s="107"/>
    </row>
    <row r="261" spans="1:17" ht="30" x14ac:dyDescent="0.2">
      <c r="A261" s="888" t="s">
        <v>2914</v>
      </c>
      <c r="B261" s="145">
        <v>2713906</v>
      </c>
      <c r="C261" s="145">
        <v>950</v>
      </c>
      <c r="D261" s="307"/>
      <c r="E261" s="107"/>
      <c r="F261" s="107"/>
      <c r="G261" s="107"/>
      <c r="H261" s="107"/>
      <c r="I261" s="107"/>
      <c r="J261" s="107"/>
      <c r="K261" s="107"/>
      <c r="L261" s="107"/>
      <c r="M261" s="107"/>
      <c r="N261" s="107"/>
      <c r="O261" s="107"/>
      <c r="P261" s="107"/>
      <c r="Q261" s="107"/>
    </row>
    <row r="262" spans="1:17" ht="64.25" customHeight="1" thickBot="1" x14ac:dyDescent="0.25">
      <c r="A262" s="888" t="s">
        <v>2915</v>
      </c>
      <c r="B262" s="187">
        <v>112831</v>
      </c>
      <c r="C262" s="187">
        <v>985</v>
      </c>
      <c r="D262" s="444"/>
      <c r="E262" s="107"/>
      <c r="F262" s="107"/>
      <c r="G262" s="107"/>
      <c r="H262" s="107"/>
      <c r="I262" s="107"/>
      <c r="J262" s="107"/>
      <c r="K262" s="107"/>
      <c r="L262" s="107"/>
      <c r="M262" s="107"/>
      <c r="N262" s="107"/>
      <c r="O262" s="107"/>
      <c r="P262" s="107"/>
      <c r="Q262" s="107"/>
    </row>
    <row r="263" spans="1:17" x14ac:dyDescent="0.2">
      <c r="A263" s="649" t="s">
        <v>2907</v>
      </c>
      <c r="B263" s="145">
        <v>2826738</v>
      </c>
      <c r="C263" s="145">
        <v>935</v>
      </c>
      <c r="D263" s="307"/>
      <c r="E263" s="107"/>
      <c r="F263" s="107"/>
      <c r="G263" s="107"/>
      <c r="H263" s="107"/>
      <c r="I263" s="107"/>
      <c r="J263" s="107"/>
      <c r="K263" s="107"/>
      <c r="L263" s="107"/>
      <c r="M263" s="107"/>
      <c r="N263" s="107"/>
      <c r="O263" s="107"/>
      <c r="P263" s="107"/>
      <c r="Q263" s="107"/>
    </row>
    <row r="264" spans="1:17" ht="16" thickBot="1" x14ac:dyDescent="0.25">
      <c r="A264" s="888" t="s">
        <v>2916</v>
      </c>
      <c r="B264" s="187">
        <v>2225000</v>
      </c>
      <c r="C264" s="187"/>
      <c r="D264" s="444"/>
      <c r="E264" s="107"/>
      <c r="F264" s="107"/>
      <c r="G264" s="107"/>
      <c r="H264" s="107"/>
      <c r="I264" s="107"/>
      <c r="J264" s="107"/>
      <c r="K264" s="107"/>
      <c r="L264" s="107"/>
      <c r="M264" s="107"/>
      <c r="N264" s="107"/>
      <c r="O264" s="107"/>
      <c r="P264" s="107"/>
      <c r="Q264" s="107"/>
    </row>
    <row r="265" spans="1:17" ht="16" thickBot="1" x14ac:dyDescent="0.25">
      <c r="A265" s="888" t="s">
        <v>2917</v>
      </c>
      <c r="B265" s="448">
        <v>601738</v>
      </c>
      <c r="C265" s="448">
        <v>935</v>
      </c>
      <c r="D265" s="449"/>
      <c r="E265" s="107"/>
      <c r="F265" s="107"/>
      <c r="G265" s="107"/>
      <c r="H265" s="107"/>
      <c r="I265" s="107"/>
      <c r="J265" s="107"/>
      <c r="K265" s="107"/>
      <c r="L265" s="107"/>
      <c r="M265" s="107"/>
      <c r="N265" s="107"/>
      <c r="O265" s="107"/>
      <c r="P265" s="107"/>
      <c r="Q265" s="107"/>
    </row>
    <row r="266" spans="1:17" ht="30" x14ac:dyDescent="0.2">
      <c r="A266" s="888" t="s">
        <v>2918</v>
      </c>
      <c r="B266" s="145">
        <v>1560972</v>
      </c>
      <c r="C266" s="145">
        <v>261</v>
      </c>
      <c r="D266" s="307"/>
      <c r="E266" s="107"/>
      <c r="F266" s="107"/>
      <c r="G266" s="107"/>
      <c r="H266" s="107"/>
      <c r="I266" s="107"/>
      <c r="J266" s="107"/>
      <c r="K266" s="107"/>
      <c r="L266" s="107"/>
      <c r="M266" s="107"/>
      <c r="N266" s="107"/>
      <c r="O266" s="107"/>
      <c r="P266" s="107"/>
      <c r="Q266" s="107"/>
    </row>
    <row r="267" spans="1:17" ht="16" thickBot="1" x14ac:dyDescent="0.25">
      <c r="A267" s="888" t="s">
        <v>2919</v>
      </c>
      <c r="B267" s="187">
        <v>1273405</v>
      </c>
      <c r="C267" s="187">
        <v>219</v>
      </c>
      <c r="D267" s="189">
        <v>0.5</v>
      </c>
      <c r="E267" s="107"/>
      <c r="F267" s="107"/>
      <c r="G267" s="107"/>
      <c r="H267" s="107"/>
      <c r="I267" s="107"/>
      <c r="J267" s="107"/>
      <c r="K267" s="107"/>
      <c r="L267" s="107"/>
      <c r="M267" s="107"/>
      <c r="N267" s="107"/>
      <c r="O267" s="107"/>
      <c r="P267" s="107"/>
      <c r="Q267" s="107"/>
    </row>
    <row r="268" spans="1:17" ht="20" customHeight="1" thickBot="1" x14ac:dyDescent="0.25">
      <c r="A268" s="888" t="s">
        <v>2920</v>
      </c>
      <c r="B268" s="448">
        <v>287567</v>
      </c>
      <c r="C268" s="448">
        <v>41</v>
      </c>
      <c r="D268" s="889">
        <v>0.5</v>
      </c>
      <c r="E268" s="107"/>
      <c r="F268" s="107"/>
      <c r="G268" s="107"/>
      <c r="H268" s="107"/>
      <c r="I268" s="107"/>
      <c r="J268" s="107"/>
      <c r="K268" s="107"/>
      <c r="L268" s="107"/>
      <c r="M268" s="107"/>
      <c r="N268" s="107"/>
      <c r="O268" s="107"/>
      <c r="P268" s="107"/>
      <c r="Q268" s="107"/>
    </row>
    <row r="269" spans="1:17" ht="27" customHeight="1" x14ac:dyDescent="0.2">
      <c r="A269" s="661" t="s">
        <v>2921</v>
      </c>
      <c r="B269" s="662"/>
      <c r="C269" s="662"/>
      <c r="D269" s="663"/>
      <c r="E269" s="107"/>
      <c r="F269" s="107"/>
      <c r="G269" s="107"/>
      <c r="H269" s="107"/>
      <c r="I269" s="107"/>
      <c r="J269" s="107"/>
      <c r="K269" s="107"/>
      <c r="L269" s="107"/>
      <c r="M269" s="107"/>
      <c r="N269" s="107"/>
      <c r="O269" s="107"/>
      <c r="P269" s="107"/>
      <c r="Q269" s="107"/>
    </row>
    <row r="270" spans="1:17" ht="30" x14ac:dyDescent="0.2">
      <c r="A270" s="888" t="s">
        <v>2922</v>
      </c>
      <c r="B270" s="145">
        <v>2860463</v>
      </c>
      <c r="C270" s="145">
        <v>65</v>
      </c>
      <c r="D270" s="307"/>
      <c r="E270" s="107"/>
      <c r="F270" s="107"/>
      <c r="G270" s="107"/>
      <c r="H270" s="107"/>
      <c r="I270" s="107"/>
      <c r="J270" s="107"/>
      <c r="K270" s="107"/>
      <c r="L270" s="107"/>
      <c r="M270" s="107"/>
      <c r="N270" s="107"/>
      <c r="O270" s="107"/>
      <c r="P270" s="107"/>
      <c r="Q270" s="107"/>
    </row>
    <row r="271" spans="1:17" ht="16" thickBot="1" x14ac:dyDescent="0.25">
      <c r="A271" s="888" t="s">
        <v>2923</v>
      </c>
      <c r="B271" s="187">
        <v>2021200</v>
      </c>
      <c r="C271" s="187"/>
      <c r="D271" s="444"/>
      <c r="E271" s="107"/>
      <c r="F271" s="107"/>
      <c r="G271" s="107"/>
      <c r="H271" s="107"/>
      <c r="I271" s="107"/>
      <c r="J271" s="107"/>
      <c r="K271" s="107"/>
      <c r="L271" s="107"/>
      <c r="M271" s="107"/>
      <c r="N271" s="107"/>
      <c r="O271" s="107"/>
      <c r="P271" s="107"/>
      <c r="Q271" s="107"/>
    </row>
    <row r="272" spans="1:17" ht="16" thickBot="1" x14ac:dyDescent="0.25">
      <c r="A272" s="888" t="s">
        <v>2917</v>
      </c>
      <c r="B272" s="448">
        <v>839263</v>
      </c>
      <c r="C272" s="448">
        <v>62</v>
      </c>
      <c r="D272" s="449"/>
      <c r="E272" s="107"/>
      <c r="F272" s="107"/>
      <c r="G272" s="107"/>
      <c r="H272" s="107"/>
      <c r="I272" s="107"/>
      <c r="J272" s="107"/>
      <c r="K272" s="107"/>
      <c r="L272" s="107"/>
      <c r="M272" s="107"/>
      <c r="N272" s="107"/>
      <c r="O272" s="107"/>
      <c r="P272" s="107"/>
      <c r="Q272" s="107"/>
    </row>
    <row r="273" spans="1:17" ht="30" x14ac:dyDescent="0.2">
      <c r="A273" s="888" t="s">
        <v>2924</v>
      </c>
      <c r="B273" s="145">
        <v>5599735</v>
      </c>
      <c r="C273" s="145">
        <v>873</v>
      </c>
      <c r="D273" s="307"/>
      <c r="E273" s="107"/>
      <c r="F273" s="107"/>
      <c r="G273" s="107"/>
      <c r="H273" s="107"/>
      <c r="I273" s="107"/>
      <c r="J273" s="107"/>
      <c r="K273" s="107"/>
      <c r="L273" s="107"/>
      <c r="M273" s="107"/>
      <c r="N273" s="107"/>
      <c r="O273" s="107"/>
      <c r="P273" s="107"/>
      <c r="Q273" s="107"/>
    </row>
    <row r="274" spans="1:17" ht="31" thickBot="1" x14ac:dyDescent="0.25">
      <c r="A274" s="888" t="s">
        <v>2925</v>
      </c>
      <c r="B274" s="187">
        <v>1303521</v>
      </c>
      <c r="C274" s="187">
        <v>57</v>
      </c>
      <c r="D274" s="189">
        <v>0.5</v>
      </c>
      <c r="E274" s="107"/>
      <c r="F274" s="107"/>
      <c r="G274" s="107"/>
      <c r="H274" s="107"/>
      <c r="I274" s="107"/>
      <c r="J274" s="107"/>
      <c r="K274" s="107"/>
      <c r="L274" s="107"/>
      <c r="M274" s="107"/>
      <c r="N274" s="107"/>
      <c r="O274" s="107"/>
      <c r="P274" s="107"/>
      <c r="Q274" s="107"/>
    </row>
    <row r="275" spans="1:17" ht="16" thickBot="1" x14ac:dyDescent="0.25">
      <c r="A275" s="888" t="s">
        <v>2926</v>
      </c>
      <c r="B275" s="448">
        <v>4296214</v>
      </c>
      <c r="C275" s="448">
        <v>815</v>
      </c>
      <c r="D275" s="889">
        <v>0.5</v>
      </c>
      <c r="E275" s="107"/>
      <c r="F275" s="107"/>
      <c r="G275" s="107"/>
      <c r="H275" s="107"/>
      <c r="I275" s="107"/>
      <c r="J275" s="107"/>
      <c r="K275" s="107"/>
      <c r="L275" s="107"/>
      <c r="M275" s="107"/>
      <c r="N275" s="107"/>
      <c r="O275" s="107"/>
      <c r="P275" s="107"/>
      <c r="Q275" s="107"/>
    </row>
    <row r="276" spans="1:17" ht="26" customHeight="1" x14ac:dyDescent="0.2">
      <c r="A276" s="661" t="s">
        <v>2927</v>
      </c>
      <c r="B276" s="662"/>
      <c r="C276" s="662"/>
      <c r="D276" s="663"/>
      <c r="E276" s="107"/>
      <c r="F276" s="107"/>
      <c r="G276" s="107"/>
      <c r="H276" s="107"/>
      <c r="I276" s="107"/>
      <c r="J276" s="107"/>
      <c r="K276" s="107"/>
      <c r="L276" s="107"/>
      <c r="M276" s="107"/>
      <c r="N276" s="107"/>
      <c r="O276" s="107"/>
      <c r="P276" s="107"/>
      <c r="Q276" s="107"/>
    </row>
    <row r="277" spans="1:17" ht="30" x14ac:dyDescent="0.2">
      <c r="A277" s="888" t="s">
        <v>2928</v>
      </c>
      <c r="B277" s="145">
        <v>9321875</v>
      </c>
      <c r="C277" s="145">
        <v>200</v>
      </c>
      <c r="D277" s="307"/>
      <c r="E277" s="107"/>
      <c r="F277" s="107"/>
      <c r="G277" s="107"/>
      <c r="H277" s="107"/>
      <c r="I277" s="107"/>
      <c r="J277" s="107"/>
      <c r="K277" s="107"/>
      <c r="L277" s="107"/>
      <c r="M277" s="107"/>
      <c r="N277" s="107"/>
      <c r="O277" s="107"/>
      <c r="P277" s="107"/>
      <c r="Q277" s="107"/>
    </row>
    <row r="278" spans="1:17" ht="30" x14ac:dyDescent="0.2">
      <c r="A278" s="888" t="s">
        <v>2929</v>
      </c>
      <c r="B278" s="145">
        <v>6396200</v>
      </c>
      <c r="C278" s="145"/>
      <c r="D278" s="307"/>
      <c r="E278" s="107"/>
      <c r="F278" s="107"/>
      <c r="G278" s="107"/>
      <c r="H278" s="107"/>
      <c r="I278" s="107"/>
      <c r="J278" s="107"/>
      <c r="K278" s="107"/>
      <c r="L278" s="107"/>
      <c r="M278" s="107"/>
      <c r="N278" s="107"/>
      <c r="O278" s="107"/>
      <c r="P278" s="107"/>
      <c r="Q278" s="107"/>
    </row>
    <row r="279" spans="1:17" ht="31" thickBot="1" x14ac:dyDescent="0.25">
      <c r="A279" s="888" t="s">
        <v>2930</v>
      </c>
      <c r="B279" s="187">
        <v>2925675</v>
      </c>
      <c r="C279" s="187">
        <v>200</v>
      </c>
      <c r="D279" s="444"/>
      <c r="E279" s="107"/>
      <c r="F279" s="107"/>
      <c r="G279" s="107"/>
      <c r="H279" s="107"/>
      <c r="I279" s="107"/>
      <c r="J279" s="107"/>
      <c r="K279" s="107"/>
      <c r="L279" s="107"/>
      <c r="M279" s="107"/>
      <c r="N279" s="107"/>
      <c r="O279" s="107"/>
      <c r="P279" s="107"/>
      <c r="Q279" s="107"/>
    </row>
    <row r="280" spans="1:17" ht="31" thickBot="1" x14ac:dyDescent="0.25">
      <c r="A280" s="888" t="s">
        <v>2931</v>
      </c>
      <c r="B280" s="145">
        <v>8732049</v>
      </c>
      <c r="C280" s="145">
        <v>772</v>
      </c>
      <c r="D280" s="307"/>
      <c r="E280" s="107"/>
      <c r="F280" s="107"/>
      <c r="G280" s="107"/>
      <c r="H280" s="107"/>
      <c r="I280" s="107"/>
      <c r="J280" s="107"/>
      <c r="K280" s="107"/>
      <c r="L280" s="107"/>
      <c r="M280" s="107"/>
      <c r="N280" s="107"/>
      <c r="O280" s="107"/>
      <c r="P280" s="107"/>
      <c r="Q280" s="107"/>
    </row>
    <row r="281" spans="1:17" ht="31" thickBot="1" x14ac:dyDescent="0.25">
      <c r="A281" s="888" t="s">
        <v>2932</v>
      </c>
      <c r="B281" s="448">
        <v>3900460</v>
      </c>
      <c r="C281" s="448">
        <v>802</v>
      </c>
      <c r="D281" s="889">
        <v>0.5</v>
      </c>
      <c r="E281" s="107"/>
      <c r="F281" s="107"/>
      <c r="G281" s="107"/>
      <c r="H281" s="107"/>
      <c r="I281" s="107"/>
      <c r="J281" s="107"/>
      <c r="K281" s="107"/>
      <c r="L281" s="107"/>
      <c r="M281" s="107"/>
      <c r="N281" s="107"/>
      <c r="O281" s="107"/>
      <c r="P281" s="107"/>
      <c r="Q281" s="107"/>
    </row>
    <row r="282" spans="1:17" ht="31" thickBot="1" x14ac:dyDescent="0.25">
      <c r="A282" s="890" t="s">
        <v>2933</v>
      </c>
      <c r="B282" s="448">
        <v>4831588</v>
      </c>
      <c r="C282" s="448">
        <v>969</v>
      </c>
      <c r="D282" s="889">
        <v>0.5</v>
      </c>
      <c r="E282" s="107"/>
      <c r="F282" s="107"/>
      <c r="G282" s="107"/>
      <c r="H282" s="107"/>
      <c r="I282" s="107"/>
      <c r="J282" s="107"/>
      <c r="K282" s="107"/>
      <c r="L282" s="107"/>
      <c r="M282" s="107"/>
      <c r="N282" s="107"/>
      <c r="O282" s="107"/>
      <c r="P282" s="107"/>
      <c r="Q282" s="107"/>
    </row>
    <row r="283" spans="1:17" x14ac:dyDescent="0.2">
      <c r="A283" s="107"/>
      <c r="B283" s="107"/>
      <c r="C283" s="107"/>
      <c r="D283" s="107"/>
      <c r="E283" s="107"/>
      <c r="F283" s="107"/>
      <c r="G283" s="107"/>
      <c r="H283" s="107"/>
      <c r="I283" s="107"/>
      <c r="J283" s="107"/>
      <c r="K283" s="107"/>
      <c r="L283" s="107"/>
      <c r="M283" s="107"/>
      <c r="N283" s="107"/>
      <c r="O283" s="107"/>
      <c r="P283" s="107"/>
      <c r="Q283" s="107"/>
    </row>
    <row r="284" spans="1:17" x14ac:dyDescent="0.2">
      <c r="A284" s="107"/>
      <c r="B284" s="107"/>
      <c r="C284" s="107"/>
      <c r="D284" s="107"/>
      <c r="E284" s="107"/>
      <c r="F284" s="107"/>
      <c r="G284" s="107"/>
      <c r="H284" s="107"/>
      <c r="I284" s="107"/>
      <c r="J284" s="107"/>
      <c r="K284" s="107"/>
      <c r="L284" s="107"/>
      <c r="M284" s="107"/>
      <c r="N284" s="107"/>
      <c r="O284" s="107"/>
      <c r="P284" s="107"/>
      <c r="Q284" s="107"/>
    </row>
    <row r="285" spans="1:17" x14ac:dyDescent="0.2">
      <c r="A285" s="107"/>
      <c r="B285" s="107"/>
      <c r="C285" s="107"/>
      <c r="D285" s="107"/>
      <c r="E285" s="107"/>
      <c r="F285" s="107"/>
      <c r="G285" s="107"/>
      <c r="H285" s="107"/>
      <c r="I285" s="107"/>
      <c r="J285" s="107"/>
      <c r="K285" s="107"/>
      <c r="L285" s="107"/>
      <c r="M285" s="107"/>
      <c r="N285" s="107"/>
      <c r="O285" s="107"/>
      <c r="P285" s="107"/>
      <c r="Q285" s="107"/>
    </row>
    <row r="286" spans="1:17" x14ac:dyDescent="0.2">
      <c r="A286" s="526" t="s">
        <v>1957</v>
      </c>
      <c r="B286" s="107"/>
      <c r="C286" s="107"/>
      <c r="D286" s="107"/>
      <c r="E286" s="107"/>
      <c r="F286" s="107"/>
      <c r="G286" s="107"/>
      <c r="H286" s="107"/>
      <c r="I286" s="107"/>
      <c r="J286" s="107"/>
      <c r="K286" s="107"/>
      <c r="L286" s="107"/>
      <c r="M286" s="107"/>
      <c r="N286" s="107"/>
      <c r="O286" s="107"/>
      <c r="P286" s="107"/>
      <c r="Q286" s="107"/>
    </row>
    <row r="287" spans="1:17" ht="50.5" customHeight="1" x14ac:dyDescent="0.2">
      <c r="A287" s="875" t="s">
        <v>2934</v>
      </c>
      <c r="B287" s="876"/>
      <c r="C287" s="876"/>
      <c r="D287" s="876"/>
      <c r="E287" s="876"/>
      <c r="F287" s="876"/>
      <c r="G287" s="877"/>
      <c r="H287" s="107"/>
      <c r="I287" s="107"/>
      <c r="J287" s="107"/>
      <c r="K287" s="107"/>
      <c r="L287" s="107"/>
      <c r="M287" s="107"/>
      <c r="N287" s="107"/>
      <c r="O287" s="107"/>
      <c r="P287" s="107"/>
      <c r="Q287" s="107"/>
    </row>
    <row r="288" spans="1:17" x14ac:dyDescent="0.2">
      <c r="A288" s="661" t="s">
        <v>1363</v>
      </c>
      <c r="B288" s="662"/>
      <c r="C288" s="662"/>
      <c r="D288" s="662"/>
      <c r="E288" s="662"/>
      <c r="F288" s="662"/>
      <c r="G288" s="663"/>
      <c r="H288" s="107"/>
      <c r="I288" s="107"/>
      <c r="J288" s="107"/>
      <c r="K288" s="107"/>
      <c r="L288" s="107"/>
      <c r="M288" s="107"/>
      <c r="N288" s="107"/>
      <c r="O288" s="107"/>
      <c r="P288" s="107"/>
      <c r="Q288" s="107"/>
    </row>
    <row r="289" spans="1:17" x14ac:dyDescent="0.2">
      <c r="A289" s="566" t="s">
        <v>2935</v>
      </c>
      <c r="B289" s="567"/>
      <c r="C289" s="567"/>
      <c r="D289" s="567"/>
      <c r="E289" s="567"/>
      <c r="F289" s="567"/>
      <c r="G289" s="568"/>
      <c r="H289" s="107"/>
      <c r="I289" s="107"/>
      <c r="J289" s="107"/>
      <c r="K289" s="107"/>
      <c r="L289" s="107"/>
      <c r="M289" s="107"/>
      <c r="N289" s="107"/>
      <c r="O289" s="107"/>
      <c r="P289" s="107"/>
      <c r="Q289" s="107"/>
    </row>
    <row r="290" spans="1:17" x14ac:dyDescent="0.2">
      <c r="A290" s="131" t="s">
        <v>2936</v>
      </c>
      <c r="B290" s="145">
        <v>34494</v>
      </c>
      <c r="C290" s="145">
        <v>122</v>
      </c>
      <c r="D290" s="145"/>
      <c r="E290" s="145"/>
      <c r="F290" s="145"/>
      <c r="G290" s="307"/>
      <c r="H290" s="107"/>
      <c r="I290" s="107"/>
      <c r="J290" s="107"/>
      <c r="K290" s="107"/>
      <c r="L290" s="107"/>
      <c r="M290" s="107"/>
      <c r="N290" s="107"/>
      <c r="O290" s="107"/>
      <c r="P290" s="107"/>
      <c r="Q290" s="107"/>
    </row>
    <row r="291" spans="1:17" x14ac:dyDescent="0.2">
      <c r="A291" s="131" t="s">
        <v>2937</v>
      </c>
      <c r="B291" s="145">
        <v>26835</v>
      </c>
      <c r="C291" s="145">
        <v>135</v>
      </c>
      <c r="D291" s="180">
        <v>0.5</v>
      </c>
      <c r="E291" s="145"/>
      <c r="F291" s="145"/>
      <c r="G291" s="307"/>
      <c r="H291" s="107"/>
      <c r="I291" s="107"/>
      <c r="J291" s="107"/>
      <c r="K291" s="107"/>
      <c r="L291" s="107"/>
      <c r="M291" s="107"/>
      <c r="N291" s="107"/>
      <c r="O291" s="107"/>
      <c r="P291" s="107"/>
      <c r="Q291" s="107"/>
    </row>
    <row r="292" spans="1:17" x14ac:dyDescent="0.2">
      <c r="A292" s="131" t="s">
        <v>2938</v>
      </c>
      <c r="B292" s="145">
        <v>899</v>
      </c>
      <c r="C292" s="145">
        <v>85</v>
      </c>
      <c r="D292" s="180"/>
      <c r="E292" s="145"/>
      <c r="F292" s="145"/>
      <c r="G292" s="307"/>
      <c r="H292" s="107"/>
      <c r="I292" s="107"/>
      <c r="J292" s="107"/>
      <c r="K292" s="107"/>
      <c r="L292" s="107"/>
      <c r="M292" s="107"/>
      <c r="N292" s="107"/>
      <c r="O292" s="107"/>
      <c r="P292" s="107"/>
      <c r="Q292" s="107"/>
    </row>
    <row r="293" spans="1:17" x14ac:dyDescent="0.2">
      <c r="A293" s="131" t="s">
        <v>2939</v>
      </c>
      <c r="B293" s="145">
        <v>22966</v>
      </c>
      <c r="C293" s="145">
        <v>220</v>
      </c>
      <c r="D293" s="180"/>
      <c r="E293" s="145"/>
      <c r="F293" s="145"/>
      <c r="G293" s="307"/>
      <c r="H293" s="107"/>
      <c r="I293" s="107"/>
      <c r="J293" s="107"/>
      <c r="K293" s="107"/>
      <c r="L293" s="107"/>
      <c r="M293" s="107"/>
      <c r="N293" s="107"/>
      <c r="O293" s="107"/>
      <c r="P293" s="107"/>
      <c r="Q293" s="107"/>
    </row>
    <row r="294" spans="1:17" x14ac:dyDescent="0.2">
      <c r="A294" s="131" t="s">
        <v>2940</v>
      </c>
      <c r="B294" s="145">
        <v>15756</v>
      </c>
      <c r="C294" s="145">
        <v>31</v>
      </c>
      <c r="D294" s="180"/>
      <c r="E294" s="145"/>
      <c r="F294" s="145"/>
      <c r="G294" s="307"/>
      <c r="H294" s="107"/>
      <c r="I294" s="107"/>
      <c r="J294" s="107"/>
      <c r="K294" s="107"/>
      <c r="L294" s="107"/>
      <c r="M294" s="107"/>
      <c r="N294" s="107"/>
      <c r="O294" s="107"/>
      <c r="P294" s="107"/>
      <c r="Q294" s="107"/>
    </row>
    <row r="295" spans="1:17" x14ac:dyDescent="0.2">
      <c r="A295" s="131" t="s">
        <v>2941</v>
      </c>
      <c r="B295" s="145">
        <v>19</v>
      </c>
      <c r="C295" s="145">
        <v>200</v>
      </c>
      <c r="D295" s="180"/>
      <c r="E295" s="145"/>
      <c r="F295" s="145"/>
      <c r="G295" s="307"/>
      <c r="H295" s="107"/>
      <c r="I295" s="107"/>
      <c r="J295" s="107"/>
      <c r="K295" s="107"/>
      <c r="L295" s="107"/>
      <c r="M295" s="107"/>
      <c r="N295" s="107"/>
      <c r="O295" s="107"/>
      <c r="P295" s="107"/>
      <c r="Q295" s="107"/>
    </row>
    <row r="296" spans="1:17" ht="16" thickBot="1" x14ac:dyDescent="0.25">
      <c r="A296" s="131" t="s">
        <v>2942</v>
      </c>
      <c r="B296" s="187">
        <v>39055</v>
      </c>
      <c r="C296" s="187">
        <v>457</v>
      </c>
      <c r="D296" s="190">
        <v>0.5</v>
      </c>
      <c r="E296" s="145">
        <v>140025</v>
      </c>
      <c r="F296" s="145">
        <v>251</v>
      </c>
      <c r="G296" s="307"/>
      <c r="H296" s="107"/>
      <c r="I296" s="107"/>
      <c r="J296" s="107"/>
      <c r="K296" s="107"/>
      <c r="L296" s="107"/>
      <c r="M296" s="107"/>
      <c r="N296" s="107"/>
      <c r="O296" s="107"/>
      <c r="P296" s="107"/>
      <c r="Q296" s="107"/>
    </row>
    <row r="297" spans="1:17" x14ac:dyDescent="0.2">
      <c r="A297" s="131"/>
      <c r="B297" s="145"/>
      <c r="C297" s="145"/>
      <c r="D297" s="180"/>
      <c r="E297" s="138">
        <f>+SUM(B290:B296)</f>
        <v>140024</v>
      </c>
      <c r="F297" s="138">
        <f>+SUM(C290:C296)</f>
        <v>1250</v>
      </c>
      <c r="G297" s="138">
        <f>+SUM(D290:D296)</f>
        <v>1</v>
      </c>
      <c r="H297" s="107"/>
      <c r="I297" s="107"/>
      <c r="J297" s="107"/>
      <c r="K297" s="107"/>
      <c r="L297" s="107"/>
      <c r="M297" s="107"/>
      <c r="N297" s="107"/>
      <c r="O297" s="107"/>
      <c r="P297" s="107"/>
      <c r="Q297" s="107"/>
    </row>
    <row r="298" spans="1:17" x14ac:dyDescent="0.2">
      <c r="A298" s="566" t="s">
        <v>2943</v>
      </c>
      <c r="B298" s="567"/>
      <c r="C298" s="567"/>
      <c r="D298" s="567"/>
      <c r="E298" s="567"/>
      <c r="F298" s="567"/>
      <c r="G298" s="568"/>
      <c r="H298" s="107"/>
      <c r="I298" s="107"/>
      <c r="J298" s="107"/>
      <c r="K298" s="107"/>
      <c r="L298" s="107"/>
      <c r="M298" s="107"/>
      <c r="N298" s="107"/>
      <c r="O298" s="107"/>
      <c r="P298" s="107"/>
      <c r="Q298" s="107"/>
    </row>
    <row r="299" spans="1:17" x14ac:dyDescent="0.2">
      <c r="A299" s="140" t="s">
        <v>2944</v>
      </c>
      <c r="B299" s="145">
        <v>6483</v>
      </c>
      <c r="C299" s="145">
        <v>760</v>
      </c>
      <c r="D299" s="145"/>
      <c r="E299" s="145"/>
      <c r="F299" s="145"/>
      <c r="G299" s="307"/>
      <c r="H299" s="107"/>
      <c r="I299" s="107"/>
      <c r="J299" s="107"/>
      <c r="K299" s="107"/>
      <c r="L299" s="107"/>
      <c r="M299" s="107"/>
      <c r="N299" s="107"/>
      <c r="O299" s="107"/>
      <c r="P299" s="107"/>
      <c r="Q299" s="107"/>
    </row>
    <row r="300" spans="1:17" x14ac:dyDescent="0.2">
      <c r="A300" s="140" t="s">
        <v>2945</v>
      </c>
      <c r="B300" s="145">
        <v>685178</v>
      </c>
      <c r="C300" s="145">
        <v>535</v>
      </c>
      <c r="D300" s="145"/>
      <c r="E300" s="145"/>
      <c r="F300" s="145"/>
      <c r="G300" s="307"/>
      <c r="H300" s="107"/>
      <c r="I300" s="107"/>
      <c r="J300" s="107"/>
      <c r="K300" s="107"/>
      <c r="L300" s="107"/>
      <c r="M300" s="107"/>
      <c r="N300" s="107"/>
      <c r="O300" s="107"/>
      <c r="P300" s="107"/>
      <c r="Q300" s="107"/>
    </row>
    <row r="301" spans="1:17" x14ac:dyDescent="0.2">
      <c r="A301" s="140" t="s">
        <v>2243</v>
      </c>
      <c r="B301" s="145">
        <v>73519</v>
      </c>
      <c r="C301" s="145">
        <v>475</v>
      </c>
      <c r="D301" s="145"/>
      <c r="E301" s="145"/>
      <c r="F301" s="145"/>
      <c r="G301" s="307"/>
      <c r="H301" s="107"/>
      <c r="I301" s="107"/>
      <c r="J301" s="107"/>
      <c r="K301" s="107"/>
      <c r="L301" s="107"/>
      <c r="M301" s="107"/>
      <c r="N301" s="107"/>
      <c r="O301" s="107"/>
      <c r="P301" s="107"/>
      <c r="Q301" s="107"/>
    </row>
    <row r="302" spans="1:17" x14ac:dyDescent="0.2">
      <c r="A302" s="140" t="s">
        <v>2241</v>
      </c>
      <c r="B302" s="145">
        <v>416301</v>
      </c>
      <c r="C302" s="145">
        <v>760</v>
      </c>
      <c r="D302" s="145"/>
      <c r="E302" s="145"/>
      <c r="F302" s="145"/>
      <c r="G302" s="307"/>
      <c r="H302" s="107"/>
      <c r="I302" s="107"/>
      <c r="J302" s="107"/>
      <c r="K302" s="107"/>
      <c r="L302" s="107"/>
      <c r="M302" s="107"/>
      <c r="N302" s="107"/>
      <c r="O302" s="107"/>
      <c r="P302" s="107"/>
      <c r="Q302" s="107"/>
    </row>
    <row r="303" spans="1:17" x14ac:dyDescent="0.2">
      <c r="A303" s="140" t="s">
        <v>2946</v>
      </c>
      <c r="B303" s="145">
        <v>7000</v>
      </c>
      <c r="C303" s="145"/>
      <c r="D303" s="145"/>
      <c r="E303" s="145"/>
      <c r="F303" s="145"/>
      <c r="G303" s="307"/>
      <c r="H303" s="107"/>
      <c r="I303" s="107"/>
      <c r="J303" s="107"/>
      <c r="K303" s="107"/>
      <c r="L303" s="107"/>
      <c r="M303" s="107"/>
      <c r="N303" s="107"/>
      <c r="O303" s="107"/>
      <c r="P303" s="107"/>
      <c r="Q303" s="107"/>
    </row>
    <row r="304" spans="1:17" x14ac:dyDescent="0.2">
      <c r="A304" s="140" t="s">
        <v>2947</v>
      </c>
      <c r="B304" s="145">
        <v>65440</v>
      </c>
      <c r="C304" s="145">
        <v>505</v>
      </c>
      <c r="D304" s="145"/>
      <c r="E304" s="145"/>
      <c r="F304" s="145"/>
      <c r="G304" s="307"/>
      <c r="H304" s="107"/>
      <c r="I304" s="107"/>
      <c r="J304" s="107"/>
      <c r="K304" s="107"/>
      <c r="L304" s="107"/>
      <c r="M304" s="107"/>
      <c r="N304" s="107"/>
      <c r="O304" s="107"/>
      <c r="P304" s="107"/>
      <c r="Q304" s="107"/>
    </row>
    <row r="305" spans="1:17" x14ac:dyDescent="0.2">
      <c r="A305" s="140" t="s">
        <v>2948</v>
      </c>
      <c r="B305" s="145">
        <v>58785</v>
      </c>
      <c r="C305" s="145">
        <v>250</v>
      </c>
      <c r="D305" s="145"/>
      <c r="E305" s="145"/>
      <c r="F305" s="145"/>
      <c r="G305" s="307"/>
      <c r="H305" s="107"/>
      <c r="I305" s="107"/>
      <c r="J305" s="107"/>
      <c r="K305" s="107"/>
      <c r="L305" s="107"/>
      <c r="M305" s="107"/>
      <c r="N305" s="107"/>
      <c r="O305" s="107"/>
      <c r="P305" s="107"/>
      <c r="Q305" s="107"/>
    </row>
    <row r="306" spans="1:17" x14ac:dyDescent="0.2">
      <c r="A306" s="140" t="s">
        <v>2949</v>
      </c>
      <c r="B306" s="145">
        <v>96872</v>
      </c>
      <c r="C306" s="145">
        <v>505</v>
      </c>
      <c r="D306" s="145"/>
      <c r="E306" s="145"/>
      <c r="F306" s="145"/>
      <c r="G306" s="307"/>
      <c r="H306" s="107"/>
      <c r="I306" s="107"/>
      <c r="J306" s="107"/>
      <c r="K306" s="107"/>
      <c r="L306" s="107"/>
      <c r="M306" s="107"/>
      <c r="N306" s="107"/>
      <c r="O306" s="107"/>
      <c r="P306" s="107"/>
      <c r="Q306" s="107"/>
    </row>
    <row r="307" spans="1:17" x14ac:dyDescent="0.2">
      <c r="A307" s="140" t="s">
        <v>2950</v>
      </c>
      <c r="B307" s="145">
        <v>7852</v>
      </c>
      <c r="C307" s="145">
        <v>880</v>
      </c>
      <c r="D307" s="145"/>
      <c r="E307" s="145"/>
      <c r="F307" s="145"/>
      <c r="G307" s="307"/>
      <c r="H307" s="107"/>
      <c r="I307" s="107"/>
      <c r="J307" s="107"/>
      <c r="K307" s="107"/>
      <c r="L307" s="107"/>
      <c r="M307" s="107"/>
      <c r="N307" s="107"/>
      <c r="O307" s="107"/>
      <c r="P307" s="107"/>
      <c r="Q307" s="107"/>
    </row>
    <row r="308" spans="1:17" x14ac:dyDescent="0.2">
      <c r="A308" s="140" t="s">
        <v>2951</v>
      </c>
      <c r="B308" s="145">
        <v>399</v>
      </c>
      <c r="C308" s="145">
        <v>200</v>
      </c>
      <c r="D308" s="145"/>
      <c r="E308" s="145"/>
      <c r="F308" s="145"/>
      <c r="G308" s="307"/>
      <c r="H308" s="107"/>
      <c r="I308" s="107"/>
      <c r="J308" s="107"/>
      <c r="K308" s="107"/>
      <c r="L308" s="107"/>
      <c r="M308" s="107"/>
      <c r="N308" s="107"/>
      <c r="O308" s="107"/>
      <c r="P308" s="107"/>
      <c r="Q308" s="107"/>
    </row>
    <row r="309" spans="1:17" x14ac:dyDescent="0.2">
      <c r="A309" s="140" t="s">
        <v>2262</v>
      </c>
      <c r="B309" s="145">
        <v>407558</v>
      </c>
      <c r="C309" s="145">
        <v>170</v>
      </c>
      <c r="D309" s="145"/>
      <c r="E309" s="145"/>
      <c r="F309" s="145"/>
      <c r="G309" s="307"/>
      <c r="H309" s="107"/>
      <c r="I309" s="107"/>
      <c r="J309" s="107"/>
      <c r="K309" s="107"/>
      <c r="L309" s="107"/>
      <c r="M309" s="107"/>
      <c r="N309" s="107"/>
      <c r="O309" s="107"/>
      <c r="P309" s="107"/>
      <c r="Q309" s="107"/>
    </row>
    <row r="310" spans="1:17" x14ac:dyDescent="0.2">
      <c r="A310" s="140" t="s">
        <v>1453</v>
      </c>
      <c r="B310" s="145">
        <v>38657</v>
      </c>
      <c r="C310" s="145">
        <v>305</v>
      </c>
      <c r="D310" s="145"/>
      <c r="E310" s="145"/>
      <c r="F310" s="145"/>
      <c r="G310" s="307"/>
      <c r="H310" s="107"/>
      <c r="I310" s="107"/>
      <c r="J310" s="107"/>
      <c r="K310" s="107"/>
      <c r="L310" s="107"/>
      <c r="M310" s="107"/>
      <c r="N310" s="107"/>
      <c r="O310" s="107"/>
      <c r="P310" s="107"/>
      <c r="Q310" s="107"/>
    </row>
    <row r="311" spans="1:17" x14ac:dyDescent="0.2">
      <c r="A311" s="140" t="s">
        <v>2246</v>
      </c>
      <c r="B311" s="145">
        <v>622801</v>
      </c>
      <c r="C311" s="145">
        <v>107</v>
      </c>
      <c r="D311" s="180">
        <v>0.5</v>
      </c>
      <c r="E311" s="145"/>
      <c r="F311" s="145"/>
      <c r="G311" s="307"/>
      <c r="H311" s="107"/>
      <c r="I311" s="107"/>
      <c r="J311" s="107"/>
      <c r="K311" s="107"/>
      <c r="L311" s="107"/>
      <c r="M311" s="107"/>
      <c r="N311" s="107"/>
      <c r="O311" s="107"/>
      <c r="P311" s="107"/>
      <c r="Q311" s="107"/>
    </row>
    <row r="312" spans="1:17" ht="16" thickBot="1" x14ac:dyDescent="0.25">
      <c r="A312" s="140" t="s">
        <v>2952</v>
      </c>
      <c r="B312" s="187">
        <v>26124</v>
      </c>
      <c r="C312" s="187">
        <v>950</v>
      </c>
      <c r="D312" s="187"/>
      <c r="E312" s="145">
        <v>2512975</v>
      </c>
      <c r="F312" s="145">
        <v>402</v>
      </c>
      <c r="G312" s="133">
        <v>0.5</v>
      </c>
      <c r="H312" s="107"/>
      <c r="I312" s="107"/>
      <c r="J312" s="107"/>
      <c r="K312" s="107"/>
      <c r="L312" s="107"/>
      <c r="M312" s="107"/>
      <c r="N312" s="107"/>
      <c r="O312" s="107"/>
      <c r="P312" s="107"/>
      <c r="Q312" s="107"/>
    </row>
    <row r="313" spans="1:17" x14ac:dyDescent="0.2">
      <c r="A313" s="140"/>
      <c r="B313" s="145"/>
      <c r="C313" s="145"/>
      <c r="D313" s="145"/>
      <c r="E313" s="138">
        <f>+SUM(B299:B312)</f>
        <v>2512969</v>
      </c>
      <c r="F313" s="138">
        <f>+SUM(C299:C312)</f>
        <v>6402</v>
      </c>
      <c r="G313" s="139">
        <f>+SUM(D299:D312)</f>
        <v>0.5</v>
      </c>
      <c r="H313" s="107"/>
      <c r="I313" s="107"/>
      <c r="J313" s="107"/>
      <c r="K313" s="107"/>
      <c r="L313" s="107"/>
      <c r="M313" s="107"/>
      <c r="N313" s="107"/>
      <c r="O313" s="107"/>
      <c r="P313" s="107"/>
      <c r="Q313" s="107"/>
    </row>
    <row r="314" spans="1:17" x14ac:dyDescent="0.2">
      <c r="A314" s="566" t="s">
        <v>2953</v>
      </c>
      <c r="B314" s="567"/>
      <c r="C314" s="567"/>
      <c r="D314" s="567"/>
      <c r="E314" s="567"/>
      <c r="F314" s="567"/>
      <c r="G314" s="568"/>
      <c r="H314" s="107"/>
      <c r="I314" s="107"/>
      <c r="J314" s="107"/>
      <c r="K314" s="107"/>
      <c r="L314" s="107"/>
      <c r="M314" s="107"/>
      <c r="N314" s="107"/>
      <c r="O314" s="107"/>
      <c r="P314" s="107"/>
      <c r="Q314" s="107"/>
    </row>
    <row r="315" spans="1:17" x14ac:dyDescent="0.2">
      <c r="A315" s="140" t="s">
        <v>2944</v>
      </c>
      <c r="B315" s="145">
        <v>16</v>
      </c>
      <c r="C315" s="145">
        <v>30</v>
      </c>
      <c r="D315" s="145"/>
      <c r="E315" s="145"/>
      <c r="F315" s="145"/>
      <c r="G315" s="307"/>
      <c r="H315" s="107"/>
      <c r="I315" s="107"/>
      <c r="J315" s="107"/>
      <c r="K315" s="107"/>
      <c r="L315" s="107"/>
      <c r="M315" s="107"/>
      <c r="N315" s="107"/>
      <c r="O315" s="107"/>
      <c r="P315" s="107"/>
      <c r="Q315" s="107"/>
    </row>
    <row r="316" spans="1:17" x14ac:dyDescent="0.2">
      <c r="A316" s="140" t="s">
        <v>2945</v>
      </c>
      <c r="B316" s="145">
        <v>1389490</v>
      </c>
      <c r="C316" s="145">
        <v>940</v>
      </c>
      <c r="D316" s="145"/>
      <c r="E316" s="145"/>
      <c r="F316" s="145"/>
      <c r="G316" s="307"/>
      <c r="H316" s="107"/>
      <c r="I316" s="107"/>
      <c r="J316" s="107"/>
      <c r="K316" s="107"/>
      <c r="L316" s="107"/>
      <c r="M316" s="107"/>
      <c r="N316" s="107"/>
      <c r="O316" s="107"/>
      <c r="P316" s="107"/>
      <c r="Q316" s="107"/>
    </row>
    <row r="317" spans="1:17" x14ac:dyDescent="0.2">
      <c r="A317" s="140" t="s">
        <v>2243</v>
      </c>
      <c r="B317" s="145">
        <v>178383</v>
      </c>
      <c r="C317" s="145">
        <v>167</v>
      </c>
      <c r="D317" s="180">
        <v>0.5</v>
      </c>
      <c r="E317" s="145"/>
      <c r="F317" s="145"/>
      <c r="G317" s="307"/>
      <c r="H317" s="107"/>
      <c r="I317" s="107"/>
      <c r="J317" s="107"/>
      <c r="K317" s="107"/>
      <c r="L317" s="107"/>
      <c r="M317" s="107"/>
      <c r="N317" s="107"/>
      <c r="O317" s="107"/>
      <c r="P317" s="107"/>
      <c r="Q317" s="107"/>
    </row>
    <row r="318" spans="1:17" x14ac:dyDescent="0.2">
      <c r="A318" s="140" t="s">
        <v>2951</v>
      </c>
      <c r="B318" s="145">
        <v>2758</v>
      </c>
      <c r="C318" s="145">
        <v>635</v>
      </c>
      <c r="D318" s="145"/>
      <c r="E318" s="145"/>
      <c r="F318" s="145"/>
      <c r="G318" s="307"/>
      <c r="H318" s="107"/>
      <c r="I318" s="107"/>
      <c r="J318" s="107"/>
      <c r="K318" s="107"/>
      <c r="L318" s="107"/>
      <c r="M318" s="107"/>
      <c r="N318" s="107"/>
      <c r="O318" s="107"/>
      <c r="P318" s="107"/>
      <c r="Q318" s="107"/>
    </row>
    <row r="319" spans="1:17" x14ac:dyDescent="0.2">
      <c r="A319" s="140" t="s">
        <v>2954</v>
      </c>
      <c r="B319" s="145">
        <v>7327</v>
      </c>
      <c r="C319" s="145">
        <v>805</v>
      </c>
      <c r="D319" s="145"/>
      <c r="E319" s="145"/>
      <c r="F319" s="145"/>
      <c r="G319" s="307"/>
      <c r="H319" s="107"/>
      <c r="I319" s="107"/>
      <c r="J319" s="107"/>
      <c r="K319" s="107"/>
      <c r="L319" s="107"/>
      <c r="M319" s="107"/>
      <c r="N319" s="107"/>
      <c r="O319" s="107"/>
      <c r="P319" s="107"/>
      <c r="Q319" s="107"/>
    </row>
    <row r="320" spans="1:17" x14ac:dyDescent="0.2">
      <c r="A320" s="140" t="s">
        <v>1453</v>
      </c>
      <c r="B320" s="141">
        <v>88</v>
      </c>
      <c r="C320" s="141">
        <v>300</v>
      </c>
      <c r="D320" s="145"/>
      <c r="E320" s="145"/>
      <c r="F320" s="145"/>
      <c r="G320" s="307"/>
      <c r="H320" s="107"/>
      <c r="I320" s="107"/>
      <c r="J320" s="107"/>
      <c r="K320" s="107"/>
      <c r="L320" s="107"/>
      <c r="M320" s="107"/>
      <c r="N320" s="107"/>
      <c r="O320" s="107"/>
      <c r="P320" s="107"/>
      <c r="Q320" s="107"/>
    </row>
    <row r="321" spans="1:17" ht="16" thickBot="1" x14ac:dyDescent="0.25">
      <c r="A321" s="140" t="s">
        <v>2246</v>
      </c>
      <c r="B321" s="187">
        <v>10867</v>
      </c>
      <c r="C321" s="187">
        <v>975</v>
      </c>
      <c r="D321" s="187"/>
      <c r="E321" s="145">
        <v>1588933</v>
      </c>
      <c r="F321" s="145">
        <v>302</v>
      </c>
      <c r="G321" s="133">
        <v>0.5</v>
      </c>
      <c r="H321" s="107"/>
      <c r="I321" s="107"/>
      <c r="J321" s="107"/>
      <c r="K321" s="107"/>
      <c r="L321" s="107"/>
      <c r="M321" s="107"/>
      <c r="N321" s="107"/>
      <c r="O321" s="107"/>
      <c r="P321" s="107"/>
      <c r="Q321" s="107"/>
    </row>
    <row r="322" spans="1:17" x14ac:dyDescent="0.2">
      <c r="A322" s="140"/>
      <c r="B322" s="145"/>
      <c r="C322" s="145"/>
      <c r="D322" s="145"/>
      <c r="E322" s="413">
        <f>+SUM(B315:B321)</f>
        <v>1588929</v>
      </c>
      <c r="F322" s="413">
        <f>+SUM(C315:C321)</f>
        <v>3852</v>
      </c>
      <c r="G322" s="139">
        <f>+SUM(D315:D321)</f>
        <v>0.5</v>
      </c>
      <c r="H322" s="107"/>
      <c r="I322" s="107"/>
      <c r="J322" s="107"/>
      <c r="K322" s="107"/>
      <c r="L322" s="107"/>
      <c r="M322" s="107"/>
      <c r="N322" s="107"/>
      <c r="O322" s="107"/>
      <c r="P322" s="107"/>
      <c r="Q322" s="107"/>
    </row>
    <row r="323" spans="1:17" x14ac:dyDescent="0.2">
      <c r="A323" s="566" t="s">
        <v>2955</v>
      </c>
      <c r="B323" s="567"/>
      <c r="C323" s="567"/>
      <c r="D323" s="567"/>
      <c r="E323" s="567"/>
      <c r="F323" s="567"/>
      <c r="G323" s="568"/>
      <c r="H323" s="107"/>
      <c r="I323" s="107"/>
      <c r="J323" s="107"/>
      <c r="K323" s="107"/>
      <c r="L323" s="107"/>
      <c r="M323" s="107"/>
      <c r="N323" s="107"/>
      <c r="O323" s="107"/>
      <c r="P323" s="107"/>
      <c r="Q323" s="107"/>
    </row>
    <row r="324" spans="1:17" x14ac:dyDescent="0.2">
      <c r="A324" s="140" t="s">
        <v>2956</v>
      </c>
      <c r="B324" s="145"/>
      <c r="C324" s="145">
        <v>300</v>
      </c>
      <c r="D324" s="145"/>
      <c r="E324" s="145"/>
      <c r="F324" s="145"/>
      <c r="G324" s="307"/>
      <c r="H324" s="107"/>
      <c r="I324" s="107"/>
      <c r="J324" s="107"/>
      <c r="K324" s="107"/>
      <c r="L324" s="107"/>
      <c r="M324" s="107"/>
      <c r="N324" s="107"/>
      <c r="O324" s="107"/>
      <c r="P324" s="107"/>
      <c r="Q324" s="107"/>
    </row>
    <row r="325" spans="1:17" x14ac:dyDescent="0.2">
      <c r="A325" s="140" t="s">
        <v>2957</v>
      </c>
      <c r="B325" s="145">
        <v>1993</v>
      </c>
      <c r="C325" s="145">
        <v>390</v>
      </c>
      <c r="D325" s="145"/>
      <c r="E325" s="145"/>
      <c r="F325" s="145"/>
      <c r="G325" s="307"/>
      <c r="H325" s="107"/>
      <c r="I325" s="107"/>
      <c r="J325" s="107"/>
      <c r="K325" s="107"/>
      <c r="L325" s="107"/>
      <c r="M325" s="107"/>
      <c r="N325" s="107"/>
      <c r="O325" s="107"/>
      <c r="P325" s="107"/>
      <c r="Q325" s="107"/>
    </row>
    <row r="326" spans="1:17" x14ac:dyDescent="0.2">
      <c r="A326" s="140" t="s">
        <v>2944</v>
      </c>
      <c r="B326" s="145">
        <v>2106</v>
      </c>
      <c r="C326" s="145">
        <v>460</v>
      </c>
      <c r="D326" s="145"/>
      <c r="E326" s="145"/>
      <c r="F326" s="145"/>
      <c r="G326" s="307"/>
      <c r="H326" s="107"/>
      <c r="I326" s="107"/>
      <c r="J326" s="107"/>
      <c r="K326" s="107"/>
      <c r="L326" s="107"/>
      <c r="M326" s="107"/>
      <c r="N326" s="107"/>
      <c r="O326" s="107"/>
      <c r="P326" s="107"/>
      <c r="Q326" s="107"/>
    </row>
    <row r="327" spans="1:17" x14ac:dyDescent="0.2">
      <c r="A327" s="140" t="s">
        <v>2945</v>
      </c>
      <c r="B327" s="145">
        <v>58324</v>
      </c>
      <c r="C327" s="145">
        <v>285</v>
      </c>
      <c r="D327" s="145"/>
      <c r="E327" s="145"/>
      <c r="F327" s="145"/>
      <c r="G327" s="307"/>
      <c r="H327" s="107"/>
      <c r="I327" s="107"/>
      <c r="J327" s="107"/>
      <c r="K327" s="107"/>
      <c r="L327" s="107"/>
      <c r="M327" s="107"/>
      <c r="N327" s="107"/>
      <c r="O327" s="107"/>
      <c r="P327" s="107"/>
      <c r="Q327" s="107"/>
    </row>
    <row r="328" spans="1:17" x14ac:dyDescent="0.2">
      <c r="A328" s="140" t="s">
        <v>2243</v>
      </c>
      <c r="B328" s="145">
        <v>61068</v>
      </c>
      <c r="C328" s="145">
        <v>960</v>
      </c>
      <c r="D328" s="145"/>
      <c r="E328" s="145"/>
      <c r="F328" s="145"/>
      <c r="G328" s="307"/>
      <c r="H328" s="107"/>
      <c r="I328" s="107"/>
      <c r="J328" s="107"/>
      <c r="K328" s="107"/>
      <c r="L328" s="107"/>
      <c r="M328" s="107"/>
      <c r="N328" s="107"/>
      <c r="O328" s="107"/>
      <c r="P328" s="107"/>
      <c r="Q328" s="107"/>
    </row>
    <row r="329" spans="1:17" x14ac:dyDescent="0.2">
      <c r="A329" s="140" t="s">
        <v>2951</v>
      </c>
      <c r="B329" s="145">
        <v>419</v>
      </c>
      <c r="C329" s="145">
        <v>25</v>
      </c>
      <c r="D329" s="145"/>
      <c r="E329" s="145"/>
      <c r="F329" s="145"/>
      <c r="G329" s="307"/>
      <c r="H329" s="107"/>
      <c r="I329" s="107"/>
      <c r="J329" s="107"/>
      <c r="K329" s="107"/>
      <c r="L329" s="107"/>
      <c r="M329" s="107"/>
      <c r="N329" s="107"/>
      <c r="O329" s="107"/>
      <c r="P329" s="107"/>
      <c r="Q329" s="107"/>
    </row>
    <row r="330" spans="1:17" x14ac:dyDescent="0.2">
      <c r="A330" s="140" t="s">
        <v>2262</v>
      </c>
      <c r="B330" s="145">
        <v>5177</v>
      </c>
      <c r="C330" s="145">
        <v>900</v>
      </c>
      <c r="D330" s="145"/>
      <c r="E330" s="145"/>
      <c r="F330" s="145"/>
      <c r="G330" s="307"/>
      <c r="H330" s="107"/>
      <c r="I330" s="107"/>
      <c r="J330" s="107"/>
      <c r="K330" s="107"/>
      <c r="L330" s="107"/>
      <c r="M330" s="107"/>
      <c r="N330" s="107"/>
      <c r="O330" s="107"/>
      <c r="P330" s="107"/>
      <c r="Q330" s="107"/>
    </row>
    <row r="331" spans="1:17" x14ac:dyDescent="0.2">
      <c r="A331" s="140" t="s">
        <v>1453</v>
      </c>
      <c r="B331" s="145">
        <v>17</v>
      </c>
      <c r="C331" s="145">
        <v>325</v>
      </c>
      <c r="D331" s="145"/>
      <c r="E331" s="145"/>
      <c r="F331" s="145"/>
      <c r="G331" s="307"/>
      <c r="H331" s="107"/>
      <c r="I331" s="107"/>
      <c r="J331" s="107"/>
      <c r="K331" s="107"/>
      <c r="L331" s="107"/>
      <c r="M331" s="107"/>
      <c r="N331" s="107"/>
      <c r="O331" s="107"/>
      <c r="P331" s="107"/>
      <c r="Q331" s="107"/>
    </row>
    <row r="332" spans="1:17" x14ac:dyDescent="0.2">
      <c r="A332" s="140" t="s">
        <v>2246</v>
      </c>
      <c r="B332" s="141">
        <v>250658</v>
      </c>
      <c r="C332" s="141">
        <v>700</v>
      </c>
      <c r="D332" s="145"/>
      <c r="E332" s="145"/>
      <c r="F332" s="145"/>
      <c r="G332" s="307"/>
      <c r="H332" s="107"/>
      <c r="I332" s="107"/>
      <c r="J332" s="107"/>
      <c r="K332" s="107"/>
      <c r="L332" s="107"/>
      <c r="M332" s="107"/>
      <c r="N332" s="107"/>
      <c r="O332" s="107"/>
      <c r="P332" s="107"/>
      <c r="Q332" s="107"/>
    </row>
    <row r="333" spans="1:17" ht="16" thickBot="1" x14ac:dyDescent="0.25">
      <c r="A333" s="140" t="s">
        <v>2952</v>
      </c>
      <c r="B333" s="187">
        <v>400</v>
      </c>
      <c r="C333" s="187"/>
      <c r="D333" s="187"/>
      <c r="E333" s="145">
        <v>380166</v>
      </c>
      <c r="F333" s="145">
        <v>345</v>
      </c>
      <c r="G333" s="307"/>
      <c r="H333" s="107"/>
      <c r="I333" s="107"/>
      <c r="J333" s="107"/>
      <c r="K333" s="107"/>
      <c r="L333" s="107"/>
      <c r="M333" s="107"/>
      <c r="N333" s="107"/>
      <c r="O333" s="107"/>
      <c r="P333" s="107"/>
      <c r="Q333" s="107"/>
    </row>
    <row r="334" spans="1:17" x14ac:dyDescent="0.2">
      <c r="A334" s="140"/>
      <c r="B334" s="145"/>
      <c r="C334" s="145"/>
      <c r="D334" s="145"/>
      <c r="E334" s="138">
        <f>+SUM(B324:B333)</f>
        <v>380162</v>
      </c>
      <c r="F334" s="138">
        <f>+SUM(C324:C333)</f>
        <v>4345</v>
      </c>
      <c r="G334" s="139">
        <f>+SUM(D324:D333)</f>
        <v>0</v>
      </c>
      <c r="H334" s="107"/>
      <c r="I334" s="107"/>
      <c r="J334" s="107"/>
      <c r="K334" s="107"/>
      <c r="L334" s="107"/>
      <c r="M334" s="107"/>
      <c r="N334" s="107"/>
      <c r="O334" s="107"/>
      <c r="P334" s="107"/>
      <c r="Q334" s="107"/>
    </row>
    <row r="335" spans="1:17" x14ac:dyDescent="0.2">
      <c r="A335" s="566" t="s">
        <v>2958</v>
      </c>
      <c r="B335" s="567"/>
      <c r="C335" s="567"/>
      <c r="D335" s="567"/>
      <c r="E335" s="567"/>
      <c r="F335" s="567"/>
      <c r="G335" s="568"/>
      <c r="H335" s="107"/>
      <c r="I335" s="107"/>
      <c r="J335" s="107"/>
      <c r="K335" s="107"/>
      <c r="L335" s="107"/>
      <c r="M335" s="107"/>
      <c r="N335" s="107"/>
      <c r="O335" s="107"/>
      <c r="P335" s="107"/>
      <c r="Q335" s="107"/>
    </row>
    <row r="336" spans="1:17" x14ac:dyDescent="0.2">
      <c r="A336" s="588" t="s">
        <v>2945</v>
      </c>
      <c r="B336" s="589"/>
      <c r="C336" s="589"/>
      <c r="D336" s="589"/>
      <c r="E336" s="145">
        <v>55150</v>
      </c>
      <c r="F336" s="145"/>
      <c r="G336" s="307"/>
      <c r="H336" s="107"/>
      <c r="I336" s="107"/>
      <c r="J336" s="107"/>
      <c r="K336" s="107"/>
      <c r="L336" s="107"/>
      <c r="M336" s="107"/>
      <c r="N336" s="107"/>
      <c r="O336" s="107"/>
      <c r="P336" s="107"/>
      <c r="Q336" s="107"/>
    </row>
    <row r="337" spans="1:17" x14ac:dyDescent="0.2">
      <c r="A337" s="566" t="s">
        <v>2959</v>
      </c>
      <c r="B337" s="567"/>
      <c r="C337" s="567"/>
      <c r="D337" s="567"/>
      <c r="E337" s="567"/>
      <c r="F337" s="567"/>
      <c r="G337" s="568"/>
      <c r="H337" s="107"/>
      <c r="I337" s="107"/>
      <c r="J337" s="107"/>
      <c r="K337" s="107"/>
      <c r="L337" s="107"/>
      <c r="M337" s="107"/>
      <c r="N337" s="107"/>
      <c r="O337" s="107"/>
      <c r="P337" s="107"/>
      <c r="Q337" s="107"/>
    </row>
    <row r="338" spans="1:17" x14ac:dyDescent="0.2">
      <c r="A338" s="140" t="s">
        <v>2945</v>
      </c>
      <c r="B338" s="145">
        <v>12860</v>
      </c>
      <c r="C338" s="145">
        <v>913</v>
      </c>
      <c r="D338" s="145"/>
      <c r="E338" s="145"/>
      <c r="F338" s="145"/>
      <c r="G338" s="307"/>
      <c r="H338" s="107"/>
      <c r="I338" s="107"/>
      <c r="J338" s="107"/>
      <c r="K338" s="107"/>
      <c r="L338" s="107"/>
      <c r="M338" s="107"/>
      <c r="N338" s="107"/>
      <c r="O338" s="107"/>
      <c r="P338" s="107"/>
      <c r="Q338" s="107"/>
    </row>
    <row r="339" spans="1:17" x14ac:dyDescent="0.2">
      <c r="A339" s="140" t="s">
        <v>2243</v>
      </c>
      <c r="B339" s="145">
        <v>840</v>
      </c>
      <c r="C339" s="145">
        <v>600</v>
      </c>
      <c r="D339" s="145"/>
      <c r="E339" s="145"/>
      <c r="F339" s="145"/>
      <c r="G339" s="307"/>
      <c r="H339" s="107"/>
      <c r="I339" s="107"/>
      <c r="J339" s="107"/>
      <c r="K339" s="107"/>
      <c r="L339" s="107"/>
      <c r="M339" s="107"/>
      <c r="N339" s="107"/>
      <c r="O339" s="107"/>
      <c r="P339" s="107"/>
      <c r="Q339" s="107"/>
    </row>
    <row r="340" spans="1:17" x14ac:dyDescent="0.2">
      <c r="A340" s="131" t="s">
        <v>2960</v>
      </c>
      <c r="B340" s="145">
        <v>237488</v>
      </c>
      <c r="C340" s="145">
        <v>485</v>
      </c>
      <c r="D340" s="145"/>
      <c r="E340" s="145"/>
      <c r="F340" s="145"/>
      <c r="G340" s="307"/>
      <c r="H340" s="107"/>
      <c r="I340" s="107"/>
      <c r="J340" s="107"/>
      <c r="K340" s="107"/>
      <c r="L340" s="107"/>
      <c r="M340" s="107"/>
      <c r="N340" s="107"/>
      <c r="O340" s="107"/>
      <c r="P340" s="107"/>
      <c r="Q340" s="107"/>
    </row>
    <row r="341" spans="1:17" x14ac:dyDescent="0.2">
      <c r="A341" s="140" t="s">
        <v>2951</v>
      </c>
      <c r="B341" s="145">
        <v>20762</v>
      </c>
      <c r="C341" s="145">
        <v>965</v>
      </c>
      <c r="D341" s="145"/>
      <c r="E341" s="145"/>
      <c r="F341" s="145"/>
      <c r="G341" s="307"/>
      <c r="H341" s="107"/>
      <c r="I341" s="107"/>
      <c r="J341" s="107"/>
      <c r="K341" s="107"/>
      <c r="L341" s="107"/>
      <c r="M341" s="107"/>
      <c r="N341" s="107"/>
      <c r="O341" s="107"/>
      <c r="P341" s="107"/>
      <c r="Q341" s="107"/>
    </row>
    <row r="342" spans="1:17" ht="16" thickBot="1" x14ac:dyDescent="0.25">
      <c r="A342" s="140" t="s">
        <v>2246</v>
      </c>
      <c r="B342" s="187">
        <v>87775</v>
      </c>
      <c r="C342" s="187">
        <v>550</v>
      </c>
      <c r="D342" s="187"/>
      <c r="E342" s="145">
        <v>359728</v>
      </c>
      <c r="F342" s="145">
        <v>513</v>
      </c>
      <c r="G342" s="307"/>
      <c r="H342" s="107"/>
      <c r="I342" s="107"/>
      <c r="J342" s="107"/>
      <c r="K342" s="107"/>
      <c r="L342" s="107"/>
      <c r="M342" s="107"/>
      <c r="N342" s="107"/>
      <c r="O342" s="107"/>
      <c r="P342" s="107"/>
      <c r="Q342" s="107"/>
    </row>
    <row r="343" spans="1:17" x14ac:dyDescent="0.2">
      <c r="A343" s="140"/>
      <c r="B343" s="145"/>
      <c r="C343" s="145"/>
      <c r="D343" s="145"/>
      <c r="E343" s="138">
        <f>+SUM(B338:B342)</f>
        <v>359725</v>
      </c>
      <c r="F343" s="138">
        <f>+SUM(C338:C342)</f>
        <v>3513</v>
      </c>
      <c r="G343" s="139">
        <f>+SUM(D338:D342)</f>
        <v>0</v>
      </c>
      <c r="H343" s="107"/>
      <c r="I343" s="107"/>
      <c r="J343" s="107"/>
      <c r="K343" s="107"/>
      <c r="L343" s="107"/>
      <c r="M343" s="107"/>
      <c r="N343" s="107"/>
      <c r="O343" s="107"/>
      <c r="P343" s="107"/>
      <c r="Q343" s="107"/>
    </row>
    <row r="344" spans="1:17" x14ac:dyDescent="0.2">
      <c r="A344" s="566" t="s">
        <v>2961</v>
      </c>
      <c r="B344" s="567"/>
      <c r="C344" s="567"/>
      <c r="D344" s="567"/>
      <c r="E344" s="567"/>
      <c r="F344" s="567"/>
      <c r="G344" s="568"/>
      <c r="H344" s="107"/>
      <c r="I344" s="107"/>
      <c r="J344" s="107"/>
      <c r="K344" s="107"/>
      <c r="L344" s="107"/>
      <c r="M344" s="107"/>
      <c r="N344" s="107"/>
      <c r="O344" s="107"/>
      <c r="P344" s="107"/>
      <c r="Q344" s="107"/>
    </row>
    <row r="345" spans="1:17" x14ac:dyDescent="0.2">
      <c r="A345" s="140" t="s">
        <v>2945</v>
      </c>
      <c r="B345" s="145">
        <v>2807162</v>
      </c>
      <c r="C345" s="145">
        <v>875</v>
      </c>
      <c r="D345" s="145"/>
      <c r="E345" s="145"/>
      <c r="F345" s="145"/>
      <c r="G345" s="307"/>
      <c r="H345" s="107"/>
      <c r="I345" s="107"/>
      <c r="J345" s="107"/>
      <c r="K345" s="107"/>
      <c r="L345" s="107"/>
      <c r="M345" s="107"/>
      <c r="N345" s="107"/>
      <c r="O345" s="107"/>
      <c r="P345" s="107"/>
      <c r="Q345" s="107"/>
    </row>
    <row r="346" spans="1:17" x14ac:dyDescent="0.2">
      <c r="A346" s="140" t="s">
        <v>2243</v>
      </c>
      <c r="B346" s="145">
        <v>20805</v>
      </c>
      <c r="C346" s="145">
        <v>895</v>
      </c>
      <c r="D346" s="145"/>
      <c r="E346" s="145"/>
      <c r="F346" s="145"/>
      <c r="G346" s="307"/>
      <c r="H346" s="107"/>
      <c r="I346" s="107"/>
      <c r="J346" s="107"/>
      <c r="K346" s="107"/>
      <c r="L346" s="107"/>
      <c r="M346" s="107"/>
      <c r="N346" s="107"/>
      <c r="O346" s="107"/>
      <c r="P346" s="107"/>
      <c r="Q346" s="107"/>
    </row>
    <row r="347" spans="1:17" x14ac:dyDescent="0.2">
      <c r="A347" s="140" t="s">
        <v>2951</v>
      </c>
      <c r="B347" s="145">
        <v>479131</v>
      </c>
      <c r="C347" s="145">
        <v>935</v>
      </c>
      <c r="D347" s="145"/>
      <c r="E347" s="145"/>
      <c r="F347" s="145"/>
      <c r="G347" s="307"/>
      <c r="H347" s="107"/>
      <c r="I347" s="107"/>
      <c r="J347" s="107"/>
      <c r="K347" s="107"/>
      <c r="L347" s="107"/>
      <c r="M347" s="107"/>
      <c r="N347" s="107"/>
      <c r="O347" s="107"/>
      <c r="P347" s="107"/>
      <c r="Q347" s="107"/>
    </row>
    <row r="348" spans="1:17" ht="16" thickBot="1" x14ac:dyDescent="0.25">
      <c r="A348" s="140" t="s">
        <v>2246</v>
      </c>
      <c r="B348" s="187">
        <v>799</v>
      </c>
      <c r="C348" s="187">
        <v>997</v>
      </c>
      <c r="D348" s="190">
        <v>0.5</v>
      </c>
      <c r="E348" s="145">
        <v>3307900</v>
      </c>
      <c r="F348" s="145">
        <v>702</v>
      </c>
      <c r="G348" s="133">
        <v>0.5</v>
      </c>
      <c r="H348" s="107"/>
      <c r="I348" s="107"/>
      <c r="J348" s="107"/>
      <c r="K348" s="107"/>
      <c r="L348" s="107"/>
      <c r="M348" s="107"/>
      <c r="N348" s="107"/>
      <c r="O348" s="107"/>
      <c r="P348" s="107"/>
      <c r="Q348" s="107"/>
    </row>
    <row r="349" spans="1:17" x14ac:dyDescent="0.2">
      <c r="A349" s="140"/>
      <c r="B349" s="145"/>
      <c r="C349" s="145"/>
      <c r="D349" s="180"/>
      <c r="E349" s="138">
        <f>+SUM(B345:B348)</f>
        <v>3307897</v>
      </c>
      <c r="F349" s="138">
        <f>+SUM(C345:C348)</f>
        <v>3702</v>
      </c>
      <c r="G349" s="139">
        <f>+SUM(D345:D348)</f>
        <v>0.5</v>
      </c>
      <c r="H349" s="107"/>
      <c r="I349" s="107"/>
      <c r="J349" s="107"/>
      <c r="K349" s="107"/>
      <c r="L349" s="107"/>
      <c r="M349" s="107"/>
      <c r="N349" s="107"/>
      <c r="O349" s="107"/>
      <c r="P349" s="107"/>
      <c r="Q349" s="107"/>
    </row>
    <row r="350" spans="1:17" x14ac:dyDescent="0.2">
      <c r="A350" s="566" t="s">
        <v>2962</v>
      </c>
      <c r="B350" s="567"/>
      <c r="C350" s="567"/>
      <c r="D350" s="567"/>
      <c r="E350" s="567"/>
      <c r="F350" s="567"/>
      <c r="G350" s="568"/>
      <c r="H350" s="107"/>
      <c r="I350" s="107"/>
      <c r="J350" s="107"/>
      <c r="K350" s="107"/>
      <c r="L350" s="107"/>
      <c r="M350" s="107"/>
      <c r="N350" s="107"/>
      <c r="O350" s="107"/>
      <c r="P350" s="107"/>
      <c r="Q350" s="107"/>
    </row>
    <row r="351" spans="1:17" x14ac:dyDescent="0.2">
      <c r="A351" s="140" t="s">
        <v>2945</v>
      </c>
      <c r="B351" s="145">
        <v>591568</v>
      </c>
      <c r="C351" s="145">
        <v>325</v>
      </c>
      <c r="D351" s="145"/>
      <c r="E351" s="145"/>
      <c r="F351" s="145"/>
      <c r="G351" s="307"/>
      <c r="H351" s="107"/>
      <c r="I351" s="107"/>
      <c r="J351" s="107"/>
      <c r="K351" s="107"/>
      <c r="L351" s="107"/>
      <c r="M351" s="107"/>
      <c r="N351" s="107"/>
      <c r="O351" s="107"/>
      <c r="P351" s="107"/>
      <c r="Q351" s="107"/>
    </row>
    <row r="352" spans="1:17" x14ac:dyDescent="0.2">
      <c r="A352" s="140" t="s">
        <v>2243</v>
      </c>
      <c r="B352" s="145">
        <v>123</v>
      </c>
      <c r="C352" s="145">
        <v>500</v>
      </c>
      <c r="D352" s="145"/>
      <c r="E352" s="145"/>
      <c r="F352" s="145"/>
      <c r="G352" s="307"/>
      <c r="H352" s="107"/>
      <c r="I352" s="107"/>
      <c r="J352" s="107"/>
      <c r="K352" s="107"/>
      <c r="L352" s="107"/>
      <c r="M352" s="107"/>
      <c r="N352" s="107"/>
      <c r="O352" s="107"/>
      <c r="P352" s="107"/>
      <c r="Q352" s="107"/>
    </row>
    <row r="353" spans="1:17" x14ac:dyDescent="0.2">
      <c r="A353" s="140" t="s">
        <v>2951</v>
      </c>
      <c r="B353" s="145">
        <v>31</v>
      </c>
      <c r="C353" s="145">
        <v>875</v>
      </c>
      <c r="D353" s="145"/>
      <c r="E353" s="145"/>
      <c r="F353" s="145"/>
      <c r="G353" s="307"/>
      <c r="H353" s="107"/>
      <c r="I353" s="107"/>
      <c r="J353" s="107"/>
      <c r="K353" s="107"/>
      <c r="L353" s="107"/>
      <c r="M353" s="107"/>
      <c r="N353" s="107"/>
      <c r="O353" s="107"/>
      <c r="P353" s="107"/>
      <c r="Q353" s="107"/>
    </row>
    <row r="354" spans="1:17" ht="16" thickBot="1" x14ac:dyDescent="0.25">
      <c r="A354" s="140" t="s">
        <v>2246</v>
      </c>
      <c r="B354" s="187">
        <v>305</v>
      </c>
      <c r="C354" s="187">
        <v>700</v>
      </c>
      <c r="D354" s="187"/>
      <c r="E354" s="145">
        <v>592029</v>
      </c>
      <c r="F354" s="145">
        <v>400</v>
      </c>
      <c r="G354" s="307"/>
      <c r="H354" s="107"/>
      <c r="I354" s="107"/>
      <c r="J354" s="107"/>
      <c r="K354" s="107"/>
      <c r="L354" s="107"/>
      <c r="M354" s="107"/>
      <c r="N354" s="107"/>
      <c r="O354" s="107"/>
      <c r="P354" s="107"/>
      <c r="Q354" s="107"/>
    </row>
    <row r="355" spans="1:17" x14ac:dyDescent="0.2">
      <c r="A355" s="140"/>
      <c r="B355" s="145"/>
      <c r="C355" s="145"/>
      <c r="D355" s="145"/>
      <c r="E355" s="138">
        <f>+SUM(B351:B354)</f>
        <v>592027</v>
      </c>
      <c r="F355" s="138">
        <f>+SUM(C351:C354)</f>
        <v>2400</v>
      </c>
      <c r="G355" s="139">
        <f>+SUM(D351:D354)</f>
        <v>0</v>
      </c>
      <c r="H355" s="107"/>
      <c r="I355" s="107"/>
      <c r="J355" s="107"/>
      <c r="K355" s="107"/>
      <c r="L355" s="107"/>
      <c r="M355" s="107"/>
      <c r="N355" s="107"/>
      <c r="O355" s="107"/>
      <c r="P355" s="107"/>
      <c r="Q355" s="107"/>
    </row>
    <row r="356" spans="1:17" ht="16" thickBot="1" x14ac:dyDescent="0.25">
      <c r="A356" s="891" t="s">
        <v>2963</v>
      </c>
      <c r="B356" s="892"/>
      <c r="C356" s="892"/>
      <c r="D356" s="892"/>
      <c r="E356" s="187">
        <v>8936908</v>
      </c>
      <c r="F356" s="187">
        <v>916</v>
      </c>
      <c r="G356" s="189">
        <v>0.5</v>
      </c>
      <c r="H356" s="107"/>
      <c r="I356" s="107"/>
      <c r="J356" s="107"/>
      <c r="K356" s="107"/>
      <c r="L356" s="107"/>
      <c r="M356" s="107"/>
      <c r="N356" s="107"/>
      <c r="O356" s="107"/>
      <c r="P356" s="107"/>
      <c r="Q356" s="107"/>
    </row>
    <row r="357" spans="1:17" x14ac:dyDescent="0.2">
      <c r="A357" s="893"/>
      <c r="B357" s="894"/>
      <c r="C357" s="894"/>
      <c r="D357" s="894"/>
      <c r="E357" s="413">
        <f>+E355+E349+E343+E334+E322+E313+E297+E336</f>
        <v>8936883</v>
      </c>
      <c r="F357" s="413">
        <f>+F355+F349+F343+F334+F322+F313+F297+F336</f>
        <v>25464</v>
      </c>
      <c r="G357" s="895">
        <f>+G355+G349+G343+G334+G322+G313+G297+G336</f>
        <v>2.5</v>
      </c>
      <c r="H357" s="896"/>
      <c r="I357" s="107"/>
      <c r="J357" s="107"/>
      <c r="K357" s="107"/>
      <c r="L357" s="107"/>
      <c r="M357" s="107"/>
      <c r="N357" s="107"/>
      <c r="O357" s="107"/>
      <c r="P357" s="107"/>
      <c r="Q357" s="107"/>
    </row>
    <row r="358" spans="1:17" x14ac:dyDescent="0.2">
      <c r="A358" s="661" t="s">
        <v>2964</v>
      </c>
      <c r="B358" s="662"/>
      <c r="C358" s="662"/>
      <c r="D358" s="662"/>
      <c r="E358" s="662"/>
      <c r="F358" s="662"/>
      <c r="G358" s="663"/>
      <c r="H358" s="107"/>
      <c r="I358" s="107"/>
      <c r="J358" s="107"/>
      <c r="K358" s="107"/>
      <c r="L358" s="107"/>
      <c r="M358" s="107"/>
      <c r="N358" s="107"/>
      <c r="O358" s="107"/>
      <c r="P358" s="107"/>
      <c r="Q358" s="107"/>
    </row>
    <row r="359" spans="1:17" x14ac:dyDescent="0.2">
      <c r="A359" s="588" t="s">
        <v>2965</v>
      </c>
      <c r="B359" s="589"/>
      <c r="C359" s="589"/>
      <c r="D359" s="589"/>
      <c r="E359" s="145">
        <v>140025</v>
      </c>
      <c r="F359" s="145">
        <v>251</v>
      </c>
      <c r="G359" s="307"/>
      <c r="H359" s="107"/>
      <c r="I359" s="107"/>
      <c r="J359" s="107"/>
      <c r="K359" s="107"/>
      <c r="L359" s="107"/>
      <c r="M359" s="107"/>
      <c r="N359" s="107"/>
      <c r="O359" s="107"/>
      <c r="P359" s="107"/>
      <c r="Q359" s="107"/>
    </row>
    <row r="360" spans="1:17" x14ac:dyDescent="0.2">
      <c r="A360" s="140" t="s">
        <v>2956</v>
      </c>
      <c r="B360" s="145"/>
      <c r="C360" s="145">
        <v>300</v>
      </c>
      <c r="D360" s="145"/>
      <c r="E360" s="145"/>
      <c r="F360" s="145"/>
      <c r="G360" s="307"/>
      <c r="H360" s="107"/>
      <c r="I360" s="107"/>
      <c r="J360" s="107"/>
      <c r="K360" s="107"/>
      <c r="L360" s="107"/>
      <c r="M360" s="107"/>
      <c r="N360" s="107"/>
      <c r="O360" s="107"/>
      <c r="P360" s="107"/>
      <c r="Q360" s="107"/>
    </row>
    <row r="361" spans="1:17" x14ac:dyDescent="0.2">
      <c r="A361" s="140" t="s">
        <v>2957</v>
      </c>
      <c r="B361" s="145">
        <v>1993</v>
      </c>
      <c r="C361" s="145">
        <v>390</v>
      </c>
      <c r="D361" s="145"/>
      <c r="E361" s="145"/>
      <c r="F361" s="145"/>
      <c r="G361" s="307"/>
      <c r="H361" s="107"/>
      <c r="I361" s="107"/>
      <c r="J361" s="107"/>
      <c r="K361" s="107"/>
      <c r="L361" s="107"/>
      <c r="M361" s="107"/>
      <c r="N361" s="107"/>
      <c r="O361" s="107"/>
      <c r="P361" s="107"/>
      <c r="Q361" s="107"/>
    </row>
    <row r="362" spans="1:17" x14ac:dyDescent="0.2">
      <c r="A362" s="140" t="s">
        <v>2944</v>
      </c>
      <c r="B362" s="145">
        <v>8606</v>
      </c>
      <c r="C362" s="145">
        <v>250</v>
      </c>
      <c r="D362" s="145"/>
      <c r="E362" s="145"/>
      <c r="F362" s="145"/>
      <c r="G362" s="307"/>
      <c r="H362" s="107"/>
      <c r="I362" s="107"/>
      <c r="J362" s="107"/>
      <c r="K362" s="107"/>
      <c r="L362" s="107"/>
      <c r="M362" s="107"/>
      <c r="N362" s="107"/>
      <c r="O362" s="107"/>
      <c r="P362" s="107"/>
      <c r="Q362" s="107"/>
    </row>
    <row r="363" spans="1:17" ht="16" thickBot="1" x14ac:dyDescent="0.25">
      <c r="A363" s="140" t="s">
        <v>2945</v>
      </c>
      <c r="B363" s="187">
        <v>5599735</v>
      </c>
      <c r="C363" s="187">
        <v>873</v>
      </c>
      <c r="D363" s="187"/>
      <c r="E363" s="145">
        <v>5610335</v>
      </c>
      <c r="F363" s="145">
        <v>813</v>
      </c>
      <c r="G363" s="307"/>
      <c r="H363" s="107"/>
      <c r="I363" s="107"/>
      <c r="J363" s="107"/>
      <c r="K363" s="107"/>
      <c r="L363" s="107"/>
      <c r="M363" s="107"/>
      <c r="N363" s="107"/>
      <c r="O363" s="107"/>
      <c r="P363" s="107"/>
      <c r="Q363" s="107"/>
    </row>
    <row r="364" spans="1:17" x14ac:dyDescent="0.2">
      <c r="A364" s="140"/>
      <c r="B364" s="145"/>
      <c r="C364" s="145"/>
      <c r="D364" s="145"/>
      <c r="E364" s="138">
        <f>+SUM(B360:B363)</f>
        <v>5610334</v>
      </c>
      <c r="F364" s="138">
        <f>+SUM(C360:C363)</f>
        <v>1813</v>
      </c>
      <c r="G364" s="139">
        <f>+SUM(D360:D363)</f>
        <v>0</v>
      </c>
      <c r="H364" s="107"/>
      <c r="I364" s="107"/>
      <c r="J364" s="107"/>
      <c r="K364" s="107"/>
      <c r="L364" s="107"/>
      <c r="M364" s="107"/>
      <c r="N364" s="107"/>
      <c r="O364" s="107"/>
      <c r="P364" s="107"/>
      <c r="Q364" s="107"/>
    </row>
    <row r="365" spans="1:17" x14ac:dyDescent="0.2">
      <c r="A365" s="140" t="s">
        <v>1844</v>
      </c>
      <c r="B365" s="145">
        <v>334742</v>
      </c>
      <c r="C365" s="145">
        <v>47</v>
      </c>
      <c r="D365" s="180">
        <v>0.5</v>
      </c>
      <c r="E365" s="145"/>
      <c r="F365" s="145"/>
      <c r="G365" s="307"/>
      <c r="H365" s="107"/>
      <c r="I365" s="107"/>
      <c r="J365" s="107"/>
      <c r="K365" s="107"/>
      <c r="L365" s="107"/>
      <c r="M365" s="107"/>
      <c r="N365" s="107"/>
      <c r="O365" s="107"/>
      <c r="P365" s="107"/>
      <c r="Q365" s="107"/>
    </row>
    <row r="366" spans="1:17" x14ac:dyDescent="0.2">
      <c r="A366" s="140" t="s">
        <v>2283</v>
      </c>
      <c r="B366" s="145">
        <v>416301</v>
      </c>
      <c r="C366" s="145">
        <v>760</v>
      </c>
      <c r="D366" s="145"/>
      <c r="E366" s="145"/>
      <c r="F366" s="145"/>
      <c r="G366" s="307"/>
      <c r="H366" s="107"/>
      <c r="I366" s="107"/>
      <c r="J366" s="107"/>
      <c r="K366" s="107"/>
      <c r="L366" s="107"/>
      <c r="M366" s="107"/>
      <c r="N366" s="107"/>
      <c r="O366" s="107"/>
      <c r="P366" s="107"/>
      <c r="Q366" s="107"/>
    </row>
    <row r="367" spans="1:17" x14ac:dyDescent="0.2">
      <c r="A367" s="140" t="s">
        <v>2966</v>
      </c>
      <c r="B367" s="145">
        <v>7000</v>
      </c>
      <c r="C367" s="145"/>
      <c r="D367" s="145"/>
      <c r="E367" s="145"/>
      <c r="F367" s="145"/>
      <c r="G367" s="307"/>
      <c r="H367" s="107"/>
      <c r="I367" s="107"/>
      <c r="J367" s="107"/>
      <c r="K367" s="107"/>
      <c r="L367" s="107"/>
      <c r="M367" s="107"/>
      <c r="N367" s="107"/>
      <c r="O367" s="107"/>
      <c r="P367" s="107"/>
      <c r="Q367" s="107"/>
    </row>
    <row r="368" spans="1:17" x14ac:dyDescent="0.2">
      <c r="A368" s="140" t="s">
        <v>2967</v>
      </c>
      <c r="B368" s="145">
        <v>65440</v>
      </c>
      <c r="C368" s="145">
        <v>505</v>
      </c>
      <c r="D368" s="145"/>
      <c r="E368" s="145"/>
      <c r="F368" s="145"/>
      <c r="G368" s="307"/>
      <c r="H368" s="107"/>
      <c r="I368" s="107"/>
      <c r="J368" s="107"/>
      <c r="K368" s="107"/>
      <c r="L368" s="107"/>
      <c r="M368" s="107"/>
      <c r="N368" s="107"/>
      <c r="O368" s="107"/>
      <c r="P368" s="107"/>
      <c r="Q368" s="107"/>
    </row>
    <row r="369" spans="1:17" x14ac:dyDescent="0.2">
      <c r="A369" s="140" t="s">
        <v>2968</v>
      </c>
      <c r="B369" s="145">
        <v>58785</v>
      </c>
      <c r="C369" s="145">
        <v>250</v>
      </c>
      <c r="D369" s="145"/>
      <c r="E369" s="145"/>
      <c r="F369" s="145"/>
      <c r="G369" s="307"/>
      <c r="H369" s="107"/>
      <c r="I369" s="107"/>
      <c r="J369" s="107"/>
      <c r="K369" s="107"/>
      <c r="L369" s="107"/>
      <c r="M369" s="107"/>
      <c r="N369" s="107"/>
      <c r="O369" s="107"/>
      <c r="P369" s="107"/>
      <c r="Q369" s="107"/>
    </row>
    <row r="370" spans="1:17" x14ac:dyDescent="0.2">
      <c r="A370" s="140" t="s">
        <v>2969</v>
      </c>
      <c r="B370" s="145">
        <v>96872</v>
      </c>
      <c r="C370" s="145">
        <v>505</v>
      </c>
      <c r="D370" s="145"/>
      <c r="E370" s="145"/>
      <c r="F370" s="145"/>
      <c r="G370" s="307"/>
      <c r="H370" s="107"/>
      <c r="I370" s="107"/>
      <c r="J370" s="107"/>
      <c r="K370" s="107"/>
      <c r="L370" s="107"/>
      <c r="M370" s="107"/>
      <c r="N370" s="107"/>
      <c r="O370" s="107"/>
      <c r="P370" s="107"/>
      <c r="Q370" s="107"/>
    </row>
    <row r="371" spans="1:17" x14ac:dyDescent="0.2">
      <c r="A371" s="140" t="s">
        <v>2970</v>
      </c>
      <c r="B371" s="145">
        <v>7852</v>
      </c>
      <c r="C371" s="145">
        <v>880</v>
      </c>
      <c r="D371" s="145"/>
      <c r="E371" s="145"/>
      <c r="F371" s="145"/>
      <c r="G371" s="307"/>
      <c r="H371" s="107"/>
      <c r="I371" s="107"/>
      <c r="J371" s="107"/>
      <c r="K371" s="107"/>
      <c r="L371" s="107"/>
      <c r="M371" s="107"/>
      <c r="N371" s="107"/>
      <c r="O371" s="107"/>
      <c r="P371" s="107"/>
      <c r="Q371" s="107"/>
    </row>
    <row r="372" spans="1:17" x14ac:dyDescent="0.2">
      <c r="A372" s="140" t="s">
        <v>1355</v>
      </c>
      <c r="B372" s="145">
        <v>503471</v>
      </c>
      <c r="C372" s="145">
        <v>760</v>
      </c>
      <c r="D372" s="145"/>
      <c r="E372" s="145"/>
      <c r="F372" s="145"/>
      <c r="G372" s="307"/>
      <c r="H372" s="107"/>
      <c r="I372" s="107"/>
      <c r="J372" s="107"/>
      <c r="K372" s="107"/>
      <c r="L372" s="107"/>
      <c r="M372" s="107"/>
      <c r="N372" s="107"/>
      <c r="O372" s="107"/>
      <c r="P372" s="107"/>
      <c r="Q372" s="107"/>
    </row>
    <row r="373" spans="1:17" x14ac:dyDescent="0.2">
      <c r="A373" s="140" t="s">
        <v>2227</v>
      </c>
      <c r="B373" s="145">
        <v>412736</v>
      </c>
      <c r="C373" s="145">
        <v>70</v>
      </c>
      <c r="D373" s="145"/>
      <c r="E373" s="145"/>
      <c r="F373" s="145"/>
      <c r="G373" s="307"/>
      <c r="H373" s="107"/>
      <c r="I373" s="107"/>
      <c r="J373" s="107"/>
      <c r="K373" s="107"/>
      <c r="L373" s="107"/>
      <c r="M373" s="107"/>
      <c r="N373" s="107"/>
      <c r="O373" s="107"/>
      <c r="P373" s="107"/>
      <c r="Q373" s="107"/>
    </row>
    <row r="374" spans="1:17" x14ac:dyDescent="0.2">
      <c r="A374" s="140" t="s">
        <v>1403</v>
      </c>
      <c r="B374" s="145">
        <v>38794</v>
      </c>
      <c r="C374" s="145">
        <v>805</v>
      </c>
      <c r="D374" s="145"/>
      <c r="E374" s="145"/>
      <c r="F374" s="145"/>
      <c r="G374" s="307"/>
      <c r="H374" s="107"/>
      <c r="I374" s="107"/>
      <c r="J374" s="107"/>
      <c r="K374" s="107"/>
      <c r="L374" s="107"/>
      <c r="M374" s="107"/>
      <c r="N374" s="107"/>
      <c r="O374" s="107"/>
      <c r="P374" s="107"/>
      <c r="Q374" s="107"/>
    </row>
    <row r="375" spans="1:17" x14ac:dyDescent="0.2">
      <c r="A375" s="140" t="s">
        <v>2228</v>
      </c>
      <c r="B375" s="145">
        <v>973209</v>
      </c>
      <c r="C375" s="145">
        <v>30</v>
      </c>
      <c r="D375" s="145"/>
      <c r="E375" s="145"/>
      <c r="F375" s="145"/>
      <c r="G375" s="307"/>
      <c r="H375" s="107"/>
      <c r="I375" s="107"/>
      <c r="J375" s="107"/>
      <c r="K375" s="107"/>
      <c r="L375" s="107"/>
      <c r="M375" s="107"/>
      <c r="N375" s="107"/>
      <c r="O375" s="107"/>
      <c r="P375" s="107"/>
      <c r="Q375" s="107"/>
    </row>
    <row r="376" spans="1:17" x14ac:dyDescent="0.2">
      <c r="A376" s="140" t="s">
        <v>1356</v>
      </c>
      <c r="B376" s="145">
        <v>26524</v>
      </c>
      <c r="C376" s="145">
        <v>950</v>
      </c>
      <c r="D376" s="145"/>
      <c r="E376" s="145"/>
      <c r="F376" s="145"/>
      <c r="G376" s="307"/>
      <c r="H376" s="107"/>
      <c r="I376" s="107"/>
      <c r="J376" s="107"/>
      <c r="K376" s="107"/>
      <c r="L376" s="107"/>
      <c r="M376" s="107"/>
      <c r="N376" s="107"/>
      <c r="O376" s="107"/>
      <c r="P376" s="107"/>
      <c r="Q376" s="107"/>
    </row>
    <row r="377" spans="1:17" x14ac:dyDescent="0.2">
      <c r="A377" s="140" t="s">
        <v>2971</v>
      </c>
      <c r="B377" s="145">
        <v>7327</v>
      </c>
      <c r="C377" s="145">
        <v>805</v>
      </c>
      <c r="D377" s="145"/>
      <c r="E377" s="145"/>
      <c r="F377" s="145"/>
      <c r="G377" s="307"/>
      <c r="H377" s="107"/>
      <c r="I377" s="107"/>
      <c r="J377" s="107"/>
      <c r="K377" s="107"/>
      <c r="L377" s="107"/>
      <c r="M377" s="107"/>
      <c r="N377" s="107"/>
      <c r="O377" s="107"/>
      <c r="P377" s="107"/>
      <c r="Q377" s="107"/>
    </row>
    <row r="378" spans="1:17" ht="16" thickBot="1" x14ac:dyDescent="0.25">
      <c r="A378" s="140" t="s">
        <v>2972</v>
      </c>
      <c r="B378" s="187">
        <v>237488</v>
      </c>
      <c r="C378" s="187">
        <v>485</v>
      </c>
      <c r="D378" s="187"/>
      <c r="E378" s="187">
        <v>3186547</v>
      </c>
      <c r="F378" s="187">
        <v>852</v>
      </c>
      <c r="G378" s="189">
        <v>0.5</v>
      </c>
      <c r="H378" s="107"/>
      <c r="I378" s="107"/>
      <c r="J378" s="107"/>
      <c r="K378" s="107"/>
      <c r="L378" s="107"/>
      <c r="M378" s="107"/>
      <c r="N378" s="107"/>
      <c r="O378" s="107"/>
      <c r="P378" s="107"/>
      <c r="Q378" s="107"/>
    </row>
    <row r="379" spans="1:17" x14ac:dyDescent="0.2">
      <c r="A379" s="140"/>
      <c r="B379" s="145"/>
      <c r="C379" s="145"/>
      <c r="D379" s="145"/>
      <c r="E379" s="138">
        <f>+SUM(B365:B378)</f>
        <v>3186541</v>
      </c>
      <c r="F379" s="138">
        <f>+SUM(C365:C378)</f>
        <v>6852</v>
      </c>
      <c r="G379" s="139">
        <f>+SUM(D365:D378)</f>
        <v>0.5</v>
      </c>
      <c r="H379" s="107"/>
      <c r="I379" s="107"/>
      <c r="J379" s="107"/>
      <c r="K379" s="107"/>
      <c r="L379" s="107"/>
      <c r="M379" s="107"/>
      <c r="N379" s="107"/>
      <c r="O379" s="107"/>
      <c r="P379" s="107"/>
      <c r="Q379" s="107"/>
    </row>
    <row r="380" spans="1:17" ht="16" thickBot="1" x14ac:dyDescent="0.25">
      <c r="A380" s="891" t="s">
        <v>2973</v>
      </c>
      <c r="B380" s="892"/>
      <c r="C380" s="892"/>
      <c r="D380" s="892"/>
      <c r="E380" s="187">
        <v>8936908</v>
      </c>
      <c r="F380" s="187">
        <v>916</v>
      </c>
      <c r="G380" s="189">
        <v>0.5</v>
      </c>
      <c r="H380" s="107"/>
      <c r="I380" s="107"/>
      <c r="J380" s="107"/>
      <c r="K380" s="107"/>
      <c r="L380" s="107"/>
      <c r="M380" s="107"/>
      <c r="N380" s="107"/>
      <c r="O380" s="107"/>
      <c r="P380" s="107"/>
      <c r="Q380" s="107"/>
    </row>
    <row r="381" spans="1:17" x14ac:dyDescent="0.2">
      <c r="A381" s="893"/>
      <c r="B381" s="894"/>
      <c r="C381" s="894"/>
      <c r="D381" s="894"/>
      <c r="E381" s="138">
        <f>+E379+E364+E359</f>
        <v>8936900</v>
      </c>
      <c r="F381" s="138">
        <f>+F379+F364+F359</f>
        <v>8916</v>
      </c>
      <c r="G381" s="139">
        <f>+G379+G364+G359</f>
        <v>0.5</v>
      </c>
      <c r="H381" s="107"/>
      <c r="I381" s="107"/>
      <c r="J381" s="107"/>
      <c r="K381" s="107"/>
      <c r="L381" s="107"/>
      <c r="M381" s="107"/>
      <c r="N381" s="107"/>
      <c r="O381" s="107"/>
      <c r="P381" s="107"/>
      <c r="Q381" s="107"/>
    </row>
    <row r="382" spans="1:17" x14ac:dyDescent="0.2">
      <c r="A382" s="661" t="s">
        <v>1364</v>
      </c>
      <c r="B382" s="662"/>
      <c r="C382" s="662"/>
      <c r="D382" s="662"/>
      <c r="E382" s="662"/>
      <c r="F382" s="662"/>
      <c r="G382" s="663"/>
      <c r="H382" s="107"/>
      <c r="I382" s="107"/>
      <c r="J382" s="107"/>
      <c r="K382" s="107"/>
      <c r="L382" s="107"/>
      <c r="M382" s="107"/>
      <c r="N382" s="107"/>
      <c r="O382" s="107"/>
      <c r="P382" s="107"/>
      <c r="Q382" s="107"/>
    </row>
    <row r="383" spans="1:17" x14ac:dyDescent="0.2">
      <c r="A383" s="566" t="s">
        <v>2974</v>
      </c>
      <c r="B383" s="567"/>
      <c r="C383" s="567"/>
      <c r="D383" s="567"/>
      <c r="E383" s="567"/>
      <c r="F383" s="567"/>
      <c r="G383" s="568"/>
      <c r="H383" s="107"/>
      <c r="I383" s="107"/>
      <c r="J383" s="107"/>
      <c r="K383" s="107"/>
      <c r="L383" s="107"/>
      <c r="M383" s="107"/>
      <c r="N383" s="107"/>
      <c r="O383" s="107"/>
      <c r="P383" s="107"/>
      <c r="Q383" s="107"/>
    </row>
    <row r="384" spans="1:17" x14ac:dyDescent="0.2">
      <c r="A384" s="140" t="s">
        <v>2975</v>
      </c>
      <c r="B384" s="145">
        <v>275769</v>
      </c>
      <c r="C384" s="145">
        <v>600</v>
      </c>
      <c r="D384" s="145"/>
      <c r="E384" s="145"/>
      <c r="F384" s="145"/>
      <c r="G384" s="307"/>
      <c r="H384" s="107"/>
      <c r="I384" s="107"/>
      <c r="J384" s="107"/>
      <c r="K384" s="107"/>
      <c r="L384" s="107"/>
      <c r="M384" s="107"/>
      <c r="N384" s="107"/>
      <c r="O384" s="107"/>
      <c r="P384" s="107"/>
      <c r="Q384" s="107"/>
    </row>
    <row r="385" spans="1:17" x14ac:dyDescent="0.2">
      <c r="A385" s="140" t="s">
        <v>2976</v>
      </c>
      <c r="B385" s="145">
        <v>872047</v>
      </c>
      <c r="C385" s="145">
        <v>65</v>
      </c>
      <c r="D385" s="145"/>
      <c r="E385" s="145"/>
      <c r="F385" s="145"/>
      <c r="G385" s="307"/>
      <c r="H385" s="107"/>
      <c r="I385" s="107"/>
      <c r="J385" s="107"/>
      <c r="K385" s="107"/>
      <c r="L385" s="107"/>
      <c r="M385" s="107"/>
      <c r="N385" s="107"/>
      <c r="O385" s="107"/>
      <c r="P385" s="107"/>
      <c r="Q385" s="107"/>
    </row>
    <row r="386" spans="1:17" x14ac:dyDescent="0.2">
      <c r="A386" s="140" t="s">
        <v>2243</v>
      </c>
      <c r="B386" s="145">
        <v>255823</v>
      </c>
      <c r="C386" s="145">
        <v>45</v>
      </c>
      <c r="D386" s="145"/>
      <c r="E386" s="145"/>
      <c r="F386" s="145"/>
      <c r="G386" s="307"/>
      <c r="H386" s="107"/>
      <c r="I386" s="107"/>
      <c r="J386" s="107"/>
      <c r="K386" s="107"/>
      <c r="L386" s="107"/>
      <c r="M386" s="107"/>
      <c r="N386" s="107"/>
      <c r="O386" s="107"/>
      <c r="P386" s="107"/>
      <c r="Q386" s="107"/>
    </row>
    <row r="387" spans="1:17" x14ac:dyDescent="0.2">
      <c r="A387" s="140" t="s">
        <v>2241</v>
      </c>
      <c r="B387" s="145">
        <v>471976</v>
      </c>
      <c r="C387" s="145">
        <v>850</v>
      </c>
      <c r="D387" s="145"/>
      <c r="E387" s="145"/>
      <c r="F387" s="145"/>
      <c r="G387" s="307"/>
      <c r="H387" s="107"/>
      <c r="I387" s="107"/>
      <c r="J387" s="107"/>
      <c r="K387" s="107"/>
      <c r="L387" s="107"/>
      <c r="M387" s="107"/>
      <c r="N387" s="107"/>
      <c r="O387" s="107"/>
      <c r="P387" s="107"/>
      <c r="Q387" s="107"/>
    </row>
    <row r="388" spans="1:17" x14ac:dyDescent="0.2">
      <c r="A388" s="140" t="s">
        <v>2977</v>
      </c>
      <c r="B388" s="145">
        <v>40551</v>
      </c>
      <c r="C388" s="145">
        <v>380</v>
      </c>
      <c r="D388" s="145"/>
      <c r="E388" s="145"/>
      <c r="F388" s="145"/>
      <c r="G388" s="307"/>
      <c r="H388" s="107"/>
      <c r="I388" s="107"/>
      <c r="J388" s="107"/>
      <c r="K388" s="107"/>
      <c r="L388" s="107"/>
      <c r="M388" s="107"/>
      <c r="N388" s="107"/>
      <c r="O388" s="107"/>
      <c r="P388" s="107"/>
      <c r="Q388" s="107"/>
    </row>
    <row r="389" spans="1:17" x14ac:dyDescent="0.2">
      <c r="A389" s="140" t="s">
        <v>2978</v>
      </c>
      <c r="B389" s="145">
        <v>1060</v>
      </c>
      <c r="C389" s="145"/>
      <c r="D389" s="145"/>
      <c r="E389" s="145"/>
      <c r="F389" s="145"/>
      <c r="G389" s="307"/>
      <c r="H389" s="107"/>
      <c r="I389" s="107"/>
      <c r="J389" s="107"/>
      <c r="K389" s="107"/>
      <c r="L389" s="107"/>
      <c r="M389" s="107"/>
      <c r="N389" s="107"/>
      <c r="O389" s="107"/>
      <c r="P389" s="107"/>
      <c r="Q389" s="107"/>
    </row>
    <row r="390" spans="1:17" x14ac:dyDescent="0.2">
      <c r="A390" s="140" t="s">
        <v>2979</v>
      </c>
      <c r="B390" s="145">
        <v>1917</v>
      </c>
      <c r="C390" s="145"/>
      <c r="D390" s="145"/>
      <c r="E390" s="145"/>
      <c r="F390" s="145"/>
      <c r="G390" s="307"/>
      <c r="H390" s="107"/>
      <c r="I390" s="107"/>
      <c r="J390" s="107"/>
      <c r="K390" s="107"/>
      <c r="L390" s="107"/>
      <c r="M390" s="107"/>
      <c r="N390" s="107"/>
      <c r="O390" s="107"/>
      <c r="P390" s="107"/>
      <c r="Q390" s="107"/>
    </row>
    <row r="391" spans="1:17" x14ac:dyDescent="0.2">
      <c r="A391" s="140" t="s">
        <v>2414</v>
      </c>
      <c r="B391" s="145">
        <v>2827</v>
      </c>
      <c r="C391" s="145"/>
      <c r="D391" s="145"/>
      <c r="E391" s="145"/>
      <c r="F391" s="145"/>
      <c r="G391" s="307"/>
      <c r="H391" s="107"/>
      <c r="I391" s="107"/>
      <c r="J391" s="107"/>
      <c r="K391" s="107"/>
      <c r="L391" s="107"/>
      <c r="M391" s="107"/>
      <c r="N391" s="107"/>
      <c r="O391" s="107"/>
      <c r="P391" s="107"/>
      <c r="Q391" s="107"/>
    </row>
    <row r="392" spans="1:17" x14ac:dyDescent="0.2">
      <c r="A392" s="140" t="s">
        <v>2948</v>
      </c>
      <c r="B392" s="145">
        <v>106678</v>
      </c>
      <c r="C392" s="145">
        <v>660</v>
      </c>
      <c r="D392" s="145"/>
      <c r="E392" s="145"/>
      <c r="F392" s="145"/>
      <c r="G392" s="307"/>
      <c r="H392" s="107"/>
      <c r="I392" s="107"/>
      <c r="J392" s="107"/>
      <c r="K392" s="107"/>
      <c r="L392" s="107"/>
      <c r="M392" s="107"/>
      <c r="N392" s="107"/>
      <c r="O392" s="107"/>
      <c r="P392" s="107"/>
      <c r="Q392" s="107"/>
    </row>
    <row r="393" spans="1:17" x14ac:dyDescent="0.2">
      <c r="A393" s="140" t="s">
        <v>2980</v>
      </c>
      <c r="B393" s="145">
        <v>89627</v>
      </c>
      <c r="C393" s="145">
        <v>110</v>
      </c>
      <c r="D393" s="145"/>
      <c r="E393" s="145"/>
      <c r="F393" s="145"/>
      <c r="G393" s="307"/>
      <c r="H393" s="107"/>
      <c r="I393" s="107"/>
      <c r="J393" s="107"/>
      <c r="K393" s="107"/>
      <c r="L393" s="107"/>
      <c r="M393" s="107"/>
      <c r="N393" s="107"/>
      <c r="O393" s="107"/>
      <c r="P393" s="107"/>
      <c r="Q393" s="107"/>
    </row>
    <row r="394" spans="1:17" x14ac:dyDescent="0.2">
      <c r="A394" s="140" t="s">
        <v>2981</v>
      </c>
      <c r="B394" s="145">
        <v>164604</v>
      </c>
      <c r="C394" s="145">
        <v>275</v>
      </c>
      <c r="D394" s="145"/>
      <c r="E394" s="145"/>
      <c r="F394" s="145"/>
      <c r="G394" s="307"/>
      <c r="H394" s="107"/>
      <c r="I394" s="107"/>
      <c r="J394" s="107"/>
      <c r="K394" s="107"/>
      <c r="L394" s="107"/>
      <c r="M394" s="107"/>
      <c r="N394" s="107"/>
      <c r="O394" s="107"/>
      <c r="P394" s="107"/>
      <c r="Q394" s="107"/>
    </row>
    <row r="395" spans="1:17" x14ac:dyDescent="0.2">
      <c r="A395" s="140" t="s">
        <v>2982</v>
      </c>
      <c r="B395" s="145">
        <v>388</v>
      </c>
      <c r="C395" s="145">
        <v>600</v>
      </c>
      <c r="D395" s="145"/>
      <c r="E395" s="145"/>
      <c r="F395" s="145"/>
      <c r="G395" s="307"/>
      <c r="H395" s="107"/>
      <c r="I395" s="107"/>
      <c r="J395" s="107"/>
      <c r="K395" s="107"/>
      <c r="L395" s="107"/>
      <c r="M395" s="107"/>
      <c r="N395" s="107"/>
      <c r="O395" s="107"/>
      <c r="P395" s="107"/>
      <c r="Q395" s="107"/>
    </row>
    <row r="396" spans="1:17" x14ac:dyDescent="0.2">
      <c r="A396" s="140" t="s">
        <v>2951</v>
      </c>
      <c r="B396" s="145">
        <v>5565</v>
      </c>
      <c r="C396" s="145">
        <v>800</v>
      </c>
      <c r="D396" s="145"/>
      <c r="E396" s="145"/>
      <c r="F396" s="145"/>
      <c r="G396" s="307"/>
      <c r="H396" s="107"/>
      <c r="I396" s="107"/>
      <c r="J396" s="107"/>
      <c r="K396" s="107"/>
      <c r="L396" s="107"/>
      <c r="M396" s="107"/>
      <c r="N396" s="107"/>
      <c r="O396" s="107"/>
      <c r="P396" s="107"/>
      <c r="Q396" s="107"/>
    </row>
    <row r="397" spans="1:17" x14ac:dyDescent="0.2">
      <c r="A397" s="140" t="s">
        <v>2262</v>
      </c>
      <c r="B397" s="145">
        <v>115334</v>
      </c>
      <c r="C397" s="145">
        <v>590</v>
      </c>
      <c r="D397" s="145"/>
      <c r="E397" s="145"/>
      <c r="F397" s="145"/>
      <c r="G397" s="307"/>
      <c r="H397" s="107"/>
      <c r="I397" s="107"/>
      <c r="J397" s="107"/>
      <c r="K397" s="107"/>
      <c r="L397" s="107"/>
      <c r="M397" s="107"/>
      <c r="N397" s="107"/>
      <c r="O397" s="107"/>
      <c r="P397" s="107"/>
      <c r="Q397" s="107"/>
    </row>
    <row r="398" spans="1:17" x14ac:dyDescent="0.2">
      <c r="A398" s="140" t="s">
        <v>2246</v>
      </c>
      <c r="B398" s="145">
        <v>112126</v>
      </c>
      <c r="C398" s="145">
        <v>535</v>
      </c>
      <c r="D398" s="145"/>
      <c r="E398" s="145"/>
      <c r="F398" s="145"/>
      <c r="G398" s="307"/>
      <c r="H398" s="107"/>
      <c r="I398" s="107"/>
      <c r="J398" s="107"/>
      <c r="K398" s="107"/>
      <c r="L398" s="107"/>
      <c r="M398" s="107"/>
      <c r="N398" s="107"/>
      <c r="O398" s="107"/>
      <c r="P398" s="107"/>
      <c r="Q398" s="107"/>
    </row>
    <row r="399" spans="1:17" ht="16" thickBot="1" x14ac:dyDescent="0.25">
      <c r="A399" s="140" t="s">
        <v>2952</v>
      </c>
      <c r="B399" s="187">
        <v>300</v>
      </c>
      <c r="C399" s="187"/>
      <c r="D399" s="187"/>
      <c r="E399" s="145">
        <v>2516597</v>
      </c>
      <c r="F399" s="145">
        <v>510</v>
      </c>
      <c r="G399" s="133"/>
      <c r="H399" s="107"/>
      <c r="I399" s="107"/>
      <c r="J399" s="107"/>
      <c r="K399" s="107"/>
      <c r="L399" s="107"/>
      <c r="M399" s="107"/>
      <c r="N399" s="107"/>
      <c r="O399" s="107"/>
      <c r="P399" s="107"/>
      <c r="Q399" s="107"/>
    </row>
    <row r="400" spans="1:17" x14ac:dyDescent="0.2">
      <c r="A400" s="140"/>
      <c r="B400" s="145"/>
      <c r="C400" s="145"/>
      <c r="D400" s="145"/>
      <c r="E400" s="138">
        <f>+SUM(B384:B399)</f>
        <v>2516592</v>
      </c>
      <c r="F400" s="138">
        <f>+SUM(C384:C399)</f>
        <v>5510</v>
      </c>
      <c r="G400" s="139">
        <f>+SUM(D384:D399)</f>
        <v>0</v>
      </c>
      <c r="H400" s="107"/>
      <c r="I400" s="107"/>
      <c r="J400" s="107"/>
      <c r="K400" s="107"/>
      <c r="L400" s="107"/>
      <c r="M400" s="107"/>
      <c r="N400" s="107"/>
      <c r="O400" s="107"/>
      <c r="P400" s="107"/>
      <c r="Q400" s="107"/>
    </row>
    <row r="401" spans="1:17" x14ac:dyDescent="0.2">
      <c r="A401" s="566" t="s">
        <v>2983</v>
      </c>
      <c r="B401" s="567"/>
      <c r="C401" s="567"/>
      <c r="D401" s="567"/>
      <c r="E401" s="567"/>
      <c r="F401" s="567"/>
      <c r="G401" s="568"/>
      <c r="H401" s="107"/>
      <c r="I401" s="107"/>
      <c r="J401" s="107"/>
      <c r="K401" s="107"/>
      <c r="L401" s="107"/>
      <c r="M401" s="107"/>
      <c r="N401" s="107"/>
      <c r="O401" s="107"/>
      <c r="P401" s="107"/>
      <c r="Q401" s="107"/>
    </row>
    <row r="402" spans="1:17" x14ac:dyDescent="0.2">
      <c r="A402" s="140" t="s">
        <v>2984</v>
      </c>
      <c r="B402" s="145">
        <v>199</v>
      </c>
      <c r="C402" s="145">
        <v>60</v>
      </c>
      <c r="D402" s="145"/>
      <c r="E402" s="145"/>
      <c r="F402" s="145"/>
      <c r="G402" s="307"/>
      <c r="H402" s="107"/>
      <c r="I402" s="107"/>
      <c r="J402" s="107"/>
      <c r="K402" s="107"/>
      <c r="L402" s="107"/>
      <c r="M402" s="107"/>
      <c r="N402" s="107"/>
      <c r="O402" s="107"/>
      <c r="P402" s="107"/>
      <c r="Q402" s="107"/>
    </row>
    <row r="403" spans="1:17" x14ac:dyDescent="0.2">
      <c r="A403" s="140" t="s">
        <v>2985</v>
      </c>
      <c r="B403" s="145">
        <v>11630</v>
      </c>
      <c r="C403" s="145">
        <v>215</v>
      </c>
      <c r="D403" s="180"/>
      <c r="E403" s="145"/>
      <c r="F403" s="145"/>
      <c r="G403" s="307"/>
      <c r="H403" s="107"/>
      <c r="I403" s="107"/>
      <c r="J403" s="107"/>
      <c r="K403" s="107"/>
      <c r="L403" s="107"/>
      <c r="M403" s="107"/>
      <c r="N403" s="107"/>
      <c r="O403" s="107"/>
      <c r="P403" s="107"/>
      <c r="Q403" s="107"/>
    </row>
    <row r="404" spans="1:17" x14ac:dyDescent="0.2">
      <c r="A404" s="140" t="s">
        <v>2986</v>
      </c>
      <c r="B404" s="145">
        <v>10348</v>
      </c>
      <c r="C404" s="145">
        <v>587</v>
      </c>
      <c r="D404" s="180">
        <v>0.5</v>
      </c>
      <c r="E404" s="145"/>
      <c r="F404" s="145"/>
      <c r="G404" s="307"/>
      <c r="H404" s="107"/>
      <c r="I404" s="107"/>
      <c r="J404" s="107"/>
      <c r="K404" s="107"/>
      <c r="L404" s="107"/>
      <c r="M404" s="107"/>
      <c r="N404" s="107"/>
      <c r="O404" s="107"/>
      <c r="P404" s="107"/>
      <c r="Q404" s="107"/>
    </row>
    <row r="405" spans="1:17" x14ac:dyDescent="0.2">
      <c r="A405" s="140" t="s">
        <v>2987</v>
      </c>
      <c r="B405" s="145">
        <v>26193</v>
      </c>
      <c r="C405" s="145">
        <v>897</v>
      </c>
      <c r="D405" s="180">
        <v>0.5</v>
      </c>
      <c r="E405" s="145"/>
      <c r="F405" s="145"/>
      <c r="G405" s="307"/>
      <c r="H405" s="107"/>
      <c r="I405" s="107"/>
      <c r="J405" s="107"/>
      <c r="K405" s="107"/>
      <c r="L405" s="107"/>
      <c r="M405" s="107"/>
      <c r="N405" s="107"/>
      <c r="O405" s="107"/>
      <c r="P405" s="107"/>
      <c r="Q405" s="107"/>
    </row>
    <row r="406" spans="1:17" x14ac:dyDescent="0.2">
      <c r="A406" s="140" t="s">
        <v>2975</v>
      </c>
      <c r="B406" s="145">
        <v>62340</v>
      </c>
      <c r="C406" s="145">
        <v>322</v>
      </c>
      <c r="D406" s="180">
        <v>0.5</v>
      </c>
      <c r="E406" s="145"/>
      <c r="F406" s="145"/>
      <c r="G406" s="307"/>
      <c r="H406" s="107"/>
      <c r="I406" s="107"/>
      <c r="J406" s="107"/>
      <c r="K406" s="107"/>
      <c r="L406" s="107"/>
      <c r="M406" s="107"/>
      <c r="N406" s="107"/>
      <c r="O406" s="107"/>
      <c r="P406" s="107"/>
      <c r="Q406" s="107"/>
    </row>
    <row r="407" spans="1:17" x14ac:dyDescent="0.2">
      <c r="A407" s="140" t="s">
        <v>2976</v>
      </c>
      <c r="B407" s="145">
        <v>82379</v>
      </c>
      <c r="C407" s="145">
        <v>322</v>
      </c>
      <c r="D407" s="180">
        <v>0.5</v>
      </c>
      <c r="E407" s="145"/>
      <c r="F407" s="145"/>
      <c r="G407" s="307"/>
      <c r="H407" s="107"/>
      <c r="I407" s="107"/>
      <c r="J407" s="107"/>
      <c r="K407" s="107"/>
      <c r="L407" s="107"/>
      <c r="M407" s="107"/>
      <c r="N407" s="107"/>
      <c r="O407" s="107"/>
      <c r="P407" s="107"/>
      <c r="Q407" s="107"/>
    </row>
    <row r="408" spans="1:17" x14ac:dyDescent="0.2">
      <c r="A408" s="140" t="s">
        <v>2243</v>
      </c>
      <c r="B408" s="145">
        <v>201273</v>
      </c>
      <c r="C408" s="145">
        <v>422</v>
      </c>
      <c r="D408" s="180">
        <v>0.5</v>
      </c>
      <c r="E408" s="145"/>
      <c r="F408" s="145"/>
      <c r="G408" s="307"/>
      <c r="H408" s="107"/>
      <c r="I408" s="107"/>
      <c r="J408" s="107"/>
      <c r="K408" s="107"/>
      <c r="L408" s="107"/>
      <c r="M408" s="107"/>
      <c r="N408" s="107"/>
      <c r="O408" s="107"/>
      <c r="P408" s="107"/>
      <c r="Q408" s="107"/>
    </row>
    <row r="409" spans="1:17" x14ac:dyDescent="0.2">
      <c r="A409" s="140" t="s">
        <v>2988</v>
      </c>
      <c r="B409" s="145">
        <v>5301</v>
      </c>
      <c r="C409" s="145">
        <v>975</v>
      </c>
      <c r="D409" s="180"/>
      <c r="E409" s="145"/>
      <c r="F409" s="145"/>
      <c r="G409" s="307"/>
      <c r="H409" s="107"/>
      <c r="I409" s="107"/>
      <c r="J409" s="107"/>
      <c r="K409" s="107"/>
      <c r="L409" s="107"/>
      <c r="M409" s="107"/>
      <c r="N409" s="107"/>
      <c r="O409" s="107"/>
      <c r="P409" s="107"/>
      <c r="Q409" s="107"/>
    </row>
    <row r="410" spans="1:17" x14ac:dyDescent="0.2">
      <c r="A410" s="140" t="s">
        <v>2989</v>
      </c>
      <c r="B410" s="145">
        <v>57066</v>
      </c>
      <c r="C410" s="145">
        <v>35</v>
      </c>
      <c r="D410" s="180"/>
      <c r="E410" s="145"/>
      <c r="F410" s="145"/>
      <c r="G410" s="307"/>
      <c r="H410" s="107"/>
      <c r="I410" s="107"/>
      <c r="J410" s="107"/>
      <c r="K410" s="107"/>
      <c r="L410" s="107"/>
      <c r="M410" s="107"/>
      <c r="N410" s="107"/>
      <c r="O410" s="107"/>
      <c r="P410" s="107"/>
      <c r="Q410" s="107"/>
    </row>
    <row r="411" spans="1:17" x14ac:dyDescent="0.2">
      <c r="A411" s="140" t="s">
        <v>2990</v>
      </c>
      <c r="B411" s="145">
        <v>727</v>
      </c>
      <c r="C411" s="145">
        <v>147</v>
      </c>
      <c r="D411" s="180">
        <v>0.5</v>
      </c>
      <c r="E411" s="145"/>
      <c r="F411" s="145"/>
      <c r="G411" s="307"/>
      <c r="H411" s="107"/>
      <c r="I411" s="107"/>
      <c r="J411" s="107"/>
      <c r="K411" s="107"/>
      <c r="L411" s="107"/>
      <c r="M411" s="107"/>
      <c r="N411" s="107"/>
      <c r="O411" s="107"/>
      <c r="P411" s="107"/>
      <c r="Q411" s="107"/>
    </row>
    <row r="412" spans="1:17" x14ac:dyDescent="0.2">
      <c r="A412" s="140" t="s">
        <v>2951</v>
      </c>
      <c r="B412" s="145">
        <v>2475</v>
      </c>
      <c r="C412" s="145">
        <v>112</v>
      </c>
      <c r="D412" s="180">
        <v>0.5</v>
      </c>
      <c r="E412" s="145"/>
      <c r="F412" s="145"/>
      <c r="G412" s="307"/>
      <c r="H412" s="107"/>
      <c r="I412" s="107"/>
      <c r="J412" s="107"/>
      <c r="K412" s="107"/>
      <c r="L412" s="107"/>
      <c r="M412" s="107"/>
      <c r="N412" s="107"/>
      <c r="O412" s="107"/>
      <c r="P412" s="107"/>
      <c r="Q412" s="107"/>
    </row>
    <row r="413" spans="1:17" x14ac:dyDescent="0.2">
      <c r="A413" s="140" t="s">
        <v>2262</v>
      </c>
      <c r="B413" s="145">
        <v>294827</v>
      </c>
      <c r="C413" s="145">
        <v>525</v>
      </c>
      <c r="D413" s="180"/>
      <c r="E413" s="145"/>
      <c r="F413" s="145"/>
      <c r="G413" s="307"/>
      <c r="H413" s="107"/>
      <c r="I413" s="107"/>
      <c r="J413" s="107"/>
      <c r="K413" s="107"/>
      <c r="L413" s="107"/>
      <c r="M413" s="107"/>
      <c r="N413" s="107"/>
      <c r="O413" s="107"/>
      <c r="P413" s="107"/>
      <c r="Q413" s="107"/>
    </row>
    <row r="414" spans="1:17" x14ac:dyDescent="0.2">
      <c r="A414" s="140" t="s">
        <v>2954</v>
      </c>
      <c r="B414" s="145">
        <v>7327</v>
      </c>
      <c r="C414" s="145">
        <v>805</v>
      </c>
      <c r="D414" s="180"/>
      <c r="E414" s="145"/>
      <c r="F414" s="145"/>
      <c r="G414" s="307"/>
      <c r="H414" s="107"/>
      <c r="I414" s="107"/>
      <c r="J414" s="107"/>
      <c r="K414" s="107"/>
      <c r="L414" s="107"/>
      <c r="M414" s="107"/>
      <c r="N414" s="107"/>
      <c r="O414" s="107"/>
      <c r="P414" s="107"/>
      <c r="Q414" s="107"/>
    </row>
    <row r="415" spans="1:17" x14ac:dyDescent="0.2">
      <c r="A415" s="140" t="s">
        <v>1453</v>
      </c>
      <c r="B415" s="145">
        <v>112</v>
      </c>
      <c r="C415" s="145">
        <v>800</v>
      </c>
      <c r="D415" s="180"/>
      <c r="E415" s="145"/>
      <c r="F415" s="145"/>
      <c r="G415" s="307"/>
      <c r="H415" s="107"/>
      <c r="I415" s="107"/>
      <c r="J415" s="107"/>
      <c r="K415" s="107"/>
      <c r="L415" s="107"/>
      <c r="M415" s="107"/>
      <c r="N415" s="107"/>
      <c r="O415" s="107"/>
      <c r="P415" s="107"/>
      <c r="Q415" s="107"/>
    </row>
    <row r="416" spans="1:17" ht="16" thickBot="1" x14ac:dyDescent="0.25">
      <c r="A416" s="140" t="s">
        <v>2246</v>
      </c>
      <c r="B416" s="187">
        <v>813782</v>
      </c>
      <c r="C416" s="187">
        <v>177</v>
      </c>
      <c r="D416" s="190">
        <v>0.5</v>
      </c>
      <c r="E416" s="145">
        <v>1575985</v>
      </c>
      <c r="F416" s="145">
        <v>305</v>
      </c>
      <c r="G416" s="307"/>
      <c r="H416" s="107"/>
      <c r="I416" s="107"/>
      <c r="J416" s="107"/>
      <c r="K416" s="107"/>
      <c r="L416" s="107"/>
      <c r="M416" s="107"/>
      <c r="N416" s="107"/>
      <c r="O416" s="107"/>
      <c r="P416" s="107"/>
      <c r="Q416" s="107"/>
    </row>
    <row r="417" spans="1:17" x14ac:dyDescent="0.2">
      <c r="A417" s="140"/>
      <c r="B417" s="145"/>
      <c r="C417" s="145"/>
      <c r="D417" s="145"/>
      <c r="E417" s="138">
        <f>+SUM(B402:B416)</f>
        <v>1575979</v>
      </c>
      <c r="F417" s="413">
        <f>+SUM(C402:C416)</f>
        <v>6401</v>
      </c>
      <c r="G417" s="139">
        <f>+SUM(D402:D416)</f>
        <v>4</v>
      </c>
      <c r="H417" s="107"/>
      <c r="I417" s="107"/>
      <c r="J417" s="107"/>
      <c r="K417" s="107"/>
      <c r="L417" s="107"/>
      <c r="M417" s="107"/>
      <c r="N417" s="107"/>
      <c r="O417" s="107"/>
      <c r="P417" s="107"/>
      <c r="Q417" s="107"/>
    </row>
    <row r="418" spans="1:17" x14ac:dyDescent="0.2">
      <c r="A418" s="566" t="s">
        <v>2991</v>
      </c>
      <c r="B418" s="567"/>
      <c r="C418" s="567"/>
      <c r="D418" s="567"/>
      <c r="E418" s="567"/>
      <c r="F418" s="567"/>
      <c r="G418" s="568"/>
      <c r="H418" s="107"/>
      <c r="I418" s="107"/>
      <c r="J418" s="107"/>
      <c r="K418" s="107"/>
      <c r="L418" s="107"/>
      <c r="M418" s="107"/>
      <c r="N418" s="107"/>
      <c r="O418" s="107"/>
      <c r="P418" s="107"/>
      <c r="Q418" s="107"/>
    </row>
    <row r="419" spans="1:17" x14ac:dyDescent="0.2">
      <c r="A419" s="140" t="s">
        <v>2992</v>
      </c>
      <c r="B419" s="145">
        <v>33</v>
      </c>
      <c r="C419" s="145">
        <v>600</v>
      </c>
      <c r="D419" s="145"/>
      <c r="E419" s="145"/>
      <c r="F419" s="145"/>
      <c r="G419" s="307"/>
      <c r="H419" s="107"/>
      <c r="I419" s="107"/>
      <c r="J419" s="107"/>
      <c r="K419" s="107"/>
      <c r="L419" s="107"/>
      <c r="M419" s="107"/>
      <c r="N419" s="107"/>
      <c r="O419" s="107"/>
      <c r="P419" s="107"/>
      <c r="Q419" s="107"/>
    </row>
    <row r="420" spans="1:17" x14ac:dyDescent="0.2">
      <c r="A420" s="140" t="s">
        <v>2984</v>
      </c>
      <c r="B420" s="145">
        <v>139</v>
      </c>
      <c r="C420" s="145">
        <v>200</v>
      </c>
      <c r="D420" s="145"/>
      <c r="E420" s="145"/>
      <c r="F420" s="145"/>
      <c r="G420" s="307"/>
      <c r="H420" s="107"/>
      <c r="I420" s="107"/>
      <c r="J420" s="107"/>
      <c r="K420" s="107"/>
      <c r="L420" s="107"/>
      <c r="M420" s="107"/>
      <c r="N420" s="107"/>
      <c r="O420" s="107"/>
      <c r="P420" s="107"/>
      <c r="Q420" s="107"/>
    </row>
    <row r="421" spans="1:17" x14ac:dyDescent="0.2">
      <c r="A421" s="140" t="s">
        <v>2985</v>
      </c>
      <c r="B421" s="145">
        <v>119</v>
      </c>
      <c r="C421" s="145">
        <v>897</v>
      </c>
      <c r="D421" s="180">
        <v>0.5</v>
      </c>
      <c r="E421" s="145"/>
      <c r="F421" s="145"/>
      <c r="G421" s="307"/>
      <c r="H421" s="107"/>
      <c r="I421" s="107"/>
      <c r="J421" s="107"/>
      <c r="K421" s="107"/>
      <c r="L421" s="107"/>
      <c r="M421" s="107"/>
      <c r="N421" s="107"/>
      <c r="O421" s="107"/>
      <c r="P421" s="107"/>
      <c r="Q421" s="107"/>
    </row>
    <row r="422" spans="1:17" x14ac:dyDescent="0.2">
      <c r="A422" s="140" t="s">
        <v>2986</v>
      </c>
      <c r="B422" s="145">
        <v>1553</v>
      </c>
      <c r="C422" s="145">
        <v>950</v>
      </c>
      <c r="D422" s="180"/>
      <c r="E422" s="145"/>
      <c r="F422" s="145"/>
      <c r="G422" s="307"/>
      <c r="H422" s="107"/>
      <c r="I422" s="107"/>
      <c r="J422" s="107"/>
      <c r="K422" s="107"/>
      <c r="L422" s="107"/>
      <c r="M422" s="107"/>
      <c r="N422" s="107"/>
      <c r="O422" s="107"/>
      <c r="P422" s="107"/>
      <c r="Q422" s="107"/>
    </row>
    <row r="423" spans="1:17" x14ac:dyDescent="0.2">
      <c r="A423" s="140" t="s">
        <v>2987</v>
      </c>
      <c r="B423" s="145">
        <v>9084</v>
      </c>
      <c r="C423" s="145">
        <v>625</v>
      </c>
      <c r="D423" s="180"/>
      <c r="E423" s="145"/>
      <c r="F423" s="145"/>
      <c r="G423" s="307"/>
      <c r="H423" s="107"/>
      <c r="I423" s="107"/>
      <c r="J423" s="107"/>
      <c r="K423" s="107"/>
      <c r="L423" s="107"/>
      <c r="M423" s="107"/>
      <c r="N423" s="107"/>
      <c r="O423" s="107"/>
      <c r="P423" s="107"/>
      <c r="Q423" s="107"/>
    </row>
    <row r="424" spans="1:17" x14ac:dyDescent="0.2">
      <c r="A424" s="140" t="s">
        <v>2975</v>
      </c>
      <c r="B424" s="145">
        <v>40165</v>
      </c>
      <c r="C424" s="145">
        <v>625</v>
      </c>
      <c r="D424" s="180"/>
      <c r="E424" s="145"/>
      <c r="F424" s="145"/>
      <c r="G424" s="307"/>
      <c r="H424" s="107"/>
      <c r="I424" s="107"/>
      <c r="J424" s="107"/>
      <c r="K424" s="107"/>
      <c r="L424" s="107"/>
      <c r="M424" s="107"/>
      <c r="N424" s="107"/>
      <c r="O424" s="107"/>
      <c r="P424" s="107"/>
      <c r="Q424" s="107"/>
    </row>
    <row r="425" spans="1:17" x14ac:dyDescent="0.2">
      <c r="A425" s="140" t="s">
        <v>2976</v>
      </c>
      <c r="B425" s="145">
        <v>56409</v>
      </c>
      <c r="C425" s="145">
        <v>200</v>
      </c>
      <c r="D425" s="180"/>
      <c r="E425" s="145"/>
      <c r="F425" s="145"/>
      <c r="G425" s="307"/>
      <c r="H425" s="107"/>
      <c r="I425" s="107"/>
      <c r="J425" s="107"/>
      <c r="K425" s="107"/>
      <c r="L425" s="107"/>
      <c r="M425" s="107"/>
      <c r="N425" s="107"/>
      <c r="O425" s="107"/>
      <c r="P425" s="107"/>
      <c r="Q425" s="107"/>
    </row>
    <row r="426" spans="1:17" x14ac:dyDescent="0.2">
      <c r="A426" s="140" t="s">
        <v>2243</v>
      </c>
      <c r="B426" s="145">
        <v>129546</v>
      </c>
      <c r="C426" s="145">
        <v>132</v>
      </c>
      <c r="D426" s="180">
        <v>0.5</v>
      </c>
      <c r="E426" s="145"/>
      <c r="F426" s="145"/>
      <c r="G426" s="307"/>
      <c r="H426" s="107"/>
      <c r="I426" s="107"/>
      <c r="J426" s="107"/>
      <c r="K426" s="107"/>
      <c r="L426" s="107"/>
      <c r="M426" s="107"/>
      <c r="N426" s="107"/>
      <c r="O426" s="107"/>
      <c r="P426" s="107"/>
      <c r="Q426" s="107"/>
    </row>
    <row r="427" spans="1:17" x14ac:dyDescent="0.2">
      <c r="A427" s="140" t="s">
        <v>2414</v>
      </c>
      <c r="B427" s="145">
        <v>400</v>
      </c>
      <c r="C427" s="145"/>
      <c r="D427" s="180"/>
      <c r="E427" s="145"/>
      <c r="F427" s="145"/>
      <c r="G427" s="307"/>
      <c r="H427" s="107"/>
      <c r="I427" s="107"/>
      <c r="J427" s="107"/>
      <c r="K427" s="107"/>
      <c r="L427" s="107"/>
      <c r="M427" s="107"/>
      <c r="N427" s="107"/>
      <c r="O427" s="107"/>
      <c r="P427" s="107"/>
      <c r="Q427" s="107"/>
    </row>
    <row r="428" spans="1:17" x14ac:dyDescent="0.2">
      <c r="A428" s="140" t="s">
        <v>2262</v>
      </c>
      <c r="B428" s="145">
        <v>9724</v>
      </c>
      <c r="C428" s="145">
        <v>890</v>
      </c>
      <c r="D428" s="180"/>
      <c r="E428" s="145"/>
      <c r="F428" s="145"/>
      <c r="G428" s="307"/>
      <c r="H428" s="107"/>
      <c r="I428" s="107"/>
      <c r="J428" s="107"/>
      <c r="K428" s="107"/>
      <c r="L428" s="107"/>
      <c r="M428" s="107"/>
      <c r="N428" s="107"/>
      <c r="O428" s="107"/>
      <c r="P428" s="107"/>
      <c r="Q428" s="107"/>
    </row>
    <row r="429" spans="1:17" x14ac:dyDescent="0.2">
      <c r="A429" s="140" t="s">
        <v>2246</v>
      </c>
      <c r="B429" s="141">
        <v>135025</v>
      </c>
      <c r="C429" s="141">
        <v>957</v>
      </c>
      <c r="D429" s="180">
        <f>1/2</f>
        <v>0.5</v>
      </c>
      <c r="E429" s="145"/>
      <c r="F429" s="145"/>
      <c r="G429" s="307"/>
      <c r="H429" s="107"/>
      <c r="I429" s="107"/>
      <c r="J429" s="107"/>
      <c r="K429" s="107"/>
      <c r="L429" s="107"/>
      <c r="M429" s="107"/>
      <c r="N429" s="107"/>
      <c r="O429" s="107"/>
      <c r="P429" s="107"/>
      <c r="Q429" s="107"/>
    </row>
    <row r="430" spans="1:17" ht="16" thickBot="1" x14ac:dyDescent="0.25">
      <c r="A430" s="140" t="s">
        <v>2952</v>
      </c>
      <c r="B430" s="187">
        <v>662</v>
      </c>
      <c r="C430" s="187">
        <v>500</v>
      </c>
      <c r="D430" s="190"/>
      <c r="E430" s="145">
        <v>382865</v>
      </c>
      <c r="F430" s="145">
        <v>577</v>
      </c>
      <c r="G430" s="133">
        <v>0.5</v>
      </c>
      <c r="H430" s="107"/>
      <c r="I430" s="107"/>
      <c r="J430" s="107"/>
      <c r="K430" s="107"/>
      <c r="L430" s="107"/>
      <c r="M430" s="107"/>
      <c r="N430" s="107"/>
      <c r="O430" s="107"/>
      <c r="P430" s="107"/>
      <c r="Q430" s="107"/>
    </row>
    <row r="431" spans="1:17" x14ac:dyDescent="0.2">
      <c r="A431" s="140"/>
      <c r="B431" s="145"/>
      <c r="C431" s="145"/>
      <c r="D431" s="145"/>
      <c r="E431" s="138">
        <f>+SUM(B419:B430)</f>
        <v>382859</v>
      </c>
      <c r="F431" s="138">
        <f>+SUM(C419:C430)</f>
        <v>6576</v>
      </c>
      <c r="G431" s="139">
        <f>+SUM(D419:D430)</f>
        <v>1.5</v>
      </c>
      <c r="H431" s="107"/>
      <c r="I431" s="107"/>
      <c r="J431" s="107"/>
      <c r="K431" s="107"/>
      <c r="L431" s="107"/>
      <c r="M431" s="107"/>
      <c r="N431" s="107"/>
      <c r="O431" s="107"/>
      <c r="P431" s="107"/>
      <c r="Q431" s="107"/>
    </row>
    <row r="432" spans="1:17" x14ac:dyDescent="0.2">
      <c r="A432" s="566" t="s">
        <v>2993</v>
      </c>
      <c r="B432" s="567"/>
      <c r="C432" s="567"/>
      <c r="D432" s="567"/>
      <c r="E432" s="567"/>
      <c r="F432" s="567"/>
      <c r="G432" s="568"/>
      <c r="H432" s="107"/>
      <c r="I432" s="107"/>
      <c r="J432" s="107"/>
      <c r="K432" s="107"/>
      <c r="L432" s="107"/>
      <c r="M432" s="107"/>
      <c r="N432" s="107"/>
      <c r="O432" s="107"/>
      <c r="P432" s="107"/>
      <c r="Q432" s="107"/>
    </row>
    <row r="433" spans="1:17" x14ac:dyDescent="0.2">
      <c r="A433" s="140" t="s">
        <v>2243</v>
      </c>
      <c r="B433" s="145">
        <v>22148</v>
      </c>
      <c r="C433" s="145">
        <v>627</v>
      </c>
      <c r="D433" s="180">
        <v>0.5</v>
      </c>
      <c r="E433" s="145"/>
      <c r="F433" s="145"/>
      <c r="G433" s="307"/>
      <c r="H433" s="107"/>
      <c r="I433" s="107"/>
      <c r="J433" s="107"/>
      <c r="K433" s="107"/>
      <c r="L433" s="107"/>
      <c r="M433" s="107"/>
      <c r="N433" s="107"/>
      <c r="O433" s="107"/>
      <c r="P433" s="107"/>
      <c r="Q433" s="107"/>
    </row>
    <row r="434" spans="1:17" ht="16" thickBot="1" x14ac:dyDescent="0.25">
      <c r="A434" s="140" t="s">
        <v>2262</v>
      </c>
      <c r="B434" s="187">
        <v>32174</v>
      </c>
      <c r="C434" s="187">
        <v>155</v>
      </c>
      <c r="D434" s="187"/>
      <c r="E434" s="145">
        <v>54322</v>
      </c>
      <c r="F434" s="145">
        <v>782</v>
      </c>
      <c r="G434" s="133">
        <v>0.5</v>
      </c>
      <c r="H434" s="107"/>
      <c r="I434" s="107"/>
      <c r="J434" s="107"/>
      <c r="K434" s="107"/>
      <c r="L434" s="107"/>
      <c r="M434" s="107"/>
      <c r="N434" s="107"/>
      <c r="O434" s="107"/>
      <c r="P434" s="107"/>
      <c r="Q434" s="107"/>
    </row>
    <row r="435" spans="1:17" x14ac:dyDescent="0.2">
      <c r="A435" s="140"/>
      <c r="B435" s="145"/>
      <c r="C435" s="145"/>
      <c r="D435" s="145"/>
      <c r="E435" s="138">
        <f>+SUM(B433:B434)</f>
        <v>54322</v>
      </c>
      <c r="F435" s="138">
        <f>+SUM(C433:C434)</f>
        <v>782</v>
      </c>
      <c r="G435" s="139">
        <f>+SUM(D433:D434)</f>
        <v>0.5</v>
      </c>
      <c r="H435" s="107"/>
      <c r="I435" s="107"/>
      <c r="J435" s="107"/>
      <c r="K435" s="107"/>
      <c r="L435" s="107"/>
      <c r="M435" s="107"/>
      <c r="N435" s="107"/>
      <c r="O435" s="107"/>
      <c r="P435" s="107"/>
      <c r="Q435" s="107"/>
    </row>
    <row r="436" spans="1:17" x14ac:dyDescent="0.2">
      <c r="A436" s="566" t="s">
        <v>2994</v>
      </c>
      <c r="B436" s="567"/>
      <c r="C436" s="567"/>
      <c r="D436" s="567"/>
      <c r="E436" s="567"/>
      <c r="F436" s="567"/>
      <c r="G436" s="568"/>
      <c r="H436" s="107"/>
      <c r="I436" s="107"/>
      <c r="J436" s="107"/>
      <c r="K436" s="107"/>
      <c r="L436" s="107"/>
      <c r="M436" s="107"/>
      <c r="N436" s="107"/>
      <c r="O436" s="107"/>
      <c r="P436" s="107"/>
      <c r="Q436" s="107"/>
    </row>
    <row r="437" spans="1:17" x14ac:dyDescent="0.2">
      <c r="A437" s="140" t="s">
        <v>2987</v>
      </c>
      <c r="B437" s="145">
        <v>514</v>
      </c>
      <c r="C437" s="145"/>
      <c r="D437" s="145"/>
      <c r="E437" s="145"/>
      <c r="F437" s="145"/>
      <c r="G437" s="307"/>
      <c r="H437" s="107"/>
      <c r="I437" s="107"/>
      <c r="J437" s="107"/>
      <c r="K437" s="107"/>
      <c r="L437" s="107"/>
      <c r="M437" s="107"/>
      <c r="N437" s="107"/>
      <c r="O437" s="107"/>
      <c r="P437" s="107"/>
      <c r="Q437" s="107"/>
    </row>
    <row r="438" spans="1:17" x14ac:dyDescent="0.2">
      <c r="A438" s="140" t="s">
        <v>2975</v>
      </c>
      <c r="B438" s="145">
        <v>2306</v>
      </c>
      <c r="C438" s="145">
        <v>50</v>
      </c>
      <c r="D438" s="145"/>
      <c r="E438" s="145"/>
      <c r="F438" s="145"/>
      <c r="G438" s="307"/>
      <c r="H438" s="107"/>
      <c r="I438" s="107"/>
      <c r="J438" s="107"/>
      <c r="K438" s="107"/>
      <c r="L438" s="107"/>
      <c r="M438" s="107"/>
      <c r="N438" s="107"/>
      <c r="O438" s="107"/>
      <c r="P438" s="107"/>
      <c r="Q438" s="107"/>
    </row>
    <row r="439" spans="1:17" x14ac:dyDescent="0.2">
      <c r="A439" s="140" t="s">
        <v>2976</v>
      </c>
      <c r="B439" s="145">
        <v>28491</v>
      </c>
      <c r="C439" s="145">
        <v>802</v>
      </c>
      <c r="D439" s="145"/>
      <c r="E439" s="145"/>
      <c r="F439" s="145"/>
      <c r="G439" s="307"/>
      <c r="H439" s="107"/>
      <c r="I439" s="107"/>
      <c r="J439" s="107"/>
      <c r="K439" s="107"/>
      <c r="L439" s="107"/>
      <c r="M439" s="107"/>
      <c r="N439" s="107"/>
      <c r="O439" s="107"/>
      <c r="P439" s="107"/>
      <c r="Q439" s="107"/>
    </row>
    <row r="440" spans="1:17" x14ac:dyDescent="0.2">
      <c r="A440" s="140" t="s">
        <v>2243</v>
      </c>
      <c r="B440" s="145">
        <v>884</v>
      </c>
      <c r="C440" s="145">
        <v>725</v>
      </c>
      <c r="D440" s="145"/>
      <c r="E440" s="145"/>
      <c r="F440" s="145"/>
      <c r="G440" s="307"/>
      <c r="H440" s="107"/>
      <c r="I440" s="107"/>
      <c r="J440" s="107"/>
      <c r="K440" s="107"/>
      <c r="L440" s="107"/>
      <c r="M440" s="107"/>
      <c r="N440" s="107"/>
      <c r="O440" s="107"/>
      <c r="P440" s="107"/>
      <c r="Q440" s="107"/>
    </row>
    <row r="441" spans="1:17" x14ac:dyDescent="0.2">
      <c r="A441" s="140" t="s">
        <v>2960</v>
      </c>
      <c r="B441" s="145">
        <v>197341</v>
      </c>
      <c r="C441" s="145">
        <v>666</v>
      </c>
      <c r="D441" s="180">
        <v>0.5</v>
      </c>
      <c r="E441" s="145"/>
      <c r="F441" s="145"/>
      <c r="G441" s="307"/>
      <c r="H441" s="107"/>
      <c r="I441" s="107"/>
      <c r="J441" s="107"/>
      <c r="K441" s="107"/>
      <c r="L441" s="107"/>
      <c r="M441" s="107"/>
      <c r="N441" s="107"/>
      <c r="O441" s="107"/>
      <c r="P441" s="107"/>
      <c r="Q441" s="107"/>
    </row>
    <row r="442" spans="1:17" x14ac:dyDescent="0.2">
      <c r="A442" s="140" t="s">
        <v>2951</v>
      </c>
      <c r="B442" s="141">
        <v>24887</v>
      </c>
      <c r="C442" s="141">
        <v>46</v>
      </c>
      <c r="E442" s="145"/>
      <c r="F442" s="145"/>
      <c r="G442" s="307"/>
      <c r="H442" s="107"/>
      <c r="I442" s="107"/>
      <c r="J442" s="107"/>
      <c r="K442" s="107"/>
      <c r="L442" s="107"/>
      <c r="M442" s="107"/>
      <c r="N442" s="107"/>
      <c r="O442" s="107"/>
      <c r="P442" s="107"/>
      <c r="Q442" s="107"/>
    </row>
    <row r="443" spans="1:17" ht="16" thickBot="1" x14ac:dyDescent="0.25">
      <c r="A443" s="140" t="s">
        <v>2246</v>
      </c>
      <c r="B443" s="187">
        <v>75156</v>
      </c>
      <c r="C443" s="187">
        <v>506</v>
      </c>
      <c r="D443" s="187"/>
      <c r="E443" s="145">
        <v>329581</v>
      </c>
      <c r="F443" s="145">
        <v>795</v>
      </c>
      <c r="G443" s="133">
        <v>0.5</v>
      </c>
      <c r="H443" s="107"/>
      <c r="I443" s="107"/>
      <c r="J443" s="107"/>
      <c r="K443" s="107"/>
      <c r="L443" s="107"/>
      <c r="M443" s="107"/>
      <c r="N443" s="107"/>
      <c r="O443" s="107"/>
      <c r="P443" s="107"/>
      <c r="Q443" s="107"/>
    </row>
    <row r="444" spans="1:17" x14ac:dyDescent="0.2">
      <c r="A444" s="140"/>
      <c r="B444" s="145"/>
      <c r="C444" s="145"/>
      <c r="D444" s="145"/>
      <c r="E444" s="138">
        <f>+SUM(B437:B443)</f>
        <v>329579</v>
      </c>
      <c r="F444" s="138">
        <f>+SUM(C437:C443)</f>
        <v>2795</v>
      </c>
      <c r="G444" s="139">
        <f>+SUM(D437:D443)</f>
        <v>0.5</v>
      </c>
      <c r="H444" s="107"/>
      <c r="I444" s="107"/>
      <c r="J444" s="107"/>
      <c r="K444" s="107"/>
      <c r="L444" s="107"/>
      <c r="M444" s="107"/>
      <c r="N444" s="107"/>
      <c r="O444" s="107"/>
      <c r="P444" s="107"/>
      <c r="Q444" s="107"/>
    </row>
    <row r="445" spans="1:17" x14ac:dyDescent="0.2">
      <c r="A445" s="566" t="s">
        <v>2995</v>
      </c>
      <c r="B445" s="567"/>
      <c r="C445" s="567"/>
      <c r="D445" s="567"/>
      <c r="E445" s="567"/>
      <c r="F445" s="567"/>
      <c r="G445" s="568"/>
      <c r="H445" s="107"/>
      <c r="I445" s="107"/>
      <c r="J445" s="107"/>
      <c r="K445" s="107"/>
      <c r="L445" s="107"/>
      <c r="M445" s="107"/>
      <c r="N445" s="107"/>
      <c r="O445" s="107"/>
      <c r="P445" s="107"/>
      <c r="Q445" s="107"/>
    </row>
    <row r="446" spans="1:17" x14ac:dyDescent="0.2">
      <c r="A446" s="140" t="s">
        <v>2243</v>
      </c>
      <c r="B446" s="145">
        <v>36855</v>
      </c>
      <c r="C446" s="145">
        <v>450</v>
      </c>
      <c r="D446" s="145"/>
      <c r="E446" s="145"/>
      <c r="F446" s="145"/>
      <c r="G446" s="307"/>
      <c r="H446" s="107"/>
      <c r="I446" s="107"/>
      <c r="J446" s="107"/>
      <c r="K446" s="107"/>
      <c r="L446" s="107"/>
      <c r="M446" s="107"/>
      <c r="N446" s="107"/>
      <c r="O446" s="107"/>
      <c r="P446" s="107"/>
      <c r="Q446" s="107"/>
    </row>
    <row r="447" spans="1:17" x14ac:dyDescent="0.2">
      <c r="A447" s="140" t="s">
        <v>2241</v>
      </c>
      <c r="B447" s="145">
        <v>206566</v>
      </c>
      <c r="C447" s="145">
        <v>667</v>
      </c>
      <c r="D447" s="180">
        <v>0.5</v>
      </c>
      <c r="E447" s="145"/>
      <c r="F447" s="145"/>
      <c r="G447" s="307"/>
      <c r="H447" s="107"/>
      <c r="I447" s="107"/>
      <c r="J447" s="107"/>
      <c r="K447" s="107"/>
      <c r="L447" s="107"/>
      <c r="M447" s="107"/>
      <c r="N447" s="107"/>
      <c r="O447" s="107"/>
      <c r="P447" s="107"/>
      <c r="Q447" s="107"/>
    </row>
    <row r="448" spans="1:17" ht="16" thickBot="1" x14ac:dyDescent="0.25">
      <c r="A448" s="140" t="s">
        <v>2246</v>
      </c>
      <c r="B448" s="187">
        <v>1428273</v>
      </c>
      <c r="C448" s="187">
        <v>30</v>
      </c>
      <c r="D448" s="187"/>
      <c r="E448" s="145">
        <v>1671695</v>
      </c>
      <c r="F448" s="145">
        <v>147</v>
      </c>
      <c r="G448" s="133">
        <v>0.5</v>
      </c>
      <c r="H448" s="107"/>
      <c r="I448" s="107"/>
      <c r="J448" s="107"/>
      <c r="K448" s="107"/>
      <c r="L448" s="107"/>
      <c r="M448" s="107"/>
      <c r="N448" s="107"/>
      <c r="O448" s="107"/>
      <c r="P448" s="107"/>
      <c r="Q448" s="107"/>
    </row>
    <row r="449" spans="1:17" x14ac:dyDescent="0.2">
      <c r="A449" s="140"/>
      <c r="B449" s="145"/>
      <c r="C449" s="145"/>
      <c r="D449" s="145"/>
      <c r="E449" s="138">
        <f>+SUM(B446:B448)</f>
        <v>1671694</v>
      </c>
      <c r="F449" s="138">
        <f>+SUM(C446:C448)</f>
        <v>1147</v>
      </c>
      <c r="G449" s="139">
        <f>+SUM(D446:D448)</f>
        <v>0.5</v>
      </c>
      <c r="H449" s="107"/>
      <c r="I449" s="107"/>
      <c r="J449" s="107"/>
      <c r="K449" s="107"/>
      <c r="L449" s="107"/>
      <c r="M449" s="107"/>
      <c r="N449" s="107"/>
      <c r="O449" s="107"/>
      <c r="P449" s="107"/>
      <c r="Q449" s="107"/>
    </row>
    <row r="450" spans="1:17" x14ac:dyDescent="0.2">
      <c r="A450" s="566" t="s">
        <v>2996</v>
      </c>
      <c r="B450" s="567"/>
      <c r="C450" s="567"/>
      <c r="D450" s="567"/>
      <c r="E450" s="567"/>
      <c r="F450" s="567"/>
      <c r="G450" s="568"/>
      <c r="H450" s="107"/>
      <c r="I450" s="107"/>
      <c r="J450" s="107"/>
      <c r="K450" s="107"/>
      <c r="L450" s="107"/>
      <c r="M450" s="107"/>
      <c r="N450" s="107"/>
      <c r="O450" s="107"/>
      <c r="P450" s="107"/>
      <c r="Q450" s="107"/>
    </row>
    <row r="451" spans="1:17" x14ac:dyDescent="0.2">
      <c r="A451" s="140" t="s">
        <v>2976</v>
      </c>
      <c r="B451" s="145">
        <v>151881</v>
      </c>
      <c r="C451" s="145">
        <v>875</v>
      </c>
      <c r="D451" s="145"/>
      <c r="E451" s="145"/>
      <c r="F451" s="145"/>
      <c r="G451" s="307"/>
      <c r="H451" s="107"/>
      <c r="I451" s="107"/>
      <c r="J451" s="107"/>
      <c r="K451" s="107"/>
      <c r="L451" s="107"/>
      <c r="M451" s="107"/>
      <c r="N451" s="107"/>
      <c r="O451" s="107"/>
      <c r="P451" s="107"/>
      <c r="Q451" s="107"/>
    </row>
    <row r="452" spans="1:17" x14ac:dyDescent="0.2">
      <c r="A452" s="140" t="s">
        <v>2243</v>
      </c>
      <c r="B452" s="145">
        <v>13331</v>
      </c>
      <c r="C452" s="145">
        <v>380</v>
      </c>
      <c r="D452" s="145"/>
      <c r="E452" s="145"/>
      <c r="F452" s="145"/>
      <c r="G452" s="307"/>
      <c r="H452" s="107"/>
      <c r="I452" s="107"/>
      <c r="J452" s="107"/>
      <c r="K452" s="107"/>
      <c r="L452" s="107"/>
      <c r="M452" s="107"/>
      <c r="N452" s="107"/>
      <c r="O452" s="107"/>
      <c r="P452" s="107"/>
      <c r="Q452" s="107"/>
    </row>
    <row r="453" spans="1:17" x14ac:dyDescent="0.2">
      <c r="A453" s="140" t="s">
        <v>2997</v>
      </c>
      <c r="B453" s="145">
        <v>1301894</v>
      </c>
      <c r="C453" s="145">
        <v>835</v>
      </c>
      <c r="D453" s="145"/>
      <c r="E453" s="145"/>
      <c r="F453" s="145"/>
      <c r="G453" s="307"/>
      <c r="H453" s="107"/>
      <c r="I453" s="107"/>
      <c r="J453" s="107"/>
      <c r="K453" s="107"/>
      <c r="L453" s="107"/>
      <c r="M453" s="107"/>
      <c r="N453" s="107"/>
      <c r="O453" s="107"/>
      <c r="P453" s="107"/>
      <c r="Q453" s="107"/>
    </row>
    <row r="454" spans="1:17" x14ac:dyDescent="0.2">
      <c r="A454" s="140" t="s">
        <v>2951</v>
      </c>
      <c r="B454" s="145">
        <v>357227</v>
      </c>
      <c r="C454" s="145">
        <v>290</v>
      </c>
      <c r="D454" s="145"/>
      <c r="E454" s="145"/>
      <c r="F454" s="145"/>
      <c r="G454" s="307"/>
      <c r="H454" s="107"/>
      <c r="I454" s="107"/>
      <c r="J454" s="107"/>
      <c r="K454" s="107"/>
      <c r="L454" s="107"/>
      <c r="M454" s="107"/>
      <c r="N454" s="107"/>
      <c r="O454" s="107"/>
      <c r="P454" s="107"/>
      <c r="Q454" s="107"/>
    </row>
    <row r="455" spans="1:17" x14ac:dyDescent="0.2">
      <c r="A455" s="140" t="s">
        <v>2998</v>
      </c>
      <c r="B455" s="145">
        <v>14854</v>
      </c>
      <c r="C455" s="145">
        <v>600</v>
      </c>
      <c r="D455" s="145"/>
      <c r="E455" s="145"/>
      <c r="F455" s="145"/>
      <c r="G455" s="307"/>
      <c r="H455" s="107"/>
      <c r="I455" s="107"/>
      <c r="J455" s="107"/>
      <c r="K455" s="107"/>
      <c r="L455" s="107"/>
      <c r="M455" s="107"/>
      <c r="N455" s="107"/>
      <c r="O455" s="107"/>
      <c r="P455" s="107"/>
      <c r="Q455" s="107"/>
    </row>
    <row r="456" spans="1:17" x14ac:dyDescent="0.2">
      <c r="A456" s="140" t="s">
        <v>2246</v>
      </c>
      <c r="B456" s="145">
        <v>409166</v>
      </c>
      <c r="C456" s="145">
        <v>585</v>
      </c>
      <c r="D456" s="145"/>
      <c r="E456" s="145"/>
      <c r="F456" s="145"/>
      <c r="G456" s="307"/>
      <c r="H456" s="107"/>
      <c r="I456" s="107"/>
      <c r="J456" s="107"/>
      <c r="K456" s="107"/>
      <c r="L456" s="107"/>
      <c r="M456" s="107"/>
      <c r="N456" s="107"/>
      <c r="O456" s="107"/>
      <c r="P456" s="107"/>
      <c r="Q456" s="107"/>
    </row>
    <row r="457" spans="1:17" ht="16" thickBot="1" x14ac:dyDescent="0.25">
      <c r="A457" s="140" t="s">
        <v>2999</v>
      </c>
      <c r="B457" s="187">
        <v>1412</v>
      </c>
      <c r="C457" s="187">
        <v>940</v>
      </c>
      <c r="D457" s="187"/>
      <c r="E457" s="145">
        <v>2249769</v>
      </c>
      <c r="F457" s="145">
        <v>505</v>
      </c>
      <c r="G457" s="307"/>
      <c r="H457" s="107"/>
      <c r="I457" s="107"/>
      <c r="J457" s="107"/>
      <c r="K457" s="107"/>
      <c r="L457" s="107"/>
      <c r="M457" s="107"/>
      <c r="N457" s="107"/>
      <c r="O457" s="107"/>
      <c r="P457" s="107"/>
      <c r="Q457" s="107"/>
    </row>
    <row r="458" spans="1:17" x14ac:dyDescent="0.2">
      <c r="A458" s="140"/>
      <c r="B458" s="145"/>
      <c r="C458" s="145"/>
      <c r="D458" s="145"/>
      <c r="E458" s="138">
        <f>+SUM(B451:B457)</f>
        <v>2249765</v>
      </c>
      <c r="F458" s="138">
        <f>+SUM(C451:C457)</f>
        <v>4505</v>
      </c>
      <c r="G458" s="139">
        <f>+SUM(D451:D457)</f>
        <v>0</v>
      </c>
      <c r="H458" s="107"/>
      <c r="I458" s="107"/>
      <c r="J458" s="107"/>
      <c r="K458" s="107"/>
      <c r="L458" s="107"/>
      <c r="M458" s="107"/>
      <c r="N458" s="107"/>
      <c r="O458" s="107"/>
      <c r="P458" s="107"/>
      <c r="Q458" s="107"/>
    </row>
    <row r="459" spans="1:17" x14ac:dyDescent="0.2">
      <c r="A459" s="566" t="s">
        <v>3000</v>
      </c>
      <c r="B459" s="567"/>
      <c r="C459" s="567"/>
      <c r="D459" s="567"/>
      <c r="E459" s="567"/>
      <c r="F459" s="567"/>
      <c r="G459" s="568"/>
      <c r="H459" s="107"/>
      <c r="I459" s="107"/>
      <c r="J459" s="107"/>
      <c r="K459" s="107"/>
      <c r="L459" s="107"/>
      <c r="M459" s="107"/>
      <c r="N459" s="107"/>
      <c r="O459" s="107"/>
      <c r="P459" s="107"/>
      <c r="Q459" s="107"/>
    </row>
    <row r="460" spans="1:17" x14ac:dyDescent="0.2">
      <c r="A460" s="140" t="s">
        <v>3001</v>
      </c>
      <c r="B460" s="145">
        <v>47442</v>
      </c>
      <c r="C460" s="145">
        <v>119</v>
      </c>
      <c r="D460" s="180">
        <v>0.5</v>
      </c>
      <c r="E460" s="145"/>
      <c r="F460" s="145"/>
      <c r="G460" s="307"/>
      <c r="H460" s="107"/>
      <c r="I460" s="107"/>
      <c r="J460" s="107"/>
      <c r="K460" s="107"/>
      <c r="L460" s="107"/>
      <c r="M460" s="107"/>
      <c r="N460" s="107"/>
      <c r="O460" s="107"/>
      <c r="P460" s="107"/>
      <c r="Q460" s="107"/>
    </row>
    <row r="461" spans="1:17" x14ac:dyDescent="0.2">
      <c r="A461" s="140" t="s">
        <v>2937</v>
      </c>
      <c r="B461" s="145">
        <v>56981</v>
      </c>
      <c r="C461" s="145">
        <v>853</v>
      </c>
      <c r="D461" s="180"/>
      <c r="E461" s="145"/>
      <c r="F461" s="145"/>
      <c r="G461" s="307"/>
      <c r="H461" s="107"/>
      <c r="I461" s="107"/>
      <c r="J461" s="107"/>
      <c r="K461" s="107"/>
      <c r="L461" s="107"/>
      <c r="M461" s="107"/>
      <c r="N461" s="107"/>
      <c r="O461" s="107"/>
      <c r="P461" s="107"/>
      <c r="Q461" s="107"/>
    </row>
    <row r="462" spans="1:17" x14ac:dyDescent="0.2">
      <c r="A462" s="140" t="s">
        <v>2938</v>
      </c>
      <c r="B462" s="145">
        <v>2881</v>
      </c>
      <c r="C462" s="145">
        <v>105</v>
      </c>
      <c r="D462" s="180"/>
      <c r="E462" s="145"/>
      <c r="F462" s="145"/>
      <c r="G462" s="307"/>
      <c r="H462" s="107"/>
      <c r="I462" s="107"/>
      <c r="J462" s="107"/>
      <c r="K462" s="107"/>
      <c r="L462" s="107"/>
      <c r="M462" s="107"/>
      <c r="N462" s="107"/>
      <c r="O462" s="107"/>
      <c r="P462" s="107"/>
      <c r="Q462" s="107"/>
    </row>
    <row r="463" spans="1:17" x14ac:dyDescent="0.2">
      <c r="A463" s="140" t="s">
        <v>2939</v>
      </c>
      <c r="B463" s="145">
        <v>49</v>
      </c>
      <c r="C463" s="145">
        <v>650</v>
      </c>
      <c r="D463" s="180"/>
      <c r="E463" s="145"/>
      <c r="F463" s="145"/>
      <c r="G463" s="307"/>
      <c r="H463" s="107"/>
      <c r="I463" s="107"/>
      <c r="J463" s="107"/>
      <c r="K463" s="107"/>
      <c r="L463" s="107"/>
      <c r="M463" s="107"/>
      <c r="N463" s="107"/>
      <c r="O463" s="107"/>
      <c r="P463" s="107"/>
      <c r="Q463" s="107"/>
    </row>
    <row r="464" spans="1:17" x14ac:dyDescent="0.2">
      <c r="A464" s="140" t="s">
        <v>2940</v>
      </c>
      <c r="B464" s="145">
        <v>13056</v>
      </c>
      <c r="C464" s="145">
        <v>798</v>
      </c>
      <c r="D464" s="180">
        <v>0.5</v>
      </c>
      <c r="E464" s="145"/>
      <c r="F464" s="145"/>
      <c r="G464" s="307"/>
      <c r="H464" s="107"/>
      <c r="I464" s="107"/>
      <c r="J464" s="107"/>
      <c r="K464" s="107"/>
      <c r="L464" s="107"/>
      <c r="M464" s="107"/>
      <c r="N464" s="107"/>
      <c r="O464" s="107"/>
      <c r="P464" s="107"/>
      <c r="Q464" s="107"/>
    </row>
    <row r="465" spans="1:17" x14ac:dyDescent="0.2">
      <c r="A465" s="140" t="s">
        <v>2941</v>
      </c>
      <c r="B465" s="145">
        <v>846</v>
      </c>
      <c r="C465" s="145">
        <v>417</v>
      </c>
      <c r="D465" s="180">
        <v>0.5</v>
      </c>
      <c r="E465" s="145"/>
      <c r="F465" s="145"/>
      <c r="G465" s="307"/>
      <c r="H465" s="107"/>
      <c r="I465" s="107"/>
      <c r="J465" s="107"/>
      <c r="K465" s="107"/>
      <c r="L465" s="107"/>
      <c r="M465" s="107"/>
      <c r="N465" s="107"/>
      <c r="O465" s="107"/>
      <c r="P465" s="107"/>
      <c r="Q465" s="107"/>
    </row>
    <row r="466" spans="1:17" ht="16" thickBot="1" x14ac:dyDescent="0.25">
      <c r="A466" s="140" t="s">
        <v>2942</v>
      </c>
      <c r="B466" s="187">
        <v>35433</v>
      </c>
      <c r="C466" s="187">
        <v>350</v>
      </c>
      <c r="D466" s="187"/>
      <c r="E466" s="187">
        <v>156091</v>
      </c>
      <c r="F466" s="187">
        <v>293</v>
      </c>
      <c r="G466" s="189">
        <v>0.5</v>
      </c>
      <c r="H466" s="107"/>
      <c r="I466" s="107"/>
      <c r="J466" s="107"/>
      <c r="K466" s="107"/>
      <c r="L466" s="107"/>
      <c r="M466" s="107"/>
      <c r="N466" s="107"/>
      <c r="O466" s="107"/>
      <c r="P466" s="107"/>
      <c r="Q466" s="107"/>
    </row>
    <row r="467" spans="1:17" x14ac:dyDescent="0.2">
      <c r="A467" s="140"/>
      <c r="B467" s="145"/>
      <c r="C467" s="145"/>
      <c r="D467" s="145"/>
      <c r="E467" s="413">
        <f>+SUM(B460:B466)</f>
        <v>156688</v>
      </c>
      <c r="F467" s="413">
        <f>+SUM(C460:C466)</f>
        <v>3292</v>
      </c>
      <c r="G467" s="895">
        <f>+SUM(D460:D466)</f>
        <v>1.5</v>
      </c>
      <c r="H467" s="107"/>
      <c r="I467" s="107"/>
      <c r="J467" s="107"/>
      <c r="K467" s="107"/>
      <c r="L467" s="107"/>
      <c r="M467" s="107"/>
      <c r="N467" s="107"/>
      <c r="O467" s="107"/>
      <c r="P467" s="107"/>
      <c r="Q467" s="107"/>
    </row>
    <row r="468" spans="1:17" ht="16" thickBot="1" x14ac:dyDescent="0.25">
      <c r="A468" s="797" t="s">
        <v>3002</v>
      </c>
      <c r="B468" s="798"/>
      <c r="C468" s="798"/>
      <c r="D468" s="798"/>
      <c r="E468" s="187">
        <v>8936908</v>
      </c>
      <c r="F468" s="187">
        <v>916</v>
      </c>
      <c r="G468" s="189">
        <v>0.5</v>
      </c>
      <c r="H468" s="107"/>
      <c r="I468" s="107"/>
      <c r="J468" s="107"/>
      <c r="K468" s="107"/>
      <c r="L468" s="107"/>
      <c r="M468" s="107"/>
      <c r="N468" s="107"/>
      <c r="O468" s="107"/>
      <c r="P468" s="107"/>
      <c r="Q468" s="107"/>
    </row>
    <row r="469" spans="1:17" x14ac:dyDescent="0.2">
      <c r="A469" s="897"/>
      <c r="B469" s="657"/>
      <c r="C469" s="657"/>
      <c r="D469" s="657"/>
      <c r="E469" s="413">
        <f>+E467+E458+E449+E444+E435+E431+E417+E400</f>
        <v>8937478</v>
      </c>
      <c r="F469" s="413">
        <f>+F467+F458+F449+F444+F435+F431+F417+F400</f>
        <v>31008</v>
      </c>
      <c r="G469" s="413">
        <f>+G467+G458+G449+G444+G435+G431+G417+G400</f>
        <v>8.5</v>
      </c>
      <c r="H469" s="107"/>
      <c r="I469" s="107"/>
      <c r="J469" s="107"/>
      <c r="K469" s="107"/>
      <c r="L469" s="107"/>
      <c r="M469" s="107"/>
      <c r="N469" s="107"/>
      <c r="O469" s="107"/>
      <c r="P469" s="107"/>
      <c r="Q469" s="107"/>
    </row>
    <row r="470" spans="1:17" x14ac:dyDescent="0.2">
      <c r="A470" s="661" t="s">
        <v>3003</v>
      </c>
      <c r="B470" s="662"/>
      <c r="C470" s="662"/>
      <c r="D470" s="662"/>
      <c r="E470" s="662"/>
      <c r="F470" s="662"/>
      <c r="G470" s="663"/>
      <c r="H470" s="107"/>
      <c r="I470" s="107"/>
      <c r="J470" s="107"/>
      <c r="K470" s="107"/>
      <c r="L470" s="107"/>
      <c r="M470" s="107"/>
      <c r="N470" s="107"/>
      <c r="O470" s="107"/>
      <c r="P470" s="107"/>
      <c r="Q470" s="107"/>
    </row>
    <row r="471" spans="1:17" x14ac:dyDescent="0.2">
      <c r="A471" s="140" t="s">
        <v>3004</v>
      </c>
      <c r="B471" s="145">
        <v>33</v>
      </c>
      <c r="C471" s="145">
        <v>600</v>
      </c>
      <c r="D471" s="145"/>
      <c r="E471" s="145"/>
      <c r="F471" s="145"/>
      <c r="G471" s="307"/>
      <c r="H471" s="107"/>
      <c r="I471" s="107"/>
      <c r="J471" s="107"/>
      <c r="K471" s="107"/>
      <c r="L471" s="107"/>
      <c r="M471" s="107"/>
      <c r="N471" s="107"/>
      <c r="O471" s="107"/>
      <c r="P471" s="107"/>
      <c r="Q471" s="107"/>
    </row>
    <row r="472" spans="1:17" x14ac:dyDescent="0.2">
      <c r="A472" s="140" t="s">
        <v>3005</v>
      </c>
      <c r="B472" s="145">
        <v>338</v>
      </c>
      <c r="C472" s="145">
        <v>260</v>
      </c>
      <c r="D472" s="145"/>
      <c r="E472" s="145"/>
      <c r="F472" s="145"/>
      <c r="G472" s="307"/>
      <c r="H472" s="107"/>
      <c r="I472" s="107"/>
      <c r="J472" s="107"/>
      <c r="K472" s="107"/>
      <c r="L472" s="107"/>
      <c r="M472" s="107"/>
      <c r="N472" s="107"/>
      <c r="O472" s="107"/>
      <c r="P472" s="107"/>
      <c r="Q472" s="107"/>
    </row>
    <row r="473" spans="1:17" x14ac:dyDescent="0.2">
      <c r="A473" s="140" t="s">
        <v>3006</v>
      </c>
      <c r="B473" s="145">
        <v>11750</v>
      </c>
      <c r="C473" s="145">
        <v>112</v>
      </c>
      <c r="D473" s="180">
        <v>0.5</v>
      </c>
      <c r="E473" s="145"/>
      <c r="F473" s="145"/>
      <c r="G473" s="307"/>
      <c r="H473" s="107"/>
      <c r="I473" s="107"/>
      <c r="J473" s="107"/>
      <c r="K473" s="107"/>
      <c r="L473" s="107"/>
      <c r="M473" s="107"/>
      <c r="N473" s="107"/>
      <c r="O473" s="107"/>
      <c r="P473" s="107"/>
      <c r="Q473" s="107"/>
    </row>
    <row r="474" spans="1:17" x14ac:dyDescent="0.2">
      <c r="A474" s="140" t="s">
        <v>3007</v>
      </c>
      <c r="B474" s="145">
        <v>11902</v>
      </c>
      <c r="C474" s="145">
        <v>537</v>
      </c>
      <c r="D474" s="180">
        <v>0.5</v>
      </c>
      <c r="E474" s="145"/>
      <c r="F474" s="145"/>
      <c r="G474" s="307"/>
      <c r="H474" s="107"/>
      <c r="I474" s="107"/>
      <c r="J474" s="107"/>
      <c r="K474" s="107"/>
      <c r="L474" s="107"/>
      <c r="M474" s="107"/>
      <c r="N474" s="107"/>
      <c r="O474" s="107"/>
      <c r="P474" s="107"/>
      <c r="Q474" s="107"/>
    </row>
    <row r="475" spans="1:17" x14ac:dyDescent="0.2">
      <c r="A475" s="140" t="s">
        <v>3008</v>
      </c>
      <c r="B475" s="145">
        <v>35792</v>
      </c>
      <c r="C475" s="145">
        <v>522</v>
      </c>
      <c r="D475" s="180">
        <v>0.5</v>
      </c>
      <c r="E475" s="145"/>
      <c r="F475" s="145"/>
      <c r="G475" s="307"/>
      <c r="H475" s="107"/>
      <c r="I475" s="107"/>
      <c r="J475" s="107"/>
      <c r="K475" s="107"/>
      <c r="L475" s="107"/>
      <c r="M475" s="107"/>
      <c r="N475" s="107"/>
      <c r="O475" s="107"/>
      <c r="P475" s="107"/>
      <c r="Q475" s="107"/>
    </row>
    <row r="476" spans="1:17" x14ac:dyDescent="0.2">
      <c r="A476" s="140" t="s">
        <v>3009</v>
      </c>
      <c r="B476" s="145">
        <v>380581</v>
      </c>
      <c r="C476" s="145">
        <v>597</v>
      </c>
      <c r="D476" s="180">
        <v>0.5</v>
      </c>
      <c r="E476" s="145"/>
      <c r="F476" s="145"/>
      <c r="G476" s="307"/>
      <c r="H476" s="107"/>
      <c r="I476" s="107"/>
      <c r="J476" s="107"/>
      <c r="K476" s="107"/>
      <c r="L476" s="107"/>
      <c r="M476" s="107"/>
      <c r="N476" s="107"/>
      <c r="O476" s="107"/>
      <c r="P476" s="107"/>
      <c r="Q476" s="107"/>
    </row>
    <row r="477" spans="1:17" x14ac:dyDescent="0.2">
      <c r="A477" s="140" t="s">
        <v>3010</v>
      </c>
      <c r="B477" s="145">
        <v>1191209</v>
      </c>
      <c r="C477" s="145">
        <v>164</v>
      </c>
      <c r="D477" s="180">
        <v>0.5</v>
      </c>
      <c r="E477" s="145"/>
      <c r="F477" s="145"/>
      <c r="G477" s="307"/>
      <c r="H477" s="107"/>
      <c r="I477" s="107"/>
      <c r="J477" s="107"/>
      <c r="K477" s="107"/>
      <c r="L477" s="107"/>
      <c r="M477" s="107"/>
      <c r="N477" s="107"/>
      <c r="O477" s="107"/>
      <c r="P477" s="107"/>
      <c r="Q477" s="107"/>
    </row>
    <row r="478" spans="1:17" x14ac:dyDescent="0.2">
      <c r="A478" s="140" t="s">
        <v>2283</v>
      </c>
      <c r="B478" s="145">
        <v>678543</v>
      </c>
      <c r="C478" s="145">
        <v>517</v>
      </c>
      <c r="D478" s="180">
        <v>0.5</v>
      </c>
      <c r="E478" s="145"/>
      <c r="F478" s="145"/>
      <c r="G478" s="307"/>
      <c r="H478" s="107"/>
      <c r="I478" s="107"/>
      <c r="J478" s="107"/>
      <c r="K478" s="107"/>
      <c r="L478" s="107"/>
      <c r="M478" s="107"/>
      <c r="N478" s="107"/>
      <c r="O478" s="107"/>
      <c r="P478" s="107"/>
      <c r="Q478" s="107"/>
    </row>
    <row r="479" spans="1:17" x14ac:dyDescent="0.2">
      <c r="A479" s="140" t="s">
        <v>1844</v>
      </c>
      <c r="B479" s="145">
        <v>659862</v>
      </c>
      <c r="C479" s="145">
        <v>782</v>
      </c>
      <c r="D479" s="180">
        <v>0.5</v>
      </c>
      <c r="E479" s="145"/>
      <c r="F479" s="145"/>
      <c r="G479" s="307"/>
      <c r="H479" s="107"/>
      <c r="I479" s="107"/>
      <c r="J479" s="107"/>
      <c r="K479" s="107"/>
      <c r="L479" s="107"/>
      <c r="M479" s="107"/>
      <c r="N479" s="107"/>
      <c r="O479" s="107"/>
      <c r="P479" s="107"/>
      <c r="Q479" s="107"/>
    </row>
    <row r="480" spans="1:17" x14ac:dyDescent="0.2">
      <c r="A480" s="140" t="s">
        <v>3011</v>
      </c>
      <c r="B480" s="145">
        <v>40551</v>
      </c>
      <c r="C480" s="145">
        <v>380</v>
      </c>
      <c r="D480" s="180"/>
      <c r="E480" s="145"/>
      <c r="F480" s="145"/>
      <c r="G480" s="307"/>
      <c r="H480" s="107"/>
      <c r="I480" s="107"/>
      <c r="J480" s="107"/>
      <c r="K480" s="107"/>
      <c r="L480" s="107"/>
      <c r="M480" s="107"/>
      <c r="N480" s="107"/>
      <c r="O480" s="107"/>
      <c r="P480" s="107"/>
      <c r="Q480" s="107"/>
    </row>
    <row r="481" spans="1:17" x14ac:dyDescent="0.2">
      <c r="A481" s="140" t="s">
        <v>3012</v>
      </c>
      <c r="B481" s="145">
        <v>1060</v>
      </c>
      <c r="C481" s="145"/>
      <c r="D481" s="180"/>
      <c r="E481" s="145"/>
      <c r="F481" s="145"/>
      <c r="G481" s="307"/>
      <c r="H481" s="107"/>
      <c r="I481" s="107"/>
      <c r="J481" s="107"/>
      <c r="K481" s="107"/>
      <c r="L481" s="107"/>
      <c r="M481" s="107"/>
      <c r="N481" s="107"/>
      <c r="O481" s="107"/>
      <c r="P481" s="107"/>
      <c r="Q481" s="107"/>
    </row>
    <row r="482" spans="1:17" x14ac:dyDescent="0.2">
      <c r="A482" s="140" t="s">
        <v>3013</v>
      </c>
      <c r="B482" s="145">
        <v>1917</v>
      </c>
      <c r="C482" s="145"/>
      <c r="D482" s="180"/>
      <c r="E482" s="145"/>
      <c r="F482" s="145"/>
      <c r="G482" s="307"/>
      <c r="H482" s="107"/>
      <c r="I482" s="107"/>
      <c r="J482" s="107"/>
      <c r="K482" s="107"/>
      <c r="L482" s="107"/>
      <c r="M482" s="107"/>
      <c r="N482" s="107"/>
      <c r="O482" s="107"/>
      <c r="P482" s="107"/>
      <c r="Q482" s="107"/>
    </row>
    <row r="483" spans="1:17" x14ac:dyDescent="0.2">
      <c r="A483" s="140" t="s">
        <v>1423</v>
      </c>
      <c r="B483" s="145">
        <v>3227</v>
      </c>
      <c r="C483" s="145"/>
      <c r="D483" s="180"/>
      <c r="E483" s="145"/>
      <c r="F483" s="145"/>
      <c r="G483" s="307"/>
      <c r="H483" s="107"/>
      <c r="I483" s="107"/>
      <c r="J483" s="107"/>
      <c r="K483" s="107"/>
      <c r="L483" s="107"/>
      <c r="M483" s="107"/>
      <c r="N483" s="107"/>
      <c r="O483" s="107"/>
      <c r="P483" s="107"/>
      <c r="Q483" s="107"/>
    </row>
    <row r="484" spans="1:17" x14ac:dyDescent="0.2">
      <c r="A484" s="140" t="s">
        <v>2968</v>
      </c>
      <c r="B484" s="145">
        <v>106678</v>
      </c>
      <c r="C484" s="145">
        <v>660</v>
      </c>
      <c r="D484" s="180"/>
      <c r="E484" s="145"/>
      <c r="F484" s="145"/>
      <c r="G484" s="307"/>
      <c r="H484" s="107"/>
      <c r="I484" s="107"/>
      <c r="J484" s="107"/>
      <c r="K484" s="107"/>
      <c r="L484" s="107"/>
      <c r="M484" s="107"/>
      <c r="N484" s="107"/>
      <c r="O484" s="107"/>
      <c r="P484" s="107"/>
      <c r="Q484" s="107"/>
    </row>
    <row r="485" spans="1:17" x14ac:dyDescent="0.2">
      <c r="A485" s="140" t="s">
        <v>3014</v>
      </c>
      <c r="B485" s="145">
        <v>89627</v>
      </c>
      <c r="C485" s="145">
        <v>110</v>
      </c>
      <c r="D485" s="180"/>
      <c r="E485" s="145"/>
      <c r="F485" s="145"/>
      <c r="G485" s="307"/>
      <c r="H485" s="107"/>
      <c r="I485" s="107"/>
      <c r="J485" s="107"/>
      <c r="K485" s="107"/>
      <c r="L485" s="107"/>
      <c r="M485" s="107"/>
      <c r="N485" s="107"/>
      <c r="O485" s="107"/>
      <c r="P485" s="107"/>
      <c r="Q485" s="107"/>
    </row>
    <row r="486" spans="1:17" x14ac:dyDescent="0.2">
      <c r="A486" s="140" t="s">
        <v>3015</v>
      </c>
      <c r="B486" s="145">
        <v>164604</v>
      </c>
      <c r="C486" s="145">
        <v>275</v>
      </c>
      <c r="D486" s="180"/>
      <c r="E486" s="145"/>
      <c r="F486" s="145"/>
      <c r="G486" s="307"/>
      <c r="H486" s="107"/>
      <c r="I486" s="107"/>
      <c r="J486" s="107"/>
      <c r="K486" s="107"/>
      <c r="L486" s="107"/>
      <c r="M486" s="107"/>
      <c r="N486" s="107"/>
      <c r="O486" s="107"/>
      <c r="P486" s="107"/>
      <c r="Q486" s="107"/>
    </row>
    <row r="487" spans="1:17" x14ac:dyDescent="0.2">
      <c r="A487" s="140" t="s">
        <v>3016</v>
      </c>
      <c r="B487" s="145">
        <v>388</v>
      </c>
      <c r="C487" s="145">
        <v>600</v>
      </c>
      <c r="D487" s="180"/>
      <c r="E487" s="145"/>
      <c r="F487" s="145"/>
      <c r="G487" s="307"/>
      <c r="H487" s="107"/>
      <c r="I487" s="107"/>
      <c r="J487" s="107"/>
      <c r="K487" s="107"/>
      <c r="L487" s="107"/>
      <c r="M487" s="107"/>
      <c r="N487" s="107"/>
      <c r="O487" s="107"/>
      <c r="P487" s="107"/>
      <c r="Q487" s="107"/>
    </row>
    <row r="488" spans="1:17" x14ac:dyDescent="0.2">
      <c r="A488" s="140" t="s">
        <v>1355</v>
      </c>
      <c r="B488" s="145">
        <v>390155</v>
      </c>
      <c r="C488" s="145">
        <v>248</v>
      </c>
      <c r="D488" s="180">
        <v>0.5</v>
      </c>
      <c r="E488" s="145"/>
      <c r="F488" s="145"/>
      <c r="G488" s="307"/>
      <c r="H488" s="107"/>
      <c r="I488" s="107"/>
      <c r="J488" s="107"/>
      <c r="K488" s="107"/>
      <c r="L488" s="107"/>
      <c r="M488" s="107"/>
      <c r="N488" s="107"/>
      <c r="O488" s="107"/>
      <c r="P488" s="107"/>
      <c r="Q488" s="107"/>
    </row>
    <row r="489" spans="1:17" x14ac:dyDescent="0.2">
      <c r="A489" s="140" t="s">
        <v>2227</v>
      </c>
      <c r="B489" s="145">
        <v>466915</v>
      </c>
      <c r="C489" s="145">
        <v>760</v>
      </c>
      <c r="D489" s="180"/>
      <c r="E489" s="145"/>
      <c r="F489" s="145"/>
      <c r="G489" s="307"/>
      <c r="H489" s="107"/>
      <c r="I489" s="107"/>
      <c r="J489" s="107"/>
      <c r="K489" s="107"/>
      <c r="L489" s="107"/>
      <c r="M489" s="107"/>
      <c r="N489" s="107"/>
      <c r="O489" s="107"/>
      <c r="P489" s="107"/>
      <c r="Q489" s="107"/>
    </row>
    <row r="490" spans="1:17" x14ac:dyDescent="0.2">
      <c r="A490" s="140" t="s">
        <v>2228</v>
      </c>
      <c r="B490" s="145">
        <v>2973530</v>
      </c>
      <c r="C490" s="145">
        <v>791</v>
      </c>
      <c r="D490" s="180"/>
      <c r="E490" s="145"/>
      <c r="F490" s="145"/>
      <c r="G490" s="307"/>
      <c r="H490" s="107"/>
      <c r="I490" s="107"/>
      <c r="J490" s="107"/>
      <c r="K490" s="107"/>
      <c r="L490" s="107"/>
      <c r="M490" s="107"/>
      <c r="N490" s="107"/>
      <c r="O490" s="107"/>
      <c r="P490" s="107"/>
      <c r="Q490" s="107"/>
    </row>
    <row r="491" spans="1:17" x14ac:dyDescent="0.2">
      <c r="A491" s="140" t="s">
        <v>1356</v>
      </c>
      <c r="B491" s="145">
        <v>2375</v>
      </c>
      <c r="C491" s="145">
        <v>440</v>
      </c>
      <c r="D491" s="180"/>
      <c r="E491" s="145"/>
      <c r="F491" s="145"/>
      <c r="G491" s="307"/>
      <c r="H491" s="107"/>
      <c r="I491" s="107"/>
      <c r="J491" s="107"/>
      <c r="K491" s="107"/>
      <c r="L491" s="107"/>
      <c r="M491" s="107"/>
      <c r="N491" s="107"/>
      <c r="O491" s="107"/>
      <c r="P491" s="107"/>
      <c r="Q491" s="107"/>
    </row>
    <row r="492" spans="1:17" x14ac:dyDescent="0.2">
      <c r="A492" s="140" t="s">
        <v>3017</v>
      </c>
      <c r="B492" s="145">
        <v>5301</v>
      </c>
      <c r="C492" s="145">
        <v>975</v>
      </c>
      <c r="D492" s="180"/>
      <c r="E492" s="145"/>
      <c r="F492" s="145"/>
      <c r="G492" s="307"/>
      <c r="H492" s="107"/>
      <c r="I492" s="107"/>
      <c r="J492" s="107"/>
      <c r="K492" s="107"/>
      <c r="L492" s="107"/>
      <c r="M492" s="107"/>
      <c r="N492" s="107"/>
      <c r="O492" s="107"/>
      <c r="P492" s="107"/>
      <c r="Q492" s="107"/>
    </row>
    <row r="493" spans="1:17" x14ac:dyDescent="0.2">
      <c r="A493" s="140" t="s">
        <v>3018</v>
      </c>
      <c r="B493" s="145">
        <v>57066</v>
      </c>
      <c r="C493" s="145">
        <v>35</v>
      </c>
      <c r="D493" s="180"/>
      <c r="E493" s="145"/>
      <c r="F493" s="145"/>
      <c r="G493" s="307"/>
      <c r="H493" s="107"/>
      <c r="I493" s="107"/>
      <c r="J493" s="107"/>
      <c r="K493" s="107"/>
      <c r="L493" s="107"/>
      <c r="M493" s="107"/>
      <c r="N493" s="107"/>
      <c r="O493" s="107"/>
      <c r="P493" s="107"/>
      <c r="Q493" s="107"/>
    </row>
    <row r="494" spans="1:17" x14ac:dyDescent="0.2">
      <c r="A494" s="140" t="s">
        <v>3019</v>
      </c>
      <c r="B494" s="145">
        <v>727</v>
      </c>
      <c r="C494" s="145">
        <v>147</v>
      </c>
      <c r="D494" s="180">
        <v>0.5</v>
      </c>
      <c r="E494" s="145"/>
      <c r="F494" s="145"/>
      <c r="G494" s="307"/>
      <c r="H494" s="107"/>
      <c r="I494" s="107"/>
      <c r="J494" s="107"/>
      <c r="K494" s="107"/>
      <c r="L494" s="107"/>
      <c r="M494" s="107"/>
      <c r="N494" s="107"/>
      <c r="O494" s="107"/>
      <c r="P494" s="107"/>
      <c r="Q494" s="107"/>
    </row>
    <row r="495" spans="1:17" x14ac:dyDescent="0.2">
      <c r="A495" s="140" t="s">
        <v>3020</v>
      </c>
      <c r="B495" s="145">
        <v>7327</v>
      </c>
      <c r="C495" s="145">
        <v>805</v>
      </c>
      <c r="D495" s="180"/>
      <c r="E495" s="145"/>
      <c r="F495" s="145"/>
      <c r="G495" s="307"/>
      <c r="H495" s="107"/>
      <c r="I495" s="107"/>
      <c r="J495" s="107"/>
      <c r="K495" s="107"/>
      <c r="L495" s="107"/>
      <c r="M495" s="107"/>
      <c r="N495" s="107"/>
      <c r="O495" s="107"/>
      <c r="P495" s="107"/>
      <c r="Q495" s="107"/>
    </row>
    <row r="496" spans="1:17" x14ac:dyDescent="0.2">
      <c r="A496" s="140" t="s">
        <v>1403</v>
      </c>
      <c r="B496" s="145">
        <v>112</v>
      </c>
      <c r="C496" s="145">
        <v>800</v>
      </c>
      <c r="D496" s="180"/>
      <c r="E496" s="145"/>
      <c r="F496" s="145"/>
      <c r="G496" s="307"/>
      <c r="H496" s="107"/>
      <c r="I496" s="107"/>
      <c r="J496" s="107"/>
      <c r="K496" s="107"/>
      <c r="L496" s="107"/>
      <c r="M496" s="107"/>
      <c r="N496" s="107"/>
      <c r="O496" s="107"/>
      <c r="P496" s="107"/>
      <c r="Q496" s="107"/>
    </row>
    <row r="497" spans="1:17" x14ac:dyDescent="0.2">
      <c r="A497" s="140" t="s">
        <v>2783</v>
      </c>
      <c r="B497" s="145">
        <v>1301894</v>
      </c>
      <c r="C497" s="145">
        <v>835</v>
      </c>
      <c r="D497" s="180"/>
      <c r="E497" s="145"/>
      <c r="F497" s="145"/>
      <c r="G497" s="307"/>
      <c r="H497" s="107"/>
      <c r="I497" s="107"/>
      <c r="J497" s="107"/>
      <c r="K497" s="107"/>
      <c r="L497" s="107"/>
      <c r="M497" s="107"/>
      <c r="N497" s="107"/>
      <c r="O497" s="107"/>
      <c r="P497" s="107"/>
      <c r="Q497" s="107"/>
    </row>
    <row r="498" spans="1:17" ht="16" thickBot="1" x14ac:dyDescent="0.25">
      <c r="A498" s="140" t="s">
        <v>2972</v>
      </c>
      <c r="B498" s="187">
        <v>197341</v>
      </c>
      <c r="C498" s="187">
        <v>666</v>
      </c>
      <c r="D498" s="190">
        <v>0.5</v>
      </c>
      <c r="E498" s="145">
        <v>8780817</v>
      </c>
      <c r="F498" s="145">
        <v>623</v>
      </c>
      <c r="G498" s="307"/>
      <c r="H498" s="107"/>
      <c r="I498" s="107"/>
      <c r="J498" s="107"/>
      <c r="K498" s="107"/>
      <c r="L498" s="107"/>
      <c r="M498" s="107"/>
      <c r="N498" s="107"/>
      <c r="O498" s="107"/>
      <c r="P498" s="107"/>
      <c r="Q498" s="107"/>
    </row>
    <row r="499" spans="1:17" x14ac:dyDescent="0.2">
      <c r="A499" s="140"/>
      <c r="B499" s="145"/>
      <c r="C499" s="145"/>
      <c r="D499" s="145"/>
      <c r="E499" s="138">
        <f>+SUM(B471:B498)</f>
        <v>8780805</v>
      </c>
      <c r="F499" s="138">
        <f>+SUM(C471:C498)</f>
        <v>12618</v>
      </c>
      <c r="G499" s="139">
        <f>+SUM(D471:D498)</f>
        <v>5</v>
      </c>
      <c r="H499" s="107"/>
      <c r="I499" s="107"/>
      <c r="J499" s="107"/>
      <c r="K499" s="107"/>
      <c r="L499" s="107"/>
      <c r="M499" s="107"/>
      <c r="N499" s="107"/>
      <c r="O499" s="107"/>
      <c r="P499" s="107"/>
      <c r="Q499" s="107"/>
    </row>
    <row r="500" spans="1:17" ht="16" thickBot="1" x14ac:dyDescent="0.25">
      <c r="A500" s="140" t="s">
        <v>3021</v>
      </c>
      <c r="B500" s="145"/>
      <c r="C500" s="145"/>
      <c r="D500" s="145"/>
      <c r="E500" s="187">
        <v>156091</v>
      </c>
      <c r="F500" s="187">
        <v>293</v>
      </c>
      <c r="G500" s="189">
        <v>0.5</v>
      </c>
      <c r="H500" s="107"/>
      <c r="I500" s="107"/>
      <c r="J500" s="107"/>
      <c r="K500" s="107"/>
      <c r="L500" s="107"/>
      <c r="M500" s="107"/>
      <c r="N500" s="107"/>
      <c r="O500" s="107"/>
      <c r="P500" s="107"/>
      <c r="Q500" s="107"/>
    </row>
    <row r="501" spans="1:17" ht="16" thickBot="1" x14ac:dyDescent="0.25">
      <c r="A501" s="772" t="s">
        <v>3022</v>
      </c>
      <c r="B501" s="773"/>
      <c r="C501" s="773"/>
      <c r="D501" s="773"/>
      <c r="E501" s="187">
        <v>8936908</v>
      </c>
      <c r="F501" s="187">
        <v>916</v>
      </c>
      <c r="G501" s="189">
        <v>0.5</v>
      </c>
      <c r="H501" s="107"/>
      <c r="I501" s="107"/>
      <c r="J501" s="107"/>
      <c r="K501" s="107"/>
      <c r="L501" s="107"/>
      <c r="M501" s="107"/>
      <c r="N501" s="107"/>
      <c r="O501" s="107"/>
      <c r="P501" s="107"/>
      <c r="Q501" s="107"/>
    </row>
    <row r="502" spans="1:17" x14ac:dyDescent="0.2">
      <c r="A502" s="107"/>
      <c r="B502" s="107"/>
      <c r="C502" s="107"/>
      <c r="D502" s="107"/>
      <c r="E502" s="138">
        <f>+E499+E500</f>
        <v>8936896</v>
      </c>
      <c r="F502" s="138">
        <f>+F499+F500</f>
        <v>12911</v>
      </c>
      <c r="G502" s="139">
        <f>+G499+G500</f>
        <v>5.5</v>
      </c>
      <c r="H502" s="107"/>
      <c r="I502" s="107"/>
      <c r="J502" s="107"/>
      <c r="K502" s="107"/>
      <c r="L502" s="107"/>
      <c r="M502" s="107"/>
      <c r="N502" s="107"/>
      <c r="O502" s="107"/>
      <c r="P502" s="107"/>
      <c r="Q502" s="107"/>
    </row>
    <row r="503" spans="1:17" x14ac:dyDescent="0.2">
      <c r="A503" s="107"/>
      <c r="B503" s="107"/>
      <c r="C503" s="107"/>
      <c r="D503" s="107"/>
      <c r="E503" s="107"/>
      <c r="F503" s="107"/>
      <c r="G503" s="107"/>
      <c r="H503" s="107"/>
      <c r="I503" s="107"/>
      <c r="J503" s="107"/>
      <c r="K503" s="107"/>
      <c r="L503" s="107"/>
      <c r="M503" s="107"/>
      <c r="N503" s="107"/>
      <c r="O503" s="107"/>
      <c r="P503" s="107"/>
      <c r="Q503" s="107"/>
    </row>
    <row r="504" spans="1:17" x14ac:dyDescent="0.2">
      <c r="A504" s="107"/>
      <c r="B504" s="107"/>
      <c r="C504" s="107"/>
      <c r="D504" s="107"/>
      <c r="E504" s="107"/>
      <c r="F504" s="107"/>
      <c r="G504" s="107"/>
      <c r="H504" s="107"/>
      <c r="I504" s="107"/>
      <c r="J504" s="107"/>
      <c r="K504" s="107"/>
      <c r="L504" s="107"/>
      <c r="M504" s="107"/>
      <c r="N504" s="107"/>
      <c r="O504" s="107"/>
      <c r="P504" s="107"/>
      <c r="Q504" s="107"/>
    </row>
    <row r="505" spans="1:17" x14ac:dyDescent="0.2">
      <c r="A505" s="526" t="s">
        <v>1988</v>
      </c>
      <c r="B505" s="107"/>
      <c r="C505" s="107"/>
      <c r="D505" s="107"/>
      <c r="E505" s="107"/>
      <c r="F505" s="107"/>
      <c r="G505" s="107"/>
      <c r="H505" s="107"/>
      <c r="I505" s="107"/>
      <c r="J505" s="107"/>
      <c r="K505" s="107"/>
      <c r="L505" s="107"/>
      <c r="M505" s="107"/>
      <c r="N505" s="107"/>
      <c r="O505" s="107"/>
      <c r="P505" s="107"/>
      <c r="Q505" s="107"/>
    </row>
    <row r="506" spans="1:17" ht="41" customHeight="1" x14ac:dyDescent="0.2">
      <c r="A506" s="875" t="s">
        <v>3023</v>
      </c>
      <c r="B506" s="876"/>
      <c r="C506" s="876"/>
      <c r="D506" s="876"/>
      <c r="E506" s="876"/>
      <c r="F506" s="876"/>
      <c r="G506" s="876"/>
      <c r="H506" s="876"/>
      <c r="I506" s="876"/>
      <c r="J506" s="877"/>
      <c r="K506" s="107"/>
      <c r="L506" s="107"/>
      <c r="M506" s="107"/>
      <c r="N506" s="107"/>
      <c r="O506" s="107"/>
      <c r="P506" s="107"/>
      <c r="Q506" s="107"/>
    </row>
    <row r="507" spans="1:17" x14ac:dyDescent="0.2">
      <c r="A507" s="661" t="s">
        <v>3024</v>
      </c>
      <c r="B507" s="662"/>
      <c r="C507" s="662"/>
      <c r="D507" s="662"/>
      <c r="E507" s="662"/>
      <c r="F507" s="662"/>
      <c r="G507" s="662"/>
      <c r="H507" s="662"/>
      <c r="I507" s="662"/>
      <c r="J507" s="663"/>
      <c r="K507" s="107"/>
      <c r="L507" s="107"/>
      <c r="M507" s="107"/>
      <c r="N507" s="107"/>
      <c r="O507" s="107"/>
      <c r="P507" s="107"/>
      <c r="Q507" s="107"/>
    </row>
    <row r="508" spans="1:17" x14ac:dyDescent="0.2">
      <c r="A508" s="566" t="s">
        <v>2011</v>
      </c>
      <c r="B508" s="567"/>
      <c r="C508" s="567"/>
      <c r="D508" s="567"/>
      <c r="E508" s="567"/>
      <c r="F508" s="567"/>
      <c r="G508" s="567"/>
      <c r="H508" s="567"/>
      <c r="I508" s="567"/>
      <c r="J508" s="568"/>
      <c r="K508" s="107"/>
      <c r="L508" s="107"/>
      <c r="M508" s="107"/>
      <c r="N508" s="107"/>
      <c r="O508" s="107"/>
      <c r="P508" s="107"/>
      <c r="Q508" s="107"/>
    </row>
    <row r="509" spans="1:17" x14ac:dyDescent="0.2">
      <c r="A509" s="898" t="s">
        <v>3025</v>
      </c>
      <c r="B509" s="899"/>
      <c r="C509" s="899"/>
      <c r="D509" s="899"/>
      <c r="E509" s="899"/>
      <c r="F509" s="899"/>
      <c r="G509" s="899"/>
      <c r="H509" s="899"/>
      <c r="I509" s="899"/>
      <c r="J509" s="900"/>
      <c r="K509" s="107"/>
      <c r="L509" s="107"/>
      <c r="M509" s="107"/>
      <c r="N509" s="107"/>
      <c r="O509" s="107"/>
      <c r="P509" s="107"/>
      <c r="Q509" s="107"/>
    </row>
    <row r="510" spans="1:17" x14ac:dyDescent="0.2">
      <c r="A510" s="901" t="s">
        <v>1854</v>
      </c>
      <c r="B510" s="902"/>
      <c r="C510" s="902"/>
      <c r="D510" s="902"/>
      <c r="E510" s="902"/>
      <c r="F510" s="902"/>
      <c r="G510" s="902"/>
      <c r="H510" s="902"/>
      <c r="I510" s="902"/>
      <c r="J510" s="903"/>
      <c r="K510" s="107"/>
      <c r="L510" s="107"/>
      <c r="M510" s="107"/>
      <c r="N510" s="107"/>
      <c r="O510" s="107"/>
      <c r="P510" s="107"/>
      <c r="Q510" s="107"/>
    </row>
    <row r="511" spans="1:17" x14ac:dyDescent="0.2">
      <c r="A511" s="480" t="s">
        <v>3026</v>
      </c>
      <c r="B511" s="481"/>
      <c r="C511" s="481"/>
      <c r="D511" s="481"/>
      <c r="E511" s="145">
        <v>16174</v>
      </c>
      <c r="F511" s="145">
        <v>570</v>
      </c>
      <c r="G511" s="145"/>
      <c r="H511" s="145"/>
      <c r="I511" s="145"/>
      <c r="J511" s="307"/>
      <c r="K511" s="107"/>
      <c r="L511" s="107"/>
      <c r="M511" s="107"/>
      <c r="N511" s="107"/>
      <c r="O511" s="107"/>
      <c r="P511" s="107"/>
      <c r="Q511" s="107"/>
    </row>
    <row r="512" spans="1:17" x14ac:dyDescent="0.2">
      <c r="A512" s="901" t="s">
        <v>1290</v>
      </c>
      <c r="B512" s="902"/>
      <c r="C512" s="902"/>
      <c r="D512" s="902"/>
      <c r="E512" s="902"/>
      <c r="F512" s="902"/>
      <c r="G512" s="902"/>
      <c r="H512" s="902"/>
      <c r="I512" s="902"/>
      <c r="J512" s="903"/>
      <c r="K512" s="107"/>
      <c r="L512" s="107"/>
      <c r="M512" s="107"/>
      <c r="N512" s="107"/>
      <c r="O512" s="107"/>
      <c r="P512" s="107"/>
      <c r="Q512" s="107"/>
    </row>
    <row r="513" spans="1:17" x14ac:dyDescent="0.2">
      <c r="A513" s="480" t="s">
        <v>3027</v>
      </c>
      <c r="B513" s="481"/>
      <c r="C513" s="481"/>
      <c r="D513" s="481"/>
      <c r="E513" s="145">
        <v>3241</v>
      </c>
      <c r="F513" s="145">
        <v>242</v>
      </c>
      <c r="G513" s="145"/>
      <c r="H513" s="145"/>
      <c r="I513" s="145"/>
      <c r="J513" s="307"/>
      <c r="K513" s="107"/>
      <c r="L513" s="107"/>
      <c r="M513" s="107"/>
      <c r="N513" s="107"/>
      <c r="O513" s="107"/>
      <c r="P513" s="107"/>
      <c r="Q513" s="107"/>
    </row>
    <row r="514" spans="1:17" ht="16" thickBot="1" x14ac:dyDescent="0.25">
      <c r="A514" s="480" t="s">
        <v>3028</v>
      </c>
      <c r="B514" s="481"/>
      <c r="C514" s="481"/>
      <c r="D514" s="481"/>
      <c r="E514" s="187"/>
      <c r="F514" s="187">
        <v>370</v>
      </c>
      <c r="G514" s="187"/>
      <c r="H514" s="145">
        <v>3241</v>
      </c>
      <c r="I514" s="145">
        <v>612</v>
      </c>
      <c r="J514" s="307"/>
      <c r="K514" s="107"/>
      <c r="L514" s="107"/>
      <c r="M514" s="107"/>
      <c r="N514" s="107"/>
      <c r="O514" s="107"/>
      <c r="P514" s="107"/>
      <c r="Q514" s="107"/>
    </row>
    <row r="515" spans="1:17" x14ac:dyDescent="0.2">
      <c r="A515" s="901" t="s">
        <v>3029</v>
      </c>
      <c r="B515" s="902"/>
      <c r="C515" s="902"/>
      <c r="D515" s="902"/>
      <c r="E515" s="902"/>
      <c r="F515" s="902"/>
      <c r="G515" s="902"/>
      <c r="H515" s="902"/>
      <c r="I515" s="902"/>
      <c r="J515" s="903"/>
      <c r="K515" s="107"/>
      <c r="L515" s="107"/>
      <c r="M515" s="107"/>
      <c r="N515" s="107"/>
      <c r="O515" s="107"/>
      <c r="P515" s="107"/>
      <c r="Q515" s="107"/>
    </row>
    <row r="516" spans="1:17" x14ac:dyDescent="0.2">
      <c r="A516" s="480" t="s">
        <v>3030</v>
      </c>
      <c r="B516" s="481"/>
      <c r="C516" s="481"/>
      <c r="D516" s="481"/>
      <c r="E516" s="145">
        <v>490</v>
      </c>
      <c r="F516" s="145"/>
      <c r="G516" s="145"/>
      <c r="H516" s="145"/>
      <c r="I516" s="145"/>
      <c r="J516" s="307"/>
      <c r="K516" s="107"/>
      <c r="L516" s="107"/>
      <c r="M516" s="107"/>
      <c r="N516" s="107"/>
      <c r="O516" s="107"/>
      <c r="P516" s="107"/>
      <c r="Q516" s="107"/>
    </row>
    <row r="517" spans="1:17" x14ac:dyDescent="0.2">
      <c r="A517" s="901" t="s">
        <v>3031</v>
      </c>
      <c r="B517" s="902"/>
      <c r="C517" s="902"/>
      <c r="D517" s="902"/>
      <c r="E517" s="902"/>
      <c r="F517" s="902"/>
      <c r="G517" s="902"/>
      <c r="H517" s="902"/>
      <c r="I517" s="902"/>
      <c r="J517" s="903"/>
      <c r="K517" s="107"/>
      <c r="L517" s="107"/>
      <c r="M517" s="107"/>
      <c r="N517" s="107"/>
      <c r="O517" s="107"/>
      <c r="P517" s="107"/>
      <c r="Q517" s="107"/>
    </row>
    <row r="518" spans="1:17" x14ac:dyDescent="0.2">
      <c r="A518" s="478" t="s">
        <v>3032</v>
      </c>
      <c r="B518" s="569">
        <v>53</v>
      </c>
      <c r="C518" s="569">
        <v>275</v>
      </c>
      <c r="D518" s="569"/>
      <c r="E518" s="145"/>
      <c r="F518" s="145"/>
      <c r="G518" s="145"/>
      <c r="H518" s="145"/>
      <c r="I518" s="145"/>
      <c r="J518" s="307"/>
      <c r="K518" s="107"/>
      <c r="L518" s="107"/>
      <c r="M518" s="107"/>
      <c r="N518" s="107"/>
      <c r="O518" s="107"/>
      <c r="P518" s="107"/>
      <c r="Q518" s="107"/>
    </row>
    <row r="519" spans="1:17" ht="16" thickBot="1" x14ac:dyDescent="0.25">
      <c r="A519" s="478" t="s">
        <v>3033</v>
      </c>
      <c r="B519" s="187">
        <v>206</v>
      </c>
      <c r="C519" s="187">
        <v>390</v>
      </c>
      <c r="D519" s="187"/>
      <c r="E519" s="145">
        <v>259</v>
      </c>
      <c r="F519" s="145">
        <v>665</v>
      </c>
      <c r="G519" s="145"/>
      <c r="H519" s="145"/>
      <c r="I519" s="145"/>
      <c r="J519" s="307"/>
      <c r="K519" s="107"/>
      <c r="L519" s="107"/>
      <c r="M519" s="107"/>
      <c r="N519" s="107"/>
      <c r="O519" s="107"/>
      <c r="P519" s="107"/>
      <c r="Q519" s="107"/>
    </row>
    <row r="520" spans="1:17" x14ac:dyDescent="0.2">
      <c r="A520" s="901" t="s">
        <v>1874</v>
      </c>
      <c r="B520" s="902"/>
      <c r="C520" s="902"/>
      <c r="D520" s="902"/>
      <c r="E520" s="902"/>
      <c r="F520" s="902"/>
      <c r="G520" s="902"/>
      <c r="H520" s="902"/>
      <c r="I520" s="902"/>
      <c r="J520" s="903"/>
      <c r="K520" s="107"/>
      <c r="L520" s="107"/>
      <c r="M520" s="107"/>
      <c r="N520" s="107"/>
      <c r="O520" s="107"/>
      <c r="P520" s="107"/>
      <c r="Q520" s="107"/>
    </row>
    <row r="521" spans="1:17" ht="16" thickBot="1" x14ac:dyDescent="0.25">
      <c r="A521" s="480" t="s">
        <v>3030</v>
      </c>
      <c r="B521" s="481"/>
      <c r="C521" s="481"/>
      <c r="D521" s="481"/>
      <c r="E521" s="187">
        <v>650</v>
      </c>
      <c r="F521" s="187">
        <v>950</v>
      </c>
      <c r="G521" s="187"/>
      <c r="H521" s="145">
        <v>20816</v>
      </c>
      <c r="I521" s="145">
        <v>797</v>
      </c>
      <c r="J521" s="307"/>
      <c r="K521" s="107"/>
      <c r="L521" s="107"/>
      <c r="M521" s="107"/>
      <c r="N521" s="107"/>
      <c r="O521" s="107"/>
      <c r="P521" s="107"/>
      <c r="Q521" s="107"/>
    </row>
    <row r="522" spans="1:17" x14ac:dyDescent="0.2">
      <c r="A522" s="479"/>
      <c r="B522" s="565"/>
      <c r="C522" s="565"/>
      <c r="D522" s="565"/>
      <c r="E522" s="145"/>
      <c r="F522" s="145"/>
      <c r="G522" s="145"/>
      <c r="H522" s="138">
        <f>+SUM(E511+H514+E516+E519+E521)</f>
        <v>20814</v>
      </c>
      <c r="I522" s="138">
        <f>+SUM(F511+I514+F516+F519+F521)</f>
        <v>2797</v>
      </c>
      <c r="J522" s="188">
        <f>+SUM(G511+J514+G516+G519+G521)</f>
        <v>0</v>
      </c>
      <c r="K522" s="107"/>
      <c r="L522" s="107"/>
      <c r="M522" s="107"/>
      <c r="N522" s="107"/>
      <c r="O522" s="107"/>
      <c r="P522" s="107"/>
      <c r="Q522" s="107"/>
    </row>
    <row r="523" spans="1:17" x14ac:dyDescent="0.2">
      <c r="A523" s="898" t="s">
        <v>3034</v>
      </c>
      <c r="B523" s="899"/>
      <c r="C523" s="899"/>
      <c r="D523" s="899"/>
      <c r="E523" s="899"/>
      <c r="F523" s="899"/>
      <c r="G523" s="899"/>
      <c r="H523" s="899"/>
      <c r="I523" s="899"/>
      <c r="J523" s="900"/>
      <c r="K523" s="107"/>
      <c r="L523" s="107"/>
      <c r="M523" s="107"/>
      <c r="N523" s="107"/>
      <c r="O523" s="107"/>
      <c r="P523" s="107"/>
      <c r="Q523" s="107"/>
    </row>
    <row r="524" spans="1:17" x14ac:dyDescent="0.2">
      <c r="A524" s="901" t="s">
        <v>1854</v>
      </c>
      <c r="B524" s="902"/>
      <c r="C524" s="902"/>
      <c r="D524" s="902"/>
      <c r="E524" s="902"/>
      <c r="F524" s="902"/>
      <c r="G524" s="902"/>
      <c r="H524" s="902"/>
      <c r="I524" s="902"/>
      <c r="J524" s="903"/>
      <c r="K524" s="107"/>
      <c r="L524" s="107"/>
      <c r="M524" s="107"/>
      <c r="N524" s="107"/>
      <c r="O524" s="107"/>
      <c r="P524" s="107"/>
      <c r="Q524" s="107"/>
    </row>
    <row r="525" spans="1:17" x14ac:dyDescent="0.2">
      <c r="A525" s="480" t="s">
        <v>3035</v>
      </c>
      <c r="B525" s="481"/>
      <c r="C525" s="481"/>
      <c r="D525" s="481"/>
      <c r="E525" s="145">
        <v>814</v>
      </c>
      <c r="F525" s="145">
        <v>580</v>
      </c>
      <c r="G525" s="145"/>
      <c r="H525" s="145"/>
      <c r="I525" s="145"/>
      <c r="J525" s="307"/>
      <c r="K525" s="107"/>
      <c r="L525" s="107"/>
      <c r="M525" s="107"/>
      <c r="N525" s="107"/>
      <c r="O525" s="107"/>
      <c r="P525" s="107"/>
      <c r="Q525" s="107"/>
    </row>
    <row r="526" spans="1:17" x14ac:dyDescent="0.2">
      <c r="A526" s="901" t="s">
        <v>3031</v>
      </c>
      <c r="B526" s="902"/>
      <c r="C526" s="902"/>
      <c r="D526" s="902"/>
      <c r="E526" s="902"/>
      <c r="F526" s="902"/>
      <c r="G526" s="902"/>
      <c r="H526" s="902"/>
      <c r="I526" s="902"/>
      <c r="J526" s="903"/>
      <c r="K526" s="107"/>
      <c r="L526" s="107"/>
      <c r="M526" s="107"/>
      <c r="N526" s="107"/>
      <c r="O526" s="107"/>
      <c r="P526" s="107"/>
      <c r="Q526" s="107"/>
    </row>
    <row r="527" spans="1:17" x14ac:dyDescent="0.2">
      <c r="A527" s="478" t="s">
        <v>3033</v>
      </c>
      <c r="B527" s="565">
        <v>361</v>
      </c>
      <c r="C527" s="565">
        <v>695</v>
      </c>
      <c r="D527" s="565"/>
      <c r="E527" s="145"/>
      <c r="F527" s="145"/>
      <c r="G527" s="145"/>
      <c r="H527" s="145"/>
      <c r="I527" s="145"/>
      <c r="J527" s="307"/>
      <c r="K527" s="107"/>
      <c r="L527" s="107"/>
      <c r="M527" s="107"/>
      <c r="N527" s="107"/>
      <c r="O527" s="107"/>
      <c r="P527" s="107"/>
      <c r="Q527" s="107"/>
    </row>
    <row r="528" spans="1:17" ht="16" thickBot="1" x14ac:dyDescent="0.25">
      <c r="A528" s="478" t="s">
        <v>3032</v>
      </c>
      <c r="B528" s="904">
        <v>8</v>
      </c>
      <c r="C528" s="904">
        <v>150</v>
      </c>
      <c r="D528" s="904"/>
      <c r="E528" s="145">
        <v>369</v>
      </c>
      <c r="F528" s="145">
        <v>845</v>
      </c>
      <c r="G528" s="145"/>
      <c r="H528" s="145">
        <v>1184</v>
      </c>
      <c r="I528" s="145">
        <v>425</v>
      </c>
      <c r="J528" s="307"/>
      <c r="K528" s="107"/>
      <c r="L528" s="107"/>
      <c r="M528" s="107"/>
      <c r="N528" s="107"/>
      <c r="O528" s="107"/>
      <c r="P528" s="107"/>
      <c r="Q528" s="107"/>
    </row>
    <row r="529" spans="1:17" x14ac:dyDescent="0.2">
      <c r="A529" s="164"/>
      <c r="B529" s="565"/>
      <c r="C529" s="565"/>
      <c r="D529" s="565"/>
      <c r="E529" s="145"/>
      <c r="F529" s="145"/>
      <c r="G529" s="145"/>
      <c r="H529" s="138">
        <f>+SUM(E525+E528)</f>
        <v>1183</v>
      </c>
      <c r="I529" s="138">
        <f>+SUM(F525+F528)</f>
        <v>1425</v>
      </c>
      <c r="J529" s="188">
        <f>+SUM(G525+G528)</f>
        <v>0</v>
      </c>
      <c r="K529" s="107"/>
      <c r="L529" s="107"/>
      <c r="M529" s="107"/>
      <c r="N529" s="107"/>
      <c r="O529" s="107"/>
      <c r="P529" s="107"/>
      <c r="Q529" s="107"/>
    </row>
    <row r="530" spans="1:17" x14ac:dyDescent="0.2">
      <c r="A530" s="898" t="s">
        <v>3036</v>
      </c>
      <c r="B530" s="899"/>
      <c r="C530" s="899"/>
      <c r="D530" s="899"/>
      <c r="E530" s="899"/>
      <c r="F530" s="899"/>
      <c r="G530" s="899"/>
      <c r="H530" s="899"/>
      <c r="I530" s="899"/>
      <c r="J530" s="900"/>
      <c r="K530" s="107"/>
      <c r="L530" s="107"/>
      <c r="M530" s="107"/>
      <c r="N530" s="107"/>
      <c r="O530" s="107"/>
      <c r="P530" s="107"/>
      <c r="Q530" s="107"/>
    </row>
    <row r="531" spans="1:17" x14ac:dyDescent="0.2">
      <c r="A531" s="901" t="s">
        <v>1854</v>
      </c>
      <c r="B531" s="902"/>
      <c r="C531" s="902"/>
      <c r="D531" s="902"/>
      <c r="E531" s="902"/>
      <c r="F531" s="902"/>
      <c r="G531" s="902"/>
      <c r="H531" s="902"/>
      <c r="I531" s="902"/>
      <c r="J531" s="903"/>
      <c r="K531" s="107"/>
      <c r="L531" s="107"/>
      <c r="M531" s="107"/>
      <c r="N531" s="107"/>
      <c r="O531" s="107"/>
      <c r="P531" s="107"/>
      <c r="Q531" s="107"/>
    </row>
    <row r="532" spans="1:17" x14ac:dyDescent="0.2">
      <c r="A532" s="480" t="s">
        <v>3037</v>
      </c>
      <c r="B532" s="481"/>
      <c r="C532" s="481"/>
      <c r="D532" s="481"/>
      <c r="E532" s="145">
        <v>124</v>
      </c>
      <c r="F532" s="145">
        <v>475</v>
      </c>
      <c r="G532" s="145"/>
      <c r="H532" s="145"/>
      <c r="I532" s="145"/>
      <c r="J532" s="307"/>
      <c r="K532" s="107"/>
      <c r="L532" s="107"/>
      <c r="M532" s="107"/>
      <c r="N532" s="107"/>
      <c r="O532" s="107"/>
      <c r="P532" s="107"/>
      <c r="Q532" s="107"/>
    </row>
    <row r="533" spans="1:17" x14ac:dyDescent="0.2">
      <c r="A533" s="901" t="s">
        <v>1290</v>
      </c>
      <c r="B533" s="902"/>
      <c r="C533" s="902"/>
      <c r="D533" s="902"/>
      <c r="E533" s="902"/>
      <c r="F533" s="902"/>
      <c r="G533" s="902"/>
      <c r="H533" s="902"/>
      <c r="I533" s="902"/>
      <c r="J533" s="903"/>
      <c r="K533" s="107"/>
      <c r="L533" s="107"/>
      <c r="M533" s="107"/>
      <c r="N533" s="107"/>
      <c r="O533" s="107"/>
      <c r="P533" s="107"/>
      <c r="Q533" s="107"/>
    </row>
    <row r="534" spans="1:17" x14ac:dyDescent="0.2">
      <c r="A534" s="131" t="s">
        <v>3030</v>
      </c>
      <c r="B534" s="145">
        <v>32</v>
      </c>
      <c r="C534" s="145">
        <v>980</v>
      </c>
      <c r="D534" s="145"/>
      <c r="E534" s="145"/>
      <c r="F534" s="145"/>
      <c r="G534" s="145"/>
      <c r="H534" s="145"/>
      <c r="I534" s="145"/>
      <c r="J534" s="307"/>
      <c r="K534" s="107"/>
      <c r="L534" s="107"/>
      <c r="M534" s="107"/>
      <c r="N534" s="107"/>
      <c r="O534" s="107"/>
      <c r="P534" s="107"/>
      <c r="Q534" s="107"/>
    </row>
    <row r="535" spans="1:17" ht="16" thickBot="1" x14ac:dyDescent="0.25">
      <c r="A535" s="131" t="s">
        <v>3038</v>
      </c>
      <c r="B535" s="187">
        <v>1959</v>
      </c>
      <c r="C535" s="187">
        <v>575</v>
      </c>
      <c r="D535" s="187"/>
      <c r="E535" s="187">
        <v>1992</v>
      </c>
      <c r="F535" s="187">
        <v>555</v>
      </c>
      <c r="G535" s="187"/>
      <c r="H535" s="145"/>
      <c r="I535" s="145"/>
      <c r="J535" s="307"/>
      <c r="K535" s="107"/>
      <c r="L535" s="107"/>
      <c r="M535" s="107"/>
      <c r="N535" s="107"/>
      <c r="O535" s="107"/>
      <c r="P535" s="107"/>
      <c r="Q535" s="107"/>
    </row>
    <row r="536" spans="1:17" x14ac:dyDescent="0.2">
      <c r="A536" s="901" t="s">
        <v>3029</v>
      </c>
      <c r="B536" s="902"/>
      <c r="C536" s="902"/>
      <c r="D536" s="902"/>
      <c r="E536" s="902"/>
      <c r="F536" s="902"/>
      <c r="G536" s="902"/>
      <c r="H536" s="902"/>
      <c r="I536" s="902"/>
      <c r="J536" s="903"/>
      <c r="K536" s="107"/>
      <c r="L536" s="107"/>
      <c r="M536" s="107"/>
      <c r="N536" s="107"/>
      <c r="O536" s="107"/>
      <c r="P536" s="107"/>
      <c r="Q536" s="107"/>
    </row>
    <row r="537" spans="1:17" x14ac:dyDescent="0.2">
      <c r="A537" s="480" t="s">
        <v>3039</v>
      </c>
      <c r="B537" s="481"/>
      <c r="C537" s="481"/>
      <c r="D537" s="481"/>
      <c r="E537" s="145">
        <v>347</v>
      </c>
      <c r="F537" s="145">
        <v>100</v>
      </c>
      <c r="G537" s="145"/>
      <c r="H537" s="145"/>
      <c r="I537" s="145"/>
      <c r="J537" s="307"/>
      <c r="K537" s="107"/>
      <c r="L537" s="107"/>
      <c r="M537" s="107"/>
      <c r="N537" s="107"/>
      <c r="O537" s="107"/>
      <c r="P537" s="107"/>
      <c r="Q537" s="107"/>
    </row>
    <row r="538" spans="1:17" x14ac:dyDescent="0.2">
      <c r="A538" s="901" t="s">
        <v>3040</v>
      </c>
      <c r="B538" s="902"/>
      <c r="C538" s="902"/>
      <c r="D538" s="902"/>
      <c r="E538" s="902"/>
      <c r="F538" s="902"/>
      <c r="G538" s="902"/>
      <c r="H538" s="902"/>
      <c r="I538" s="902"/>
      <c r="J538" s="903"/>
      <c r="K538" s="107"/>
      <c r="L538" s="107"/>
      <c r="M538" s="107"/>
      <c r="N538" s="107"/>
      <c r="O538" s="107"/>
      <c r="P538" s="107"/>
      <c r="Q538" s="107"/>
    </row>
    <row r="539" spans="1:17" x14ac:dyDescent="0.2">
      <c r="A539" s="480"/>
      <c r="B539" s="481"/>
      <c r="C539" s="481"/>
      <c r="D539" s="481"/>
      <c r="E539" s="145">
        <v>5423</v>
      </c>
      <c r="F539" s="145">
        <v>975</v>
      </c>
      <c r="G539" s="145"/>
      <c r="H539" s="145"/>
      <c r="I539" s="145"/>
      <c r="J539" s="307"/>
      <c r="K539" s="107"/>
      <c r="L539" s="107"/>
      <c r="M539" s="107"/>
      <c r="N539" s="107"/>
      <c r="O539" s="107"/>
      <c r="P539" s="107"/>
      <c r="Q539" s="107"/>
    </row>
    <row r="540" spans="1:17" x14ac:dyDescent="0.2">
      <c r="A540" s="901" t="s">
        <v>3031</v>
      </c>
      <c r="B540" s="902"/>
      <c r="C540" s="902"/>
      <c r="D540" s="902"/>
      <c r="E540" s="902"/>
      <c r="F540" s="902"/>
      <c r="G540" s="902"/>
      <c r="H540" s="902"/>
      <c r="I540" s="902"/>
      <c r="J540" s="903"/>
      <c r="K540" s="107"/>
      <c r="L540" s="107"/>
      <c r="M540" s="107"/>
      <c r="N540" s="107"/>
      <c r="O540" s="107"/>
      <c r="P540" s="107"/>
      <c r="Q540" s="107"/>
    </row>
    <row r="541" spans="1:17" x14ac:dyDescent="0.2">
      <c r="A541" s="478" t="s">
        <v>3033</v>
      </c>
      <c r="B541" s="569">
        <v>125</v>
      </c>
      <c r="C541" s="569">
        <v>455</v>
      </c>
      <c r="D541" s="569"/>
      <c r="E541" s="145"/>
      <c r="F541" s="145"/>
      <c r="G541" s="145"/>
      <c r="H541" s="145"/>
      <c r="I541" s="145"/>
      <c r="J541" s="307"/>
      <c r="K541" s="107"/>
      <c r="L541" s="107"/>
      <c r="M541" s="107"/>
      <c r="N541" s="107"/>
      <c r="O541" s="107"/>
      <c r="P541" s="107"/>
      <c r="Q541" s="107"/>
    </row>
    <row r="542" spans="1:17" ht="16" thickBot="1" x14ac:dyDescent="0.25">
      <c r="A542" s="478" t="s">
        <v>3032</v>
      </c>
      <c r="B542" s="187"/>
      <c r="C542" s="187">
        <v>100</v>
      </c>
      <c r="D542" s="187"/>
      <c r="E542" s="187">
        <v>125</v>
      </c>
      <c r="F542" s="187">
        <v>555</v>
      </c>
      <c r="G542" s="187"/>
      <c r="H542" s="187">
        <v>8013</v>
      </c>
      <c r="I542" s="187">
        <v>660</v>
      </c>
      <c r="J542" s="444"/>
      <c r="K542" s="107"/>
      <c r="L542" s="107"/>
      <c r="M542" s="107"/>
      <c r="N542" s="107"/>
      <c r="O542" s="107"/>
      <c r="P542" s="107"/>
      <c r="Q542" s="107"/>
    </row>
    <row r="543" spans="1:17" x14ac:dyDescent="0.2">
      <c r="A543" s="478"/>
      <c r="B543" s="145"/>
      <c r="C543" s="145"/>
      <c r="D543" s="145"/>
      <c r="E543" s="145"/>
      <c r="F543" s="145"/>
      <c r="G543" s="145"/>
      <c r="H543" s="138">
        <f>+SUM(E532+E535+E542+E539+E537)</f>
        <v>8011</v>
      </c>
      <c r="I543" s="138">
        <f>+SUM(F532+F535+F542+F539+F537)</f>
        <v>2660</v>
      </c>
      <c r="J543" s="188">
        <f>+SUM(G532+G535+G542+G539+G537)</f>
        <v>0</v>
      </c>
      <c r="K543" s="107"/>
      <c r="L543" s="107"/>
      <c r="M543" s="107"/>
      <c r="N543" s="107"/>
      <c r="O543" s="107"/>
      <c r="P543" s="107"/>
      <c r="Q543" s="107"/>
    </row>
    <row r="544" spans="1:17" x14ac:dyDescent="0.2">
      <c r="A544" s="905" t="s">
        <v>3041</v>
      </c>
      <c r="B544" s="906"/>
      <c r="C544" s="906"/>
      <c r="D544" s="906"/>
      <c r="E544" s="906"/>
      <c r="F544" s="906"/>
      <c r="G544" s="906"/>
      <c r="H544" s="906"/>
      <c r="I544" s="906"/>
      <c r="J544" s="907"/>
      <c r="K544" s="107"/>
      <c r="L544" s="107"/>
      <c r="M544" s="107"/>
      <c r="N544" s="107"/>
      <c r="O544" s="107"/>
      <c r="P544" s="107"/>
      <c r="Q544" s="107"/>
    </row>
    <row r="545" spans="1:17" x14ac:dyDescent="0.2">
      <c r="A545" s="131" t="s">
        <v>3042</v>
      </c>
      <c r="B545" s="145"/>
      <c r="C545" s="145"/>
      <c r="D545" s="145"/>
      <c r="E545" s="145"/>
      <c r="F545" s="145"/>
      <c r="G545" s="145"/>
      <c r="H545" s="145"/>
      <c r="I545" s="145"/>
      <c r="J545" s="307"/>
      <c r="K545" s="107"/>
      <c r="L545" s="107"/>
      <c r="M545" s="107"/>
      <c r="N545" s="107"/>
      <c r="O545" s="107"/>
      <c r="P545" s="107"/>
      <c r="Q545" s="107"/>
    </row>
    <row r="546" spans="1:17" x14ac:dyDescent="0.2">
      <c r="A546" s="901" t="s">
        <v>1854</v>
      </c>
      <c r="B546" s="902"/>
      <c r="C546" s="902"/>
      <c r="D546" s="902"/>
      <c r="E546" s="902"/>
      <c r="F546" s="902"/>
      <c r="G546" s="902"/>
      <c r="H546" s="902"/>
      <c r="I546" s="902"/>
      <c r="J546" s="903"/>
      <c r="K546" s="107"/>
      <c r="L546" s="107"/>
      <c r="M546" s="107"/>
      <c r="N546" s="107"/>
      <c r="O546" s="107"/>
      <c r="P546" s="107"/>
      <c r="Q546" s="107"/>
    </row>
    <row r="547" spans="1:17" x14ac:dyDescent="0.2">
      <c r="A547" s="140" t="s">
        <v>3043</v>
      </c>
      <c r="B547" s="145">
        <v>633</v>
      </c>
      <c r="C547" s="145">
        <v>180</v>
      </c>
      <c r="D547" s="145"/>
      <c r="E547" s="145"/>
      <c r="F547" s="145"/>
      <c r="G547" s="145"/>
      <c r="H547" s="145"/>
      <c r="I547" s="145"/>
      <c r="J547" s="307"/>
      <c r="K547" s="107"/>
      <c r="L547" s="107"/>
      <c r="M547" s="107"/>
      <c r="N547" s="107"/>
      <c r="O547" s="107"/>
      <c r="P547" s="107"/>
      <c r="Q547" s="107"/>
    </row>
    <row r="548" spans="1:17" x14ac:dyDescent="0.2">
      <c r="A548" s="140" t="s">
        <v>3044</v>
      </c>
      <c r="B548" s="145">
        <v>2803</v>
      </c>
      <c r="C548" s="145">
        <v>425</v>
      </c>
      <c r="D548" s="145"/>
      <c r="E548" s="145"/>
      <c r="F548" s="145"/>
      <c r="G548" s="145"/>
      <c r="H548" s="145"/>
      <c r="I548" s="145"/>
      <c r="J548" s="307"/>
      <c r="K548" s="107"/>
      <c r="L548" s="107"/>
      <c r="M548" s="107"/>
      <c r="N548" s="107"/>
      <c r="O548" s="107"/>
      <c r="P548" s="107"/>
      <c r="Q548" s="107"/>
    </row>
    <row r="549" spans="1:17" x14ac:dyDescent="0.2">
      <c r="A549" s="140" t="s">
        <v>3045</v>
      </c>
      <c r="B549" s="145">
        <v>160</v>
      </c>
      <c r="C549" s="145">
        <v>20</v>
      </c>
      <c r="D549" s="145"/>
      <c r="E549" s="145"/>
      <c r="F549" s="145"/>
      <c r="G549" s="145"/>
      <c r="H549" s="145"/>
      <c r="I549" s="145"/>
      <c r="J549" s="307"/>
      <c r="K549" s="107"/>
      <c r="L549" s="107"/>
      <c r="M549" s="107"/>
      <c r="N549" s="107"/>
      <c r="O549" s="107"/>
      <c r="P549" s="107"/>
      <c r="Q549" s="107"/>
    </row>
    <row r="550" spans="1:17" x14ac:dyDescent="0.2">
      <c r="A550" s="140" t="s">
        <v>3046</v>
      </c>
      <c r="B550" s="145">
        <v>276</v>
      </c>
      <c r="C550" s="145">
        <v>650</v>
      </c>
      <c r="D550" s="145"/>
      <c r="E550" s="145"/>
      <c r="F550" s="145"/>
      <c r="G550" s="145"/>
      <c r="H550" s="145"/>
      <c r="I550" s="145"/>
      <c r="J550" s="307"/>
      <c r="K550" s="107"/>
      <c r="L550" s="107"/>
      <c r="M550" s="107"/>
      <c r="N550" s="107"/>
      <c r="O550" s="107"/>
      <c r="P550" s="107"/>
      <c r="Q550" s="107"/>
    </row>
    <row r="551" spans="1:17" x14ac:dyDescent="0.2">
      <c r="A551" s="140" t="s">
        <v>3047</v>
      </c>
      <c r="B551" s="145">
        <v>250</v>
      </c>
      <c r="C551" s="145"/>
      <c r="D551" s="145"/>
      <c r="E551" s="145"/>
      <c r="F551" s="145"/>
      <c r="G551" s="145"/>
      <c r="H551" s="145"/>
      <c r="I551" s="145"/>
      <c r="J551" s="307"/>
      <c r="K551" s="107"/>
      <c r="L551" s="107"/>
      <c r="M551" s="107"/>
      <c r="N551" s="107"/>
      <c r="O551" s="107"/>
      <c r="P551" s="107"/>
      <c r="Q551" s="107"/>
    </row>
    <row r="552" spans="1:17" x14ac:dyDescent="0.2">
      <c r="A552" s="140" t="s">
        <v>3048</v>
      </c>
      <c r="B552" s="145">
        <v>100</v>
      </c>
      <c r="C552" s="145"/>
      <c r="D552" s="145"/>
      <c r="E552" s="145"/>
      <c r="F552" s="145"/>
      <c r="G552" s="145"/>
      <c r="H552" s="145"/>
      <c r="I552" s="145"/>
      <c r="J552" s="307"/>
      <c r="K552" s="107"/>
      <c r="L552" s="107"/>
      <c r="M552" s="107"/>
      <c r="N552" s="107"/>
      <c r="O552" s="107"/>
      <c r="P552" s="107"/>
      <c r="Q552" s="107"/>
    </row>
    <row r="553" spans="1:17" ht="16" thickBot="1" x14ac:dyDescent="0.25">
      <c r="A553" s="140" t="s">
        <v>3049</v>
      </c>
      <c r="B553" s="187">
        <v>3</v>
      </c>
      <c r="C553" s="187"/>
      <c r="D553" s="187"/>
      <c r="E553" s="145">
        <v>4226</v>
      </c>
      <c r="F553" s="145">
        <v>275</v>
      </c>
      <c r="G553" s="145"/>
      <c r="H553" s="145"/>
      <c r="I553" s="145"/>
      <c r="J553" s="307"/>
      <c r="K553" s="107"/>
      <c r="L553" s="107"/>
      <c r="M553" s="107"/>
      <c r="N553" s="107"/>
      <c r="O553" s="107"/>
      <c r="P553" s="107"/>
      <c r="Q553" s="107"/>
    </row>
    <row r="554" spans="1:17" x14ac:dyDescent="0.2">
      <c r="A554" s="140"/>
      <c r="B554" s="145"/>
      <c r="C554" s="145"/>
      <c r="D554" s="145"/>
      <c r="E554" s="138">
        <f>+SUM(B547:B553)</f>
        <v>4225</v>
      </c>
      <c r="F554" s="138">
        <f>+SUM(C547:C553)</f>
        <v>1275</v>
      </c>
      <c r="G554" s="138"/>
      <c r="H554" s="145"/>
      <c r="I554" s="145"/>
      <c r="J554" s="307"/>
      <c r="K554" s="107"/>
      <c r="L554" s="107"/>
      <c r="M554" s="107"/>
      <c r="N554" s="107"/>
      <c r="O554" s="107"/>
      <c r="P554" s="107"/>
      <c r="Q554" s="107"/>
    </row>
    <row r="555" spans="1:17" x14ac:dyDescent="0.2">
      <c r="A555" s="901" t="s">
        <v>3031</v>
      </c>
      <c r="B555" s="902"/>
      <c r="C555" s="902"/>
      <c r="D555" s="902"/>
      <c r="E555" s="902"/>
      <c r="F555" s="902"/>
      <c r="G555" s="902"/>
      <c r="H555" s="902"/>
      <c r="I555" s="902"/>
      <c r="J555" s="903"/>
      <c r="K555" s="107"/>
      <c r="L555" s="107"/>
      <c r="M555" s="107"/>
      <c r="N555" s="107"/>
      <c r="O555" s="107"/>
      <c r="P555" s="107"/>
      <c r="Q555" s="107"/>
    </row>
    <row r="556" spans="1:17" x14ac:dyDescent="0.2">
      <c r="A556" s="140" t="s">
        <v>3050</v>
      </c>
      <c r="B556" s="145">
        <v>3781</v>
      </c>
      <c r="C556" s="145">
        <v>30</v>
      </c>
      <c r="D556" s="145"/>
      <c r="E556" s="145"/>
      <c r="F556" s="145"/>
      <c r="G556" s="145"/>
      <c r="H556" s="145"/>
      <c r="I556" s="145"/>
      <c r="J556" s="307"/>
      <c r="K556" s="107"/>
      <c r="L556" s="107"/>
      <c r="M556" s="107"/>
      <c r="N556" s="107"/>
      <c r="O556" s="107"/>
      <c r="P556" s="107"/>
      <c r="Q556" s="107"/>
    </row>
    <row r="557" spans="1:17" x14ac:dyDescent="0.2">
      <c r="A557" s="140" t="s">
        <v>3051</v>
      </c>
      <c r="B557" s="145">
        <v>3917</v>
      </c>
      <c r="C557" s="145">
        <v>200</v>
      </c>
      <c r="D557" s="145"/>
      <c r="E557" s="145"/>
      <c r="F557" s="145"/>
      <c r="G557" s="145"/>
      <c r="H557" s="145"/>
      <c r="I557" s="145"/>
      <c r="J557" s="307"/>
      <c r="K557" s="107"/>
      <c r="L557" s="107"/>
      <c r="M557" s="107"/>
      <c r="N557" s="107"/>
      <c r="O557" s="107"/>
      <c r="P557" s="107"/>
      <c r="Q557" s="107"/>
    </row>
    <row r="558" spans="1:17" x14ac:dyDescent="0.2">
      <c r="A558" s="140" t="s">
        <v>3052</v>
      </c>
      <c r="B558" s="145">
        <v>1227</v>
      </c>
      <c r="C558" s="145">
        <v>100</v>
      </c>
      <c r="D558" s="145"/>
      <c r="E558" s="145"/>
      <c r="F558" s="145"/>
      <c r="G558" s="145"/>
      <c r="H558" s="145"/>
      <c r="I558" s="145"/>
      <c r="J558" s="307"/>
      <c r="K558" s="107"/>
      <c r="L558" s="107"/>
      <c r="M558" s="107"/>
      <c r="N558" s="107"/>
      <c r="O558" s="107"/>
      <c r="P558" s="107"/>
      <c r="Q558" s="107"/>
    </row>
    <row r="559" spans="1:17" x14ac:dyDescent="0.2">
      <c r="A559" s="131" t="s">
        <v>3053</v>
      </c>
      <c r="B559" s="145">
        <v>47039</v>
      </c>
      <c r="C559" s="145">
        <v>30</v>
      </c>
      <c r="D559" s="145"/>
      <c r="E559" s="145"/>
      <c r="F559" s="145"/>
      <c r="G559" s="145"/>
      <c r="H559" s="145"/>
      <c r="I559" s="145"/>
      <c r="J559" s="307"/>
      <c r="K559" s="107"/>
      <c r="L559" s="107"/>
      <c r="M559" s="107"/>
      <c r="N559" s="107"/>
      <c r="O559" s="107"/>
      <c r="P559" s="107"/>
      <c r="Q559" s="107"/>
    </row>
    <row r="560" spans="1:17" x14ac:dyDescent="0.2">
      <c r="A560" s="131" t="s">
        <v>3054</v>
      </c>
      <c r="B560" s="145">
        <v>1000</v>
      </c>
      <c r="C560" s="145"/>
      <c r="D560" s="145"/>
      <c r="E560" s="145"/>
      <c r="F560" s="145"/>
      <c r="G560" s="145"/>
      <c r="H560" s="145"/>
      <c r="I560" s="145"/>
      <c r="J560" s="307"/>
      <c r="K560" s="107"/>
      <c r="L560" s="107"/>
      <c r="M560" s="107"/>
      <c r="N560" s="107"/>
      <c r="O560" s="107"/>
      <c r="P560" s="107"/>
      <c r="Q560" s="107"/>
    </row>
    <row r="561" spans="1:17" x14ac:dyDescent="0.2">
      <c r="A561" s="131" t="s">
        <v>3055</v>
      </c>
      <c r="B561" s="145">
        <v>1130</v>
      </c>
      <c r="C561" s="145">
        <v>660</v>
      </c>
      <c r="D561" s="145"/>
      <c r="E561" s="145"/>
      <c r="F561" s="145"/>
      <c r="G561" s="145"/>
      <c r="H561" s="145"/>
      <c r="I561" s="145"/>
      <c r="J561" s="307"/>
      <c r="K561" s="107"/>
      <c r="L561" s="107"/>
      <c r="M561" s="107"/>
      <c r="N561" s="107"/>
      <c r="O561" s="107"/>
      <c r="P561" s="107"/>
      <c r="Q561" s="107"/>
    </row>
    <row r="562" spans="1:17" x14ac:dyDescent="0.2">
      <c r="A562" s="131" t="s">
        <v>3056</v>
      </c>
      <c r="B562" s="145">
        <v>5501</v>
      </c>
      <c r="C562" s="145"/>
      <c r="D562" s="145"/>
      <c r="E562" s="145"/>
      <c r="F562" s="145"/>
      <c r="G562" s="145"/>
      <c r="H562" s="145"/>
      <c r="I562" s="145"/>
      <c r="J562" s="307"/>
      <c r="K562" s="107"/>
      <c r="L562" s="107"/>
      <c r="M562" s="107"/>
      <c r="N562" s="107"/>
      <c r="O562" s="107"/>
      <c r="P562" s="107"/>
      <c r="Q562" s="107"/>
    </row>
    <row r="563" spans="1:17" ht="16" thickBot="1" x14ac:dyDescent="0.25">
      <c r="A563" s="131" t="s">
        <v>3057</v>
      </c>
      <c r="B563" s="187">
        <v>15</v>
      </c>
      <c r="C563" s="187"/>
      <c r="D563" s="187"/>
      <c r="E563" s="145">
        <v>63611</v>
      </c>
      <c r="F563" s="145">
        <v>20</v>
      </c>
      <c r="G563" s="145"/>
      <c r="H563" s="145"/>
      <c r="I563" s="145"/>
      <c r="J563" s="307"/>
      <c r="K563" s="107"/>
      <c r="L563" s="107"/>
      <c r="M563" s="107"/>
      <c r="N563" s="107"/>
      <c r="O563" s="107"/>
      <c r="P563" s="107"/>
      <c r="Q563" s="107"/>
    </row>
    <row r="564" spans="1:17" x14ac:dyDescent="0.2">
      <c r="A564" s="131"/>
      <c r="B564" s="145"/>
      <c r="C564" s="145"/>
      <c r="D564" s="145"/>
      <c r="E564" s="138">
        <f>+SUM(B556:B563)</f>
        <v>63610</v>
      </c>
      <c r="F564" s="138">
        <f>+SUM(C556:C563)</f>
        <v>1020</v>
      </c>
      <c r="G564" s="138">
        <f>+SUM(D556:D563)</f>
        <v>0</v>
      </c>
      <c r="H564" s="145"/>
      <c r="I564" s="145"/>
      <c r="J564" s="307"/>
      <c r="K564" s="107"/>
      <c r="L564" s="107"/>
      <c r="M564" s="107"/>
      <c r="N564" s="107"/>
      <c r="O564" s="107"/>
      <c r="P564" s="107"/>
      <c r="Q564" s="107"/>
    </row>
    <row r="565" spans="1:17" x14ac:dyDescent="0.2">
      <c r="A565" s="901" t="s">
        <v>3058</v>
      </c>
      <c r="B565" s="902"/>
      <c r="C565" s="902"/>
      <c r="D565" s="902"/>
      <c r="E565" s="902"/>
      <c r="F565" s="902"/>
      <c r="G565" s="902"/>
      <c r="H565" s="902"/>
      <c r="I565" s="902"/>
      <c r="J565" s="903"/>
      <c r="K565" s="107"/>
      <c r="L565" s="107"/>
      <c r="M565" s="107"/>
      <c r="N565" s="107"/>
      <c r="O565" s="107"/>
      <c r="P565" s="107"/>
      <c r="Q565" s="107"/>
    </row>
    <row r="566" spans="1:17" x14ac:dyDescent="0.2">
      <c r="A566" s="140" t="s">
        <v>3059</v>
      </c>
      <c r="B566" s="145"/>
      <c r="C566" s="145"/>
      <c r="D566" s="145"/>
      <c r="E566" s="145">
        <v>4100</v>
      </c>
      <c r="F566" s="145"/>
      <c r="G566" s="145"/>
      <c r="H566" s="145"/>
      <c r="I566" s="145"/>
      <c r="J566" s="307"/>
      <c r="K566" s="107"/>
      <c r="L566" s="107"/>
      <c r="M566" s="107"/>
      <c r="N566" s="107"/>
      <c r="O566" s="107"/>
      <c r="P566" s="107"/>
      <c r="Q566" s="107"/>
    </row>
    <row r="567" spans="1:17" x14ac:dyDescent="0.2">
      <c r="A567" s="901" t="s">
        <v>1874</v>
      </c>
      <c r="B567" s="902"/>
      <c r="C567" s="902"/>
      <c r="D567" s="902"/>
      <c r="E567" s="902"/>
      <c r="F567" s="902"/>
      <c r="G567" s="902"/>
      <c r="H567" s="902"/>
      <c r="I567" s="902"/>
      <c r="J567" s="903"/>
      <c r="K567" s="107"/>
      <c r="L567" s="107"/>
      <c r="M567" s="107"/>
      <c r="N567" s="107"/>
      <c r="O567" s="107"/>
      <c r="P567" s="107"/>
      <c r="Q567" s="107"/>
    </row>
    <row r="568" spans="1:17" x14ac:dyDescent="0.2">
      <c r="A568" s="140" t="s">
        <v>3060</v>
      </c>
      <c r="B568" s="145">
        <v>75</v>
      </c>
      <c r="C568" s="145"/>
      <c r="D568" s="145"/>
      <c r="E568" s="145"/>
      <c r="F568" s="145"/>
      <c r="G568" s="145"/>
      <c r="H568" s="145"/>
      <c r="I568" s="145"/>
      <c r="J568" s="307"/>
      <c r="K568" s="107"/>
      <c r="L568" s="107"/>
      <c r="M568" s="107"/>
      <c r="N568" s="107"/>
      <c r="O568" s="107"/>
      <c r="P568" s="107"/>
      <c r="Q568" s="107"/>
    </row>
    <row r="569" spans="1:17" ht="16" thickBot="1" x14ac:dyDescent="0.25">
      <c r="A569" s="140" t="s">
        <v>3061</v>
      </c>
      <c r="B569" s="187">
        <v>1143</v>
      </c>
      <c r="C569" s="187"/>
      <c r="D569" s="187"/>
      <c r="E569" s="187">
        <v>1218</v>
      </c>
      <c r="F569" s="187"/>
      <c r="G569" s="187"/>
      <c r="H569" s="145">
        <v>73155</v>
      </c>
      <c r="I569" s="145">
        <v>295</v>
      </c>
      <c r="J569" s="307"/>
      <c r="K569" s="107"/>
      <c r="L569" s="107"/>
      <c r="M569" s="107"/>
      <c r="N569" s="107"/>
      <c r="O569" s="107"/>
      <c r="P569" s="107"/>
      <c r="Q569" s="107"/>
    </row>
    <row r="570" spans="1:17" x14ac:dyDescent="0.2">
      <c r="A570" s="140"/>
      <c r="B570" s="145"/>
      <c r="C570" s="145"/>
      <c r="D570" s="145"/>
      <c r="E570" s="145"/>
      <c r="F570" s="145"/>
      <c r="G570" s="145"/>
      <c r="H570" s="138">
        <f>+E569+E566+E563+E553</f>
        <v>73155</v>
      </c>
      <c r="I570" s="138">
        <f>+F569+F566+F563+F553</f>
        <v>295</v>
      </c>
      <c r="J570" s="188">
        <f>+G569+G566+G563+G553</f>
        <v>0</v>
      </c>
      <c r="K570" s="107"/>
      <c r="L570" s="107"/>
      <c r="M570" s="107"/>
      <c r="N570" s="107"/>
      <c r="O570" s="107"/>
      <c r="P570" s="107"/>
      <c r="Q570" s="107"/>
    </row>
    <row r="571" spans="1:17" x14ac:dyDescent="0.2">
      <c r="A571" s="140" t="s">
        <v>3062</v>
      </c>
      <c r="B571" s="145"/>
      <c r="C571" s="145"/>
      <c r="D571" s="145"/>
      <c r="E571" s="145"/>
      <c r="F571" s="145"/>
      <c r="G571" s="145"/>
      <c r="H571" s="145"/>
      <c r="I571" s="145"/>
      <c r="J571" s="307"/>
      <c r="K571" s="107"/>
      <c r="L571" s="107"/>
      <c r="M571" s="107"/>
      <c r="N571" s="107"/>
      <c r="O571" s="107"/>
      <c r="P571" s="107"/>
      <c r="Q571" s="107"/>
    </row>
    <row r="572" spans="1:17" x14ac:dyDescent="0.2">
      <c r="A572" s="901" t="s">
        <v>1854</v>
      </c>
      <c r="B572" s="902"/>
      <c r="C572" s="902"/>
      <c r="D572" s="902"/>
      <c r="E572" s="902"/>
      <c r="F572" s="902"/>
      <c r="G572" s="902"/>
      <c r="H572" s="902"/>
      <c r="I572" s="902"/>
      <c r="J572" s="903"/>
      <c r="K572" s="107"/>
      <c r="L572" s="107"/>
      <c r="M572" s="107"/>
      <c r="N572" s="107"/>
      <c r="O572" s="107"/>
      <c r="P572" s="107"/>
      <c r="Q572" s="107"/>
    </row>
    <row r="573" spans="1:17" x14ac:dyDescent="0.2">
      <c r="A573" s="140" t="s">
        <v>3063</v>
      </c>
      <c r="B573" s="145">
        <v>374</v>
      </c>
      <c r="C573" s="145">
        <v>900</v>
      </c>
      <c r="D573" s="145"/>
      <c r="E573" s="145"/>
      <c r="F573" s="145"/>
      <c r="G573" s="145"/>
      <c r="H573" s="145"/>
      <c r="I573" s="145"/>
      <c r="J573" s="307"/>
      <c r="K573" s="107"/>
      <c r="L573" s="107"/>
      <c r="M573" s="107"/>
      <c r="N573" s="107"/>
      <c r="O573" s="107"/>
      <c r="P573" s="107"/>
      <c r="Q573" s="107"/>
    </row>
    <row r="574" spans="1:17" x14ac:dyDescent="0.2">
      <c r="A574" s="140" t="s">
        <v>3064</v>
      </c>
      <c r="B574" s="145">
        <v>10679</v>
      </c>
      <c r="C574" s="145">
        <v>240</v>
      </c>
      <c r="D574" s="145"/>
      <c r="E574" s="145"/>
      <c r="F574" s="145"/>
      <c r="G574" s="145"/>
      <c r="H574" s="145"/>
      <c r="I574" s="145"/>
      <c r="J574" s="307"/>
      <c r="K574" s="107"/>
      <c r="L574" s="107"/>
      <c r="M574" s="107"/>
      <c r="N574" s="107"/>
      <c r="O574" s="107"/>
      <c r="P574" s="107"/>
      <c r="Q574" s="107"/>
    </row>
    <row r="575" spans="1:17" x14ac:dyDescent="0.2">
      <c r="A575" s="140" t="s">
        <v>3065</v>
      </c>
      <c r="B575" s="145">
        <v>3588</v>
      </c>
      <c r="C575" s="145">
        <v>107</v>
      </c>
      <c r="D575" s="180">
        <v>0.5</v>
      </c>
      <c r="E575" s="145"/>
      <c r="F575" s="145"/>
      <c r="G575" s="145"/>
      <c r="H575" s="145"/>
      <c r="I575" s="145"/>
      <c r="J575" s="307"/>
      <c r="K575" s="107"/>
      <c r="L575" s="107"/>
      <c r="M575" s="107"/>
      <c r="N575" s="107"/>
      <c r="O575" s="107"/>
      <c r="P575" s="107"/>
      <c r="Q575" s="107"/>
    </row>
    <row r="576" spans="1:17" x14ac:dyDescent="0.2">
      <c r="A576" s="140" t="s">
        <v>3066</v>
      </c>
      <c r="B576" s="145">
        <v>41491</v>
      </c>
      <c r="C576" s="145">
        <v>260</v>
      </c>
      <c r="D576" s="145"/>
      <c r="E576" s="145"/>
      <c r="F576" s="145"/>
      <c r="G576" s="145"/>
      <c r="H576" s="145"/>
      <c r="I576" s="145"/>
      <c r="J576" s="307"/>
      <c r="K576" s="107"/>
      <c r="L576" s="107"/>
      <c r="M576" s="107"/>
      <c r="N576" s="107"/>
      <c r="O576" s="107"/>
      <c r="P576" s="107"/>
      <c r="Q576" s="107"/>
    </row>
    <row r="577" spans="1:17" ht="16" thickBot="1" x14ac:dyDescent="0.25">
      <c r="A577" s="140" t="s">
        <v>3067</v>
      </c>
      <c r="B577" s="187">
        <v>6531</v>
      </c>
      <c r="C577" s="187">
        <v>625</v>
      </c>
      <c r="D577" s="187"/>
      <c r="E577" s="145">
        <v>62665</v>
      </c>
      <c r="F577" s="145">
        <v>132</v>
      </c>
      <c r="G577" s="180">
        <v>0.5</v>
      </c>
      <c r="H577" s="145"/>
      <c r="I577" s="145"/>
      <c r="J577" s="307"/>
      <c r="K577" s="107"/>
      <c r="L577" s="107"/>
      <c r="M577" s="107"/>
      <c r="N577" s="107"/>
      <c r="O577" s="107"/>
      <c r="P577" s="107"/>
      <c r="Q577" s="107"/>
    </row>
    <row r="578" spans="1:17" x14ac:dyDescent="0.2">
      <c r="A578" s="131"/>
      <c r="B578" s="134"/>
      <c r="C578" s="134"/>
      <c r="D578" s="134"/>
      <c r="E578" s="138">
        <f>+SUM(B573:B577)</f>
        <v>62663</v>
      </c>
      <c r="F578" s="138">
        <f>+SUM(C573:C577)</f>
        <v>2132</v>
      </c>
      <c r="G578" s="312">
        <f>+SUM(D573:D577)</f>
        <v>0.5</v>
      </c>
      <c r="H578" s="145"/>
      <c r="I578" s="145"/>
      <c r="J578" s="307"/>
      <c r="K578" s="107"/>
      <c r="L578" s="107"/>
      <c r="M578" s="107"/>
      <c r="N578" s="107"/>
      <c r="O578" s="107"/>
      <c r="P578" s="107"/>
      <c r="Q578" s="107"/>
    </row>
    <row r="579" spans="1:17" x14ac:dyDescent="0.2">
      <c r="A579" s="901" t="s">
        <v>3031</v>
      </c>
      <c r="B579" s="902"/>
      <c r="C579" s="902"/>
      <c r="D579" s="902"/>
      <c r="E579" s="902"/>
      <c r="F579" s="902"/>
      <c r="G579" s="902"/>
      <c r="H579" s="902"/>
      <c r="I579" s="902"/>
      <c r="J579" s="903"/>
      <c r="K579" s="107"/>
      <c r="L579" s="107"/>
      <c r="M579" s="107"/>
      <c r="N579" s="107"/>
      <c r="O579" s="107"/>
      <c r="P579" s="107"/>
      <c r="Q579" s="107"/>
    </row>
    <row r="580" spans="1:17" x14ac:dyDescent="0.2">
      <c r="A580" s="131" t="s">
        <v>3068</v>
      </c>
      <c r="B580" s="145">
        <v>890</v>
      </c>
      <c r="C580" s="145">
        <v>400</v>
      </c>
      <c r="D580" s="145"/>
      <c r="E580" s="145"/>
      <c r="F580" s="145"/>
      <c r="G580" s="145"/>
      <c r="H580" s="145"/>
      <c r="I580" s="145"/>
      <c r="J580" s="307"/>
      <c r="K580" s="107"/>
      <c r="L580" s="107"/>
      <c r="M580" s="107"/>
      <c r="N580" s="107"/>
      <c r="O580" s="107"/>
      <c r="P580" s="107"/>
      <c r="Q580" s="107"/>
    </row>
    <row r="581" spans="1:17" x14ac:dyDescent="0.2">
      <c r="A581" s="131" t="s">
        <v>3069</v>
      </c>
      <c r="B581" s="145">
        <v>7760</v>
      </c>
      <c r="C581" s="145">
        <v>970</v>
      </c>
      <c r="D581" s="145"/>
      <c r="E581" s="145"/>
      <c r="F581" s="145"/>
      <c r="G581" s="145"/>
      <c r="H581" s="145"/>
      <c r="I581" s="145"/>
      <c r="J581" s="307"/>
      <c r="K581" s="107"/>
      <c r="L581" s="107"/>
      <c r="M581" s="107"/>
      <c r="N581" s="107"/>
      <c r="O581" s="107"/>
      <c r="P581" s="107"/>
      <c r="Q581" s="107"/>
    </row>
    <row r="582" spans="1:17" x14ac:dyDescent="0.2">
      <c r="A582" s="131" t="s">
        <v>3070</v>
      </c>
      <c r="B582" s="145">
        <v>175</v>
      </c>
      <c r="C582" s="145"/>
      <c r="D582" s="145"/>
      <c r="E582" s="145"/>
      <c r="F582" s="145"/>
      <c r="G582" s="145"/>
      <c r="H582" s="145"/>
      <c r="I582" s="145"/>
      <c r="J582" s="307"/>
      <c r="K582" s="107"/>
      <c r="L582" s="107"/>
      <c r="M582" s="107"/>
      <c r="N582" s="107"/>
      <c r="O582" s="107"/>
      <c r="P582" s="107"/>
      <c r="Q582" s="107"/>
    </row>
    <row r="583" spans="1:17" x14ac:dyDescent="0.2">
      <c r="A583" s="131" t="s">
        <v>3071</v>
      </c>
      <c r="B583" s="145">
        <v>81</v>
      </c>
      <c r="C583" s="145">
        <v>60</v>
      </c>
      <c r="D583" s="145"/>
      <c r="E583" s="145"/>
      <c r="F583" s="145"/>
      <c r="G583" s="145"/>
      <c r="H583" s="145"/>
      <c r="I583" s="145"/>
      <c r="J583" s="307"/>
      <c r="K583" s="107"/>
      <c r="L583" s="107"/>
      <c r="M583" s="107"/>
      <c r="N583" s="107"/>
      <c r="O583" s="107"/>
      <c r="P583" s="107"/>
      <c r="Q583" s="107"/>
    </row>
    <row r="584" spans="1:17" ht="16" thickBot="1" x14ac:dyDescent="0.25">
      <c r="A584" s="131" t="s">
        <v>3072</v>
      </c>
      <c r="B584" s="187">
        <v>100</v>
      </c>
      <c r="C584" s="187"/>
      <c r="D584" s="187"/>
      <c r="E584" s="145">
        <v>9007</v>
      </c>
      <c r="F584" s="145">
        <v>430</v>
      </c>
      <c r="G584" s="145"/>
      <c r="H584" s="145"/>
      <c r="I584" s="145"/>
      <c r="J584" s="307"/>
      <c r="K584" s="107"/>
      <c r="L584" s="107"/>
      <c r="M584" s="107"/>
      <c r="N584" s="107"/>
      <c r="O584" s="107"/>
      <c r="P584" s="107"/>
      <c r="Q584" s="107"/>
    </row>
    <row r="585" spans="1:17" x14ac:dyDescent="0.2">
      <c r="A585" s="131"/>
      <c r="B585" s="145"/>
      <c r="C585" s="145"/>
      <c r="D585" s="145"/>
      <c r="E585" s="138">
        <f>+SUM(B580:B584)</f>
        <v>9006</v>
      </c>
      <c r="F585" s="138">
        <f>+SUM(C580:C584)</f>
        <v>1430</v>
      </c>
      <c r="G585" s="138">
        <f>+SUM(D580:D584)</f>
        <v>0</v>
      </c>
      <c r="H585" s="145"/>
      <c r="I585" s="145"/>
      <c r="J585" s="307"/>
      <c r="K585" s="107"/>
      <c r="L585" s="107"/>
      <c r="M585" s="107"/>
      <c r="N585" s="107"/>
      <c r="O585" s="107"/>
      <c r="P585" s="107"/>
      <c r="Q585" s="107"/>
    </row>
    <row r="586" spans="1:17" x14ac:dyDescent="0.2">
      <c r="A586" s="901" t="s">
        <v>1874</v>
      </c>
      <c r="B586" s="902"/>
      <c r="C586" s="902"/>
      <c r="D586" s="902"/>
      <c r="E586" s="902"/>
      <c r="F586" s="902"/>
      <c r="G586" s="902"/>
      <c r="H586" s="902"/>
      <c r="I586" s="902"/>
      <c r="J586" s="903"/>
      <c r="K586" s="107"/>
      <c r="L586" s="107"/>
      <c r="M586" s="107"/>
      <c r="N586" s="107"/>
      <c r="O586" s="107"/>
      <c r="P586" s="107"/>
      <c r="Q586" s="107"/>
    </row>
    <row r="587" spans="1:17" ht="16" thickBot="1" x14ac:dyDescent="0.25">
      <c r="A587" s="588" t="s">
        <v>3073</v>
      </c>
      <c r="B587" s="589"/>
      <c r="C587" s="589"/>
      <c r="D587" s="589"/>
      <c r="E587" s="187">
        <v>4000</v>
      </c>
      <c r="F587" s="187"/>
      <c r="G587" s="187"/>
      <c r="H587" s="145">
        <v>75672</v>
      </c>
      <c r="I587" s="145">
        <v>562</v>
      </c>
      <c r="J587" s="133">
        <v>0.5</v>
      </c>
      <c r="K587" s="107"/>
      <c r="L587" s="107"/>
      <c r="M587" s="107"/>
      <c r="N587" s="107"/>
      <c r="O587" s="107"/>
      <c r="P587" s="107"/>
      <c r="Q587" s="107"/>
    </row>
    <row r="588" spans="1:17" x14ac:dyDescent="0.2">
      <c r="A588" s="908"/>
      <c r="B588" s="693"/>
      <c r="C588" s="693"/>
      <c r="D588" s="693"/>
      <c r="E588" s="145"/>
      <c r="F588" s="145"/>
      <c r="G588" s="145"/>
      <c r="H588" s="138">
        <f>+E577+E584+E587</f>
        <v>75672</v>
      </c>
      <c r="I588" s="138">
        <f>+F577+F584+F587</f>
        <v>562</v>
      </c>
      <c r="J588" s="139">
        <f>+G577+G584+G587</f>
        <v>0.5</v>
      </c>
      <c r="K588" s="107"/>
      <c r="L588" s="107"/>
      <c r="M588" s="107"/>
      <c r="N588" s="107"/>
      <c r="O588" s="107"/>
      <c r="P588" s="107"/>
      <c r="Q588" s="107"/>
    </row>
    <row r="589" spans="1:17" x14ac:dyDescent="0.2">
      <c r="A589" s="901" t="s">
        <v>1854</v>
      </c>
      <c r="B589" s="902"/>
      <c r="C589" s="902"/>
      <c r="D589" s="902"/>
      <c r="E589" s="902"/>
      <c r="F589" s="902"/>
      <c r="G589" s="902"/>
      <c r="H589" s="902"/>
      <c r="I589" s="902"/>
      <c r="J589" s="903"/>
      <c r="K589" s="107"/>
      <c r="L589" s="107"/>
      <c r="M589" s="107"/>
      <c r="N589" s="107"/>
      <c r="O589" s="107"/>
      <c r="P589" s="107"/>
      <c r="Q589" s="107"/>
    </row>
    <row r="590" spans="1:17" x14ac:dyDescent="0.2">
      <c r="A590" s="480" t="s">
        <v>3074</v>
      </c>
      <c r="B590" s="481"/>
      <c r="C590" s="481"/>
      <c r="D590" s="481"/>
      <c r="E590" s="481"/>
      <c r="F590" s="481"/>
      <c r="G590" s="481"/>
      <c r="H590" s="134"/>
      <c r="I590" s="134"/>
      <c r="J590" s="185"/>
      <c r="K590" s="107"/>
      <c r="L590" s="107"/>
      <c r="M590" s="107"/>
      <c r="N590" s="107"/>
      <c r="O590" s="107"/>
      <c r="P590" s="107"/>
      <c r="Q590" s="107"/>
    </row>
    <row r="591" spans="1:17" x14ac:dyDescent="0.2">
      <c r="A591" s="480" t="s">
        <v>3075</v>
      </c>
      <c r="B591" s="481"/>
      <c r="C591" s="481"/>
      <c r="D591" s="481"/>
      <c r="E591" s="481"/>
      <c r="F591" s="481"/>
      <c r="G591" s="481"/>
      <c r="H591" s="145">
        <v>9417</v>
      </c>
      <c r="I591" s="145">
        <v>762</v>
      </c>
      <c r="J591" s="133">
        <v>0.5</v>
      </c>
      <c r="K591" s="107"/>
      <c r="L591" s="107"/>
      <c r="M591" s="107"/>
      <c r="N591" s="107"/>
      <c r="O591" s="107"/>
      <c r="P591" s="107"/>
      <c r="Q591" s="107"/>
    </row>
    <row r="592" spans="1:17" x14ac:dyDescent="0.2">
      <c r="A592" s="480" t="s">
        <v>3076</v>
      </c>
      <c r="B592" s="481"/>
      <c r="C592" s="481"/>
      <c r="D592" s="481"/>
      <c r="E592" s="481"/>
      <c r="F592" s="481"/>
      <c r="G592" s="481"/>
      <c r="H592" s="145"/>
      <c r="I592" s="145"/>
      <c r="J592" s="307"/>
      <c r="K592" s="107"/>
      <c r="L592" s="107"/>
      <c r="M592" s="107"/>
      <c r="N592" s="107"/>
      <c r="O592" s="107"/>
      <c r="P592" s="107"/>
      <c r="Q592" s="107"/>
    </row>
    <row r="593" spans="1:21" x14ac:dyDescent="0.2">
      <c r="A593" s="480" t="s">
        <v>3077</v>
      </c>
      <c r="B593" s="481"/>
      <c r="C593" s="481"/>
      <c r="D593" s="481"/>
      <c r="E593" s="145">
        <v>134</v>
      </c>
      <c r="F593" s="145"/>
      <c r="G593" s="145"/>
      <c r="H593" s="145"/>
      <c r="I593" s="145"/>
      <c r="J593" s="307"/>
      <c r="K593" s="107"/>
      <c r="L593" s="107"/>
      <c r="M593" s="107"/>
      <c r="N593" s="107"/>
      <c r="O593" s="107"/>
      <c r="P593" s="107"/>
      <c r="Q593" s="107"/>
    </row>
    <row r="594" spans="1:21" ht="16" thickBot="1" x14ac:dyDescent="0.25">
      <c r="A594" s="480" t="s">
        <v>3078</v>
      </c>
      <c r="B594" s="481"/>
      <c r="C594" s="481"/>
      <c r="D594" s="481"/>
      <c r="E594" s="187">
        <v>458</v>
      </c>
      <c r="F594" s="187">
        <v>650</v>
      </c>
      <c r="G594" s="187"/>
      <c r="H594" s="145">
        <v>592</v>
      </c>
      <c r="I594" s="145">
        <v>650</v>
      </c>
      <c r="J594" s="307"/>
      <c r="K594" s="107"/>
      <c r="L594" s="107"/>
      <c r="M594" s="107"/>
      <c r="N594" s="107"/>
      <c r="O594" s="107"/>
      <c r="P594" s="107"/>
      <c r="Q594" s="107"/>
    </row>
    <row r="595" spans="1:21" x14ac:dyDescent="0.2">
      <c r="A595" s="480" t="s">
        <v>3079</v>
      </c>
      <c r="B595" s="481"/>
      <c r="C595" s="481"/>
      <c r="D595" s="481"/>
      <c r="E595" s="481"/>
      <c r="F595" s="481"/>
      <c r="G595" s="481"/>
      <c r="H595" s="145"/>
      <c r="I595" s="145"/>
      <c r="J595" s="307"/>
      <c r="K595" s="107"/>
      <c r="L595" s="107"/>
      <c r="M595" s="107"/>
      <c r="N595" s="107"/>
      <c r="O595" s="107"/>
      <c r="P595" s="107"/>
      <c r="Q595" s="107"/>
    </row>
    <row r="596" spans="1:21" x14ac:dyDescent="0.2">
      <c r="A596" s="480" t="s">
        <v>3077</v>
      </c>
      <c r="B596" s="481"/>
      <c r="C596" s="481"/>
      <c r="D596" s="481"/>
      <c r="E596" s="481"/>
      <c r="F596" s="481"/>
      <c r="G596" s="481"/>
      <c r="H596" s="145">
        <v>1702</v>
      </c>
      <c r="I596" s="145">
        <v>602</v>
      </c>
      <c r="J596" s="133">
        <v>0.5</v>
      </c>
      <c r="K596" s="107"/>
      <c r="L596" s="107"/>
      <c r="M596" s="107"/>
      <c r="N596" s="107"/>
      <c r="O596" s="107"/>
      <c r="P596" s="107"/>
      <c r="Q596" s="107"/>
    </row>
    <row r="597" spans="1:21" x14ac:dyDescent="0.2">
      <c r="A597" s="480" t="s">
        <v>3080</v>
      </c>
      <c r="B597" s="481"/>
      <c r="C597" s="481"/>
      <c r="D597" s="481"/>
      <c r="E597" s="481"/>
      <c r="F597" s="481"/>
      <c r="G597" s="481"/>
      <c r="H597" s="145"/>
      <c r="I597" s="145"/>
      <c r="J597" s="307"/>
      <c r="K597" s="107"/>
      <c r="L597" s="107"/>
      <c r="M597" s="107"/>
      <c r="N597" s="107"/>
      <c r="O597" s="107"/>
      <c r="P597" s="107"/>
      <c r="Q597" s="107"/>
    </row>
    <row r="598" spans="1:21" x14ac:dyDescent="0.2">
      <c r="A598" s="480" t="s">
        <v>3081</v>
      </c>
      <c r="B598" s="481"/>
      <c r="C598" s="481"/>
      <c r="D598" s="481"/>
      <c r="E598" s="145">
        <v>1137</v>
      </c>
      <c r="F598" s="145">
        <v>555</v>
      </c>
      <c r="G598" s="145"/>
      <c r="H598" s="145"/>
      <c r="I598" s="145"/>
      <c r="J598" s="307"/>
      <c r="K598" s="107"/>
      <c r="L598" s="107"/>
      <c r="M598" s="107"/>
      <c r="N598" s="107"/>
      <c r="O598" s="107"/>
      <c r="P598" s="107"/>
      <c r="Q598" s="107"/>
    </row>
    <row r="599" spans="1:21" ht="16" thickBot="1" x14ac:dyDescent="0.25">
      <c r="A599" s="480" t="s">
        <v>3082</v>
      </c>
      <c r="B599" s="481"/>
      <c r="C599" s="481"/>
      <c r="D599" s="481"/>
      <c r="E599" s="187">
        <v>2144</v>
      </c>
      <c r="F599" s="187">
        <v>115</v>
      </c>
      <c r="G599" s="187"/>
      <c r="H599" s="145">
        <v>3281</v>
      </c>
      <c r="I599" s="145">
        <v>670</v>
      </c>
      <c r="J599" s="307"/>
      <c r="K599" s="107"/>
      <c r="L599" s="107"/>
      <c r="M599" s="107"/>
      <c r="N599" s="107"/>
      <c r="O599" s="107"/>
      <c r="P599" s="107"/>
      <c r="Q599" s="107"/>
    </row>
    <row r="600" spans="1:21" x14ac:dyDescent="0.2">
      <c r="A600" s="480" t="s">
        <v>3083</v>
      </c>
      <c r="B600" s="481"/>
      <c r="C600" s="481"/>
      <c r="D600" s="481"/>
      <c r="E600" s="481"/>
      <c r="F600" s="481"/>
      <c r="G600" s="481"/>
      <c r="H600" s="145"/>
      <c r="I600" s="145"/>
      <c r="J600" s="307"/>
      <c r="K600" s="107"/>
      <c r="L600" s="107"/>
      <c r="M600" s="107"/>
      <c r="N600" s="107"/>
      <c r="O600" s="107"/>
      <c r="P600" s="107"/>
      <c r="Q600" s="107"/>
    </row>
    <row r="601" spans="1:21" ht="16" thickBot="1" x14ac:dyDescent="0.25">
      <c r="A601" s="480" t="s">
        <v>3084</v>
      </c>
      <c r="B601" s="481"/>
      <c r="C601" s="481"/>
      <c r="D601" s="481"/>
      <c r="E601" s="481"/>
      <c r="F601" s="481"/>
      <c r="G601" s="481"/>
      <c r="H601" s="187">
        <v>1146</v>
      </c>
      <c r="I601" s="187"/>
      <c r="J601" s="444"/>
      <c r="K601" s="107"/>
      <c r="L601" s="107"/>
      <c r="M601" s="107"/>
      <c r="N601" s="107"/>
      <c r="O601" s="107"/>
      <c r="P601" s="107"/>
      <c r="Q601" s="107"/>
    </row>
    <row r="602" spans="1:21" x14ac:dyDescent="0.2">
      <c r="A602" s="131"/>
      <c r="B602" s="145"/>
      <c r="C602" s="145"/>
      <c r="D602" s="145"/>
      <c r="E602" s="145"/>
      <c r="F602" s="145"/>
      <c r="G602" s="145"/>
      <c r="H602" s="145">
        <v>164968</v>
      </c>
      <c r="I602" s="145">
        <v>542</v>
      </c>
      <c r="J602" s="133">
        <v>0.5</v>
      </c>
      <c r="K602" s="107"/>
      <c r="L602" s="107"/>
      <c r="M602" s="107"/>
      <c r="N602" s="107"/>
      <c r="O602" s="107"/>
      <c r="P602" s="107"/>
      <c r="Q602" s="107"/>
    </row>
    <row r="603" spans="1:21" x14ac:dyDescent="0.2">
      <c r="A603" s="230"/>
      <c r="B603" s="309"/>
      <c r="C603" s="309"/>
      <c r="D603" s="309"/>
      <c r="E603" s="309"/>
      <c r="F603" s="309"/>
      <c r="G603" s="309"/>
      <c r="H603" s="152">
        <f>+SUM(H601+H599+H596+H594+H591+H587+H569)</f>
        <v>164965</v>
      </c>
      <c r="I603" s="152">
        <f>+SUM(I601+I599+I596+I594+I591+I587+I569)</f>
        <v>3541</v>
      </c>
      <c r="J603" s="154">
        <f>+SUM(J601+J599+J596+J594+J591+J587+J569)</f>
        <v>1.5</v>
      </c>
      <c r="K603" s="107"/>
      <c r="L603" s="107"/>
      <c r="M603" s="107"/>
      <c r="N603" s="107"/>
      <c r="O603" s="107"/>
      <c r="P603" s="107"/>
      <c r="Q603" s="107"/>
    </row>
    <row r="604" spans="1:21" x14ac:dyDescent="0.2">
      <c r="A604" s="107"/>
      <c r="B604" s="107"/>
      <c r="C604" s="107"/>
      <c r="D604" s="107"/>
      <c r="E604" s="107"/>
      <c r="F604" s="107"/>
      <c r="G604" s="107"/>
      <c r="H604" s="107"/>
      <c r="I604" s="107"/>
      <c r="J604" s="180"/>
      <c r="K604" s="107"/>
      <c r="L604" s="107"/>
      <c r="M604" s="107"/>
      <c r="N604" s="107"/>
      <c r="O604" s="107"/>
      <c r="P604" s="107"/>
      <c r="Q604" s="107"/>
    </row>
    <row r="605" spans="1:21" x14ac:dyDescent="0.2">
      <c r="A605" s="107"/>
      <c r="B605" s="107"/>
      <c r="C605" s="107"/>
      <c r="D605" s="107"/>
      <c r="E605" s="107"/>
      <c r="F605" s="107"/>
      <c r="G605" s="107"/>
      <c r="H605" s="107"/>
      <c r="I605" s="107"/>
      <c r="J605" s="180"/>
      <c r="K605" s="107"/>
      <c r="L605" s="107"/>
      <c r="M605" s="107"/>
      <c r="N605" s="107"/>
      <c r="O605" s="107"/>
      <c r="P605" s="107"/>
      <c r="Q605" s="107"/>
    </row>
    <row r="606" spans="1:21" x14ac:dyDescent="0.2">
      <c r="A606" s="107"/>
      <c r="B606" s="107"/>
      <c r="C606" s="107"/>
      <c r="D606" s="107"/>
      <c r="E606" s="107"/>
      <c r="F606" s="107"/>
      <c r="G606" s="107"/>
      <c r="H606" s="107"/>
      <c r="I606" s="107"/>
      <c r="J606" s="107"/>
      <c r="K606" s="107"/>
      <c r="L606" s="107"/>
      <c r="M606" s="107"/>
      <c r="N606" s="107"/>
      <c r="O606" s="107"/>
      <c r="P606" s="107"/>
      <c r="Q606" s="107"/>
    </row>
    <row r="607" spans="1:21" x14ac:dyDescent="0.2">
      <c r="A607" s="526" t="s">
        <v>1993</v>
      </c>
      <c r="B607" s="107"/>
      <c r="C607" s="107"/>
      <c r="D607" s="107"/>
      <c r="E607" s="107"/>
      <c r="F607" s="107"/>
      <c r="G607" s="107"/>
      <c r="H607" s="107"/>
      <c r="I607" s="107"/>
      <c r="J607" s="107"/>
      <c r="K607" s="107"/>
      <c r="L607" s="107"/>
      <c r="M607" s="107"/>
      <c r="N607" s="107"/>
      <c r="O607" s="107"/>
      <c r="P607" s="107"/>
      <c r="Q607" s="107"/>
    </row>
    <row r="608" spans="1:21" ht="42" customHeight="1" x14ac:dyDescent="0.2">
      <c r="A608" s="875" t="s">
        <v>2848</v>
      </c>
      <c r="B608" s="876"/>
      <c r="C608" s="876"/>
      <c r="D608" s="876"/>
      <c r="E608" s="876"/>
      <c r="F608" s="876"/>
      <c r="G608" s="876"/>
      <c r="H608" s="876"/>
      <c r="I608" s="876"/>
      <c r="J608" s="876"/>
      <c r="K608" s="876"/>
      <c r="L608" s="876"/>
      <c r="M608" s="876"/>
      <c r="N608" s="876"/>
      <c r="O608" s="876"/>
      <c r="P608" s="876"/>
      <c r="Q608" s="876"/>
      <c r="R608" s="876"/>
      <c r="S608" s="876"/>
      <c r="T608" s="876"/>
      <c r="U608" s="877"/>
    </row>
    <row r="609" spans="1:21" ht="86.5" customHeight="1" x14ac:dyDescent="0.2">
      <c r="A609" s="811" t="s">
        <v>2849</v>
      </c>
      <c r="B609" s="608" t="s">
        <v>2850</v>
      </c>
      <c r="C609" s="609"/>
      <c r="D609" s="608" t="s">
        <v>2851</v>
      </c>
      <c r="E609" s="778"/>
      <c r="F609" s="609"/>
      <c r="G609" s="608" t="s">
        <v>2852</v>
      </c>
      <c r="H609" s="778"/>
      <c r="I609" s="609"/>
      <c r="J609" s="608" t="s">
        <v>3085</v>
      </c>
      <c r="K609" s="778"/>
      <c r="L609" s="608" t="s">
        <v>3086</v>
      </c>
      <c r="M609" s="609"/>
      <c r="N609" s="608" t="s">
        <v>2855</v>
      </c>
      <c r="O609" s="778"/>
      <c r="P609" s="609"/>
      <c r="Q609" s="608" t="s">
        <v>2856</v>
      </c>
      <c r="R609" s="778"/>
      <c r="S609" s="609"/>
      <c r="T609" s="608" t="s">
        <v>3087</v>
      </c>
      <c r="U609" s="609"/>
    </row>
    <row r="610" spans="1:21" x14ac:dyDescent="0.2">
      <c r="A610" s="131" t="s">
        <v>1174</v>
      </c>
      <c r="B610" s="131">
        <v>900000</v>
      </c>
      <c r="C610" s="307"/>
      <c r="D610" s="349">
        <v>620940</v>
      </c>
      <c r="E610" s="350">
        <v>835</v>
      </c>
      <c r="F610" s="717"/>
      <c r="G610" s="349">
        <v>592349</v>
      </c>
      <c r="H610" s="350">
        <v>785</v>
      </c>
      <c r="I610" s="717"/>
      <c r="J610" s="131"/>
      <c r="K610" s="145"/>
      <c r="L610" s="131"/>
      <c r="M610" s="307"/>
      <c r="N610" s="145">
        <v>620940</v>
      </c>
      <c r="O610" s="145">
        <v>835</v>
      </c>
      <c r="P610" s="307"/>
      <c r="Q610" s="145">
        <v>592349</v>
      </c>
      <c r="R610" s="145">
        <v>785</v>
      </c>
      <c r="S610" s="145"/>
      <c r="T610" s="131"/>
      <c r="U610" s="307"/>
    </row>
    <row r="611" spans="1:21" x14ac:dyDescent="0.2">
      <c r="A611" s="131" t="s">
        <v>1573</v>
      </c>
      <c r="B611" s="131">
        <v>20000</v>
      </c>
      <c r="C611" s="307"/>
      <c r="D611" s="131">
        <v>15828</v>
      </c>
      <c r="E611" s="145">
        <v>388</v>
      </c>
      <c r="F611" s="307"/>
      <c r="G611" s="131">
        <v>15828</v>
      </c>
      <c r="H611" s="145">
        <v>388</v>
      </c>
      <c r="I611" s="307"/>
      <c r="J611" s="131"/>
      <c r="K611" s="145"/>
      <c r="L611" s="131"/>
      <c r="M611" s="307"/>
      <c r="N611" s="145">
        <v>15828</v>
      </c>
      <c r="O611" s="145">
        <v>388</v>
      </c>
      <c r="P611" s="307"/>
      <c r="Q611" s="145">
        <v>15828</v>
      </c>
      <c r="R611" s="145">
        <v>388</v>
      </c>
      <c r="S611" s="145"/>
      <c r="T611" s="131"/>
      <c r="U611" s="307"/>
    </row>
    <row r="612" spans="1:21" x14ac:dyDescent="0.2">
      <c r="A612" s="131" t="s">
        <v>2858</v>
      </c>
      <c r="B612" s="131">
        <v>200000</v>
      </c>
      <c r="C612" s="307"/>
      <c r="D612" s="131">
        <v>158970</v>
      </c>
      <c r="E612" s="145">
        <v>635</v>
      </c>
      <c r="F612" s="307"/>
      <c r="G612" s="131">
        <v>158970</v>
      </c>
      <c r="H612" s="145">
        <v>635</v>
      </c>
      <c r="I612" s="307"/>
      <c r="J612" s="131"/>
      <c r="K612" s="145"/>
      <c r="L612" s="131"/>
      <c r="M612" s="307"/>
      <c r="N612" s="145">
        <v>158970</v>
      </c>
      <c r="O612" s="145">
        <v>635</v>
      </c>
      <c r="P612" s="307"/>
      <c r="Q612" s="145">
        <v>158970</v>
      </c>
      <c r="R612" s="145">
        <v>635</v>
      </c>
      <c r="S612" s="145"/>
      <c r="T612" s="131"/>
      <c r="U612" s="307"/>
    </row>
    <row r="613" spans="1:21" x14ac:dyDescent="0.2">
      <c r="A613" s="131" t="s">
        <v>1808</v>
      </c>
      <c r="B613" s="131">
        <v>30000</v>
      </c>
      <c r="C613" s="307"/>
      <c r="D613" s="131">
        <v>55901</v>
      </c>
      <c r="E613" s="145">
        <v>96</v>
      </c>
      <c r="F613" s="307"/>
      <c r="G613" s="131">
        <v>55428</v>
      </c>
      <c r="H613" s="145">
        <v>611</v>
      </c>
      <c r="I613" s="307"/>
      <c r="J613" s="131"/>
      <c r="K613" s="145"/>
      <c r="L613" s="131"/>
      <c r="M613" s="307"/>
      <c r="N613" s="145">
        <v>55901</v>
      </c>
      <c r="O613" s="145">
        <v>96</v>
      </c>
      <c r="P613" s="307"/>
      <c r="Q613" s="145">
        <v>55428</v>
      </c>
      <c r="R613" s="145">
        <v>611</v>
      </c>
      <c r="S613" s="145"/>
      <c r="T613" s="131">
        <v>490</v>
      </c>
      <c r="U613" s="307"/>
    </row>
    <row r="614" spans="1:21" x14ac:dyDescent="0.2">
      <c r="A614" s="131" t="s">
        <v>1175</v>
      </c>
      <c r="B614" s="131">
        <v>50000</v>
      </c>
      <c r="C614" s="307"/>
      <c r="D614" s="131">
        <v>17820</v>
      </c>
      <c r="E614" s="145">
        <v>245</v>
      </c>
      <c r="F614" s="307"/>
      <c r="G614" s="131">
        <v>17560</v>
      </c>
      <c r="H614" s="145">
        <v>580</v>
      </c>
      <c r="I614" s="307"/>
      <c r="J614" s="131"/>
      <c r="K614" s="145"/>
      <c r="L614" s="131">
        <v>9</v>
      </c>
      <c r="M614" s="307">
        <v>500</v>
      </c>
      <c r="N614" s="145">
        <v>17820</v>
      </c>
      <c r="O614" s="145">
        <v>245</v>
      </c>
      <c r="P614" s="307"/>
      <c r="Q614" s="145">
        <v>17570</v>
      </c>
      <c r="R614" s="145">
        <v>80</v>
      </c>
      <c r="S614" s="145"/>
      <c r="T614" s="131">
        <v>250</v>
      </c>
      <c r="U614" s="307">
        <v>165</v>
      </c>
    </row>
    <row r="615" spans="1:21" x14ac:dyDescent="0.2">
      <c r="A615" s="131" t="s">
        <v>2859</v>
      </c>
      <c r="B615" s="131">
        <v>200000</v>
      </c>
      <c r="C615" s="307"/>
      <c r="D615" s="131"/>
      <c r="E615" s="145"/>
      <c r="F615" s="307"/>
      <c r="G615" s="131"/>
      <c r="H615" s="145"/>
      <c r="I615" s="307"/>
      <c r="J615" s="131"/>
      <c r="K615" s="145"/>
      <c r="L615" s="131"/>
      <c r="M615" s="307"/>
      <c r="N615" s="145"/>
      <c r="O615" s="145"/>
      <c r="P615" s="307"/>
      <c r="Q615" s="145"/>
      <c r="R615" s="145"/>
      <c r="S615" s="145"/>
      <c r="T615" s="131"/>
      <c r="U615" s="307"/>
    </row>
    <row r="616" spans="1:21" x14ac:dyDescent="0.2">
      <c r="A616" s="131" t="s">
        <v>2860</v>
      </c>
      <c r="B616" s="131">
        <v>25000</v>
      </c>
      <c r="C616" s="307"/>
      <c r="D616" s="131"/>
      <c r="E616" s="145"/>
      <c r="F616" s="307"/>
      <c r="G616" s="131"/>
      <c r="H616" s="145"/>
      <c r="I616" s="307"/>
      <c r="J616" s="131"/>
      <c r="K616" s="145"/>
      <c r="L616" s="131"/>
      <c r="M616" s="307"/>
      <c r="N616" s="145"/>
      <c r="O616" s="145"/>
      <c r="P616" s="307"/>
      <c r="Q616" s="145"/>
      <c r="R616" s="145"/>
      <c r="S616" s="145"/>
      <c r="T616" s="131"/>
      <c r="U616" s="307"/>
    </row>
    <row r="617" spans="1:21" x14ac:dyDescent="0.2">
      <c r="A617" s="131" t="s">
        <v>1569</v>
      </c>
      <c r="B617" s="131">
        <v>700000</v>
      </c>
      <c r="C617" s="307"/>
      <c r="D617" s="131">
        <v>675081</v>
      </c>
      <c r="E617" s="145">
        <v>75</v>
      </c>
      <c r="F617" s="307"/>
      <c r="G617" s="131">
        <v>674430</v>
      </c>
      <c r="H617" s="145">
        <v>125</v>
      </c>
      <c r="I617" s="307"/>
      <c r="J617" s="131">
        <v>105</v>
      </c>
      <c r="K617" s="145">
        <v>325</v>
      </c>
      <c r="L617" s="131">
        <v>105</v>
      </c>
      <c r="M617" s="307">
        <v>75</v>
      </c>
      <c r="N617" s="145">
        <v>675186</v>
      </c>
      <c r="O617" s="145">
        <v>400</v>
      </c>
      <c r="P617" s="307"/>
      <c r="Q617" s="145">
        <v>674535</v>
      </c>
      <c r="R617" s="145">
        <v>200</v>
      </c>
      <c r="S617" s="145"/>
      <c r="T617" s="131">
        <v>650</v>
      </c>
      <c r="U617" s="307">
        <v>700</v>
      </c>
    </row>
    <row r="618" spans="1:21" x14ac:dyDescent="0.2">
      <c r="A618" s="131" t="s">
        <v>1992</v>
      </c>
      <c r="B618" s="131">
        <v>25000</v>
      </c>
      <c r="C618" s="307"/>
      <c r="D618" s="131">
        <v>26799</v>
      </c>
      <c r="E618" s="145">
        <v>364</v>
      </c>
      <c r="F618" s="307"/>
      <c r="G618" s="131">
        <v>25491</v>
      </c>
      <c r="H618" s="145">
        <v>727</v>
      </c>
      <c r="I618" s="307"/>
      <c r="J618" s="131"/>
      <c r="K618" s="145"/>
      <c r="L618" s="131"/>
      <c r="M618" s="307"/>
      <c r="N618" s="145">
        <v>26799</v>
      </c>
      <c r="O618" s="145">
        <v>364</v>
      </c>
      <c r="P618" s="307"/>
      <c r="Q618" s="145">
        <v>25491</v>
      </c>
      <c r="R618" s="145">
        <v>727</v>
      </c>
      <c r="S618" s="145"/>
      <c r="T618" s="131">
        <v>3241</v>
      </c>
      <c r="U618" s="307">
        <v>612</v>
      </c>
    </row>
    <row r="619" spans="1:21" x14ac:dyDescent="0.2">
      <c r="A619" s="794" t="s">
        <v>2566</v>
      </c>
      <c r="B619" s="240">
        <v>2150000</v>
      </c>
      <c r="C619" s="513"/>
      <c r="D619" s="240">
        <v>1571341</v>
      </c>
      <c r="E619" s="318">
        <v>638</v>
      </c>
      <c r="F619" s="513"/>
      <c r="G619" s="240">
        <v>1540059</v>
      </c>
      <c r="H619" s="318">
        <v>851</v>
      </c>
      <c r="I619" s="513"/>
      <c r="J619" s="240">
        <v>105</v>
      </c>
      <c r="K619" s="318">
        <v>325</v>
      </c>
      <c r="L619" s="240">
        <v>114</v>
      </c>
      <c r="M619" s="513">
        <v>575</v>
      </c>
      <c r="N619" s="318">
        <v>1571446</v>
      </c>
      <c r="O619" s="318">
        <v>963</v>
      </c>
      <c r="P619" s="513"/>
      <c r="Q619" s="318">
        <v>1540174</v>
      </c>
      <c r="R619" s="318">
        <v>426</v>
      </c>
      <c r="S619" s="318"/>
      <c r="T619" s="240">
        <v>4632</v>
      </c>
      <c r="U619" s="513">
        <v>477</v>
      </c>
    </row>
    <row r="620" spans="1:21" x14ac:dyDescent="0.2">
      <c r="A620" s="131"/>
      <c r="B620" s="138">
        <f>+SUM(B610:B618)</f>
        <v>2150000</v>
      </c>
      <c r="C620" s="138">
        <f t="shared" ref="C620:U620" si="9">+SUM(C610:C618)</f>
        <v>0</v>
      </c>
      <c r="D620" s="138">
        <f t="shared" si="9"/>
        <v>1571339</v>
      </c>
      <c r="E620" s="138">
        <f t="shared" si="9"/>
        <v>2638</v>
      </c>
      <c r="F620" s="138"/>
      <c r="G620" s="138">
        <f t="shared" si="9"/>
        <v>1540056</v>
      </c>
      <c r="H620" s="138">
        <f t="shared" si="9"/>
        <v>3851</v>
      </c>
      <c r="I620" s="138">
        <f t="shared" si="9"/>
        <v>0</v>
      </c>
      <c r="J620" s="138">
        <f t="shared" si="9"/>
        <v>105</v>
      </c>
      <c r="K620" s="138">
        <f t="shared" si="9"/>
        <v>325</v>
      </c>
      <c r="L620" s="138">
        <f t="shared" si="9"/>
        <v>114</v>
      </c>
      <c r="M620" s="138">
        <f t="shared" si="9"/>
        <v>575</v>
      </c>
      <c r="N620" s="138">
        <f t="shared" si="9"/>
        <v>1571444</v>
      </c>
      <c r="O620" s="138">
        <f t="shared" si="9"/>
        <v>2963</v>
      </c>
      <c r="P620" s="138">
        <f t="shared" si="9"/>
        <v>0</v>
      </c>
      <c r="Q620" s="138">
        <f t="shared" si="9"/>
        <v>1540171</v>
      </c>
      <c r="R620" s="138">
        <f t="shared" si="9"/>
        <v>3426</v>
      </c>
      <c r="S620" s="138">
        <f t="shared" si="9"/>
        <v>0</v>
      </c>
      <c r="T620" s="138">
        <f t="shared" si="9"/>
        <v>4631</v>
      </c>
      <c r="U620" s="138">
        <f t="shared" si="9"/>
        <v>1477</v>
      </c>
    </row>
    <row r="621" spans="1:21" ht="108.5" customHeight="1" x14ac:dyDescent="0.2">
      <c r="A621" s="811" t="s">
        <v>2861</v>
      </c>
      <c r="B621" s="608" t="s">
        <v>2862</v>
      </c>
      <c r="C621" s="609"/>
      <c r="D621" s="608" t="s">
        <v>2863</v>
      </c>
      <c r="E621" s="778"/>
      <c r="F621" s="609"/>
      <c r="G621" s="608" t="s">
        <v>2864</v>
      </c>
      <c r="H621" s="778"/>
      <c r="I621" s="609"/>
      <c r="J621" s="608" t="s">
        <v>3088</v>
      </c>
      <c r="K621" s="778"/>
      <c r="L621" s="608" t="s">
        <v>3089</v>
      </c>
      <c r="M621" s="609"/>
      <c r="N621" s="608" t="s">
        <v>2855</v>
      </c>
      <c r="O621" s="778"/>
      <c r="P621" s="609"/>
      <c r="Q621" s="608" t="s">
        <v>2867</v>
      </c>
      <c r="R621" s="778"/>
      <c r="S621" s="609"/>
      <c r="T621" s="608" t="s">
        <v>3090</v>
      </c>
      <c r="U621" s="609"/>
    </row>
    <row r="622" spans="1:21" x14ac:dyDescent="0.2">
      <c r="A622" s="131" t="s">
        <v>2043</v>
      </c>
      <c r="B622" s="131">
        <v>391559</v>
      </c>
      <c r="C622" s="307"/>
      <c r="D622" s="349">
        <v>202852</v>
      </c>
      <c r="E622" s="350">
        <v>800</v>
      </c>
      <c r="F622" s="352"/>
      <c r="G622" s="349">
        <v>200464</v>
      </c>
      <c r="H622" s="350">
        <v>875</v>
      </c>
      <c r="I622" s="352"/>
      <c r="J622" s="131">
        <v>104</v>
      </c>
      <c r="K622" s="307">
        <v>800</v>
      </c>
      <c r="L622" s="131">
        <v>362</v>
      </c>
      <c r="M622" s="307">
        <v>800</v>
      </c>
      <c r="N622" s="349">
        <v>202957</v>
      </c>
      <c r="O622" s="350">
        <v>600</v>
      </c>
      <c r="P622" s="352"/>
      <c r="Q622" s="349">
        <v>200827</v>
      </c>
      <c r="R622" s="350">
        <v>675</v>
      </c>
      <c r="S622" s="352"/>
      <c r="T622" s="131">
        <v>2162</v>
      </c>
      <c r="U622" s="307">
        <v>115</v>
      </c>
    </row>
    <row r="623" spans="1:21" x14ac:dyDescent="0.2">
      <c r="A623" s="140" t="s">
        <v>2044</v>
      </c>
      <c r="B623" s="131">
        <v>68120</v>
      </c>
      <c r="C623" s="307">
        <v>800</v>
      </c>
      <c r="D623" s="131">
        <v>13685</v>
      </c>
      <c r="E623" s="145">
        <v>860</v>
      </c>
      <c r="F623" s="133"/>
      <c r="G623" s="131">
        <v>13685</v>
      </c>
      <c r="H623" s="145">
        <v>860</v>
      </c>
      <c r="I623" s="133"/>
      <c r="J623" s="131"/>
      <c r="K623" s="307"/>
      <c r="L623" s="131"/>
      <c r="M623" s="307"/>
      <c r="N623" s="131">
        <v>13685</v>
      </c>
      <c r="O623" s="145">
        <v>860</v>
      </c>
      <c r="P623" s="133"/>
      <c r="Q623" s="131">
        <v>13685</v>
      </c>
      <c r="R623" s="145">
        <v>860</v>
      </c>
      <c r="S623" s="133"/>
      <c r="T623" s="131"/>
      <c r="U623" s="307"/>
    </row>
    <row r="624" spans="1:21" x14ac:dyDescent="0.2">
      <c r="A624" s="140" t="s">
        <v>2049</v>
      </c>
      <c r="B624" s="131">
        <v>78096</v>
      </c>
      <c r="C624" s="307"/>
      <c r="D624" s="131">
        <v>13840</v>
      </c>
      <c r="E624" s="145"/>
      <c r="F624" s="133"/>
      <c r="G624" s="131">
        <v>13840</v>
      </c>
      <c r="H624" s="145"/>
      <c r="I624" s="133"/>
      <c r="J624" s="131"/>
      <c r="K624" s="307"/>
      <c r="L624" s="131"/>
      <c r="M624" s="307"/>
      <c r="N624" s="131">
        <v>13840</v>
      </c>
      <c r="O624" s="145"/>
      <c r="P624" s="133"/>
      <c r="Q624" s="131">
        <v>13840</v>
      </c>
      <c r="R624" s="145"/>
      <c r="S624" s="133"/>
      <c r="T624" s="131"/>
      <c r="U624" s="307"/>
    </row>
    <row r="625" spans="1:21" x14ac:dyDescent="0.2">
      <c r="A625" s="140" t="s">
        <v>2042</v>
      </c>
      <c r="B625" s="131">
        <v>73000</v>
      </c>
      <c r="C625" s="307"/>
      <c r="D625" s="131">
        <v>11635</v>
      </c>
      <c r="E625" s="145">
        <v>35</v>
      </c>
      <c r="F625" s="133"/>
      <c r="G625" s="131">
        <v>11635</v>
      </c>
      <c r="H625" s="145">
        <v>35</v>
      </c>
      <c r="I625" s="133"/>
      <c r="J625" s="131"/>
      <c r="K625" s="307"/>
      <c r="L625" s="131"/>
      <c r="M625" s="307"/>
      <c r="N625" s="131">
        <v>11635</v>
      </c>
      <c r="O625" s="145">
        <v>35</v>
      </c>
      <c r="P625" s="133"/>
      <c r="Q625" s="131">
        <v>11635</v>
      </c>
      <c r="R625" s="145">
        <v>35</v>
      </c>
      <c r="S625" s="133"/>
      <c r="T625" s="131"/>
      <c r="U625" s="307"/>
    </row>
    <row r="626" spans="1:21" x14ac:dyDescent="0.2">
      <c r="A626" s="140" t="s">
        <v>2046</v>
      </c>
      <c r="B626" s="131">
        <v>89000</v>
      </c>
      <c r="C626" s="307"/>
      <c r="D626" s="131">
        <v>9268</v>
      </c>
      <c r="E626" s="145">
        <v>895</v>
      </c>
      <c r="F626" s="133"/>
      <c r="G626" s="131">
        <v>9268</v>
      </c>
      <c r="H626" s="145">
        <v>895</v>
      </c>
      <c r="I626" s="133"/>
      <c r="J626" s="131"/>
      <c r="K626" s="307"/>
      <c r="L626" s="131"/>
      <c r="M626" s="307"/>
      <c r="N626" s="131">
        <v>9268</v>
      </c>
      <c r="O626" s="145">
        <v>895</v>
      </c>
      <c r="P626" s="133"/>
      <c r="Q626" s="131">
        <v>9268</v>
      </c>
      <c r="R626" s="145">
        <v>895</v>
      </c>
      <c r="S626" s="133"/>
      <c r="T626" s="131"/>
      <c r="U626" s="307"/>
    </row>
    <row r="627" spans="1:21" x14ac:dyDescent="0.2">
      <c r="A627" s="140" t="s">
        <v>2869</v>
      </c>
      <c r="B627" s="131">
        <v>37218</v>
      </c>
      <c r="C627" s="307"/>
      <c r="D627" s="131">
        <v>30875</v>
      </c>
      <c r="E627" s="145">
        <v>880</v>
      </c>
      <c r="F627" s="133"/>
      <c r="G627" s="131">
        <v>30875</v>
      </c>
      <c r="H627" s="145">
        <v>880</v>
      </c>
      <c r="I627" s="133"/>
      <c r="J627" s="131"/>
      <c r="K627" s="307"/>
      <c r="L627" s="131"/>
      <c r="M627" s="307"/>
      <c r="N627" s="131">
        <v>30875</v>
      </c>
      <c r="O627" s="145">
        <v>880</v>
      </c>
      <c r="P627" s="133"/>
      <c r="Q627" s="131">
        <v>30875</v>
      </c>
      <c r="R627" s="145">
        <v>880</v>
      </c>
      <c r="S627" s="133"/>
      <c r="T627" s="131"/>
      <c r="U627" s="307"/>
    </row>
    <row r="628" spans="1:21" x14ac:dyDescent="0.2">
      <c r="A628" s="140" t="s">
        <v>2040</v>
      </c>
      <c r="B628" s="131">
        <v>616477</v>
      </c>
      <c r="C628" s="307"/>
      <c r="D628" s="131">
        <v>338326</v>
      </c>
      <c r="E628" s="145">
        <v>750</v>
      </c>
      <c r="F628" s="133"/>
      <c r="G628" s="131">
        <v>332671</v>
      </c>
      <c r="H628" s="145">
        <v>905</v>
      </c>
      <c r="I628" s="133"/>
      <c r="J628" s="131">
        <v>447</v>
      </c>
      <c r="K628" s="307"/>
      <c r="L628" s="131">
        <v>447</v>
      </c>
      <c r="M628" s="307"/>
      <c r="N628" s="131">
        <v>338773</v>
      </c>
      <c r="O628" s="145">
        <v>750</v>
      </c>
      <c r="P628" s="133"/>
      <c r="Q628" s="131">
        <v>333118</v>
      </c>
      <c r="R628" s="145">
        <v>905</v>
      </c>
      <c r="S628" s="133"/>
      <c r="T628" s="131">
        <v>6468</v>
      </c>
      <c r="U628" s="307">
        <v>845</v>
      </c>
    </row>
    <row r="629" spans="1:21" x14ac:dyDescent="0.2">
      <c r="A629" s="140" t="s">
        <v>2871</v>
      </c>
      <c r="B629" s="131">
        <v>482504</v>
      </c>
      <c r="C629" s="307"/>
      <c r="D629" s="131">
        <v>300361</v>
      </c>
      <c r="E629" s="145">
        <v>790</v>
      </c>
      <c r="F629" s="133">
        <v>0.5</v>
      </c>
      <c r="G629" s="131">
        <v>291748</v>
      </c>
      <c r="H629" s="145">
        <v>275</v>
      </c>
      <c r="I629" s="133">
        <v>0.5</v>
      </c>
      <c r="J629" s="131">
        <v>100</v>
      </c>
      <c r="K629" s="307"/>
      <c r="L629" s="131">
        <v>100</v>
      </c>
      <c r="M629" s="307"/>
      <c r="N629" s="131">
        <v>300461</v>
      </c>
      <c r="O629" s="145">
        <v>790</v>
      </c>
      <c r="P629" s="133">
        <v>0.5</v>
      </c>
      <c r="Q629" s="131">
        <v>291848</v>
      </c>
      <c r="R629" s="145">
        <v>275</v>
      </c>
      <c r="S629" s="133">
        <v>0.5</v>
      </c>
      <c r="T629" s="131">
        <v>15114</v>
      </c>
      <c r="U629" s="307">
        <v>405</v>
      </c>
    </row>
    <row r="630" spans="1:21" x14ac:dyDescent="0.2">
      <c r="A630" s="140" t="s">
        <v>2462</v>
      </c>
      <c r="B630" s="131">
        <v>1798698</v>
      </c>
      <c r="C630" s="307">
        <v>400</v>
      </c>
      <c r="D630" s="230">
        <v>402687</v>
      </c>
      <c r="E630" s="309">
        <v>515</v>
      </c>
      <c r="F630" s="231"/>
      <c r="G630" s="230">
        <v>402616</v>
      </c>
      <c r="H630" s="309">
        <v>515</v>
      </c>
      <c r="I630" s="231"/>
      <c r="J630" s="131"/>
      <c r="K630" s="307"/>
      <c r="L630" s="131">
        <v>70</v>
      </c>
      <c r="M630" s="307"/>
      <c r="N630" s="230">
        <v>402687</v>
      </c>
      <c r="O630" s="309">
        <v>515</v>
      </c>
      <c r="P630" s="231"/>
      <c r="Q630" s="230">
        <v>402687</v>
      </c>
      <c r="R630" s="309">
        <v>515</v>
      </c>
      <c r="S630" s="231"/>
      <c r="T630" s="131"/>
      <c r="U630" s="307"/>
    </row>
    <row r="631" spans="1:21" x14ac:dyDescent="0.2">
      <c r="A631" s="794" t="s">
        <v>2566</v>
      </c>
      <c r="B631" s="240">
        <v>3634673</v>
      </c>
      <c r="C631" s="513">
        <v>200</v>
      </c>
      <c r="D631" s="240">
        <v>1323534</v>
      </c>
      <c r="E631" s="318">
        <v>525</v>
      </c>
      <c r="F631" s="241">
        <v>0.5</v>
      </c>
      <c r="G631" s="240">
        <v>1306808</v>
      </c>
      <c r="H631" s="318">
        <v>240</v>
      </c>
      <c r="I631" s="241">
        <v>0.5</v>
      </c>
      <c r="J631" s="240">
        <v>651</v>
      </c>
      <c r="K631" s="318">
        <v>800</v>
      </c>
      <c r="L631" s="240">
        <v>979</v>
      </c>
      <c r="M631" s="513">
        <v>800</v>
      </c>
      <c r="N631" s="240">
        <v>1324186</v>
      </c>
      <c r="O631" s="318">
        <v>325</v>
      </c>
      <c r="P631" s="241">
        <v>0.5</v>
      </c>
      <c r="Q631" s="240">
        <v>1307788</v>
      </c>
      <c r="R631" s="318">
        <v>40</v>
      </c>
      <c r="S631" s="241">
        <v>0.5</v>
      </c>
      <c r="T631" s="240">
        <v>23745</v>
      </c>
      <c r="U631" s="513">
        <v>365</v>
      </c>
    </row>
    <row r="632" spans="1:21" x14ac:dyDescent="0.2">
      <c r="A632" s="107"/>
      <c r="B632" s="321">
        <f>+SUM(B622:B630)</f>
        <v>3634672</v>
      </c>
      <c r="C632" s="321">
        <f t="shared" ref="C632:U632" si="10">+SUM(C622:C630)</f>
        <v>1200</v>
      </c>
      <c r="D632" s="321">
        <f t="shared" si="10"/>
        <v>1323529</v>
      </c>
      <c r="E632" s="321">
        <f t="shared" si="10"/>
        <v>5525</v>
      </c>
      <c r="F632" s="312">
        <f t="shared" si="10"/>
        <v>0.5</v>
      </c>
      <c r="G632" s="477">
        <f t="shared" si="10"/>
        <v>1306802</v>
      </c>
      <c r="H632" s="321">
        <f t="shared" si="10"/>
        <v>5240</v>
      </c>
      <c r="I632" s="312">
        <f t="shared" si="10"/>
        <v>0.5</v>
      </c>
      <c r="J632" s="321">
        <f t="shared" si="10"/>
        <v>651</v>
      </c>
      <c r="K632" s="321">
        <f t="shared" si="10"/>
        <v>800</v>
      </c>
      <c r="L632" s="321">
        <f t="shared" si="10"/>
        <v>979</v>
      </c>
      <c r="M632" s="321">
        <f t="shared" si="10"/>
        <v>800</v>
      </c>
      <c r="N632" s="321">
        <f t="shared" si="10"/>
        <v>1324181</v>
      </c>
      <c r="O632" s="321">
        <f t="shared" si="10"/>
        <v>5325</v>
      </c>
      <c r="P632" s="312">
        <f t="shared" si="10"/>
        <v>0.5</v>
      </c>
      <c r="Q632" s="321">
        <f t="shared" si="10"/>
        <v>1307783</v>
      </c>
      <c r="R632" s="321">
        <f t="shared" si="10"/>
        <v>5040</v>
      </c>
      <c r="S632" s="312">
        <f t="shared" si="10"/>
        <v>0.5</v>
      </c>
      <c r="T632" s="321">
        <f t="shared" si="10"/>
        <v>23744</v>
      </c>
      <c r="U632" s="321">
        <f t="shared" si="10"/>
        <v>1365</v>
      </c>
    </row>
    <row r="633" spans="1:21" x14ac:dyDescent="0.2">
      <c r="A633" s="107"/>
      <c r="B633" s="107"/>
      <c r="C633" s="107"/>
      <c r="D633" s="107"/>
      <c r="E633" s="107"/>
      <c r="F633" s="107"/>
      <c r="G633" s="107"/>
      <c r="H633" s="107"/>
      <c r="K633" s="107"/>
      <c r="L633" s="107"/>
      <c r="M633" s="107"/>
      <c r="P633" s="107"/>
      <c r="Q633" s="107"/>
    </row>
    <row r="634" spans="1:21" x14ac:dyDescent="0.2">
      <c r="A634" s="107"/>
      <c r="B634" s="107"/>
      <c r="C634" s="107"/>
      <c r="D634" s="107"/>
      <c r="E634" s="107"/>
      <c r="F634" s="107"/>
      <c r="G634" s="107"/>
      <c r="H634" s="107"/>
      <c r="K634" s="107"/>
      <c r="L634" s="107"/>
      <c r="M634" s="107"/>
      <c r="P634" s="107"/>
      <c r="Q634" s="107"/>
    </row>
    <row r="635" spans="1:21" x14ac:dyDescent="0.2">
      <c r="A635" s="526" t="s">
        <v>2008</v>
      </c>
      <c r="B635" s="107"/>
      <c r="C635" s="107"/>
      <c r="D635" s="107"/>
      <c r="E635" s="107"/>
      <c r="F635" s="107"/>
      <c r="G635" s="107"/>
      <c r="H635" s="107"/>
      <c r="I635" s="107"/>
      <c r="J635" s="107"/>
      <c r="K635" s="107"/>
      <c r="L635" s="107"/>
      <c r="M635" s="107"/>
      <c r="N635" s="107"/>
      <c r="O635" s="107"/>
      <c r="P635" s="107"/>
      <c r="Q635" s="107"/>
    </row>
    <row r="636" spans="1:21" ht="34.25" customHeight="1" x14ac:dyDescent="0.2">
      <c r="A636" s="875" t="s">
        <v>2873</v>
      </c>
      <c r="B636" s="876"/>
      <c r="C636" s="876"/>
      <c r="D636" s="876"/>
      <c r="E636" s="876"/>
      <c r="F636" s="876"/>
      <c r="G636" s="876"/>
      <c r="H636" s="876"/>
      <c r="I636" s="876"/>
      <c r="J636" s="876"/>
      <c r="K636" s="876"/>
      <c r="L636" s="876"/>
      <c r="M636" s="876"/>
      <c r="N636" s="876"/>
      <c r="O636" s="876"/>
      <c r="P636" s="876"/>
      <c r="Q636" s="876"/>
      <c r="R636" s="876"/>
      <c r="S636" s="876"/>
      <c r="T636" s="876"/>
      <c r="U636" s="877"/>
    </row>
    <row r="637" spans="1:21" ht="89.5" customHeight="1" x14ac:dyDescent="0.2">
      <c r="A637" s="811" t="s">
        <v>2849</v>
      </c>
      <c r="B637" s="608" t="s">
        <v>2850</v>
      </c>
      <c r="C637" s="609"/>
      <c r="D637" s="608" t="s">
        <v>2851</v>
      </c>
      <c r="E637" s="778"/>
      <c r="F637" s="609"/>
      <c r="G637" s="608" t="s">
        <v>2852</v>
      </c>
      <c r="H637" s="778"/>
      <c r="I637" s="609"/>
      <c r="J637" s="608" t="s">
        <v>3091</v>
      </c>
      <c r="K637" s="778"/>
      <c r="L637" s="608" t="s">
        <v>3092</v>
      </c>
      <c r="M637" s="609"/>
      <c r="N637" s="608" t="s">
        <v>2855</v>
      </c>
      <c r="O637" s="778"/>
      <c r="P637" s="609"/>
      <c r="Q637" s="608" t="s">
        <v>2856</v>
      </c>
      <c r="R637" s="778"/>
      <c r="S637" s="609"/>
      <c r="T637" s="608" t="s">
        <v>3087</v>
      </c>
      <c r="U637" s="609"/>
    </row>
    <row r="638" spans="1:21" x14ac:dyDescent="0.2">
      <c r="A638" s="131" t="s">
        <v>1174</v>
      </c>
      <c r="B638" s="131">
        <v>800000</v>
      </c>
      <c r="C638" s="307"/>
      <c r="D638" s="141">
        <v>397411</v>
      </c>
      <c r="E638" s="141">
        <v>411</v>
      </c>
      <c r="F638" s="142"/>
      <c r="G638" s="145">
        <v>395575</v>
      </c>
      <c r="H638" s="145">
        <v>41</v>
      </c>
      <c r="I638" s="133"/>
      <c r="J638" s="131"/>
      <c r="K638" s="145"/>
      <c r="L638" s="131"/>
      <c r="M638" s="307"/>
      <c r="N638" s="145">
        <v>397411</v>
      </c>
      <c r="O638" s="145">
        <v>441</v>
      </c>
      <c r="P638" s="133"/>
      <c r="Q638" s="145">
        <v>395575</v>
      </c>
      <c r="R638" s="145">
        <v>41</v>
      </c>
      <c r="S638" s="133"/>
      <c r="T638" s="131"/>
      <c r="U638" s="307"/>
    </row>
    <row r="639" spans="1:21" x14ac:dyDescent="0.2">
      <c r="A639" s="131" t="s">
        <v>1573</v>
      </c>
      <c r="B639" s="131">
        <v>20000</v>
      </c>
      <c r="C639" s="307"/>
      <c r="D639" s="141">
        <v>12683</v>
      </c>
      <c r="E639" s="141">
        <v>590</v>
      </c>
      <c r="F639" s="142">
        <v>0.5</v>
      </c>
      <c r="G639" s="145">
        <v>12683</v>
      </c>
      <c r="H639" s="145">
        <v>590</v>
      </c>
      <c r="I639" s="133">
        <v>0.5</v>
      </c>
      <c r="J639" s="131"/>
      <c r="K639" s="145"/>
      <c r="L639" s="131"/>
      <c r="M639" s="307"/>
      <c r="N639" s="145">
        <v>12683</v>
      </c>
      <c r="O639" s="145">
        <v>590</v>
      </c>
      <c r="P639" s="133">
        <v>0.5</v>
      </c>
      <c r="Q639" s="145">
        <v>12683</v>
      </c>
      <c r="R639" s="145">
        <v>590</v>
      </c>
      <c r="S639" s="133">
        <v>0.5</v>
      </c>
      <c r="T639" s="131"/>
      <c r="U639" s="307"/>
    </row>
    <row r="640" spans="1:21" x14ac:dyDescent="0.2">
      <c r="A640" s="131" t="s">
        <v>2858</v>
      </c>
      <c r="B640" s="131">
        <v>300000</v>
      </c>
      <c r="C640" s="307"/>
      <c r="D640" s="141">
        <v>395265</v>
      </c>
      <c r="E640" s="141">
        <v>550</v>
      </c>
      <c r="F640" s="142"/>
      <c r="G640" s="145">
        <v>395265</v>
      </c>
      <c r="H640" s="145">
        <v>550</v>
      </c>
      <c r="I640" s="133"/>
      <c r="J640" s="131"/>
      <c r="K640" s="145"/>
      <c r="L640" s="131"/>
      <c r="M640" s="307"/>
      <c r="N640" s="145">
        <v>395265</v>
      </c>
      <c r="O640" s="145">
        <v>550</v>
      </c>
      <c r="P640" s="133"/>
      <c r="Q640" s="145">
        <v>395265</v>
      </c>
      <c r="R640" s="145">
        <v>550</v>
      </c>
      <c r="S640" s="133"/>
      <c r="T640" s="131"/>
      <c r="U640" s="307"/>
    </row>
    <row r="641" spans="1:21" x14ac:dyDescent="0.2">
      <c r="A641" s="131" t="s">
        <v>1808</v>
      </c>
      <c r="B641" s="131">
        <v>30000</v>
      </c>
      <c r="C641" s="307"/>
      <c r="D641" s="141">
        <v>113262</v>
      </c>
      <c r="E641" s="141">
        <v>552</v>
      </c>
      <c r="F641" s="142">
        <v>0.5</v>
      </c>
      <c r="G641" s="145">
        <v>113262</v>
      </c>
      <c r="H641" s="145">
        <v>552</v>
      </c>
      <c r="I641" s="133">
        <v>0.5</v>
      </c>
      <c r="J641" s="131"/>
      <c r="K641" s="145"/>
      <c r="L641" s="131"/>
      <c r="M641" s="307"/>
      <c r="N641" s="145">
        <v>113262</v>
      </c>
      <c r="O641" s="145">
        <v>552</v>
      </c>
      <c r="P641" s="133">
        <v>0.5</v>
      </c>
      <c r="Q641" s="145">
        <v>113262</v>
      </c>
      <c r="R641" s="145">
        <v>552</v>
      </c>
      <c r="S641" s="133">
        <v>0.5</v>
      </c>
      <c r="T641" s="131"/>
      <c r="U641" s="307"/>
    </row>
    <row r="642" spans="1:21" x14ac:dyDescent="0.2">
      <c r="A642" s="131" t="s">
        <v>1175</v>
      </c>
      <c r="B642" s="131">
        <v>25000</v>
      </c>
      <c r="C642" s="307"/>
      <c r="D642" s="141">
        <v>38655</v>
      </c>
      <c r="E642" s="141">
        <v>32</v>
      </c>
      <c r="F642" s="142">
        <v>0.5</v>
      </c>
      <c r="G642" s="145">
        <v>38285</v>
      </c>
      <c r="H642" s="145">
        <v>187</v>
      </c>
      <c r="I642" s="133">
        <v>0.5</v>
      </c>
      <c r="J642" s="131"/>
      <c r="K642" s="145"/>
      <c r="L642" s="131">
        <v>8</v>
      </c>
      <c r="M642" s="307">
        <v>50</v>
      </c>
      <c r="N642" s="145">
        <v>38655</v>
      </c>
      <c r="O642" s="145">
        <v>32</v>
      </c>
      <c r="P642" s="133">
        <v>0.5</v>
      </c>
      <c r="Q642" s="145">
        <v>38293</v>
      </c>
      <c r="R642" s="145">
        <v>237</v>
      </c>
      <c r="S642" s="133">
        <v>0.5</v>
      </c>
      <c r="T642" s="131">
        <v>361</v>
      </c>
      <c r="U642" s="307">
        <v>795</v>
      </c>
    </row>
    <row r="643" spans="1:21" x14ac:dyDescent="0.2">
      <c r="A643" s="131" t="s">
        <v>2859</v>
      </c>
      <c r="B643" s="131">
        <v>300000</v>
      </c>
      <c r="C643" s="307"/>
      <c r="D643" s="141"/>
      <c r="E643" s="141"/>
      <c r="F643" s="142"/>
      <c r="G643" s="145"/>
      <c r="H643" s="145"/>
      <c r="I643" s="133"/>
      <c r="J643" s="131"/>
      <c r="K643" s="145"/>
      <c r="L643" s="131"/>
      <c r="M643" s="307"/>
      <c r="N643" s="145"/>
      <c r="O643" s="145"/>
      <c r="P643" s="133"/>
      <c r="Q643" s="145"/>
      <c r="R643" s="145"/>
      <c r="S643" s="133"/>
      <c r="T643" s="131"/>
      <c r="U643" s="307"/>
    </row>
    <row r="644" spans="1:21" x14ac:dyDescent="0.2">
      <c r="A644" s="131" t="s">
        <v>2860</v>
      </c>
      <c r="B644" s="131">
        <v>25000</v>
      </c>
      <c r="C644" s="307"/>
      <c r="D644" s="141">
        <v>30836</v>
      </c>
      <c r="E644" s="141">
        <v>610</v>
      </c>
      <c r="F644" s="142"/>
      <c r="G644" s="145">
        <v>30836</v>
      </c>
      <c r="H644" s="145">
        <v>610</v>
      </c>
      <c r="I644" s="133"/>
      <c r="J644" s="131"/>
      <c r="K644" s="145"/>
      <c r="L644" s="131"/>
      <c r="M644" s="307"/>
      <c r="N644" s="145">
        <v>30836</v>
      </c>
      <c r="O644" s="145">
        <v>610</v>
      </c>
      <c r="P644" s="133"/>
      <c r="Q644" s="145">
        <v>30836</v>
      </c>
      <c r="R644" s="145">
        <v>610</v>
      </c>
      <c r="S644" s="133"/>
      <c r="T644" s="131"/>
      <c r="U644" s="307"/>
    </row>
    <row r="645" spans="1:21" x14ac:dyDescent="0.2">
      <c r="A645" s="131" t="s">
        <v>1569</v>
      </c>
      <c r="B645" s="131">
        <v>700000</v>
      </c>
      <c r="C645" s="307"/>
      <c r="D645" s="141">
        <v>561941</v>
      </c>
      <c r="E645" s="141">
        <v>25</v>
      </c>
      <c r="F645" s="142"/>
      <c r="G645" s="145">
        <v>561941</v>
      </c>
      <c r="H645" s="145">
        <v>25</v>
      </c>
      <c r="I645" s="133"/>
      <c r="J645" s="131">
        <v>442</v>
      </c>
      <c r="K645" s="145">
        <v>150</v>
      </c>
      <c r="L645" s="131">
        <v>442</v>
      </c>
      <c r="M645" s="307">
        <v>150</v>
      </c>
      <c r="N645" s="145">
        <v>562383</v>
      </c>
      <c r="O645" s="145">
        <v>175</v>
      </c>
      <c r="P645" s="133"/>
      <c r="Q645" s="145">
        <v>562383</v>
      </c>
      <c r="R645" s="145">
        <v>175</v>
      </c>
      <c r="S645" s="133"/>
      <c r="T645" s="131"/>
      <c r="U645" s="307"/>
    </row>
    <row r="646" spans="1:21" x14ac:dyDescent="0.2">
      <c r="A646" s="131" t="s">
        <v>1992</v>
      </c>
      <c r="B646" s="131">
        <v>25000</v>
      </c>
      <c r="C646" s="307"/>
      <c r="D646" s="141">
        <v>10916</v>
      </c>
      <c r="E646" s="141">
        <v>459</v>
      </c>
      <c r="F646" s="142">
        <v>0.5</v>
      </c>
      <c r="G646" s="145">
        <v>10916</v>
      </c>
      <c r="H646" s="145">
        <v>459</v>
      </c>
      <c r="I646" s="133">
        <v>0.5</v>
      </c>
      <c r="J646" s="131"/>
      <c r="K646" s="145"/>
      <c r="L646" s="131"/>
      <c r="M646" s="307"/>
      <c r="N646" s="145">
        <v>10916</v>
      </c>
      <c r="O646" s="145">
        <v>459</v>
      </c>
      <c r="P646" s="133">
        <v>0.5</v>
      </c>
      <c r="Q646" s="145">
        <v>10916</v>
      </c>
      <c r="R646" s="145">
        <v>459</v>
      </c>
      <c r="S646" s="133">
        <v>0.5</v>
      </c>
      <c r="T646" s="131"/>
      <c r="U646" s="307"/>
    </row>
    <row r="647" spans="1:21" x14ac:dyDescent="0.2">
      <c r="A647" s="794" t="s">
        <v>2566</v>
      </c>
      <c r="B647" s="240">
        <v>2225000</v>
      </c>
      <c r="C647" s="513"/>
      <c r="D647" s="909">
        <v>1560972</v>
      </c>
      <c r="E647" s="909">
        <v>261</v>
      </c>
      <c r="F647" s="910"/>
      <c r="G647" s="318">
        <v>1558766</v>
      </c>
      <c r="H647" s="318">
        <v>16</v>
      </c>
      <c r="I647" s="241"/>
      <c r="J647" s="240">
        <v>442</v>
      </c>
      <c r="K647" s="318">
        <v>150</v>
      </c>
      <c r="L647" s="240">
        <v>450</v>
      </c>
      <c r="M647" s="513">
        <v>200</v>
      </c>
      <c r="N647" s="318">
        <v>1561414</v>
      </c>
      <c r="O647" s="318">
        <v>411</v>
      </c>
      <c r="P647" s="241"/>
      <c r="Q647" s="318">
        <v>1559216</v>
      </c>
      <c r="R647" s="318">
        <v>216</v>
      </c>
      <c r="S647" s="241"/>
      <c r="T647" s="240">
        <v>361</v>
      </c>
      <c r="U647" s="513">
        <v>795</v>
      </c>
    </row>
    <row r="648" spans="1:21" x14ac:dyDescent="0.2">
      <c r="A648" s="131"/>
      <c r="B648" s="138">
        <f>+SUM(B638:B646)</f>
        <v>2225000</v>
      </c>
      <c r="C648" s="138">
        <f t="shared" ref="C648:U648" si="11">+SUM(C638:C646)</f>
        <v>0</v>
      </c>
      <c r="D648" s="138">
        <f t="shared" si="11"/>
        <v>1560969</v>
      </c>
      <c r="E648" s="413">
        <f t="shared" si="11"/>
        <v>3229</v>
      </c>
      <c r="F648" s="312">
        <f t="shared" si="11"/>
        <v>2</v>
      </c>
      <c r="G648" s="138">
        <f t="shared" si="11"/>
        <v>1558763</v>
      </c>
      <c r="H648" s="138">
        <f t="shared" si="11"/>
        <v>3014</v>
      </c>
      <c r="I648" s="312">
        <f t="shared" si="11"/>
        <v>2</v>
      </c>
      <c r="J648" s="138">
        <f t="shared" si="11"/>
        <v>442</v>
      </c>
      <c r="K648" s="138">
        <f t="shared" si="11"/>
        <v>150</v>
      </c>
      <c r="L648" s="138">
        <f t="shared" si="11"/>
        <v>450</v>
      </c>
      <c r="M648" s="138">
        <f t="shared" si="11"/>
        <v>200</v>
      </c>
      <c r="N648" s="138">
        <f t="shared" si="11"/>
        <v>1561411</v>
      </c>
      <c r="O648" s="138">
        <f t="shared" si="11"/>
        <v>3409</v>
      </c>
      <c r="P648" s="312">
        <f t="shared" si="11"/>
        <v>2</v>
      </c>
      <c r="Q648" s="138">
        <f t="shared" si="11"/>
        <v>1559213</v>
      </c>
      <c r="R648" s="138">
        <f t="shared" si="11"/>
        <v>3214</v>
      </c>
      <c r="S648" s="312">
        <f t="shared" si="11"/>
        <v>2</v>
      </c>
      <c r="T648" s="138">
        <f t="shared" si="11"/>
        <v>361</v>
      </c>
      <c r="U648" s="138">
        <f t="shared" si="11"/>
        <v>795</v>
      </c>
    </row>
    <row r="649" spans="1:21" ht="104.5" customHeight="1" x14ac:dyDescent="0.2">
      <c r="A649" s="811" t="s">
        <v>2861</v>
      </c>
      <c r="B649" s="608" t="s">
        <v>2862</v>
      </c>
      <c r="C649" s="609"/>
      <c r="D649" s="608" t="s">
        <v>2863</v>
      </c>
      <c r="E649" s="778"/>
      <c r="F649" s="609"/>
      <c r="G649" s="608" t="s">
        <v>3093</v>
      </c>
      <c r="H649" s="778"/>
      <c r="I649" s="609"/>
      <c r="J649" s="608" t="s">
        <v>3094</v>
      </c>
      <c r="K649" s="778"/>
      <c r="L649" s="608" t="s">
        <v>3095</v>
      </c>
      <c r="M649" s="609"/>
      <c r="N649" s="608" t="s">
        <v>2855</v>
      </c>
      <c r="O649" s="778"/>
      <c r="P649" s="609"/>
      <c r="Q649" s="608" t="s">
        <v>3096</v>
      </c>
      <c r="R649" s="778"/>
      <c r="S649" s="609"/>
      <c r="T649" s="608" t="s">
        <v>3090</v>
      </c>
      <c r="U649" s="609"/>
    </row>
    <row r="650" spans="1:21" x14ac:dyDescent="0.2">
      <c r="A650" s="131" t="s">
        <v>2043</v>
      </c>
      <c r="B650" s="131">
        <v>434513</v>
      </c>
      <c r="C650" s="307"/>
      <c r="D650" s="131">
        <v>230771</v>
      </c>
      <c r="E650" s="145">
        <v>805</v>
      </c>
      <c r="F650" s="133"/>
      <c r="G650" s="140">
        <v>230344</v>
      </c>
      <c r="H650" s="141">
        <v>995</v>
      </c>
      <c r="I650" s="142"/>
      <c r="J650" s="131">
        <v>679</v>
      </c>
      <c r="K650" s="307">
        <v>590</v>
      </c>
      <c r="L650" s="131">
        <v>719</v>
      </c>
      <c r="M650" s="307">
        <v>590</v>
      </c>
      <c r="N650" s="131">
        <v>231451</v>
      </c>
      <c r="O650" s="145">
        <v>395</v>
      </c>
      <c r="P650" s="133"/>
      <c r="Q650" s="131">
        <v>231064</v>
      </c>
      <c r="R650" s="145">
        <v>585</v>
      </c>
      <c r="S650" s="133"/>
      <c r="T650" s="131">
        <v>661</v>
      </c>
      <c r="U650" s="307">
        <v>800</v>
      </c>
    </row>
    <row r="651" spans="1:21" x14ac:dyDescent="0.2">
      <c r="A651" s="140" t="s">
        <v>2044</v>
      </c>
      <c r="B651" s="131">
        <v>91060</v>
      </c>
      <c r="C651" s="307">
        <v>800</v>
      </c>
      <c r="D651" s="131">
        <v>17607</v>
      </c>
      <c r="E651" s="145"/>
      <c r="F651" s="133"/>
      <c r="G651" s="140">
        <v>17607</v>
      </c>
      <c r="H651" s="141"/>
      <c r="I651" s="142"/>
      <c r="J651" s="131"/>
      <c r="K651" s="307"/>
      <c r="L651" s="131"/>
      <c r="M651" s="307"/>
      <c r="N651" s="131">
        <v>17607</v>
      </c>
      <c r="O651" s="145"/>
      <c r="P651" s="133"/>
      <c r="Q651" s="131">
        <v>17607</v>
      </c>
      <c r="R651" s="145"/>
      <c r="S651" s="133"/>
      <c r="T651" s="131"/>
      <c r="U651" s="307"/>
    </row>
    <row r="652" spans="1:21" x14ac:dyDescent="0.2">
      <c r="A652" s="140" t="s">
        <v>2042</v>
      </c>
      <c r="B652" s="131">
        <v>95600</v>
      </c>
      <c r="C652" s="307"/>
      <c r="D652" s="131">
        <v>37263</v>
      </c>
      <c r="E652" s="145">
        <v>660</v>
      </c>
      <c r="F652" s="133"/>
      <c r="G652" s="140">
        <v>37263</v>
      </c>
      <c r="H652" s="141">
        <v>660</v>
      </c>
      <c r="I652" s="142"/>
      <c r="J652" s="131"/>
      <c r="K652" s="307"/>
      <c r="L652" s="131"/>
      <c r="M652" s="307"/>
      <c r="N652" s="131">
        <v>37263</v>
      </c>
      <c r="O652" s="145">
        <v>660</v>
      </c>
      <c r="P652" s="133"/>
      <c r="Q652" s="131">
        <v>37263</v>
      </c>
      <c r="R652" s="145">
        <v>660</v>
      </c>
      <c r="S652" s="133"/>
      <c r="T652" s="131"/>
      <c r="U652" s="307"/>
    </row>
    <row r="653" spans="1:21" x14ac:dyDescent="0.2">
      <c r="A653" s="140" t="s">
        <v>2046</v>
      </c>
      <c r="B653" s="131">
        <v>111000</v>
      </c>
      <c r="C653" s="307"/>
      <c r="D653" s="131">
        <v>8423</v>
      </c>
      <c r="E653" s="145">
        <v>460</v>
      </c>
      <c r="F653" s="133"/>
      <c r="G653" s="140">
        <v>8590</v>
      </c>
      <c r="H653" s="141">
        <v>120</v>
      </c>
      <c r="I653" s="142"/>
      <c r="J653" s="131"/>
      <c r="K653" s="307"/>
      <c r="L653" s="131"/>
      <c r="M653" s="307"/>
      <c r="N653" s="131">
        <v>8423</v>
      </c>
      <c r="O653" s="145">
        <v>460</v>
      </c>
      <c r="P653" s="133"/>
      <c r="Q653" s="131">
        <v>8590</v>
      </c>
      <c r="R653" s="145">
        <v>120</v>
      </c>
      <c r="S653" s="133"/>
      <c r="T653" s="131"/>
      <c r="U653" s="307"/>
    </row>
    <row r="654" spans="1:21" x14ac:dyDescent="0.2">
      <c r="A654" s="140" t="s">
        <v>2869</v>
      </c>
      <c r="B654" s="131">
        <v>38662</v>
      </c>
      <c r="C654" s="307"/>
      <c r="D654" s="131">
        <v>34585</v>
      </c>
      <c r="E654" s="145">
        <v>450</v>
      </c>
      <c r="F654" s="133"/>
      <c r="G654" s="140">
        <v>34585</v>
      </c>
      <c r="H654" s="141">
        <v>450</v>
      </c>
      <c r="I654" s="142"/>
      <c r="J654" s="131"/>
      <c r="K654" s="307"/>
      <c r="L654" s="131"/>
      <c r="M654" s="307"/>
      <c r="N654" s="131">
        <v>34585</v>
      </c>
      <c r="O654" s="145">
        <v>450</v>
      </c>
      <c r="P654" s="133"/>
      <c r="Q654" s="131">
        <v>34585</v>
      </c>
      <c r="R654" s="145">
        <v>450</v>
      </c>
      <c r="S654" s="133"/>
      <c r="T654" s="131"/>
      <c r="U654" s="307"/>
    </row>
    <row r="655" spans="1:21" x14ac:dyDescent="0.2">
      <c r="A655" s="140" t="s">
        <v>2040</v>
      </c>
      <c r="B655" s="131">
        <v>767864</v>
      </c>
      <c r="C655" s="307"/>
      <c r="D655" s="131">
        <v>346969</v>
      </c>
      <c r="E655" s="145">
        <v>437</v>
      </c>
      <c r="F655" s="133">
        <v>0.5</v>
      </c>
      <c r="G655" s="140">
        <v>349169</v>
      </c>
      <c r="H655" s="141">
        <v>787</v>
      </c>
      <c r="I655" s="142">
        <v>0.5</v>
      </c>
      <c r="J655" s="131">
        <v>20</v>
      </c>
      <c r="K655" s="307"/>
      <c r="L655" s="131">
        <v>20</v>
      </c>
      <c r="M655" s="307"/>
      <c r="N655" s="131">
        <v>346989</v>
      </c>
      <c r="O655" s="145">
        <v>437</v>
      </c>
      <c r="P655" s="133">
        <v>0.5</v>
      </c>
      <c r="Q655" s="131">
        <v>349189</v>
      </c>
      <c r="R655" s="145">
        <v>787</v>
      </c>
      <c r="S655" s="133">
        <v>0.5</v>
      </c>
      <c r="T655" s="131"/>
      <c r="U655" s="307"/>
    </row>
    <row r="656" spans="1:21" x14ac:dyDescent="0.2">
      <c r="A656" s="140" t="s">
        <v>2871</v>
      </c>
      <c r="B656" s="131">
        <v>591467</v>
      </c>
      <c r="C656" s="307">
        <v>150</v>
      </c>
      <c r="D656" s="131">
        <v>309832</v>
      </c>
      <c r="E656" s="145">
        <v>450</v>
      </c>
      <c r="F656" s="133"/>
      <c r="G656" s="140">
        <v>319915</v>
      </c>
      <c r="H656" s="141">
        <v>52</v>
      </c>
      <c r="I656" s="142"/>
      <c r="J656" s="131">
        <v>3751</v>
      </c>
      <c r="K656" s="307">
        <v>895</v>
      </c>
      <c r="L656" s="131">
        <v>4930</v>
      </c>
      <c r="M656" s="307">
        <v>945</v>
      </c>
      <c r="N656" s="131">
        <v>313584</v>
      </c>
      <c r="O656" s="145">
        <v>345</v>
      </c>
      <c r="P656" s="133"/>
      <c r="Q656" s="131">
        <v>324845</v>
      </c>
      <c r="R656" s="145">
        <v>997</v>
      </c>
      <c r="S656" s="133"/>
      <c r="T656" s="131">
        <v>625</v>
      </c>
      <c r="U656" s="307"/>
    </row>
    <row r="657" spans="1:24" x14ac:dyDescent="0.2">
      <c r="A657" s="140" t="s">
        <v>2462</v>
      </c>
      <c r="B657" s="131">
        <v>583740</v>
      </c>
      <c r="C657" s="307"/>
      <c r="D657" s="131">
        <v>276089</v>
      </c>
      <c r="E657" s="145">
        <v>152</v>
      </c>
      <c r="F657" s="133">
        <v>0.5</v>
      </c>
      <c r="G657" s="140">
        <v>275929</v>
      </c>
      <c r="H657" s="141">
        <v>155</v>
      </c>
      <c r="I657" s="142"/>
      <c r="J657" s="131">
        <v>110</v>
      </c>
      <c r="K657" s="307">
        <v>400</v>
      </c>
      <c r="L657" s="131">
        <v>270</v>
      </c>
      <c r="M657" s="307">
        <v>400</v>
      </c>
      <c r="N657" s="131">
        <v>276199</v>
      </c>
      <c r="O657" s="145">
        <v>552</v>
      </c>
      <c r="P657" s="133">
        <v>0.5</v>
      </c>
      <c r="Q657" s="131">
        <v>276199</v>
      </c>
      <c r="R657" s="145">
        <v>555</v>
      </c>
      <c r="S657" s="133"/>
      <c r="T657" s="131"/>
      <c r="U657" s="307"/>
    </row>
    <row r="658" spans="1:24" x14ac:dyDescent="0.2">
      <c r="A658" s="794" t="s">
        <v>2566</v>
      </c>
      <c r="B658" s="240">
        <v>2713906</v>
      </c>
      <c r="C658" s="513">
        <v>950</v>
      </c>
      <c r="D658" s="318">
        <v>1261542</v>
      </c>
      <c r="E658" s="318">
        <v>415</v>
      </c>
      <c r="F658" s="241"/>
      <c r="G658" s="318">
        <v>1273405</v>
      </c>
      <c r="H658" s="318">
        <v>219</v>
      </c>
      <c r="I658" s="241">
        <v>0.5</v>
      </c>
      <c r="J658" s="240">
        <v>4561</v>
      </c>
      <c r="K658" s="318">
        <v>885</v>
      </c>
      <c r="L658" s="240">
        <v>5940</v>
      </c>
      <c r="M658" s="513">
        <v>935</v>
      </c>
      <c r="N658" s="318">
        <v>1266104</v>
      </c>
      <c r="O658" s="318">
        <v>300</v>
      </c>
      <c r="P658" s="241"/>
      <c r="Q658" s="318">
        <v>1279346</v>
      </c>
      <c r="R658" s="318">
        <v>154</v>
      </c>
      <c r="S658" s="241">
        <v>0.5</v>
      </c>
      <c r="T658" s="240">
        <v>1286</v>
      </c>
      <c r="U658" s="513">
        <v>800</v>
      </c>
    </row>
    <row r="659" spans="1:24" x14ac:dyDescent="0.2">
      <c r="A659" s="107"/>
      <c r="B659" s="321">
        <f>+SUM(B650:B657)</f>
        <v>2713906</v>
      </c>
      <c r="C659" s="321">
        <f t="shared" ref="C659:U659" si="12">+SUM(C650:C657)</f>
        <v>950</v>
      </c>
      <c r="D659" s="321">
        <f t="shared" si="12"/>
        <v>1261539</v>
      </c>
      <c r="E659" s="321">
        <f t="shared" si="12"/>
        <v>3414</v>
      </c>
      <c r="F659" s="322">
        <f t="shared" si="12"/>
        <v>1</v>
      </c>
      <c r="G659" s="321">
        <f t="shared" si="12"/>
        <v>1273402</v>
      </c>
      <c r="H659" s="321">
        <f t="shared" si="12"/>
        <v>3219</v>
      </c>
      <c r="I659" s="322">
        <f t="shared" si="12"/>
        <v>0.5</v>
      </c>
      <c r="J659" s="321">
        <f t="shared" si="12"/>
        <v>4560</v>
      </c>
      <c r="K659" s="321">
        <f t="shared" si="12"/>
        <v>1885</v>
      </c>
      <c r="L659" s="321">
        <f t="shared" si="12"/>
        <v>5939</v>
      </c>
      <c r="M659" s="321">
        <f t="shared" si="12"/>
        <v>1935</v>
      </c>
      <c r="N659" s="321">
        <f t="shared" si="12"/>
        <v>1266101</v>
      </c>
      <c r="O659" s="321">
        <f t="shared" si="12"/>
        <v>3299</v>
      </c>
      <c r="P659" s="322">
        <f t="shared" si="12"/>
        <v>1</v>
      </c>
      <c r="Q659" s="321">
        <f t="shared" si="12"/>
        <v>1279342</v>
      </c>
      <c r="R659" s="321">
        <f t="shared" si="12"/>
        <v>4154</v>
      </c>
      <c r="S659" s="322">
        <f t="shared" si="12"/>
        <v>0.5</v>
      </c>
      <c r="T659" s="321">
        <f t="shared" si="12"/>
        <v>1286</v>
      </c>
      <c r="U659" s="321">
        <f t="shared" si="12"/>
        <v>800</v>
      </c>
    </row>
    <row r="660" spans="1:24" x14ac:dyDescent="0.2">
      <c r="A660" s="107"/>
      <c r="B660" s="107"/>
      <c r="C660" s="107"/>
      <c r="D660" s="107"/>
      <c r="E660" s="107"/>
      <c r="F660" s="107"/>
      <c r="G660" s="107"/>
      <c r="H660" s="107"/>
      <c r="I660" s="107"/>
      <c r="J660" s="107"/>
      <c r="K660" s="107"/>
      <c r="L660" s="107"/>
      <c r="M660" s="107"/>
      <c r="N660" s="145">
        <v>1560972</v>
      </c>
      <c r="O660" s="145">
        <v>261</v>
      </c>
      <c r="P660" s="107"/>
      <c r="Q660" s="107"/>
    </row>
    <row r="661" spans="1:24" ht="16" thickBot="1" x14ac:dyDescent="0.25">
      <c r="A661" s="107"/>
      <c r="B661" s="107"/>
      <c r="C661" s="107"/>
      <c r="F661" s="107"/>
      <c r="G661" s="107"/>
      <c r="H661" s="107"/>
      <c r="I661" s="107"/>
      <c r="J661" s="107"/>
      <c r="K661" s="107"/>
      <c r="L661" s="107"/>
      <c r="M661" s="107"/>
      <c r="N661" s="187">
        <v>1273405</v>
      </c>
      <c r="O661" s="187">
        <v>219</v>
      </c>
      <c r="P661" s="107"/>
      <c r="Q661" s="107"/>
    </row>
    <row r="662" spans="1:24" x14ac:dyDescent="0.2">
      <c r="A662" s="526" t="s">
        <v>2077</v>
      </c>
      <c r="B662" s="107"/>
      <c r="C662" s="107"/>
      <c r="D662" s="107"/>
      <c r="E662" s="107"/>
      <c r="F662" s="107"/>
      <c r="G662" s="107"/>
      <c r="H662" s="107"/>
      <c r="I662" s="107"/>
      <c r="J662" s="107"/>
      <c r="K662" s="107"/>
      <c r="L662" s="107"/>
      <c r="M662" s="107"/>
      <c r="N662" s="107"/>
      <c r="O662" s="107"/>
      <c r="P662" s="107"/>
      <c r="Q662" s="107"/>
    </row>
    <row r="663" spans="1:24" ht="30.5" customHeight="1" x14ac:dyDescent="0.2">
      <c r="A663" s="911" t="s">
        <v>3097</v>
      </c>
      <c r="B663" s="912"/>
      <c r="C663" s="912"/>
      <c r="D663" s="912"/>
      <c r="E663" s="912"/>
      <c r="F663" s="912"/>
      <c r="G663" s="912"/>
      <c r="H663" s="912"/>
      <c r="I663" s="912"/>
      <c r="J663" s="912"/>
      <c r="K663" s="912"/>
      <c r="L663" s="912"/>
      <c r="M663" s="912"/>
      <c r="N663" s="912"/>
      <c r="O663" s="912"/>
      <c r="P663" s="912"/>
      <c r="Q663" s="912"/>
      <c r="R663" s="912"/>
      <c r="S663" s="912"/>
      <c r="T663" s="912"/>
      <c r="U663" s="912"/>
      <c r="V663" s="912"/>
      <c r="W663" s="912"/>
      <c r="X663" s="912"/>
    </row>
    <row r="664" spans="1:24" ht="87" customHeight="1" x14ac:dyDescent="0.2">
      <c r="A664" s="811" t="s">
        <v>2849</v>
      </c>
      <c r="B664" s="608" t="s">
        <v>2850</v>
      </c>
      <c r="C664" s="609"/>
      <c r="D664" s="608" t="s">
        <v>2851</v>
      </c>
      <c r="E664" s="778"/>
      <c r="F664" s="609"/>
      <c r="G664" s="913" t="s">
        <v>2852</v>
      </c>
      <c r="H664" s="914"/>
      <c r="I664" s="915"/>
      <c r="J664" s="608" t="s">
        <v>3098</v>
      </c>
      <c r="K664" s="778"/>
      <c r="L664" s="609"/>
      <c r="M664" s="608" t="s">
        <v>3099</v>
      </c>
      <c r="N664" s="778"/>
      <c r="O664" s="609"/>
      <c r="P664" s="608" t="s">
        <v>2855</v>
      </c>
      <c r="Q664" s="778"/>
      <c r="R664" s="609"/>
      <c r="S664" s="608" t="s">
        <v>2856</v>
      </c>
      <c r="T664" s="778"/>
      <c r="U664" s="609"/>
      <c r="V664" s="608" t="s">
        <v>3087</v>
      </c>
      <c r="W664" s="778"/>
      <c r="X664" s="609"/>
    </row>
    <row r="665" spans="1:24" x14ac:dyDescent="0.2">
      <c r="A665" s="131" t="s">
        <v>1174</v>
      </c>
      <c r="B665" s="131">
        <v>1001200</v>
      </c>
      <c r="C665" s="145"/>
      <c r="D665" s="349">
        <v>1366466</v>
      </c>
      <c r="E665" s="350">
        <v>830</v>
      </c>
      <c r="F665" s="352"/>
      <c r="G665" s="674">
        <v>1383718</v>
      </c>
      <c r="H665" s="916">
        <v>745</v>
      </c>
      <c r="I665" s="917"/>
      <c r="J665" s="349"/>
      <c r="K665" s="350"/>
      <c r="L665" s="352"/>
      <c r="M665" s="349">
        <v>142681</v>
      </c>
      <c r="N665" s="350">
        <v>755</v>
      </c>
      <c r="O665" s="352"/>
      <c r="P665" s="349">
        <v>1366466</v>
      </c>
      <c r="Q665" s="350">
        <v>830</v>
      </c>
      <c r="R665" s="352"/>
      <c r="S665" s="349">
        <v>1526400</v>
      </c>
      <c r="T665" s="350">
        <v>500</v>
      </c>
      <c r="U665" s="352"/>
      <c r="V665" s="349">
        <v>20251</v>
      </c>
      <c r="W665" s="350">
        <v>662</v>
      </c>
      <c r="X665" s="352">
        <v>0.5</v>
      </c>
    </row>
    <row r="666" spans="1:24" x14ac:dyDescent="0.2">
      <c r="A666" s="131" t="s">
        <v>1573</v>
      </c>
      <c r="B666" s="131">
        <v>20000</v>
      </c>
      <c r="C666" s="145"/>
      <c r="D666" s="131">
        <v>12434</v>
      </c>
      <c r="E666" s="145">
        <v>936</v>
      </c>
      <c r="F666" s="133"/>
      <c r="G666" s="140">
        <v>12434</v>
      </c>
      <c r="H666" s="141">
        <v>936</v>
      </c>
      <c r="I666" s="142"/>
      <c r="J666" s="131"/>
      <c r="K666" s="145"/>
      <c r="L666" s="133"/>
      <c r="M666" s="131"/>
      <c r="N666" s="145"/>
      <c r="O666" s="133"/>
      <c r="P666" s="131">
        <v>12434</v>
      </c>
      <c r="Q666" s="145">
        <v>936</v>
      </c>
      <c r="R666" s="133"/>
      <c r="S666" s="131">
        <v>12434</v>
      </c>
      <c r="T666" s="145">
        <v>936</v>
      </c>
      <c r="U666" s="133"/>
      <c r="V666" s="131"/>
      <c r="W666" s="145"/>
      <c r="X666" s="133"/>
    </row>
    <row r="667" spans="1:24" x14ac:dyDescent="0.2">
      <c r="A667" s="131" t="s">
        <v>1175</v>
      </c>
      <c r="B667" s="131">
        <v>30000</v>
      </c>
      <c r="C667" s="145"/>
      <c r="D667" s="131">
        <v>49950</v>
      </c>
      <c r="E667" s="145">
        <v>770</v>
      </c>
      <c r="F667" s="133"/>
      <c r="G667" s="140">
        <v>49825</v>
      </c>
      <c r="H667" s="141">
        <v>215</v>
      </c>
      <c r="I667" s="142"/>
      <c r="J667" s="131">
        <v>846</v>
      </c>
      <c r="K667" s="145">
        <v>720</v>
      </c>
      <c r="L667" s="133"/>
      <c r="M667" s="131">
        <v>860</v>
      </c>
      <c r="N667" s="145">
        <v>560</v>
      </c>
      <c r="O667" s="133"/>
      <c r="P667" s="131">
        <v>50797</v>
      </c>
      <c r="Q667" s="145">
        <v>490</v>
      </c>
      <c r="R667" s="133"/>
      <c r="S667" s="131">
        <v>50685</v>
      </c>
      <c r="T667" s="145">
        <v>775</v>
      </c>
      <c r="U667" s="133"/>
      <c r="V667" s="131">
        <v>111</v>
      </c>
      <c r="W667" s="145">
        <v>715</v>
      </c>
      <c r="X667" s="133"/>
    </row>
    <row r="668" spans="1:24" x14ac:dyDescent="0.2">
      <c r="A668" s="131" t="s">
        <v>1808</v>
      </c>
      <c r="B668" s="131">
        <v>60000</v>
      </c>
      <c r="C668" s="145"/>
      <c r="D668" s="131">
        <v>167605</v>
      </c>
      <c r="E668" s="145">
        <v>97</v>
      </c>
      <c r="F668" s="133">
        <v>0.5</v>
      </c>
      <c r="G668" s="140">
        <v>167257</v>
      </c>
      <c r="H668" s="141">
        <v>997</v>
      </c>
      <c r="I668" s="142">
        <v>0.5</v>
      </c>
      <c r="J668" s="131">
        <v>42236</v>
      </c>
      <c r="K668" s="145">
        <v>510</v>
      </c>
      <c r="L668" s="133"/>
      <c r="M668" s="131">
        <v>42236</v>
      </c>
      <c r="N668" s="145">
        <v>510</v>
      </c>
      <c r="O668" s="133"/>
      <c r="P668" s="131">
        <v>209841</v>
      </c>
      <c r="Q668" s="145">
        <v>607</v>
      </c>
      <c r="R668" s="133">
        <v>0.5</v>
      </c>
      <c r="S668" s="131">
        <v>209494</v>
      </c>
      <c r="T668" s="145">
        <v>507</v>
      </c>
      <c r="U668" s="133">
        <v>0.5</v>
      </c>
      <c r="V668" s="131">
        <v>347</v>
      </c>
      <c r="W668" s="145">
        <v>100</v>
      </c>
      <c r="X668" s="133"/>
    </row>
    <row r="669" spans="1:24" x14ac:dyDescent="0.2">
      <c r="A669" s="131" t="s">
        <v>2860</v>
      </c>
      <c r="B669" s="131">
        <v>25000</v>
      </c>
      <c r="C669" s="145"/>
      <c r="D669" s="131">
        <v>55150</v>
      </c>
      <c r="E669" s="145"/>
      <c r="F669" s="133"/>
      <c r="G669" s="140">
        <v>55150</v>
      </c>
      <c r="H669" s="141"/>
      <c r="I669" s="142"/>
      <c r="J669" s="131"/>
      <c r="K669" s="145"/>
      <c r="L669" s="133"/>
      <c r="M669" s="131"/>
      <c r="N669" s="145"/>
      <c r="O669" s="133"/>
      <c r="P669" s="131">
        <v>55150</v>
      </c>
      <c r="Q669" s="145"/>
      <c r="R669" s="133"/>
      <c r="S669" s="131">
        <v>55150</v>
      </c>
      <c r="T669" s="145"/>
      <c r="U669" s="133"/>
      <c r="V669" s="131"/>
      <c r="W669" s="145"/>
      <c r="X669" s="133"/>
    </row>
    <row r="670" spans="1:24" x14ac:dyDescent="0.2">
      <c r="A670" s="131" t="s">
        <v>1569</v>
      </c>
      <c r="B670" s="131">
        <v>800000</v>
      </c>
      <c r="C670" s="145"/>
      <c r="D670" s="131">
        <v>591568</v>
      </c>
      <c r="E670" s="145">
        <v>325</v>
      </c>
      <c r="F670" s="133"/>
      <c r="G670" s="140">
        <v>591568</v>
      </c>
      <c r="H670" s="141">
        <v>325</v>
      </c>
      <c r="I670" s="142"/>
      <c r="J670" s="131">
        <v>48</v>
      </c>
      <c r="K670" s="145">
        <v>610</v>
      </c>
      <c r="L670" s="133"/>
      <c r="M670" s="131">
        <v>48</v>
      </c>
      <c r="N670" s="145">
        <v>600</v>
      </c>
      <c r="O670" s="133"/>
      <c r="P670" s="131">
        <v>591616</v>
      </c>
      <c r="Q670" s="145">
        <v>925</v>
      </c>
      <c r="R670" s="133"/>
      <c r="S670" s="131">
        <v>591616</v>
      </c>
      <c r="T670" s="145">
        <v>925</v>
      </c>
      <c r="U670" s="133"/>
      <c r="V670" s="131"/>
      <c r="W670" s="145"/>
      <c r="X670" s="133"/>
    </row>
    <row r="671" spans="1:24" x14ac:dyDescent="0.2">
      <c r="A671" s="131" t="s">
        <v>3100</v>
      </c>
      <c r="B671" s="131">
        <v>60000</v>
      </c>
      <c r="C671" s="145"/>
      <c r="D671" s="131">
        <v>3220876</v>
      </c>
      <c r="E671" s="145">
        <v>142</v>
      </c>
      <c r="F671" s="133">
        <v>0.5</v>
      </c>
      <c r="G671" s="140">
        <v>3215452</v>
      </c>
      <c r="H671" s="141">
        <v>167</v>
      </c>
      <c r="I671" s="142">
        <v>0.5</v>
      </c>
      <c r="J671" s="131"/>
      <c r="K671" s="145"/>
      <c r="L671" s="133"/>
      <c r="M671" s="131"/>
      <c r="N671" s="145"/>
      <c r="O671" s="133"/>
      <c r="P671" s="131">
        <v>3220876</v>
      </c>
      <c r="Q671" s="145">
        <v>142</v>
      </c>
      <c r="R671" s="133">
        <v>0.5</v>
      </c>
      <c r="S671" s="131">
        <v>3215452</v>
      </c>
      <c r="T671" s="145">
        <v>167</v>
      </c>
      <c r="U671" s="133">
        <v>0.5</v>
      </c>
      <c r="V671" s="131">
        <v>5423</v>
      </c>
      <c r="W671" s="145">
        <v>975</v>
      </c>
      <c r="X671" s="133"/>
    </row>
    <row r="672" spans="1:24" x14ac:dyDescent="0.2">
      <c r="A672" s="131" t="s">
        <v>1992</v>
      </c>
      <c r="B672" s="131">
        <v>25000</v>
      </c>
      <c r="C672" s="145"/>
      <c r="D672" s="131">
        <v>126321</v>
      </c>
      <c r="E672" s="145">
        <v>42</v>
      </c>
      <c r="F672" s="133"/>
      <c r="G672" s="140">
        <v>124328</v>
      </c>
      <c r="H672" s="141">
        <v>487</v>
      </c>
      <c r="I672" s="142"/>
      <c r="J672" s="131">
        <v>3546</v>
      </c>
      <c r="K672" s="145">
        <v>930</v>
      </c>
      <c r="L672" s="133"/>
      <c r="M672" s="131">
        <v>16</v>
      </c>
      <c r="N672" s="145">
        <v>450</v>
      </c>
      <c r="O672" s="133"/>
      <c r="P672" s="131">
        <v>129867</v>
      </c>
      <c r="Q672" s="145">
        <v>972</v>
      </c>
      <c r="R672" s="133"/>
      <c r="S672" s="131">
        <v>124344</v>
      </c>
      <c r="T672" s="145">
        <v>937</v>
      </c>
      <c r="U672" s="133"/>
      <c r="V672" s="131">
        <v>5523</v>
      </c>
      <c r="W672" s="145">
        <v>35</v>
      </c>
      <c r="X672" s="133"/>
    </row>
    <row r="673" spans="1:24" x14ac:dyDescent="0.2">
      <c r="A673" s="794" t="s">
        <v>2566</v>
      </c>
      <c r="B673" s="240">
        <v>2021200</v>
      </c>
      <c r="C673" s="318"/>
      <c r="D673" s="240">
        <v>5590373</v>
      </c>
      <c r="E673" s="318">
        <v>143</v>
      </c>
      <c r="F673" s="241"/>
      <c r="G673" s="240">
        <v>5599735</v>
      </c>
      <c r="H673" s="318">
        <v>873</v>
      </c>
      <c r="I673" s="241"/>
      <c r="J673" s="240">
        <v>46678</v>
      </c>
      <c r="K673" s="318">
        <v>760</v>
      </c>
      <c r="L673" s="241"/>
      <c r="M673" s="240">
        <v>185843</v>
      </c>
      <c r="N673" s="318">
        <v>875</v>
      </c>
      <c r="O673" s="241"/>
      <c r="P673" s="240">
        <v>5637051</v>
      </c>
      <c r="Q673" s="318">
        <v>903</v>
      </c>
      <c r="R673" s="241"/>
      <c r="S673" s="240">
        <v>5785579</v>
      </c>
      <c r="T673" s="318">
        <v>748</v>
      </c>
      <c r="U673" s="241"/>
      <c r="V673" s="240">
        <v>31657</v>
      </c>
      <c r="W673" s="318">
        <v>487</v>
      </c>
      <c r="X673" s="241">
        <v>0.5</v>
      </c>
    </row>
    <row r="674" spans="1:24" x14ac:dyDescent="0.2">
      <c r="A674" s="131"/>
      <c r="B674" s="138">
        <f>+SUM(B665:B672)</f>
        <v>2021200</v>
      </c>
      <c r="C674" s="138">
        <f t="shared" ref="C674:X674" si="13">+SUM(C665:C672)</f>
        <v>0</v>
      </c>
      <c r="D674" s="299">
        <f t="shared" si="13"/>
        <v>5590370</v>
      </c>
      <c r="E674" s="152">
        <f t="shared" si="13"/>
        <v>3142</v>
      </c>
      <c r="F674" s="154">
        <f t="shared" si="13"/>
        <v>1</v>
      </c>
      <c r="G674" s="299">
        <f t="shared" si="13"/>
        <v>5599732</v>
      </c>
      <c r="H674" s="152">
        <f t="shared" si="13"/>
        <v>3872</v>
      </c>
      <c r="I674" s="154">
        <f t="shared" si="13"/>
        <v>1</v>
      </c>
      <c r="J674" s="299">
        <f t="shared" si="13"/>
        <v>46676</v>
      </c>
      <c r="K674" s="918">
        <f t="shared" si="13"/>
        <v>2770</v>
      </c>
      <c r="L674" s="154">
        <f t="shared" si="13"/>
        <v>0</v>
      </c>
      <c r="M674" s="299">
        <f t="shared" si="13"/>
        <v>185841</v>
      </c>
      <c r="N674" s="152">
        <f t="shared" si="13"/>
        <v>2875</v>
      </c>
      <c r="O674" s="154">
        <f t="shared" si="13"/>
        <v>0</v>
      </c>
      <c r="P674" s="299">
        <f t="shared" si="13"/>
        <v>5637047</v>
      </c>
      <c r="Q674" s="152">
        <f t="shared" si="13"/>
        <v>4902</v>
      </c>
      <c r="R674" s="154">
        <f t="shared" si="13"/>
        <v>1</v>
      </c>
      <c r="S674" s="299">
        <f t="shared" si="13"/>
        <v>5785575</v>
      </c>
      <c r="T674" s="152">
        <f t="shared" si="13"/>
        <v>4747</v>
      </c>
      <c r="U674" s="154">
        <f t="shared" si="13"/>
        <v>1</v>
      </c>
      <c r="V674" s="299">
        <f t="shared" si="13"/>
        <v>31655</v>
      </c>
      <c r="W674" s="152">
        <f t="shared" si="13"/>
        <v>2487</v>
      </c>
      <c r="X674" s="154">
        <f t="shared" si="13"/>
        <v>0.5</v>
      </c>
    </row>
    <row r="675" spans="1:24" ht="102.5" customHeight="1" x14ac:dyDescent="0.2">
      <c r="A675" s="811" t="s">
        <v>2861</v>
      </c>
      <c r="B675" s="608" t="s">
        <v>2862</v>
      </c>
      <c r="C675" s="609"/>
      <c r="D675" s="913" t="s">
        <v>2863</v>
      </c>
      <c r="E675" s="914"/>
      <c r="F675" s="915"/>
      <c r="G675" s="608" t="s">
        <v>3093</v>
      </c>
      <c r="H675" s="778"/>
      <c r="I675" s="609"/>
      <c r="J675" s="608" t="s">
        <v>3101</v>
      </c>
      <c r="K675" s="778"/>
      <c r="L675" s="609"/>
      <c r="M675" s="608" t="s">
        <v>3102</v>
      </c>
      <c r="N675" s="778"/>
      <c r="O675" s="609"/>
      <c r="P675" s="608" t="s">
        <v>2855</v>
      </c>
      <c r="Q675" s="778"/>
      <c r="R675" s="609"/>
      <c r="S675" s="608" t="s">
        <v>2867</v>
      </c>
      <c r="T675" s="778"/>
      <c r="U675" s="609"/>
      <c r="V675" s="608" t="s">
        <v>3090</v>
      </c>
      <c r="W675" s="778"/>
      <c r="X675" s="609"/>
    </row>
    <row r="676" spans="1:24" x14ac:dyDescent="0.2">
      <c r="A676" s="131" t="s">
        <v>2043</v>
      </c>
      <c r="B676" s="131">
        <v>397969</v>
      </c>
      <c r="C676" s="145"/>
      <c r="D676" s="674">
        <v>194846</v>
      </c>
      <c r="E676" s="916">
        <v>10</v>
      </c>
      <c r="F676" s="917"/>
      <c r="G676" s="349">
        <v>178820</v>
      </c>
      <c r="H676" s="350">
        <v>660</v>
      </c>
      <c r="I676" s="352"/>
      <c r="J676" s="349">
        <v>75196</v>
      </c>
      <c r="K676" s="350">
        <v>312</v>
      </c>
      <c r="L676" s="352">
        <v>0.5</v>
      </c>
      <c r="M676" s="349">
        <v>91236</v>
      </c>
      <c r="N676" s="350">
        <v>62</v>
      </c>
      <c r="O676" s="352">
        <v>0.5</v>
      </c>
      <c r="P676" s="349">
        <v>270042</v>
      </c>
      <c r="Q676" s="350">
        <v>322</v>
      </c>
      <c r="R676" s="352">
        <v>0.5</v>
      </c>
      <c r="S676" s="349">
        <v>270056</v>
      </c>
      <c r="T676" s="350">
        <v>722</v>
      </c>
      <c r="U676" s="352">
        <v>0.5</v>
      </c>
      <c r="V676" s="349"/>
      <c r="W676" s="350"/>
      <c r="X676" s="352"/>
    </row>
    <row r="677" spans="1:24" x14ac:dyDescent="0.2">
      <c r="A677" s="131" t="s">
        <v>2047</v>
      </c>
      <c r="B677" s="131">
        <v>7328</v>
      </c>
      <c r="C677" s="145"/>
      <c r="D677" s="140">
        <v>839</v>
      </c>
      <c r="E677" s="141">
        <v>800</v>
      </c>
      <c r="F677" s="142"/>
      <c r="G677" s="131">
        <v>773</v>
      </c>
      <c r="H677" s="145">
        <v>150</v>
      </c>
      <c r="I677" s="133"/>
      <c r="J677" s="131"/>
      <c r="K677" s="145"/>
      <c r="L677" s="133"/>
      <c r="M677" s="131">
        <v>66</v>
      </c>
      <c r="N677" s="145">
        <v>650</v>
      </c>
      <c r="O677" s="133"/>
      <c r="P677" s="131">
        <v>839</v>
      </c>
      <c r="Q677" s="145">
        <v>800</v>
      </c>
      <c r="R677" s="133"/>
      <c r="S677" s="131">
        <v>839</v>
      </c>
      <c r="T677" s="145">
        <v>800</v>
      </c>
      <c r="U677" s="133"/>
      <c r="V677" s="131"/>
      <c r="W677" s="145"/>
      <c r="X677" s="133"/>
    </row>
    <row r="678" spans="1:24" x14ac:dyDescent="0.2">
      <c r="A678" s="140" t="s">
        <v>2044</v>
      </c>
      <c r="B678" s="131">
        <v>44944</v>
      </c>
      <c r="C678" s="145"/>
      <c r="D678" s="140">
        <v>19341</v>
      </c>
      <c r="E678" s="141">
        <v>300</v>
      </c>
      <c r="F678" s="142"/>
      <c r="G678" s="131">
        <v>17812</v>
      </c>
      <c r="H678" s="145">
        <v>700</v>
      </c>
      <c r="I678" s="133"/>
      <c r="J678" s="131">
        <v>6000</v>
      </c>
      <c r="K678" s="145"/>
      <c r="L678" s="133"/>
      <c r="M678" s="131">
        <v>7528</v>
      </c>
      <c r="N678" s="145">
        <v>600</v>
      </c>
      <c r="O678" s="133"/>
      <c r="P678" s="131">
        <v>25341</v>
      </c>
      <c r="Q678" s="145">
        <v>300</v>
      </c>
      <c r="R678" s="133"/>
      <c r="S678" s="131">
        <v>25341</v>
      </c>
      <c r="T678" s="145">
        <v>300</v>
      </c>
      <c r="U678" s="133"/>
      <c r="V678" s="131"/>
      <c r="W678" s="145"/>
      <c r="X678" s="133"/>
    </row>
    <row r="679" spans="1:24" x14ac:dyDescent="0.2">
      <c r="A679" s="140" t="s">
        <v>2042</v>
      </c>
      <c r="B679" s="131">
        <v>65783</v>
      </c>
      <c r="C679" s="145">
        <v>250</v>
      </c>
      <c r="D679" s="140">
        <v>4382</v>
      </c>
      <c r="E679" s="141">
        <v>750</v>
      </c>
      <c r="F679" s="142"/>
      <c r="G679" s="131">
        <v>1742</v>
      </c>
      <c r="H679" s="145">
        <v>750</v>
      </c>
      <c r="I679" s="133"/>
      <c r="J679" s="131">
        <v>6593</v>
      </c>
      <c r="K679" s="145">
        <v>900</v>
      </c>
      <c r="L679" s="133"/>
      <c r="M679" s="131">
        <v>9233</v>
      </c>
      <c r="N679" s="145">
        <v>900</v>
      </c>
      <c r="O679" s="133"/>
      <c r="P679" s="131">
        <v>10976</v>
      </c>
      <c r="Q679" s="145">
        <v>650</v>
      </c>
      <c r="R679" s="133"/>
      <c r="S679" s="131">
        <v>10976</v>
      </c>
      <c r="T679" s="145">
        <v>650</v>
      </c>
      <c r="U679" s="133"/>
      <c r="V679" s="131"/>
      <c r="W679" s="145"/>
      <c r="X679" s="133"/>
    </row>
    <row r="680" spans="1:24" x14ac:dyDescent="0.2">
      <c r="A680" s="140" t="s">
        <v>2046</v>
      </c>
      <c r="B680" s="131">
        <v>76000</v>
      </c>
      <c r="C680" s="145"/>
      <c r="D680" s="140">
        <v>33536</v>
      </c>
      <c r="E680" s="141">
        <v>980</v>
      </c>
      <c r="F680" s="142"/>
      <c r="G680" s="131">
        <v>33406</v>
      </c>
      <c r="H680" s="145">
        <v>980</v>
      </c>
      <c r="I680" s="133"/>
      <c r="J680" s="131">
        <v>5439</v>
      </c>
      <c r="K680" s="145">
        <v>525</v>
      </c>
      <c r="L680" s="133"/>
      <c r="M680" s="131">
        <v>5569</v>
      </c>
      <c r="N680" s="145">
        <v>525</v>
      </c>
      <c r="O680" s="133"/>
      <c r="P680" s="131">
        <v>38976</v>
      </c>
      <c r="Q680" s="145">
        <v>505</v>
      </c>
      <c r="R680" s="133"/>
      <c r="S680" s="131">
        <v>38976</v>
      </c>
      <c r="T680" s="145">
        <v>505</v>
      </c>
      <c r="U680" s="133"/>
      <c r="V680" s="131"/>
      <c r="W680" s="145"/>
      <c r="X680" s="133"/>
    </row>
    <row r="681" spans="1:24" x14ac:dyDescent="0.2">
      <c r="A681" s="140" t="s">
        <v>2871</v>
      </c>
      <c r="B681" s="131">
        <v>585695</v>
      </c>
      <c r="C681" s="145">
        <v>500</v>
      </c>
      <c r="D681" s="140">
        <v>265282</v>
      </c>
      <c r="E681" s="141">
        <v>922</v>
      </c>
      <c r="F681" s="142">
        <v>0.5</v>
      </c>
      <c r="G681" s="131">
        <v>283493</v>
      </c>
      <c r="H681" s="145">
        <v>974</v>
      </c>
      <c r="I681" s="133">
        <v>0.5</v>
      </c>
      <c r="J681" s="131">
        <v>85591</v>
      </c>
      <c r="K681" s="145">
        <v>580</v>
      </c>
      <c r="L681" s="133"/>
      <c r="M681" s="131">
        <v>86049</v>
      </c>
      <c r="N681" s="145">
        <v>730</v>
      </c>
      <c r="O681" s="133"/>
      <c r="P681" s="131">
        <v>350874</v>
      </c>
      <c r="Q681" s="145">
        <v>502</v>
      </c>
      <c r="R681" s="133">
        <v>0.5</v>
      </c>
      <c r="S681" s="131">
        <v>369543</v>
      </c>
      <c r="T681" s="145">
        <v>704</v>
      </c>
      <c r="U681" s="133">
        <v>0.5</v>
      </c>
      <c r="V681" s="131">
        <v>2805</v>
      </c>
      <c r="W681" s="145">
        <v>800</v>
      </c>
      <c r="X681" s="133"/>
    </row>
    <row r="682" spans="1:24" x14ac:dyDescent="0.2">
      <c r="A682" s="140" t="s">
        <v>2886</v>
      </c>
      <c r="B682" s="131">
        <v>2000</v>
      </c>
      <c r="C682" s="145"/>
      <c r="D682" s="140"/>
      <c r="E682" s="141"/>
      <c r="F682" s="142"/>
      <c r="G682" s="131"/>
      <c r="H682" s="145"/>
      <c r="I682" s="133"/>
      <c r="J682" s="131"/>
      <c r="K682" s="145"/>
      <c r="L682" s="133"/>
      <c r="M682" s="131"/>
      <c r="N682" s="145"/>
      <c r="O682" s="133"/>
      <c r="P682" s="131"/>
      <c r="Q682" s="145"/>
      <c r="R682" s="133"/>
      <c r="S682" s="131"/>
      <c r="T682" s="145"/>
      <c r="U682" s="133"/>
      <c r="V682" s="131"/>
      <c r="W682" s="145"/>
      <c r="X682" s="133"/>
    </row>
    <row r="683" spans="1:24" x14ac:dyDescent="0.2">
      <c r="A683" s="140" t="s">
        <v>2869</v>
      </c>
      <c r="B683" s="131">
        <v>375830</v>
      </c>
      <c r="C683" s="145"/>
      <c r="D683" s="140">
        <v>170448</v>
      </c>
      <c r="E683" s="141">
        <v>950</v>
      </c>
      <c r="F683" s="142"/>
      <c r="G683" s="131">
        <v>162049</v>
      </c>
      <c r="H683" s="145">
        <v>450</v>
      </c>
      <c r="I683" s="133"/>
      <c r="J683" s="131">
        <v>129</v>
      </c>
      <c r="K683" s="145"/>
      <c r="L683" s="133"/>
      <c r="M683" s="131">
        <v>8528</v>
      </c>
      <c r="N683" s="145">
        <v>500</v>
      </c>
      <c r="O683" s="133"/>
      <c r="P683" s="131">
        <v>170577</v>
      </c>
      <c r="Q683" s="145">
        <v>950</v>
      </c>
      <c r="R683" s="133"/>
      <c r="S683" s="131">
        <v>170577</v>
      </c>
      <c r="T683" s="145">
        <v>950</v>
      </c>
      <c r="U683" s="133"/>
      <c r="V683" s="131"/>
      <c r="W683" s="145"/>
      <c r="X683" s="133"/>
    </row>
    <row r="684" spans="1:24" x14ac:dyDescent="0.2">
      <c r="A684" s="140" t="s">
        <v>2040</v>
      </c>
      <c r="B684" s="131">
        <v>924527</v>
      </c>
      <c r="C684" s="145">
        <v>915</v>
      </c>
      <c r="D684" s="140">
        <v>174971</v>
      </c>
      <c r="E684" s="141">
        <v>125</v>
      </c>
      <c r="F684" s="142"/>
      <c r="G684" s="131">
        <v>140041</v>
      </c>
      <c r="H684" s="145">
        <v>700</v>
      </c>
      <c r="I684" s="133"/>
      <c r="J684" s="131">
        <v>534187</v>
      </c>
      <c r="K684" s="145">
        <v>125</v>
      </c>
      <c r="L684" s="133"/>
      <c r="M684" s="131">
        <v>569116</v>
      </c>
      <c r="N684" s="145">
        <v>550</v>
      </c>
      <c r="O684" s="133"/>
      <c r="P684" s="131">
        <v>709158</v>
      </c>
      <c r="Q684" s="145">
        <v>250</v>
      </c>
      <c r="R684" s="133"/>
      <c r="S684" s="131">
        <v>709158</v>
      </c>
      <c r="T684" s="145">
        <v>250</v>
      </c>
      <c r="U684" s="133"/>
      <c r="V684" s="131"/>
      <c r="W684" s="145"/>
      <c r="X684" s="133"/>
    </row>
    <row r="685" spans="1:24" x14ac:dyDescent="0.2">
      <c r="A685" s="140" t="s">
        <v>2462</v>
      </c>
      <c r="B685" s="131">
        <v>380385</v>
      </c>
      <c r="C685" s="145">
        <v>400</v>
      </c>
      <c r="D685" s="140">
        <v>439871</v>
      </c>
      <c r="E685" s="141">
        <v>220</v>
      </c>
      <c r="F685" s="142"/>
      <c r="G685" s="131">
        <v>373067</v>
      </c>
      <c r="H685" s="145">
        <v>800</v>
      </c>
      <c r="I685" s="133"/>
      <c r="J685" s="131">
        <v>183625</v>
      </c>
      <c r="K685" s="145">
        <v>150</v>
      </c>
      <c r="L685" s="133"/>
      <c r="M685" s="131">
        <v>250475</v>
      </c>
      <c r="N685" s="145">
        <v>820</v>
      </c>
      <c r="O685" s="133"/>
      <c r="P685" s="131">
        <v>623496</v>
      </c>
      <c r="Q685" s="145">
        <v>370</v>
      </c>
      <c r="R685" s="133"/>
      <c r="S685" s="131">
        <v>623543</v>
      </c>
      <c r="T685" s="145">
        <v>620</v>
      </c>
      <c r="U685" s="133"/>
      <c r="V685" s="131"/>
      <c r="W685" s="145"/>
      <c r="X685" s="133"/>
    </row>
    <row r="686" spans="1:24" x14ac:dyDescent="0.2">
      <c r="A686" s="794" t="s">
        <v>2566</v>
      </c>
      <c r="B686" s="240">
        <v>2860463</v>
      </c>
      <c r="C686" s="318">
        <v>65</v>
      </c>
      <c r="D686" s="240">
        <v>1303521</v>
      </c>
      <c r="E686" s="318">
        <v>57</v>
      </c>
      <c r="F686" s="241">
        <v>0.5</v>
      </c>
      <c r="G686" s="240">
        <v>1191209</v>
      </c>
      <c r="H686" s="318">
        <v>164</v>
      </c>
      <c r="I686" s="241">
        <v>0.5</v>
      </c>
      <c r="J686" s="240">
        <v>896762</v>
      </c>
      <c r="K686" s="318">
        <v>592</v>
      </c>
      <c r="L686" s="241">
        <v>0.5</v>
      </c>
      <c r="M686" s="240">
        <v>1027805</v>
      </c>
      <c r="N686" s="318">
        <v>337</v>
      </c>
      <c r="O686" s="241">
        <v>0.5</v>
      </c>
      <c r="P686" s="240">
        <v>2200283</v>
      </c>
      <c r="Q686" s="318">
        <v>650</v>
      </c>
      <c r="R686" s="241"/>
      <c r="S686" s="240">
        <v>2219014</v>
      </c>
      <c r="T686" s="318">
        <v>502</v>
      </c>
      <c r="U686" s="241"/>
      <c r="V686" s="240">
        <v>2805</v>
      </c>
      <c r="W686" s="318">
        <v>800</v>
      </c>
      <c r="X686" s="241"/>
    </row>
    <row r="687" spans="1:24" x14ac:dyDescent="0.2">
      <c r="A687" s="107"/>
      <c r="B687" s="243">
        <f>+SUM(B676:B685)</f>
        <v>2860461</v>
      </c>
      <c r="C687" s="634">
        <f t="shared" ref="C687:X687" si="14">+SUM(C676:C685)</f>
        <v>2065</v>
      </c>
      <c r="D687" s="299">
        <f t="shared" si="14"/>
        <v>1303516</v>
      </c>
      <c r="E687" s="152">
        <f t="shared" si="14"/>
        <v>5057</v>
      </c>
      <c r="F687" s="154">
        <f t="shared" si="14"/>
        <v>0.5</v>
      </c>
      <c r="G687" s="299">
        <f t="shared" si="14"/>
        <v>1191203</v>
      </c>
      <c r="H687" s="152">
        <f t="shared" si="14"/>
        <v>6164</v>
      </c>
      <c r="I687" s="154">
        <f t="shared" si="14"/>
        <v>0.5</v>
      </c>
      <c r="J687" s="299">
        <f t="shared" si="14"/>
        <v>896760</v>
      </c>
      <c r="K687" s="152">
        <f t="shared" si="14"/>
        <v>2592</v>
      </c>
      <c r="L687" s="154">
        <f t="shared" si="14"/>
        <v>0.5</v>
      </c>
      <c r="M687" s="299">
        <f t="shared" si="14"/>
        <v>1027800</v>
      </c>
      <c r="N687" s="152">
        <f t="shared" si="14"/>
        <v>5337</v>
      </c>
      <c r="O687" s="154">
        <f t="shared" si="14"/>
        <v>0.5</v>
      </c>
      <c r="P687" s="299">
        <f t="shared" si="14"/>
        <v>2200279</v>
      </c>
      <c r="Q687" s="152">
        <f t="shared" si="14"/>
        <v>4649</v>
      </c>
      <c r="R687" s="154">
        <f t="shared" si="14"/>
        <v>1</v>
      </c>
      <c r="S687" s="299">
        <f t="shared" si="14"/>
        <v>2219009</v>
      </c>
      <c r="T687" s="152">
        <f t="shared" si="14"/>
        <v>5501</v>
      </c>
      <c r="U687" s="154">
        <f t="shared" si="14"/>
        <v>1</v>
      </c>
      <c r="V687" s="299">
        <f t="shared" si="14"/>
        <v>2805</v>
      </c>
      <c r="W687" s="152">
        <f t="shared" si="14"/>
        <v>800</v>
      </c>
      <c r="X687" s="154">
        <f t="shared" si="14"/>
        <v>0</v>
      </c>
    </row>
    <row r="688" spans="1:24" x14ac:dyDescent="0.2">
      <c r="A688" s="107"/>
      <c r="B688" s="107"/>
      <c r="C688" s="107"/>
      <c r="D688" s="145"/>
      <c r="E688" s="107"/>
      <c r="F688" s="145"/>
      <c r="G688" s="145"/>
      <c r="H688" s="107"/>
      <c r="I688" s="145"/>
      <c r="J688" s="107"/>
      <c r="K688" s="107"/>
      <c r="L688" s="107"/>
      <c r="M688" s="107"/>
      <c r="N688" s="107"/>
      <c r="O688" s="107"/>
      <c r="P688" s="107"/>
      <c r="Q688" s="107"/>
    </row>
    <row r="689" spans="1:21" x14ac:dyDescent="0.2">
      <c r="A689" s="107"/>
      <c r="B689" s="107"/>
      <c r="C689" s="107"/>
      <c r="G689" s="107"/>
      <c r="H689" s="107"/>
      <c r="I689" s="107"/>
      <c r="J689" s="107"/>
      <c r="K689" s="107"/>
      <c r="L689" s="107"/>
      <c r="M689" s="107"/>
      <c r="N689" s="107"/>
      <c r="O689" s="107"/>
      <c r="P689" s="107"/>
      <c r="Q689" s="107"/>
    </row>
    <row r="690" spans="1:21" x14ac:dyDescent="0.2">
      <c r="A690" s="526" t="s">
        <v>2089</v>
      </c>
      <c r="B690" s="107"/>
      <c r="C690" s="107"/>
      <c r="D690" s="107"/>
      <c r="E690" s="107"/>
      <c r="F690" s="107"/>
      <c r="G690" s="107"/>
      <c r="H690" s="107"/>
      <c r="I690" s="107"/>
      <c r="J690" s="107"/>
      <c r="K690" s="107"/>
      <c r="L690" s="107"/>
      <c r="M690" s="107"/>
      <c r="N690" s="107"/>
      <c r="O690" s="107"/>
      <c r="P690" s="107"/>
      <c r="Q690" s="107"/>
    </row>
    <row r="691" spans="1:21" ht="32" customHeight="1" x14ac:dyDescent="0.2">
      <c r="A691" s="875" t="s">
        <v>3103</v>
      </c>
      <c r="B691" s="876"/>
      <c r="C691" s="876"/>
      <c r="D691" s="876"/>
      <c r="E691" s="876"/>
      <c r="F691" s="876"/>
      <c r="G691" s="876"/>
      <c r="H691" s="876"/>
      <c r="I691" s="876"/>
      <c r="J691" s="876"/>
      <c r="K691" s="876"/>
      <c r="L691" s="876"/>
      <c r="M691" s="876"/>
      <c r="N691" s="876"/>
      <c r="O691" s="876"/>
      <c r="P691" s="876"/>
      <c r="Q691" s="876"/>
      <c r="R691" s="876"/>
      <c r="S691" s="876"/>
      <c r="T691" s="876"/>
      <c r="U691" s="877"/>
    </row>
    <row r="692" spans="1:21" ht="73.25" customHeight="1" x14ac:dyDescent="0.2">
      <c r="A692" s="811" t="s">
        <v>2849</v>
      </c>
      <c r="B692" s="608" t="s">
        <v>2850</v>
      </c>
      <c r="C692" s="609"/>
      <c r="D692" s="778" t="s">
        <v>3104</v>
      </c>
      <c r="E692" s="609"/>
      <c r="F692" s="778" t="s">
        <v>3105</v>
      </c>
      <c r="G692" s="778"/>
      <c r="H692" s="913" t="s">
        <v>2851</v>
      </c>
      <c r="I692" s="914"/>
      <c r="J692" s="915"/>
      <c r="K692" s="608" t="s">
        <v>2852</v>
      </c>
      <c r="L692" s="778"/>
      <c r="M692" s="609"/>
      <c r="N692" s="778" t="s">
        <v>3106</v>
      </c>
      <c r="O692" s="609"/>
      <c r="P692" s="608" t="s">
        <v>3107</v>
      </c>
      <c r="Q692" s="778"/>
      <c r="R692" s="609"/>
      <c r="S692" s="608" t="s">
        <v>3108</v>
      </c>
      <c r="T692" s="778"/>
      <c r="U692" s="609"/>
    </row>
    <row r="693" spans="1:21" x14ac:dyDescent="0.2">
      <c r="A693" s="131" t="s">
        <v>1174</v>
      </c>
      <c r="B693" s="131">
        <v>1397000</v>
      </c>
      <c r="C693" s="307"/>
      <c r="D693" s="145"/>
      <c r="E693" s="307"/>
      <c r="F693" s="145"/>
      <c r="G693" s="145"/>
      <c r="H693" s="674">
        <v>1137992</v>
      </c>
      <c r="I693" s="916">
        <v>237</v>
      </c>
      <c r="J693" s="917">
        <v>0.5</v>
      </c>
      <c r="K693" s="349">
        <v>1132854</v>
      </c>
      <c r="L693" s="350">
        <v>162</v>
      </c>
      <c r="M693" s="352">
        <v>0.5</v>
      </c>
      <c r="N693" s="145">
        <v>5138</v>
      </c>
      <c r="O693" s="307">
        <v>75</v>
      </c>
      <c r="P693" s="145"/>
      <c r="Q693" s="145"/>
      <c r="R693" s="180"/>
      <c r="S693" s="349">
        <v>159007</v>
      </c>
      <c r="T693" s="350">
        <v>762</v>
      </c>
      <c r="U693" s="352">
        <v>0.5</v>
      </c>
    </row>
    <row r="694" spans="1:21" x14ac:dyDescent="0.2">
      <c r="A694" s="131" t="s">
        <v>1573</v>
      </c>
      <c r="B694" s="131">
        <v>14200</v>
      </c>
      <c r="C694" s="307"/>
      <c r="D694" s="145"/>
      <c r="E694" s="307"/>
      <c r="F694" s="145"/>
      <c r="G694" s="145"/>
      <c r="H694" s="140">
        <v>9276</v>
      </c>
      <c r="I694" s="141">
        <v>899</v>
      </c>
      <c r="J694" s="142"/>
      <c r="K694" s="131">
        <v>9276</v>
      </c>
      <c r="L694" s="145">
        <v>899</v>
      </c>
      <c r="M694" s="133"/>
      <c r="N694" s="145"/>
      <c r="O694" s="307"/>
      <c r="P694" s="145"/>
      <c r="Q694" s="145"/>
      <c r="R694" s="180"/>
      <c r="S694" s="131">
        <v>4923</v>
      </c>
      <c r="T694" s="145">
        <v>101</v>
      </c>
      <c r="U694" s="133"/>
    </row>
    <row r="695" spans="1:21" x14ac:dyDescent="0.2">
      <c r="A695" s="131" t="s">
        <v>1175</v>
      </c>
      <c r="B695" s="131">
        <v>60000</v>
      </c>
      <c r="C695" s="307"/>
      <c r="D695" s="145"/>
      <c r="E695" s="307"/>
      <c r="F695" s="145"/>
      <c r="G695" s="145"/>
      <c r="H695" s="140">
        <v>46121</v>
      </c>
      <c r="I695" s="141">
        <v>747</v>
      </c>
      <c r="J695" s="142">
        <v>0.5</v>
      </c>
      <c r="K695" s="131">
        <v>45890</v>
      </c>
      <c r="L695" s="145">
        <v>562</v>
      </c>
      <c r="M695" s="133">
        <v>0.5</v>
      </c>
      <c r="N695" s="145">
        <v>231</v>
      </c>
      <c r="O695" s="307">
        <v>185</v>
      </c>
      <c r="P695" s="145"/>
      <c r="Q695" s="145"/>
      <c r="R695" s="180"/>
      <c r="S695" s="131">
        <v>13878</v>
      </c>
      <c r="T695" s="145">
        <v>252</v>
      </c>
      <c r="U695" s="133">
        <v>0.5</v>
      </c>
    </row>
    <row r="696" spans="1:21" x14ac:dyDescent="0.2">
      <c r="A696" s="131" t="s">
        <v>1808</v>
      </c>
      <c r="B696" s="131">
        <v>60800</v>
      </c>
      <c r="C696" s="307"/>
      <c r="D696" s="145"/>
      <c r="E696" s="307"/>
      <c r="F696" s="145"/>
      <c r="G696" s="145"/>
      <c r="H696" s="140">
        <v>108945</v>
      </c>
      <c r="I696" s="141">
        <v>762</v>
      </c>
      <c r="J696" s="142">
        <v>0.5</v>
      </c>
      <c r="K696" s="131">
        <v>108945</v>
      </c>
      <c r="L696" s="145">
        <v>762</v>
      </c>
      <c r="M696" s="133">
        <v>0.5</v>
      </c>
      <c r="N696" s="145"/>
      <c r="O696" s="307"/>
      <c r="P696" s="145">
        <v>48145</v>
      </c>
      <c r="Q696" s="145">
        <v>762</v>
      </c>
      <c r="R696" s="180">
        <v>0.5</v>
      </c>
      <c r="S696" s="131"/>
      <c r="T696" s="145"/>
      <c r="U696" s="133"/>
    </row>
    <row r="697" spans="1:21" x14ac:dyDescent="0.2">
      <c r="A697" s="131" t="s">
        <v>2860</v>
      </c>
      <c r="B697" s="131">
        <v>30000</v>
      </c>
      <c r="C697" s="307"/>
      <c r="D697" s="145"/>
      <c r="E697" s="307"/>
      <c r="F697" s="145"/>
      <c r="G697" s="145"/>
      <c r="H697" s="140">
        <v>1107260</v>
      </c>
      <c r="I697" s="141">
        <v>390</v>
      </c>
      <c r="J697" s="142"/>
      <c r="K697" s="131">
        <v>1107260</v>
      </c>
      <c r="L697" s="145">
        <v>390</v>
      </c>
      <c r="M697" s="133"/>
      <c r="N697" s="145"/>
      <c r="O697" s="307"/>
      <c r="P697" s="145">
        <v>1077260</v>
      </c>
      <c r="Q697" s="145">
        <v>390</v>
      </c>
      <c r="R697" s="180"/>
      <c r="S697" s="131"/>
      <c r="T697" s="145"/>
      <c r="U697" s="133"/>
    </row>
    <row r="698" spans="1:21" x14ac:dyDescent="0.2">
      <c r="A698" s="131" t="s">
        <v>1569</v>
      </c>
      <c r="B698" s="131">
        <v>700000</v>
      </c>
      <c r="C698" s="307"/>
      <c r="D698" s="145"/>
      <c r="E698" s="307"/>
      <c r="F698" s="145"/>
      <c r="G698" s="145"/>
      <c r="H698" s="140">
        <v>1016402</v>
      </c>
      <c r="I698" s="141">
        <v>225</v>
      </c>
      <c r="J698" s="142"/>
      <c r="K698" s="131">
        <v>1016402</v>
      </c>
      <c r="L698" s="145">
        <v>225</v>
      </c>
      <c r="M698" s="133"/>
      <c r="N698" s="145"/>
      <c r="O698" s="307"/>
      <c r="P698" s="145">
        <v>316402</v>
      </c>
      <c r="Q698" s="145">
        <v>225</v>
      </c>
      <c r="R698" s="180"/>
      <c r="S698" s="131"/>
      <c r="T698" s="145"/>
      <c r="U698" s="133"/>
    </row>
    <row r="699" spans="1:21" x14ac:dyDescent="0.2">
      <c r="A699" s="131" t="s">
        <v>3100</v>
      </c>
      <c r="B699" s="131">
        <v>60000</v>
      </c>
      <c r="C699" s="307"/>
      <c r="D699" s="145"/>
      <c r="E699" s="307"/>
      <c r="F699" s="145"/>
      <c r="G699" s="145"/>
      <c r="H699" s="140">
        <v>3155236</v>
      </c>
      <c r="I699" s="141">
        <v>832</v>
      </c>
      <c r="J699" s="142">
        <v>0.5</v>
      </c>
      <c r="K699" s="131">
        <v>3154623</v>
      </c>
      <c r="L699" s="145">
        <v>182</v>
      </c>
      <c r="M699" s="133">
        <v>0.5</v>
      </c>
      <c r="N699" s="145">
        <v>613</v>
      </c>
      <c r="O699" s="307">
        <v>650</v>
      </c>
      <c r="P699" s="145">
        <v>3095236</v>
      </c>
      <c r="Q699" s="145">
        <v>832</v>
      </c>
      <c r="R699" s="180">
        <v>0.5</v>
      </c>
      <c r="S699" s="131"/>
      <c r="T699" s="145"/>
      <c r="U699" s="133"/>
    </row>
    <row r="700" spans="1:21" x14ac:dyDescent="0.2">
      <c r="A700" s="131" t="s">
        <v>1992</v>
      </c>
      <c r="B700" s="131">
        <v>25000</v>
      </c>
      <c r="C700" s="307"/>
      <c r="D700" s="145"/>
      <c r="E700" s="307"/>
      <c r="F700" s="145"/>
      <c r="G700" s="145"/>
      <c r="H700" s="140">
        <v>32133</v>
      </c>
      <c r="I700" s="141">
        <v>165</v>
      </c>
      <c r="J700" s="142">
        <v>0.5</v>
      </c>
      <c r="K700" s="131">
        <v>27871</v>
      </c>
      <c r="L700" s="145">
        <v>380</v>
      </c>
      <c r="M700" s="133">
        <v>0.5</v>
      </c>
      <c r="N700" s="145">
        <v>4261</v>
      </c>
      <c r="O700" s="307">
        <v>785</v>
      </c>
      <c r="P700" s="145">
        <v>7133</v>
      </c>
      <c r="Q700" s="145">
        <v>165</v>
      </c>
      <c r="R700" s="180">
        <v>0.5</v>
      </c>
      <c r="S700" s="131"/>
      <c r="T700" s="145"/>
      <c r="U700" s="133"/>
    </row>
    <row r="701" spans="1:21" x14ac:dyDescent="0.2">
      <c r="A701" s="794" t="s">
        <v>2566</v>
      </c>
      <c r="B701" s="240">
        <v>2347000</v>
      </c>
      <c r="C701" s="513"/>
      <c r="D701" s="318"/>
      <c r="E701" s="513"/>
      <c r="F701" s="318"/>
      <c r="G701" s="318"/>
      <c r="H701" s="677">
        <v>6613369</v>
      </c>
      <c r="I701" s="909">
        <v>259</v>
      </c>
      <c r="J701" s="910">
        <v>0.5</v>
      </c>
      <c r="K701" s="240">
        <v>6603124</v>
      </c>
      <c r="L701" s="318">
        <v>564</v>
      </c>
      <c r="M701" s="241">
        <v>0.5</v>
      </c>
      <c r="N701" s="318">
        <v>10244</v>
      </c>
      <c r="O701" s="513">
        <v>695</v>
      </c>
      <c r="P701" s="318">
        <v>4444178</v>
      </c>
      <c r="Q701" s="318">
        <v>375</v>
      </c>
      <c r="R701" s="319">
        <v>0.5</v>
      </c>
      <c r="S701" s="240">
        <v>177809</v>
      </c>
      <c r="T701" s="318">
        <v>116</v>
      </c>
      <c r="U701" s="241"/>
    </row>
    <row r="702" spans="1:21" x14ac:dyDescent="0.2">
      <c r="A702" s="131"/>
      <c r="B702" s="138">
        <f>+SUM(B693:B700)</f>
        <v>2347000</v>
      </c>
      <c r="C702" s="138">
        <f t="shared" ref="C702:U702" si="15">+SUM(C693:C700)</f>
        <v>0</v>
      </c>
      <c r="D702" s="138">
        <f t="shared" si="15"/>
        <v>0</v>
      </c>
      <c r="E702" s="138">
        <f t="shared" si="15"/>
        <v>0</v>
      </c>
      <c r="F702" s="138">
        <f t="shared" si="15"/>
        <v>0</v>
      </c>
      <c r="G702" s="138">
        <f t="shared" si="15"/>
        <v>0</v>
      </c>
      <c r="H702" s="299">
        <f t="shared" si="15"/>
        <v>6613365</v>
      </c>
      <c r="I702" s="152">
        <f t="shared" si="15"/>
        <v>4257</v>
      </c>
      <c r="J702" s="154">
        <f t="shared" si="15"/>
        <v>2.5</v>
      </c>
      <c r="K702" s="299">
        <f t="shared" si="15"/>
        <v>6603121</v>
      </c>
      <c r="L702" s="152">
        <f t="shared" si="15"/>
        <v>3562</v>
      </c>
      <c r="M702" s="154">
        <f t="shared" si="15"/>
        <v>2.5</v>
      </c>
      <c r="N702" s="138">
        <f t="shared" si="15"/>
        <v>10243</v>
      </c>
      <c r="O702" s="138">
        <f t="shared" si="15"/>
        <v>1695</v>
      </c>
      <c r="P702" s="138">
        <f t="shared" si="15"/>
        <v>4544176</v>
      </c>
      <c r="Q702" s="138">
        <f t="shared" si="15"/>
        <v>2374</v>
      </c>
      <c r="R702" s="312">
        <f t="shared" si="15"/>
        <v>1.5</v>
      </c>
      <c r="S702" s="299">
        <f t="shared" si="15"/>
        <v>177808</v>
      </c>
      <c r="T702" s="152">
        <f t="shared" si="15"/>
        <v>1115</v>
      </c>
      <c r="U702" s="154">
        <f t="shared" si="15"/>
        <v>1</v>
      </c>
    </row>
    <row r="703" spans="1:21" ht="90" customHeight="1" x14ac:dyDescent="0.2">
      <c r="A703" s="811" t="s">
        <v>2861</v>
      </c>
      <c r="B703" s="608" t="s">
        <v>2862</v>
      </c>
      <c r="C703" s="609"/>
      <c r="D703" s="778" t="s">
        <v>3109</v>
      </c>
      <c r="E703" s="609"/>
      <c r="F703" s="778" t="s">
        <v>3110</v>
      </c>
      <c r="G703" s="778"/>
      <c r="H703" s="913" t="s">
        <v>3111</v>
      </c>
      <c r="I703" s="914"/>
      <c r="J703" s="915"/>
      <c r="K703" s="608" t="s">
        <v>3112</v>
      </c>
      <c r="L703" s="778"/>
      <c r="M703" s="609"/>
      <c r="N703" s="778" t="s">
        <v>3113</v>
      </c>
      <c r="O703" s="609"/>
      <c r="P703" s="608" t="s">
        <v>3114</v>
      </c>
      <c r="Q703" s="778"/>
      <c r="R703" s="609"/>
      <c r="S703" s="608" t="s">
        <v>3115</v>
      </c>
      <c r="T703" s="778"/>
      <c r="U703" s="609"/>
    </row>
    <row r="704" spans="1:21" x14ac:dyDescent="0.2">
      <c r="A704" s="131" t="s">
        <v>2043</v>
      </c>
      <c r="B704" s="131">
        <v>208186</v>
      </c>
      <c r="C704" s="307">
        <v>375</v>
      </c>
      <c r="D704" s="131"/>
      <c r="E704" s="307"/>
      <c r="F704" s="131">
        <v>208186</v>
      </c>
      <c r="G704" s="307">
        <v>375</v>
      </c>
      <c r="H704" s="140">
        <v>187856</v>
      </c>
      <c r="I704" s="141">
        <v>365</v>
      </c>
      <c r="J704" s="142"/>
      <c r="K704" s="131">
        <v>151765</v>
      </c>
      <c r="L704" s="145">
        <v>540</v>
      </c>
      <c r="M704" s="133"/>
      <c r="N704" s="131">
        <v>36090</v>
      </c>
      <c r="O704" s="307">
        <v>825</v>
      </c>
      <c r="P704" s="131">
        <v>20330</v>
      </c>
      <c r="Q704" s="145">
        <v>10</v>
      </c>
      <c r="R704" s="133"/>
      <c r="S704" s="131"/>
      <c r="T704" s="145"/>
      <c r="U704" s="307"/>
    </row>
    <row r="705" spans="1:21" x14ac:dyDescent="0.2">
      <c r="A705" s="140" t="s">
        <v>2042</v>
      </c>
      <c r="B705" s="131">
        <v>88505</v>
      </c>
      <c r="C705" s="307">
        <v>200</v>
      </c>
      <c r="D705" s="131"/>
      <c r="E705" s="307"/>
      <c r="F705" s="131">
        <v>88505</v>
      </c>
      <c r="G705" s="307">
        <v>200</v>
      </c>
      <c r="H705" s="140">
        <v>53940</v>
      </c>
      <c r="I705" s="141">
        <v>400</v>
      </c>
      <c r="J705" s="142"/>
      <c r="K705" s="131">
        <v>52985</v>
      </c>
      <c r="L705" s="145">
        <v>650</v>
      </c>
      <c r="M705" s="133"/>
      <c r="N705" s="131">
        <v>954</v>
      </c>
      <c r="O705" s="307">
        <v>750</v>
      </c>
      <c r="P705" s="131">
        <v>34564</v>
      </c>
      <c r="Q705" s="145">
        <v>800</v>
      </c>
      <c r="R705" s="133"/>
      <c r="S705" s="131"/>
      <c r="T705" s="145"/>
      <c r="U705" s="307"/>
    </row>
    <row r="706" spans="1:21" x14ac:dyDescent="0.2">
      <c r="A706" s="140" t="s">
        <v>2044</v>
      </c>
      <c r="B706" s="131">
        <v>45364</v>
      </c>
      <c r="C706" s="307"/>
      <c r="D706" s="131"/>
      <c r="E706" s="307"/>
      <c r="F706" s="131">
        <v>45364</v>
      </c>
      <c r="G706" s="307"/>
      <c r="H706" s="140">
        <v>24461</v>
      </c>
      <c r="I706" s="141">
        <v>800</v>
      </c>
      <c r="J706" s="142"/>
      <c r="K706" s="131">
        <v>12888</v>
      </c>
      <c r="L706" s="145">
        <v>400</v>
      </c>
      <c r="M706" s="133"/>
      <c r="N706" s="131">
        <v>11573</v>
      </c>
      <c r="O706" s="307">
        <v>400</v>
      </c>
      <c r="P706" s="131">
        <v>20902</v>
      </c>
      <c r="Q706" s="145">
        <v>200</v>
      </c>
      <c r="R706" s="133"/>
      <c r="S706" s="131"/>
      <c r="T706" s="145"/>
      <c r="U706" s="307"/>
    </row>
    <row r="707" spans="1:21" x14ac:dyDescent="0.2">
      <c r="A707" s="140" t="s">
        <v>2049</v>
      </c>
      <c r="B707" s="131">
        <v>46250</v>
      </c>
      <c r="C707" s="307"/>
      <c r="D707" s="131"/>
      <c r="E707" s="307"/>
      <c r="F707" s="131">
        <v>46250</v>
      </c>
      <c r="G707" s="307"/>
      <c r="H707" s="140">
        <v>433</v>
      </c>
      <c r="I707" s="141">
        <v>500</v>
      </c>
      <c r="J707" s="142"/>
      <c r="K707" s="131"/>
      <c r="L707" s="145"/>
      <c r="M707" s="133"/>
      <c r="N707" s="131">
        <v>433</v>
      </c>
      <c r="O707" s="307">
        <v>500</v>
      </c>
      <c r="P707" s="131">
        <v>45816</v>
      </c>
      <c r="Q707" s="145">
        <v>500</v>
      </c>
      <c r="R707" s="133"/>
      <c r="S707" s="131"/>
      <c r="T707" s="145"/>
      <c r="U707" s="307"/>
    </row>
    <row r="708" spans="1:21" x14ac:dyDescent="0.2">
      <c r="A708" s="140" t="s">
        <v>2462</v>
      </c>
      <c r="B708" s="131">
        <v>815863</v>
      </c>
      <c r="C708" s="307">
        <v>875</v>
      </c>
      <c r="D708" s="131">
        <v>10000</v>
      </c>
      <c r="E708" s="307"/>
      <c r="F708" s="131">
        <v>825863</v>
      </c>
      <c r="G708" s="307">
        <v>875</v>
      </c>
      <c r="H708" s="140">
        <v>488358</v>
      </c>
      <c r="I708" s="141">
        <v>510</v>
      </c>
      <c r="J708" s="142"/>
      <c r="K708" s="131">
        <v>376924</v>
      </c>
      <c r="L708" s="145">
        <v>660</v>
      </c>
      <c r="M708" s="133"/>
      <c r="N708" s="131">
        <v>111433</v>
      </c>
      <c r="O708" s="307">
        <v>850</v>
      </c>
      <c r="P708" s="131">
        <v>337505</v>
      </c>
      <c r="Q708" s="145">
        <v>365</v>
      </c>
      <c r="R708" s="133"/>
      <c r="S708" s="131"/>
      <c r="T708" s="145"/>
      <c r="U708" s="307"/>
    </row>
    <row r="709" spans="1:21" x14ac:dyDescent="0.2">
      <c r="A709" s="140" t="s">
        <v>2871</v>
      </c>
      <c r="B709" s="131">
        <v>465784</v>
      </c>
      <c r="C709" s="307">
        <v>315</v>
      </c>
      <c r="D709" s="131">
        <v>4162</v>
      </c>
      <c r="E709" s="307"/>
      <c r="F709" s="131">
        <v>469946</v>
      </c>
      <c r="G709" s="307">
        <v>315</v>
      </c>
      <c r="H709" s="140">
        <v>376181</v>
      </c>
      <c r="I709" s="141">
        <v>122</v>
      </c>
      <c r="J709" s="142">
        <v>0.5</v>
      </c>
      <c r="K709" s="131">
        <v>308109</v>
      </c>
      <c r="L709" s="145">
        <v>37</v>
      </c>
      <c r="M709" s="133">
        <v>0.5</v>
      </c>
      <c r="N709" s="131">
        <v>68072</v>
      </c>
      <c r="O709" s="307">
        <v>85</v>
      </c>
      <c r="P709" s="131">
        <v>93765</v>
      </c>
      <c r="Q709" s="145">
        <v>192</v>
      </c>
      <c r="R709" s="133">
        <v>0.5</v>
      </c>
      <c r="S709" s="131"/>
      <c r="T709" s="145"/>
      <c r="U709" s="307"/>
    </row>
    <row r="710" spans="1:21" x14ac:dyDescent="0.2">
      <c r="A710" s="140" t="s">
        <v>2886</v>
      </c>
      <c r="B710" s="131">
        <v>415500</v>
      </c>
      <c r="C710" s="307"/>
      <c r="D710" s="131">
        <v>2000</v>
      </c>
      <c r="E710" s="307"/>
      <c r="F710" s="131">
        <v>417500</v>
      </c>
      <c r="G710" s="307"/>
      <c r="H710" s="140">
        <v>47548</v>
      </c>
      <c r="I710" s="141">
        <v>375</v>
      </c>
      <c r="J710" s="142"/>
      <c r="K710" s="131">
        <v>44574</v>
      </c>
      <c r="L710" s="145">
        <v>725</v>
      </c>
      <c r="M710" s="133"/>
      <c r="N710" s="131">
        <v>2973</v>
      </c>
      <c r="O710" s="307">
        <v>650</v>
      </c>
      <c r="P710" s="131">
        <v>369951</v>
      </c>
      <c r="Q710" s="145">
        <v>625</v>
      </c>
      <c r="R710" s="133"/>
      <c r="S710" s="131"/>
      <c r="T710" s="145"/>
      <c r="U710" s="307"/>
    </row>
    <row r="711" spans="1:21" x14ac:dyDescent="0.2">
      <c r="A711" s="140" t="s">
        <v>2046</v>
      </c>
      <c r="B711" s="131">
        <v>63000</v>
      </c>
      <c r="C711" s="307"/>
      <c r="D711" s="131"/>
      <c r="E711" s="307"/>
      <c r="F711" s="131">
        <v>63000</v>
      </c>
      <c r="G711" s="307"/>
      <c r="H711" s="140">
        <v>37717</v>
      </c>
      <c r="I711" s="141">
        <v>800</v>
      </c>
      <c r="J711" s="142"/>
      <c r="K711" s="131">
        <v>34090</v>
      </c>
      <c r="L711" s="145">
        <v>100</v>
      </c>
      <c r="M711" s="133"/>
      <c r="N711" s="131">
        <v>3627</v>
      </c>
      <c r="O711" s="307">
        <v>700</v>
      </c>
      <c r="P711" s="131">
        <v>25282</v>
      </c>
      <c r="Q711" s="145">
        <v>200</v>
      </c>
      <c r="R711" s="133"/>
      <c r="S711" s="131"/>
      <c r="T711" s="145"/>
      <c r="U711" s="307"/>
    </row>
    <row r="712" spans="1:21" x14ac:dyDescent="0.2">
      <c r="A712" s="140" t="s">
        <v>1175</v>
      </c>
      <c r="B712" s="131">
        <v>105564</v>
      </c>
      <c r="C712" s="307">
        <v>820</v>
      </c>
      <c r="D712" s="131"/>
      <c r="E712" s="307"/>
      <c r="F712" s="131">
        <v>105564</v>
      </c>
      <c r="G712" s="307">
        <v>820</v>
      </c>
      <c r="H712" s="140">
        <v>57428</v>
      </c>
      <c r="I712" s="141">
        <v>570</v>
      </c>
      <c r="J712" s="142"/>
      <c r="K712" s="131">
        <v>51772</v>
      </c>
      <c r="L712" s="145">
        <v>5</v>
      </c>
      <c r="M712" s="133"/>
      <c r="N712" s="131">
        <v>5656</v>
      </c>
      <c r="O712" s="307">
        <v>565</v>
      </c>
      <c r="P712" s="131">
        <v>48136</v>
      </c>
      <c r="Q712" s="145">
        <v>250</v>
      </c>
      <c r="R712" s="133"/>
      <c r="S712" s="131"/>
      <c r="T712" s="145"/>
      <c r="U712" s="307"/>
    </row>
    <row r="713" spans="1:21" x14ac:dyDescent="0.2">
      <c r="A713" s="140" t="s">
        <v>2040</v>
      </c>
      <c r="B713" s="131">
        <v>733746</v>
      </c>
      <c r="C713" s="307"/>
      <c r="D713" s="131"/>
      <c r="E713" s="307"/>
      <c r="F713" s="131">
        <v>733746</v>
      </c>
      <c r="G713" s="307"/>
      <c r="H713" s="140">
        <v>144591</v>
      </c>
      <c r="I713" s="141">
        <v>845</v>
      </c>
      <c r="J713" s="142"/>
      <c r="K713" s="131">
        <v>79421</v>
      </c>
      <c r="L713" s="145">
        <v>175</v>
      </c>
      <c r="M713" s="133"/>
      <c r="N713" s="131">
        <v>65170</v>
      </c>
      <c r="O713" s="307">
        <v>670</v>
      </c>
      <c r="P713" s="131">
        <v>589154</v>
      </c>
      <c r="Q713" s="145">
        <v>155</v>
      </c>
      <c r="R713" s="133"/>
      <c r="S713" s="131"/>
      <c r="T713" s="145"/>
      <c r="U713" s="307"/>
    </row>
    <row r="714" spans="1:21" x14ac:dyDescent="0.2">
      <c r="A714" s="140" t="s">
        <v>2869</v>
      </c>
      <c r="B714" s="131">
        <v>512933</v>
      </c>
      <c r="C714" s="307">
        <v>810</v>
      </c>
      <c r="D714" s="131"/>
      <c r="E714" s="307"/>
      <c r="F714" s="131">
        <v>512933</v>
      </c>
      <c r="G714" s="307">
        <v>810</v>
      </c>
      <c r="H714" s="140">
        <v>237423</v>
      </c>
      <c r="I714" s="141">
        <v>530</v>
      </c>
      <c r="J714" s="142"/>
      <c r="K714" s="131">
        <v>157019</v>
      </c>
      <c r="L714" s="145">
        <v>450</v>
      </c>
      <c r="M714" s="133"/>
      <c r="N714" s="131">
        <v>80404</v>
      </c>
      <c r="O714" s="307">
        <v>80</v>
      </c>
      <c r="P714" s="131">
        <v>275510</v>
      </c>
      <c r="Q714" s="145">
        <v>280</v>
      </c>
      <c r="R714" s="133"/>
      <c r="S714" s="131"/>
      <c r="T714" s="145"/>
      <c r="U714" s="307"/>
    </row>
    <row r="715" spans="1:21" x14ac:dyDescent="0.2">
      <c r="A715" s="794" t="s">
        <v>2566</v>
      </c>
      <c r="B715" s="240">
        <v>3500698</v>
      </c>
      <c r="C715" s="513">
        <v>395</v>
      </c>
      <c r="D715" s="318">
        <v>16162</v>
      </c>
      <c r="E715" s="513"/>
      <c r="F715" s="318">
        <v>3516860</v>
      </c>
      <c r="G715" s="318">
        <v>395</v>
      </c>
      <c r="H715" s="677">
        <v>1655941</v>
      </c>
      <c r="I715" s="909">
        <v>817</v>
      </c>
      <c r="J715" s="919">
        <v>0.5</v>
      </c>
      <c r="K715" s="240">
        <v>1269550</v>
      </c>
      <c r="L715" s="318">
        <v>742</v>
      </c>
      <c r="M715" s="319">
        <v>0.5</v>
      </c>
      <c r="N715" s="318">
        <v>386301</v>
      </c>
      <c r="O715" s="513">
        <v>75</v>
      </c>
      <c r="P715" s="240">
        <v>1860918</v>
      </c>
      <c r="Q715" s="318">
        <v>577</v>
      </c>
      <c r="R715" s="319">
        <v>0.5</v>
      </c>
      <c r="S715" s="240"/>
      <c r="T715" s="318"/>
      <c r="U715" s="513"/>
    </row>
    <row r="716" spans="1:21" x14ac:dyDescent="0.2">
      <c r="A716" s="622"/>
      <c r="B716" s="345">
        <f>+SUM(B704:B714)</f>
        <v>3500695</v>
      </c>
      <c r="C716" s="345">
        <f t="shared" ref="C716:U716" si="16">+SUM(C704:C714)</f>
        <v>3395</v>
      </c>
      <c r="D716" s="345">
        <f t="shared" si="16"/>
        <v>16162</v>
      </c>
      <c r="E716" s="345">
        <f t="shared" si="16"/>
        <v>0</v>
      </c>
      <c r="F716" s="345">
        <f t="shared" si="16"/>
        <v>3516857</v>
      </c>
      <c r="G716" s="345">
        <f t="shared" si="16"/>
        <v>3395</v>
      </c>
      <c r="H716" s="345">
        <f t="shared" si="16"/>
        <v>1655936</v>
      </c>
      <c r="I716" s="345">
        <f t="shared" si="16"/>
        <v>5817</v>
      </c>
      <c r="J716" s="346">
        <f t="shared" si="16"/>
        <v>0.5</v>
      </c>
      <c r="K716" s="345">
        <f t="shared" si="16"/>
        <v>1269547</v>
      </c>
      <c r="L716" s="345">
        <f t="shared" si="16"/>
        <v>3742</v>
      </c>
      <c r="M716" s="346">
        <f t="shared" si="16"/>
        <v>0.5</v>
      </c>
      <c r="N716" s="345">
        <f t="shared" si="16"/>
        <v>386385</v>
      </c>
      <c r="O716" s="345">
        <f t="shared" si="16"/>
        <v>6075</v>
      </c>
      <c r="P716" s="345">
        <f t="shared" si="16"/>
        <v>1860915</v>
      </c>
      <c r="Q716" s="345">
        <f t="shared" si="16"/>
        <v>3577</v>
      </c>
      <c r="R716" s="346">
        <f t="shared" si="16"/>
        <v>0.5</v>
      </c>
      <c r="S716" s="345">
        <f t="shared" si="16"/>
        <v>0</v>
      </c>
      <c r="T716" s="345">
        <f t="shared" si="16"/>
        <v>0</v>
      </c>
      <c r="U716" s="345">
        <f t="shared" si="16"/>
        <v>0</v>
      </c>
    </row>
    <row r="717" spans="1:21" ht="30" customHeight="1" x14ac:dyDescent="0.2">
      <c r="A717" s="782" t="s">
        <v>2086</v>
      </c>
      <c r="B717" s="783"/>
      <c r="C717" s="783"/>
      <c r="D717" s="783"/>
      <c r="E717" s="783"/>
      <c r="F717" s="783"/>
      <c r="G717" s="783"/>
      <c r="H717" s="783"/>
      <c r="I717" s="783"/>
      <c r="J717" s="783"/>
      <c r="K717" s="783"/>
      <c r="L717" s="783"/>
      <c r="M717" s="783"/>
      <c r="N717" s="783"/>
      <c r="O717" s="783"/>
      <c r="P717" s="783"/>
      <c r="Q717" s="783"/>
      <c r="R717" s="783"/>
      <c r="S717" s="783"/>
      <c r="T717" s="783"/>
      <c r="U717" s="784"/>
    </row>
    <row r="718" spans="1:21" x14ac:dyDescent="0.2">
      <c r="A718" s="588" t="s">
        <v>3116</v>
      </c>
      <c r="B718" s="589"/>
      <c r="C718" s="589"/>
      <c r="D718" s="589"/>
      <c r="E718" s="589"/>
      <c r="F718" s="589"/>
      <c r="G718" s="589"/>
      <c r="H718" s="589"/>
      <c r="I718" s="589"/>
      <c r="J718" s="589"/>
      <c r="K718" s="589"/>
      <c r="L718" s="589"/>
      <c r="M718" s="589"/>
      <c r="N718" s="589"/>
      <c r="O718" s="589"/>
      <c r="P718" s="145">
        <v>6613369</v>
      </c>
      <c r="Q718" s="141">
        <v>259</v>
      </c>
      <c r="R718" s="180">
        <f>1/2</f>
        <v>0.5</v>
      </c>
      <c r="S718" s="277"/>
      <c r="T718" s="277"/>
      <c r="U718" s="278"/>
    </row>
    <row r="719" spans="1:21" x14ac:dyDescent="0.2">
      <c r="A719" s="588" t="s">
        <v>3117</v>
      </c>
      <c r="B719" s="589"/>
      <c r="C719" s="589"/>
      <c r="D719" s="589"/>
      <c r="E719" s="589"/>
      <c r="F719" s="589"/>
      <c r="G719" s="589"/>
      <c r="H719" s="589"/>
      <c r="I719" s="589"/>
      <c r="J719" s="589"/>
      <c r="K719" s="589"/>
      <c r="L719" s="589"/>
      <c r="M719" s="589"/>
      <c r="N719" s="589"/>
      <c r="O719" s="589"/>
      <c r="P719" s="145">
        <v>1655941</v>
      </c>
      <c r="Q719" s="141">
        <v>817</v>
      </c>
      <c r="R719" s="180">
        <f>1/2</f>
        <v>0.5</v>
      </c>
      <c r="S719" s="277"/>
      <c r="T719" s="277"/>
      <c r="U719" s="278"/>
    </row>
    <row r="720" spans="1:21" x14ac:dyDescent="0.2">
      <c r="A720" s="797" t="s">
        <v>3118</v>
      </c>
      <c r="B720" s="798"/>
      <c r="C720" s="798"/>
      <c r="D720" s="798"/>
      <c r="E720" s="798"/>
      <c r="F720" s="798"/>
      <c r="G720" s="798"/>
      <c r="H720" s="798"/>
      <c r="I720" s="798"/>
      <c r="J720" s="798"/>
      <c r="K720" s="798"/>
      <c r="L720" s="798"/>
      <c r="M720" s="798"/>
      <c r="N720" s="798"/>
      <c r="O720" s="798"/>
      <c r="P720" s="145">
        <v>4957427</v>
      </c>
      <c r="Q720" s="141">
        <v>442</v>
      </c>
      <c r="R720" s="134"/>
      <c r="S720" s="277"/>
      <c r="T720" s="277"/>
      <c r="U720" s="278"/>
    </row>
    <row r="721" spans="1:22" ht="23.5" customHeight="1" x14ac:dyDescent="0.2">
      <c r="A721" s="376" t="s">
        <v>3119</v>
      </c>
      <c r="B721" s="377"/>
      <c r="C721" s="377"/>
      <c r="D721" s="377"/>
      <c r="E721" s="377"/>
      <c r="F721" s="377"/>
      <c r="G721" s="377"/>
      <c r="H721" s="377"/>
      <c r="I721" s="377"/>
      <c r="J721" s="377"/>
      <c r="K721" s="377"/>
      <c r="L721" s="377"/>
      <c r="M721" s="377"/>
      <c r="N721" s="377"/>
      <c r="O721" s="377"/>
      <c r="P721" s="377"/>
      <c r="Q721" s="377"/>
      <c r="R721" s="377"/>
      <c r="S721" s="377"/>
      <c r="T721" s="377"/>
      <c r="U721" s="920"/>
    </row>
    <row r="722" spans="1:22" x14ac:dyDescent="0.2">
      <c r="A722" s="107"/>
      <c r="B722" s="107"/>
      <c r="C722" s="107"/>
      <c r="D722" s="107"/>
      <c r="E722" s="107"/>
      <c r="F722" s="107"/>
      <c r="G722" s="107"/>
      <c r="H722" s="107"/>
      <c r="I722" s="107"/>
      <c r="J722" s="107"/>
      <c r="K722" s="107"/>
      <c r="L722" s="107"/>
      <c r="M722" s="107"/>
      <c r="N722" s="107"/>
      <c r="O722" s="107"/>
      <c r="P722" s="107"/>
      <c r="Q722" s="107"/>
    </row>
    <row r="723" spans="1:22" x14ac:dyDescent="0.2">
      <c r="A723" s="107"/>
      <c r="B723" s="107"/>
      <c r="C723" s="107"/>
      <c r="D723" s="107"/>
      <c r="E723" s="107"/>
      <c r="F723" s="107"/>
      <c r="G723" s="107"/>
      <c r="H723" s="107"/>
      <c r="I723" s="107"/>
      <c r="J723" s="107"/>
      <c r="K723" s="107"/>
      <c r="L723" s="107"/>
      <c r="M723" s="107"/>
      <c r="N723" s="107"/>
      <c r="O723" s="107"/>
      <c r="P723" s="107"/>
      <c r="Q723" s="107"/>
    </row>
    <row r="724" spans="1:22" x14ac:dyDescent="0.2">
      <c r="A724" s="107"/>
      <c r="B724" s="107"/>
      <c r="C724" s="107"/>
      <c r="D724" s="107"/>
      <c r="E724" s="107"/>
      <c r="F724" s="107"/>
      <c r="G724" s="107"/>
      <c r="H724" s="107"/>
      <c r="I724" s="107"/>
      <c r="J724" s="107"/>
      <c r="K724" s="107"/>
      <c r="L724" s="107"/>
      <c r="M724" s="107"/>
      <c r="N724" s="107"/>
      <c r="O724" s="107"/>
      <c r="P724" s="107"/>
      <c r="Q724" s="107"/>
    </row>
    <row r="725" spans="1:22" x14ac:dyDescent="0.2">
      <c r="A725" s="526" t="s">
        <v>2102</v>
      </c>
      <c r="B725" s="107"/>
      <c r="C725" s="107"/>
      <c r="D725" s="107"/>
      <c r="E725" s="107"/>
      <c r="F725" s="107"/>
      <c r="G725" s="107"/>
      <c r="H725" s="107"/>
      <c r="I725" s="107"/>
      <c r="J725" s="107"/>
      <c r="K725" s="107"/>
      <c r="L725" s="107"/>
      <c r="M725" s="107"/>
      <c r="N725" s="107"/>
      <c r="O725" s="107"/>
      <c r="P725" s="107"/>
      <c r="Q725" s="107"/>
    </row>
    <row r="726" spans="1:22" ht="35.5" customHeight="1" x14ac:dyDescent="0.2">
      <c r="A726" s="875" t="s">
        <v>3120</v>
      </c>
      <c r="B726" s="876"/>
      <c r="C726" s="876"/>
      <c r="D726" s="876"/>
      <c r="E726" s="876"/>
      <c r="F726" s="876"/>
      <c r="G726" s="876"/>
      <c r="H726" s="876"/>
      <c r="I726" s="876"/>
      <c r="J726" s="876"/>
      <c r="K726" s="876"/>
      <c r="L726" s="876"/>
      <c r="M726" s="876"/>
      <c r="N726" s="876"/>
      <c r="O726" s="876"/>
      <c r="P726" s="876"/>
      <c r="Q726" s="876"/>
      <c r="R726" s="877"/>
      <c r="S726" s="107"/>
      <c r="T726" s="107"/>
      <c r="U726" s="107"/>
      <c r="V726" s="107"/>
    </row>
    <row r="727" spans="1:22" ht="88.25" customHeight="1" x14ac:dyDescent="0.2">
      <c r="A727" s="810" t="s">
        <v>2849</v>
      </c>
      <c r="B727" s="608" t="s">
        <v>3121</v>
      </c>
      <c r="C727" s="609"/>
      <c r="D727" s="608" t="s">
        <v>3122</v>
      </c>
      <c r="E727" s="778"/>
      <c r="F727" s="609"/>
      <c r="G727" s="608" t="s">
        <v>3123</v>
      </c>
      <c r="H727" s="778"/>
      <c r="I727" s="609"/>
      <c r="J727" s="608" t="s">
        <v>3124</v>
      </c>
      <c r="K727" s="778"/>
      <c r="L727" s="609"/>
      <c r="M727" s="608" t="s">
        <v>3125</v>
      </c>
      <c r="N727" s="778"/>
      <c r="O727" s="609"/>
      <c r="P727" s="608" t="s">
        <v>3126</v>
      </c>
      <c r="Q727" s="778"/>
      <c r="R727" s="609"/>
      <c r="S727" s="107"/>
      <c r="T727" s="107"/>
      <c r="U727" s="107"/>
      <c r="V727" s="107"/>
    </row>
    <row r="728" spans="1:22" x14ac:dyDescent="0.2">
      <c r="A728" s="131" t="s">
        <v>1174</v>
      </c>
      <c r="B728" s="131">
        <v>4098200</v>
      </c>
      <c r="C728" s="145"/>
      <c r="D728" s="349">
        <v>3522811</v>
      </c>
      <c r="E728" s="350">
        <v>343</v>
      </c>
      <c r="F728" s="352">
        <v>0.5</v>
      </c>
      <c r="G728" s="349">
        <v>3647179</v>
      </c>
      <c r="H728" s="350">
        <v>488</v>
      </c>
      <c r="I728" s="352">
        <v>0.5</v>
      </c>
      <c r="J728" s="349">
        <v>25389</v>
      </c>
      <c r="K728" s="350">
        <v>737</v>
      </c>
      <c r="L728" s="352">
        <v>0.5</v>
      </c>
      <c r="M728" s="349">
        <v>365266</v>
      </c>
      <c r="N728" s="350">
        <v>830</v>
      </c>
      <c r="O728" s="352"/>
      <c r="P728" s="349">
        <v>840655</v>
      </c>
      <c r="Q728" s="350">
        <v>486</v>
      </c>
      <c r="R728" s="352">
        <v>0.5</v>
      </c>
      <c r="S728" s="107"/>
      <c r="T728" s="107"/>
      <c r="U728" s="107"/>
      <c r="V728" s="107"/>
    </row>
    <row r="729" spans="1:22" x14ac:dyDescent="0.2">
      <c r="A729" s="131" t="s">
        <v>1573</v>
      </c>
      <c r="B729" s="131">
        <v>74200</v>
      </c>
      <c r="C729" s="145"/>
      <c r="D729" s="131">
        <v>50223</v>
      </c>
      <c r="E729" s="145">
        <v>813</v>
      </c>
      <c r="F729" s="133">
        <v>0.5</v>
      </c>
      <c r="G729" s="131">
        <v>50223</v>
      </c>
      <c r="H729" s="145">
        <v>813</v>
      </c>
      <c r="I729" s="133">
        <v>0.5</v>
      </c>
      <c r="J729" s="131"/>
      <c r="K729" s="145"/>
      <c r="L729" s="133"/>
      <c r="M729" s="131"/>
      <c r="N729" s="145"/>
      <c r="O729" s="133"/>
      <c r="P729" s="131">
        <v>23976</v>
      </c>
      <c r="Q729" s="145">
        <v>186</v>
      </c>
      <c r="R729" s="133">
        <v>0.5</v>
      </c>
      <c r="S729" s="107"/>
      <c r="T729" s="107"/>
      <c r="U729" s="107"/>
      <c r="V729" s="107"/>
    </row>
    <row r="730" spans="1:22" x14ac:dyDescent="0.2">
      <c r="A730" s="131" t="s">
        <v>3100</v>
      </c>
      <c r="B730" s="131">
        <v>620000</v>
      </c>
      <c r="C730" s="145"/>
      <c r="D730" s="131">
        <v>6930349</v>
      </c>
      <c r="E730" s="145">
        <v>160</v>
      </c>
      <c r="F730" s="133"/>
      <c r="G730" s="131">
        <v>6924311</v>
      </c>
      <c r="H730" s="145">
        <v>535</v>
      </c>
      <c r="I730" s="133"/>
      <c r="J730" s="131">
        <v>6037</v>
      </c>
      <c r="K730" s="145">
        <v>625</v>
      </c>
      <c r="L730" s="133"/>
      <c r="M730" s="131">
        <v>6351378</v>
      </c>
      <c r="N730" s="145">
        <v>525</v>
      </c>
      <c r="O730" s="133"/>
      <c r="P730" s="131">
        <v>41029</v>
      </c>
      <c r="Q730" s="145">
        <v>365</v>
      </c>
      <c r="R730" s="133"/>
      <c r="S730" s="107"/>
      <c r="T730" s="107"/>
      <c r="U730" s="107"/>
      <c r="V730" s="107"/>
    </row>
    <row r="731" spans="1:22" x14ac:dyDescent="0.2">
      <c r="A731" s="131" t="s">
        <v>1808</v>
      </c>
      <c r="B731" s="131">
        <v>180800</v>
      </c>
      <c r="C731" s="145"/>
      <c r="D731" s="131">
        <v>487951</v>
      </c>
      <c r="E731" s="145">
        <v>18</v>
      </c>
      <c r="F731" s="133">
        <v>0.5</v>
      </c>
      <c r="G731" s="131">
        <v>487131</v>
      </c>
      <c r="H731" s="145">
        <v>433</v>
      </c>
      <c r="I731" s="133">
        <v>0.5</v>
      </c>
      <c r="J731" s="131">
        <v>837</v>
      </c>
      <c r="K731" s="145">
        <v>100</v>
      </c>
      <c r="L731" s="133"/>
      <c r="M731" s="131">
        <v>307151</v>
      </c>
      <c r="N731" s="145">
        <v>18</v>
      </c>
      <c r="O731" s="133">
        <v>0.5</v>
      </c>
      <c r="P731" s="131"/>
      <c r="Q731" s="145"/>
      <c r="R731" s="133"/>
      <c r="S731" s="107"/>
      <c r="T731" s="107"/>
      <c r="U731" s="107"/>
      <c r="V731" s="107"/>
    </row>
    <row r="732" spans="1:22" x14ac:dyDescent="0.2">
      <c r="A732" s="131" t="s">
        <v>1175</v>
      </c>
      <c r="B732" s="131">
        <v>165000</v>
      </c>
      <c r="C732" s="145"/>
      <c r="D732" s="131">
        <v>153394</v>
      </c>
      <c r="E732" s="145">
        <v>515</v>
      </c>
      <c r="F732" s="133"/>
      <c r="G732" s="131">
        <v>152439</v>
      </c>
      <c r="H732" s="145">
        <v>655</v>
      </c>
      <c r="I732" s="133"/>
      <c r="J732" s="131">
        <v>954</v>
      </c>
      <c r="K732" s="145">
        <v>860</v>
      </c>
      <c r="L732" s="133"/>
      <c r="M732" s="131"/>
      <c r="N732" s="145"/>
      <c r="O732" s="133"/>
      <c r="P732" s="131"/>
      <c r="Q732" s="145"/>
      <c r="R732" s="133"/>
      <c r="S732" s="107"/>
      <c r="T732" s="107"/>
      <c r="U732" s="107"/>
      <c r="V732" s="107"/>
    </row>
    <row r="733" spans="1:22" x14ac:dyDescent="0.2">
      <c r="A733" s="131" t="s">
        <v>2859</v>
      </c>
      <c r="B733" s="131">
        <v>500000</v>
      </c>
      <c r="C733" s="145"/>
      <c r="D733" s="131"/>
      <c r="E733" s="145"/>
      <c r="F733" s="133"/>
      <c r="G733" s="131"/>
      <c r="H733" s="145"/>
      <c r="I733" s="133"/>
      <c r="J733" s="131"/>
      <c r="K733" s="145"/>
      <c r="L733" s="133"/>
      <c r="M733" s="131"/>
      <c r="N733" s="145"/>
      <c r="O733" s="133"/>
      <c r="P733" s="131">
        <v>500000</v>
      </c>
      <c r="Q733" s="145"/>
      <c r="R733" s="133"/>
      <c r="S733" s="107"/>
      <c r="T733" s="107"/>
      <c r="U733" s="107"/>
      <c r="V733" s="107"/>
    </row>
    <row r="734" spans="1:22" x14ac:dyDescent="0.2">
      <c r="A734" s="131" t="s">
        <v>2860</v>
      </c>
      <c r="B734" s="131">
        <v>105000</v>
      </c>
      <c r="C734" s="145"/>
      <c r="D734" s="131">
        <v>1193247</v>
      </c>
      <c r="E734" s="145"/>
      <c r="F734" s="133"/>
      <c r="G734" s="131">
        <v>1193247</v>
      </c>
      <c r="H734" s="145"/>
      <c r="I734" s="133"/>
      <c r="J734" s="131"/>
      <c r="K734" s="145"/>
      <c r="L734" s="133"/>
      <c r="M734" s="131">
        <v>1113247</v>
      </c>
      <c r="N734" s="145"/>
      <c r="O734" s="133"/>
      <c r="P734" s="131">
        <v>25000</v>
      </c>
      <c r="Q734" s="145"/>
      <c r="R734" s="133"/>
      <c r="S734" s="107"/>
      <c r="T734" s="107"/>
      <c r="U734" s="107"/>
      <c r="V734" s="107"/>
    </row>
    <row r="735" spans="1:22" x14ac:dyDescent="0.2">
      <c r="A735" s="131" t="s">
        <v>1569</v>
      </c>
      <c r="B735" s="131">
        <v>2900000</v>
      </c>
      <c r="C735" s="145"/>
      <c r="D735" s="131">
        <v>2845588</v>
      </c>
      <c r="E735" s="145">
        <v>725</v>
      </c>
      <c r="F735" s="133"/>
      <c r="G735" s="131">
        <v>2844937</v>
      </c>
      <c r="H735" s="145">
        <v>525</v>
      </c>
      <c r="I735" s="133"/>
      <c r="J735" s="131">
        <v>650</v>
      </c>
      <c r="K735" s="145">
        <v>700</v>
      </c>
      <c r="L735" s="133"/>
      <c r="M735" s="131">
        <v>316402</v>
      </c>
      <c r="N735" s="145">
        <v>225</v>
      </c>
      <c r="O735" s="133"/>
      <c r="P735" s="131">
        <v>370813</v>
      </c>
      <c r="Q735" s="145">
        <v>500</v>
      </c>
      <c r="R735" s="133"/>
      <c r="S735" s="107"/>
      <c r="T735" s="107"/>
      <c r="U735" s="107"/>
      <c r="V735" s="107"/>
    </row>
    <row r="736" spans="1:22" x14ac:dyDescent="0.2">
      <c r="A736" s="131" t="s">
        <v>1992</v>
      </c>
      <c r="B736" s="131">
        <v>100000</v>
      </c>
      <c r="C736" s="145"/>
      <c r="D736" s="131">
        <v>199716</v>
      </c>
      <c r="E736" s="145">
        <v>961</v>
      </c>
      <c r="F736" s="133"/>
      <c r="G736" s="131">
        <v>188624</v>
      </c>
      <c r="H736" s="145">
        <v>504</v>
      </c>
      <c r="I736" s="133"/>
      <c r="J736" s="131">
        <v>13026</v>
      </c>
      <c r="K736" s="145">
        <v>432</v>
      </c>
      <c r="L736" s="133"/>
      <c r="M736" s="131">
        <v>113800</v>
      </c>
      <c r="N736" s="145">
        <v>501</v>
      </c>
      <c r="O736" s="133">
        <v>0.5</v>
      </c>
      <c r="P736" s="131">
        <v>14083</v>
      </c>
      <c r="Q736" s="145">
        <v>540</v>
      </c>
      <c r="R736" s="133">
        <v>0.5</v>
      </c>
      <c r="S736" s="107"/>
      <c r="T736" s="107"/>
      <c r="U736" s="107"/>
      <c r="V736" s="107"/>
    </row>
    <row r="737" spans="1:22" x14ac:dyDescent="0.2">
      <c r="A737" s="785" t="s">
        <v>2566</v>
      </c>
      <c r="B737" s="240">
        <v>8743200</v>
      </c>
      <c r="C737" s="318"/>
      <c r="D737" s="240">
        <v>15383282</v>
      </c>
      <c r="E737" s="318">
        <v>536</v>
      </c>
      <c r="F737" s="241">
        <v>0.5</v>
      </c>
      <c r="G737" s="240">
        <v>15488094</v>
      </c>
      <c r="H737" s="318">
        <v>954</v>
      </c>
      <c r="I737" s="241">
        <v>0.5</v>
      </c>
      <c r="J737" s="240">
        <v>46896</v>
      </c>
      <c r="K737" s="318">
        <v>454</v>
      </c>
      <c r="L737" s="241">
        <v>0.5</v>
      </c>
      <c r="M737" s="240">
        <v>8567246</v>
      </c>
      <c r="N737" s="318">
        <v>100</v>
      </c>
      <c r="O737" s="241"/>
      <c r="P737" s="240">
        <v>1815558</v>
      </c>
      <c r="Q737" s="318">
        <v>78</v>
      </c>
      <c r="R737" s="241">
        <v>0.5</v>
      </c>
      <c r="S737" s="107"/>
      <c r="T737" s="107"/>
      <c r="U737" s="107"/>
      <c r="V737" s="107"/>
    </row>
    <row r="738" spans="1:22" x14ac:dyDescent="0.2">
      <c r="A738" s="885"/>
      <c r="B738" s="886">
        <f>+SUM(B728:B736)</f>
        <v>8743200</v>
      </c>
      <c r="C738" s="886">
        <f t="shared" ref="C738:R738" si="17">+SUM(C728:C736)</f>
        <v>0</v>
      </c>
      <c r="D738" s="921">
        <f t="shared" si="17"/>
        <v>15383279</v>
      </c>
      <c r="E738" s="886">
        <f t="shared" si="17"/>
        <v>3535</v>
      </c>
      <c r="F738" s="922">
        <f t="shared" si="17"/>
        <v>1.5</v>
      </c>
      <c r="G738" s="921">
        <f t="shared" si="17"/>
        <v>15488091</v>
      </c>
      <c r="H738" s="886">
        <f t="shared" si="17"/>
        <v>3953</v>
      </c>
      <c r="I738" s="922">
        <f t="shared" si="17"/>
        <v>1.5</v>
      </c>
      <c r="J738" s="921">
        <f t="shared" si="17"/>
        <v>46893</v>
      </c>
      <c r="K738" s="886">
        <f t="shared" si="17"/>
        <v>3454</v>
      </c>
      <c r="L738" s="922">
        <f t="shared" si="17"/>
        <v>0.5</v>
      </c>
      <c r="M738" s="921">
        <f t="shared" si="17"/>
        <v>8567244</v>
      </c>
      <c r="N738" s="886">
        <f t="shared" si="17"/>
        <v>2099</v>
      </c>
      <c r="O738" s="922">
        <f t="shared" si="17"/>
        <v>1</v>
      </c>
      <c r="P738" s="921">
        <f t="shared" si="17"/>
        <v>1815556</v>
      </c>
      <c r="Q738" s="886">
        <f t="shared" si="17"/>
        <v>2077</v>
      </c>
      <c r="R738" s="922">
        <f t="shared" si="17"/>
        <v>1.5</v>
      </c>
      <c r="S738" s="107"/>
      <c r="T738" s="107"/>
      <c r="U738" s="107"/>
      <c r="V738" s="107"/>
    </row>
    <row r="739" spans="1:22" ht="93" customHeight="1" x14ac:dyDescent="0.2">
      <c r="A739" s="811" t="s">
        <v>2861</v>
      </c>
      <c r="B739" s="608" t="s">
        <v>3127</v>
      </c>
      <c r="C739" s="609"/>
      <c r="D739" s="608" t="s">
        <v>3128</v>
      </c>
      <c r="E739" s="778"/>
      <c r="F739" s="609"/>
      <c r="G739" s="608" t="s">
        <v>3129</v>
      </c>
      <c r="H739" s="778"/>
      <c r="I739" s="609"/>
      <c r="J739" s="608" t="s">
        <v>3130</v>
      </c>
      <c r="K739" s="778"/>
      <c r="L739" s="609"/>
      <c r="M739" s="608" t="s">
        <v>3131</v>
      </c>
      <c r="N739" s="778"/>
      <c r="O739" s="609"/>
      <c r="P739" s="608" t="s">
        <v>3132</v>
      </c>
      <c r="Q739" s="778"/>
      <c r="R739" s="609"/>
      <c r="S739" s="107"/>
      <c r="T739" s="107"/>
      <c r="U739" s="107"/>
      <c r="V739" s="107"/>
    </row>
    <row r="740" spans="1:22" x14ac:dyDescent="0.2">
      <c r="A740" s="131" t="s">
        <v>2043</v>
      </c>
      <c r="B740" s="131">
        <v>1432227</v>
      </c>
      <c r="C740" s="145">
        <v>375</v>
      </c>
      <c r="D740" s="349">
        <v>892307</v>
      </c>
      <c r="E740" s="350">
        <v>682</v>
      </c>
      <c r="F740" s="352">
        <v>0.5</v>
      </c>
      <c r="G740" s="349">
        <v>853714</v>
      </c>
      <c r="H740" s="350">
        <v>522</v>
      </c>
      <c r="I740" s="352">
        <v>0.5</v>
      </c>
      <c r="J740" s="349">
        <v>38914</v>
      </c>
      <c r="K740" s="350">
        <v>740</v>
      </c>
      <c r="L740" s="352"/>
      <c r="M740" s="349">
        <v>539905</v>
      </c>
      <c r="N740" s="350">
        <v>292</v>
      </c>
      <c r="O740" s="352">
        <v>0.5</v>
      </c>
      <c r="P740" s="349"/>
      <c r="Q740" s="350"/>
      <c r="R740" s="352"/>
      <c r="S740" s="107"/>
      <c r="T740" s="107"/>
      <c r="U740" s="107"/>
      <c r="V740" s="107"/>
    </row>
    <row r="741" spans="1:22" x14ac:dyDescent="0.2">
      <c r="A741" s="140" t="s">
        <v>2042</v>
      </c>
      <c r="B741" s="131">
        <v>322888</v>
      </c>
      <c r="C741" s="145">
        <v>450</v>
      </c>
      <c r="D741" s="131">
        <v>113815</v>
      </c>
      <c r="E741" s="145">
        <v>745</v>
      </c>
      <c r="F741" s="133"/>
      <c r="G741" s="131">
        <v>112860</v>
      </c>
      <c r="H741" s="145">
        <v>995</v>
      </c>
      <c r="I741" s="133"/>
      <c r="J741" s="131">
        <v>954</v>
      </c>
      <c r="K741" s="145">
        <v>750</v>
      </c>
      <c r="L741" s="133"/>
      <c r="M741" s="131">
        <v>209072</v>
      </c>
      <c r="N741" s="145">
        <v>705</v>
      </c>
      <c r="O741" s="133"/>
      <c r="P741" s="131"/>
      <c r="Q741" s="145"/>
      <c r="R741" s="133"/>
      <c r="S741" s="107"/>
      <c r="T741" s="107"/>
      <c r="U741" s="107"/>
      <c r="V741" s="107"/>
    </row>
    <row r="742" spans="1:22" x14ac:dyDescent="0.2">
      <c r="A742" s="140" t="s">
        <v>2044</v>
      </c>
      <c r="B742" s="131">
        <v>249489</v>
      </c>
      <c r="C742" s="145">
        <v>600</v>
      </c>
      <c r="D742" s="131">
        <v>81095</v>
      </c>
      <c r="E742" s="145">
        <v>960</v>
      </c>
      <c r="F742" s="133"/>
      <c r="G742" s="131">
        <v>69522</v>
      </c>
      <c r="H742" s="145">
        <v>560</v>
      </c>
      <c r="I742" s="133"/>
      <c r="J742" s="131">
        <v>11573</v>
      </c>
      <c r="K742" s="145">
        <v>400</v>
      </c>
      <c r="L742" s="133"/>
      <c r="M742" s="131">
        <v>168393</v>
      </c>
      <c r="N742" s="145">
        <v>640</v>
      </c>
      <c r="O742" s="133"/>
      <c r="P742" s="131"/>
      <c r="Q742" s="145"/>
      <c r="R742" s="133"/>
      <c r="S742" s="107"/>
      <c r="T742" s="107"/>
      <c r="U742" s="107"/>
      <c r="V742" s="107"/>
    </row>
    <row r="743" spans="1:22" x14ac:dyDescent="0.2">
      <c r="A743" s="140" t="s">
        <v>2049</v>
      </c>
      <c r="B743" s="131">
        <v>124346</v>
      </c>
      <c r="C743" s="145"/>
      <c r="D743" s="131">
        <v>14273</v>
      </c>
      <c r="E743" s="145">
        <v>500</v>
      </c>
      <c r="F743" s="133"/>
      <c r="G743" s="131">
        <v>13840</v>
      </c>
      <c r="H743" s="145"/>
      <c r="I743" s="133"/>
      <c r="J743" s="131">
        <v>433</v>
      </c>
      <c r="K743" s="145">
        <v>500</v>
      </c>
      <c r="L743" s="133"/>
      <c r="M743" s="131">
        <v>110072</v>
      </c>
      <c r="N743" s="145">
        <v>500</v>
      </c>
      <c r="O743" s="133"/>
      <c r="P743" s="131"/>
      <c r="Q743" s="145"/>
      <c r="R743" s="133"/>
      <c r="S743" s="107"/>
      <c r="T743" s="107"/>
      <c r="U743" s="107"/>
      <c r="V743" s="107"/>
    </row>
    <row r="744" spans="1:22" x14ac:dyDescent="0.2">
      <c r="A744" s="140" t="s">
        <v>2462</v>
      </c>
      <c r="B744" s="131">
        <v>3578687</v>
      </c>
      <c r="C744" s="145">
        <v>675</v>
      </c>
      <c r="D744" s="131">
        <v>1790741</v>
      </c>
      <c r="E744" s="145">
        <v>947</v>
      </c>
      <c r="F744" s="133">
        <v>0.5</v>
      </c>
      <c r="G744" s="131">
        <v>1679355</v>
      </c>
      <c r="H744" s="145">
        <v>350</v>
      </c>
      <c r="I744" s="133"/>
      <c r="J744" s="131">
        <v>111433</v>
      </c>
      <c r="K744" s="145">
        <v>850</v>
      </c>
      <c r="L744" s="133"/>
      <c r="M744" s="131">
        <v>2041056</v>
      </c>
      <c r="N744" s="145">
        <v>695</v>
      </c>
      <c r="O744" s="133"/>
      <c r="P744" s="131">
        <v>243158</v>
      </c>
      <c r="Q744" s="145">
        <v>220</v>
      </c>
      <c r="R744" s="133"/>
      <c r="S744" s="107"/>
      <c r="T744" s="107"/>
      <c r="U744" s="107"/>
      <c r="V744" s="107"/>
    </row>
    <row r="745" spans="1:22" x14ac:dyDescent="0.2">
      <c r="A745" s="140" t="s">
        <v>2871</v>
      </c>
      <c r="B745" s="131">
        <v>2125450</v>
      </c>
      <c r="C745" s="145">
        <v>965</v>
      </c>
      <c r="D745" s="131">
        <v>1341101</v>
      </c>
      <c r="E745" s="145">
        <v>760</v>
      </c>
      <c r="F745" s="133">
        <v>0.5</v>
      </c>
      <c r="G745" s="131">
        <v>1294347</v>
      </c>
      <c r="H745" s="145">
        <v>14</v>
      </c>
      <c r="I745" s="133">
        <v>0.5</v>
      </c>
      <c r="J745" s="131">
        <v>86617</v>
      </c>
      <c r="K745" s="145">
        <v>290</v>
      </c>
      <c r="L745" s="133"/>
      <c r="M745" s="131">
        <v>758580</v>
      </c>
      <c r="N745" s="145">
        <v>350</v>
      </c>
      <c r="O745" s="133">
        <v>0.5</v>
      </c>
      <c r="P745" s="131"/>
      <c r="Q745" s="145"/>
      <c r="R745" s="133"/>
      <c r="S745" s="107"/>
      <c r="T745" s="107"/>
      <c r="U745" s="107"/>
      <c r="V745" s="107"/>
    </row>
    <row r="746" spans="1:22" x14ac:dyDescent="0.2">
      <c r="A746" s="140" t="s">
        <v>2886</v>
      </c>
      <c r="B746" s="131">
        <v>417500</v>
      </c>
      <c r="C746" s="145"/>
      <c r="D746" s="131">
        <v>47548</v>
      </c>
      <c r="E746" s="145">
        <v>375</v>
      </c>
      <c r="F746" s="133"/>
      <c r="G746" s="131">
        <v>44574</v>
      </c>
      <c r="H746" s="145">
        <v>725</v>
      </c>
      <c r="I746" s="133"/>
      <c r="J746" s="131">
        <v>2973</v>
      </c>
      <c r="K746" s="145">
        <v>650</v>
      </c>
      <c r="L746" s="133"/>
      <c r="M746" s="131">
        <v>371951</v>
      </c>
      <c r="N746" s="145">
        <v>625</v>
      </c>
      <c r="O746" s="133"/>
      <c r="P746" s="131"/>
      <c r="Q746" s="145"/>
      <c r="R746" s="133"/>
      <c r="S746" s="107"/>
      <c r="T746" s="107"/>
      <c r="U746" s="107"/>
      <c r="V746" s="107"/>
    </row>
    <row r="747" spans="1:22" x14ac:dyDescent="0.2">
      <c r="A747" s="140" t="s">
        <v>2046</v>
      </c>
      <c r="B747" s="131">
        <v>339000</v>
      </c>
      <c r="C747" s="145"/>
      <c r="D747" s="131">
        <v>94386</v>
      </c>
      <c r="E747" s="145">
        <v>660</v>
      </c>
      <c r="F747" s="133"/>
      <c r="G747" s="131">
        <v>90925</v>
      </c>
      <c r="H747" s="145">
        <v>620</v>
      </c>
      <c r="I747" s="133"/>
      <c r="J747" s="131">
        <v>3627</v>
      </c>
      <c r="K747" s="145">
        <v>700</v>
      </c>
      <c r="L747" s="133"/>
      <c r="M747" s="131">
        <v>244446</v>
      </c>
      <c r="N747" s="145">
        <v>680</v>
      </c>
      <c r="O747" s="133"/>
      <c r="P747" s="131"/>
      <c r="Q747" s="145"/>
      <c r="R747" s="133"/>
      <c r="S747" s="107"/>
      <c r="T747" s="107"/>
      <c r="U747" s="107"/>
      <c r="V747" s="107"/>
    </row>
    <row r="748" spans="1:22" x14ac:dyDescent="0.2">
      <c r="A748" s="140" t="s">
        <v>1175</v>
      </c>
      <c r="B748" s="131">
        <v>105564</v>
      </c>
      <c r="C748" s="145">
        <v>820</v>
      </c>
      <c r="D748" s="131">
        <v>57428</v>
      </c>
      <c r="E748" s="145">
        <v>570</v>
      </c>
      <c r="F748" s="133"/>
      <c r="G748" s="131">
        <v>51773</v>
      </c>
      <c r="H748" s="145">
        <v>5</v>
      </c>
      <c r="I748" s="133"/>
      <c r="J748" s="131">
        <v>5656</v>
      </c>
      <c r="K748" s="145">
        <v>565</v>
      </c>
      <c r="L748" s="133"/>
      <c r="M748" s="131">
        <v>48136</v>
      </c>
      <c r="N748" s="145">
        <v>250</v>
      </c>
      <c r="O748" s="133"/>
      <c r="P748" s="131"/>
      <c r="Q748" s="145"/>
      <c r="R748" s="133"/>
      <c r="S748" s="107"/>
      <c r="T748" s="107"/>
      <c r="U748" s="107"/>
      <c r="V748" s="107"/>
    </row>
    <row r="749" spans="1:22" x14ac:dyDescent="0.2">
      <c r="A749" s="140" t="s">
        <v>2040</v>
      </c>
      <c r="B749" s="131">
        <v>3042614</v>
      </c>
      <c r="C749" s="145">
        <v>915</v>
      </c>
      <c r="D749" s="131">
        <v>1539513</v>
      </c>
      <c r="E749" s="145">
        <v>282</v>
      </c>
      <c r="F749" s="133">
        <v>0.5</v>
      </c>
      <c r="G749" s="131">
        <v>1470888</v>
      </c>
      <c r="H749" s="145">
        <v>117</v>
      </c>
      <c r="I749" s="133">
        <v>0.5</v>
      </c>
      <c r="J749" s="131">
        <v>71639</v>
      </c>
      <c r="K749" s="145">
        <v>515</v>
      </c>
      <c r="L749" s="133"/>
      <c r="M749" s="131">
        <v>1500901</v>
      </c>
      <c r="N749" s="145">
        <v>282</v>
      </c>
      <c r="O749" s="133">
        <v>0.5</v>
      </c>
      <c r="P749" s="131"/>
      <c r="Q749" s="145"/>
      <c r="R749" s="133"/>
      <c r="S749" s="107"/>
      <c r="T749" s="107"/>
      <c r="U749" s="107"/>
      <c r="V749" s="107"/>
    </row>
    <row r="750" spans="1:22" x14ac:dyDescent="0.2">
      <c r="A750" s="140" t="s">
        <v>2869</v>
      </c>
      <c r="B750" s="131">
        <v>964643</v>
      </c>
      <c r="C750" s="145">
        <v>810</v>
      </c>
      <c r="D750" s="131">
        <v>473462</v>
      </c>
      <c r="E750" s="145">
        <v>810</v>
      </c>
      <c r="F750" s="133"/>
      <c r="G750" s="131">
        <v>393058</v>
      </c>
      <c r="H750" s="145">
        <v>730</v>
      </c>
      <c r="I750" s="133"/>
      <c r="J750" s="131">
        <v>80404</v>
      </c>
      <c r="K750" s="145">
        <v>80</v>
      </c>
      <c r="L750" s="133"/>
      <c r="M750" s="131">
        <v>491182</v>
      </c>
      <c r="N750" s="145"/>
      <c r="O750" s="133"/>
      <c r="P750" s="131"/>
      <c r="Q750" s="145"/>
      <c r="R750" s="133"/>
      <c r="S750" s="107"/>
      <c r="T750" s="107"/>
      <c r="U750" s="107"/>
      <c r="V750" s="107"/>
    </row>
    <row r="751" spans="1:22" x14ac:dyDescent="0.2">
      <c r="A751" s="131" t="s">
        <v>2047</v>
      </c>
      <c r="B751" s="131">
        <v>7328</v>
      </c>
      <c r="C751" s="145"/>
      <c r="D751" s="131">
        <v>839</v>
      </c>
      <c r="E751" s="145">
        <v>800</v>
      </c>
      <c r="F751" s="133"/>
      <c r="G751" s="131">
        <v>839</v>
      </c>
      <c r="H751" s="145">
        <v>800</v>
      </c>
      <c r="I751" s="133"/>
      <c r="J751" s="131"/>
      <c r="K751" s="145"/>
      <c r="L751" s="133"/>
      <c r="M751" s="131">
        <v>6488</v>
      </c>
      <c r="N751" s="145">
        <v>200</v>
      </c>
      <c r="O751" s="133"/>
      <c r="P751" s="131"/>
      <c r="Q751" s="145"/>
      <c r="R751" s="133"/>
      <c r="S751" s="107"/>
      <c r="T751" s="107"/>
      <c r="U751" s="107"/>
      <c r="V751" s="107"/>
    </row>
    <row r="752" spans="1:22" x14ac:dyDescent="0.2">
      <c r="A752" s="785" t="s">
        <v>2566</v>
      </c>
      <c r="B752" s="240">
        <v>12709741</v>
      </c>
      <c r="C752" s="318">
        <v>610</v>
      </c>
      <c r="D752" s="240">
        <v>6446516</v>
      </c>
      <c r="E752" s="318">
        <v>93</v>
      </c>
      <c r="F752" s="241"/>
      <c r="G752" s="240">
        <v>6075699</v>
      </c>
      <c r="H752" s="318">
        <v>439</v>
      </c>
      <c r="I752" s="241">
        <v>0.5</v>
      </c>
      <c r="J752" s="240">
        <v>414229</v>
      </c>
      <c r="K752" s="318">
        <v>40</v>
      </c>
      <c r="L752" s="241"/>
      <c r="M752" s="240">
        <v>6490187</v>
      </c>
      <c r="N752" s="318">
        <v>220</v>
      </c>
      <c r="O752" s="241">
        <v>0.5</v>
      </c>
      <c r="P752" s="240">
        <v>243158</v>
      </c>
      <c r="Q752" s="318">
        <v>220</v>
      </c>
      <c r="R752" s="241"/>
      <c r="S752" s="107"/>
      <c r="T752" s="107"/>
      <c r="U752" s="107"/>
      <c r="V752" s="107"/>
    </row>
    <row r="753" spans="1:18" x14ac:dyDescent="0.2">
      <c r="A753" s="107"/>
      <c r="B753" s="321">
        <f>+SUM(B740:B751)</f>
        <v>12709736</v>
      </c>
      <c r="C753" s="321">
        <f t="shared" ref="C753:R753" si="18">+SUM(C740:C751)</f>
        <v>5610</v>
      </c>
      <c r="D753" s="299">
        <f t="shared" si="18"/>
        <v>6446508</v>
      </c>
      <c r="E753" s="152">
        <f t="shared" si="18"/>
        <v>8091</v>
      </c>
      <c r="F753" s="154">
        <f t="shared" si="18"/>
        <v>2</v>
      </c>
      <c r="G753" s="299">
        <f t="shared" si="18"/>
        <v>6075695</v>
      </c>
      <c r="H753" s="152">
        <f t="shared" si="18"/>
        <v>5438</v>
      </c>
      <c r="I753" s="154">
        <f t="shared" si="18"/>
        <v>1.5</v>
      </c>
      <c r="J753" s="299">
        <f t="shared" si="18"/>
        <v>414223</v>
      </c>
      <c r="K753" s="152">
        <f t="shared" si="18"/>
        <v>6040</v>
      </c>
      <c r="L753" s="154">
        <f t="shared" si="18"/>
        <v>0</v>
      </c>
      <c r="M753" s="299">
        <f t="shared" si="18"/>
        <v>6490182</v>
      </c>
      <c r="N753" s="152">
        <f t="shared" si="18"/>
        <v>5219</v>
      </c>
      <c r="O753" s="154">
        <f t="shared" si="18"/>
        <v>1.5</v>
      </c>
      <c r="P753" s="299">
        <f t="shared" si="18"/>
        <v>243158</v>
      </c>
      <c r="Q753" s="152">
        <f t="shared" si="18"/>
        <v>220</v>
      </c>
      <c r="R753" s="154">
        <f t="shared" si="18"/>
        <v>0</v>
      </c>
    </row>
    <row r="754" spans="1:18" x14ac:dyDescent="0.2">
      <c r="A754" s="107"/>
      <c r="B754" s="107"/>
      <c r="C754" s="107"/>
      <c r="D754" s="107"/>
      <c r="E754" s="107"/>
      <c r="F754" s="107"/>
      <c r="G754" s="107"/>
      <c r="H754" s="107"/>
      <c r="I754" s="107"/>
      <c r="J754" s="107"/>
      <c r="K754" s="107"/>
      <c r="L754" s="107"/>
      <c r="M754" s="107"/>
      <c r="N754" s="107"/>
      <c r="O754" s="107"/>
      <c r="P754" s="107"/>
      <c r="Q754" s="107"/>
    </row>
    <row r="755" spans="1:18" x14ac:dyDescent="0.2">
      <c r="A755" s="107"/>
      <c r="B755" s="107"/>
      <c r="C755" s="107"/>
      <c r="D755" s="107"/>
      <c r="E755" s="107"/>
      <c r="F755" s="107"/>
      <c r="G755" s="107"/>
      <c r="H755" s="107"/>
      <c r="I755" s="107"/>
      <c r="J755" s="107"/>
      <c r="K755" s="107"/>
      <c r="L755" s="107"/>
      <c r="M755" s="107"/>
      <c r="N755" s="107"/>
      <c r="O755" s="107"/>
      <c r="P755" s="107"/>
      <c r="Q755" s="107"/>
    </row>
    <row r="756" spans="1:18" x14ac:dyDescent="0.2">
      <c r="A756" s="107"/>
      <c r="B756" s="107"/>
      <c r="C756" s="107"/>
      <c r="D756" s="107"/>
      <c r="E756" s="107"/>
      <c r="F756" s="107"/>
      <c r="G756" s="107"/>
      <c r="H756" s="107"/>
      <c r="I756" s="107"/>
      <c r="J756" s="107"/>
      <c r="K756" s="107"/>
      <c r="L756" s="107"/>
      <c r="M756" s="107"/>
      <c r="N756" s="107"/>
      <c r="O756" s="107"/>
      <c r="P756" s="107"/>
      <c r="Q756" s="107"/>
    </row>
    <row r="757" spans="1:18" x14ac:dyDescent="0.2">
      <c r="A757" s="107"/>
      <c r="B757" s="107"/>
      <c r="C757" s="107"/>
      <c r="D757" s="107"/>
      <c r="E757" s="107"/>
      <c r="F757" s="107"/>
      <c r="G757" s="107"/>
      <c r="H757" s="107"/>
      <c r="I757" s="107"/>
      <c r="J757" s="107"/>
      <c r="K757" s="107"/>
      <c r="L757" s="107"/>
      <c r="M757" s="107"/>
      <c r="N757" s="107"/>
      <c r="O757" s="107"/>
      <c r="P757" s="107"/>
      <c r="Q757" s="107"/>
    </row>
    <row r="758" spans="1:18" x14ac:dyDescent="0.2">
      <c r="A758" s="107"/>
      <c r="B758" s="107"/>
      <c r="C758" s="107"/>
      <c r="D758" s="107"/>
      <c r="E758" s="107"/>
      <c r="F758" s="107"/>
      <c r="G758" s="107"/>
      <c r="H758" s="107"/>
      <c r="I758" s="107"/>
      <c r="J758" s="107"/>
      <c r="K758" s="107"/>
      <c r="L758" s="107"/>
      <c r="M758" s="107"/>
      <c r="N758" s="107"/>
      <c r="O758" s="107"/>
      <c r="P758" s="107"/>
      <c r="Q758" s="107"/>
    </row>
    <row r="759" spans="1:18" x14ac:dyDescent="0.2">
      <c r="A759" s="107"/>
      <c r="B759" s="107"/>
      <c r="C759" s="107"/>
      <c r="D759" s="107"/>
      <c r="E759" s="107"/>
      <c r="F759" s="107"/>
      <c r="G759" s="107"/>
      <c r="H759" s="107"/>
      <c r="I759" s="107"/>
      <c r="J759" s="107"/>
      <c r="K759" s="107"/>
      <c r="L759" s="107"/>
      <c r="M759" s="107"/>
      <c r="N759" s="107"/>
      <c r="O759" s="107"/>
      <c r="P759" s="107"/>
      <c r="Q759" s="107"/>
    </row>
    <row r="760" spans="1:18" x14ac:dyDescent="0.2">
      <c r="A760" s="107"/>
      <c r="B760" s="107"/>
      <c r="C760" s="107"/>
      <c r="D760" s="107"/>
      <c r="E760" s="107"/>
      <c r="F760" s="107"/>
      <c r="G760" s="107"/>
      <c r="H760" s="107"/>
      <c r="I760" s="107"/>
      <c r="J760" s="107"/>
      <c r="K760" s="107"/>
      <c r="L760" s="107"/>
      <c r="M760" s="107"/>
      <c r="N760" s="107"/>
      <c r="O760" s="107"/>
      <c r="P760" s="107"/>
      <c r="Q760" s="107"/>
    </row>
    <row r="761" spans="1:18" x14ac:dyDescent="0.2">
      <c r="A761" s="107"/>
      <c r="B761" s="107"/>
      <c r="C761" s="107"/>
      <c r="D761" s="107"/>
      <c r="E761" s="107"/>
      <c r="F761" s="107"/>
      <c r="G761" s="107"/>
      <c r="H761" s="107"/>
      <c r="I761" s="107"/>
      <c r="J761" s="107"/>
      <c r="K761" s="107"/>
      <c r="L761" s="107"/>
      <c r="M761" s="107"/>
      <c r="N761" s="107"/>
      <c r="O761" s="107"/>
      <c r="P761" s="107"/>
      <c r="Q761" s="107"/>
    </row>
    <row r="762" spans="1:18" x14ac:dyDescent="0.2">
      <c r="A762" s="107"/>
      <c r="B762" s="107"/>
      <c r="C762" s="107"/>
      <c r="D762" s="107"/>
      <c r="E762" s="107"/>
      <c r="F762" s="107"/>
      <c r="G762" s="107"/>
      <c r="H762" s="107"/>
      <c r="I762" s="107"/>
      <c r="J762" s="107"/>
      <c r="K762" s="107"/>
      <c r="L762" s="107"/>
      <c r="M762" s="107"/>
      <c r="N762" s="107"/>
      <c r="O762" s="107"/>
      <c r="P762" s="107"/>
      <c r="Q762" s="107"/>
    </row>
    <row r="763" spans="1:18" x14ac:dyDescent="0.2">
      <c r="A763" s="107"/>
      <c r="B763" s="107"/>
      <c r="C763" s="107"/>
      <c r="D763" s="107"/>
      <c r="E763" s="107"/>
      <c r="F763" s="107"/>
      <c r="G763" s="107"/>
      <c r="H763" s="107"/>
      <c r="I763" s="107"/>
      <c r="J763" s="107"/>
      <c r="K763" s="107"/>
      <c r="L763" s="107"/>
      <c r="M763" s="107"/>
      <c r="N763" s="107"/>
      <c r="O763" s="107"/>
      <c r="P763" s="107"/>
      <c r="Q763" s="107"/>
    </row>
    <row r="764" spans="1:18" x14ac:dyDescent="0.2">
      <c r="A764" s="107"/>
      <c r="B764" s="107"/>
      <c r="C764" s="107"/>
      <c r="D764" s="107"/>
      <c r="E764" s="107"/>
      <c r="F764" s="107"/>
      <c r="G764" s="107"/>
      <c r="H764" s="107"/>
      <c r="I764" s="107"/>
      <c r="J764" s="107"/>
      <c r="K764" s="107"/>
      <c r="L764" s="107"/>
      <c r="M764" s="107"/>
      <c r="N764" s="107"/>
      <c r="O764" s="107"/>
      <c r="P764" s="107"/>
      <c r="Q764" s="107"/>
    </row>
    <row r="765" spans="1:18" x14ac:dyDescent="0.2">
      <c r="A765" s="107"/>
      <c r="B765" s="107"/>
      <c r="C765" s="107"/>
      <c r="D765" s="107"/>
      <c r="E765" s="107"/>
      <c r="F765" s="107"/>
      <c r="G765" s="107"/>
      <c r="H765" s="107"/>
      <c r="I765" s="107"/>
      <c r="J765" s="107"/>
      <c r="K765" s="107"/>
      <c r="L765" s="107"/>
      <c r="M765" s="107"/>
      <c r="N765" s="107"/>
      <c r="O765" s="107"/>
      <c r="P765" s="107"/>
      <c r="Q765" s="107"/>
    </row>
    <row r="766" spans="1:18" x14ac:dyDescent="0.2">
      <c r="A766" s="107"/>
      <c r="B766" s="107"/>
      <c r="C766" s="107"/>
      <c r="D766" s="107"/>
      <c r="E766" s="107"/>
      <c r="F766" s="107"/>
      <c r="G766" s="107"/>
      <c r="H766" s="107"/>
      <c r="I766" s="107"/>
      <c r="J766" s="107"/>
      <c r="K766" s="107"/>
      <c r="L766" s="107"/>
      <c r="M766" s="107"/>
      <c r="N766" s="107"/>
      <c r="O766" s="107"/>
      <c r="P766" s="107"/>
      <c r="Q766" s="107"/>
    </row>
    <row r="767" spans="1:18" x14ac:dyDescent="0.2">
      <c r="A767" s="107"/>
      <c r="B767" s="107"/>
      <c r="C767" s="107"/>
      <c r="D767" s="107"/>
      <c r="E767" s="107"/>
      <c r="F767" s="107"/>
      <c r="G767" s="107"/>
      <c r="H767" s="107"/>
      <c r="I767" s="107"/>
      <c r="J767" s="107"/>
      <c r="K767" s="107"/>
      <c r="L767" s="107"/>
      <c r="M767" s="107"/>
      <c r="N767" s="107"/>
      <c r="O767" s="107"/>
      <c r="P767" s="107"/>
      <c r="Q767" s="107"/>
    </row>
    <row r="768" spans="1:18" x14ac:dyDescent="0.2">
      <c r="A768" s="107"/>
      <c r="B768" s="107"/>
      <c r="C768" s="107"/>
      <c r="D768" s="107"/>
      <c r="E768" s="107"/>
      <c r="F768" s="107"/>
      <c r="G768" s="107"/>
      <c r="H768" s="107"/>
      <c r="I768" s="107"/>
      <c r="J768" s="107"/>
      <c r="K768" s="107"/>
      <c r="L768" s="107"/>
      <c r="M768" s="107"/>
      <c r="N768" s="107"/>
      <c r="O768" s="107"/>
      <c r="P768" s="107"/>
      <c r="Q768" s="107"/>
    </row>
    <row r="769" spans="1:17" x14ac:dyDescent="0.2">
      <c r="A769" s="107"/>
      <c r="B769" s="107"/>
      <c r="C769" s="107"/>
      <c r="D769" s="107"/>
      <c r="E769" s="107"/>
      <c r="F769" s="107"/>
      <c r="G769" s="107"/>
      <c r="H769" s="107"/>
      <c r="I769" s="107"/>
      <c r="J769" s="107"/>
      <c r="K769" s="107"/>
      <c r="L769" s="107"/>
      <c r="M769" s="107"/>
      <c r="N769" s="107"/>
      <c r="O769" s="107"/>
      <c r="P769" s="107"/>
      <c r="Q769" s="107"/>
    </row>
    <row r="770" spans="1:17" x14ac:dyDescent="0.2">
      <c r="A770" s="107"/>
      <c r="B770" s="107"/>
      <c r="C770" s="107"/>
      <c r="D770" s="107"/>
      <c r="E770" s="107"/>
      <c r="F770" s="107"/>
      <c r="G770" s="107"/>
      <c r="H770" s="107"/>
      <c r="I770" s="107"/>
      <c r="J770" s="107"/>
      <c r="K770" s="107"/>
      <c r="L770" s="107"/>
      <c r="M770" s="107"/>
      <c r="N770" s="107"/>
      <c r="O770" s="107"/>
      <c r="P770" s="107"/>
      <c r="Q770" s="107"/>
    </row>
    <row r="771" spans="1:17" x14ac:dyDescent="0.2">
      <c r="A771" s="107"/>
      <c r="B771" s="107"/>
      <c r="C771" s="107"/>
      <c r="D771" s="107"/>
      <c r="E771" s="107"/>
      <c r="F771" s="107"/>
      <c r="G771" s="107"/>
      <c r="H771" s="107"/>
      <c r="I771" s="107"/>
      <c r="J771" s="107"/>
      <c r="K771" s="107"/>
      <c r="L771" s="107"/>
      <c r="M771" s="107"/>
      <c r="N771" s="107"/>
      <c r="O771" s="107"/>
      <c r="P771" s="107"/>
      <c r="Q771" s="107"/>
    </row>
    <row r="772" spans="1:17" x14ac:dyDescent="0.2">
      <c r="A772" s="107"/>
      <c r="B772" s="107"/>
      <c r="C772" s="107"/>
      <c r="D772" s="107"/>
      <c r="E772" s="107"/>
      <c r="F772" s="107"/>
      <c r="G772" s="107"/>
      <c r="H772" s="107"/>
      <c r="I772" s="107"/>
      <c r="J772" s="107"/>
      <c r="K772" s="107"/>
      <c r="L772" s="107"/>
      <c r="M772" s="107"/>
      <c r="N772" s="107"/>
      <c r="O772" s="107"/>
      <c r="P772" s="107"/>
      <c r="Q772" s="107"/>
    </row>
    <row r="773" spans="1:17" x14ac:dyDescent="0.2">
      <c r="A773" s="107"/>
      <c r="B773" s="107"/>
      <c r="C773" s="107"/>
      <c r="D773" s="107"/>
      <c r="E773" s="107"/>
      <c r="F773" s="107"/>
      <c r="G773" s="107"/>
      <c r="H773" s="107"/>
      <c r="I773" s="107"/>
      <c r="J773" s="107"/>
      <c r="K773" s="107"/>
      <c r="L773" s="107"/>
      <c r="M773" s="107"/>
      <c r="N773" s="107"/>
      <c r="O773" s="107"/>
      <c r="P773" s="107"/>
      <c r="Q773" s="107"/>
    </row>
    <row r="774" spans="1:17" x14ac:dyDescent="0.2">
      <c r="A774" s="107"/>
      <c r="B774" s="107"/>
      <c r="C774" s="107"/>
      <c r="D774" s="107"/>
      <c r="E774" s="107"/>
      <c r="F774" s="107"/>
      <c r="G774" s="107"/>
      <c r="H774" s="107"/>
      <c r="I774" s="107"/>
      <c r="J774" s="107"/>
      <c r="K774" s="107"/>
      <c r="L774" s="107"/>
      <c r="M774" s="107"/>
      <c r="N774" s="107"/>
      <c r="O774" s="107"/>
      <c r="P774" s="107"/>
      <c r="Q774" s="107"/>
    </row>
  </sheetData>
  <mergeCells count="271">
    <mergeCell ref="B739:C739"/>
    <mergeCell ref="D739:F739"/>
    <mergeCell ref="G739:I739"/>
    <mergeCell ref="J739:L739"/>
    <mergeCell ref="M739:O739"/>
    <mergeCell ref="P739:R739"/>
    <mergeCell ref="A721:U721"/>
    <mergeCell ref="A726:R726"/>
    <mergeCell ref="B727:C727"/>
    <mergeCell ref="D727:F727"/>
    <mergeCell ref="G727:I727"/>
    <mergeCell ref="J727:L727"/>
    <mergeCell ref="M727:O727"/>
    <mergeCell ref="P727:R727"/>
    <mergeCell ref="P703:R703"/>
    <mergeCell ref="S703:U703"/>
    <mergeCell ref="A717:U717"/>
    <mergeCell ref="A718:O718"/>
    <mergeCell ref="S718:U720"/>
    <mergeCell ref="A719:O719"/>
    <mergeCell ref="A720:O720"/>
    <mergeCell ref="B703:C703"/>
    <mergeCell ref="D703:E703"/>
    <mergeCell ref="F703:G703"/>
    <mergeCell ref="H703:J703"/>
    <mergeCell ref="K703:M703"/>
    <mergeCell ref="N703:O703"/>
    <mergeCell ref="A691:U691"/>
    <mergeCell ref="B692:C692"/>
    <mergeCell ref="D692:E692"/>
    <mergeCell ref="F692:G692"/>
    <mergeCell ref="H692:J692"/>
    <mergeCell ref="K692:M692"/>
    <mergeCell ref="N692:O692"/>
    <mergeCell ref="P692:R692"/>
    <mergeCell ref="S692:U692"/>
    <mergeCell ref="V664:X664"/>
    <mergeCell ref="B675:C675"/>
    <mergeCell ref="D675:F675"/>
    <mergeCell ref="G675:I675"/>
    <mergeCell ref="J675:L675"/>
    <mergeCell ref="M675:O675"/>
    <mergeCell ref="P675:R675"/>
    <mergeCell ref="S675:U675"/>
    <mergeCell ref="V675:X675"/>
    <mergeCell ref="Q649:S649"/>
    <mergeCell ref="T649:U649"/>
    <mergeCell ref="A663:X663"/>
    <mergeCell ref="B664:C664"/>
    <mergeCell ref="D664:F664"/>
    <mergeCell ref="G664:I664"/>
    <mergeCell ref="J664:L664"/>
    <mergeCell ref="M664:O664"/>
    <mergeCell ref="P664:R664"/>
    <mergeCell ref="S664:U664"/>
    <mergeCell ref="B649:C649"/>
    <mergeCell ref="D649:F649"/>
    <mergeCell ref="G649:I649"/>
    <mergeCell ref="J649:K649"/>
    <mergeCell ref="L649:M649"/>
    <mergeCell ref="N649:P649"/>
    <mergeCell ref="A636:U636"/>
    <mergeCell ref="B637:C637"/>
    <mergeCell ref="D637:F637"/>
    <mergeCell ref="G637:I637"/>
    <mergeCell ref="J637:K637"/>
    <mergeCell ref="L637:M637"/>
    <mergeCell ref="N637:P637"/>
    <mergeCell ref="Q637:S637"/>
    <mergeCell ref="T637:U637"/>
    <mergeCell ref="Q609:S609"/>
    <mergeCell ref="T609:U609"/>
    <mergeCell ref="B621:C621"/>
    <mergeCell ref="D621:F621"/>
    <mergeCell ref="G621:I621"/>
    <mergeCell ref="J621:K621"/>
    <mergeCell ref="L621:M621"/>
    <mergeCell ref="N621:P621"/>
    <mergeCell ref="Q621:S621"/>
    <mergeCell ref="T621:U621"/>
    <mergeCell ref="A599:D599"/>
    <mergeCell ref="A600:G600"/>
    <mergeCell ref="A601:G601"/>
    <mergeCell ref="A608:U608"/>
    <mergeCell ref="B609:C609"/>
    <mergeCell ref="D609:F609"/>
    <mergeCell ref="G609:I609"/>
    <mergeCell ref="J609:K609"/>
    <mergeCell ref="L609:M609"/>
    <mergeCell ref="N609:P609"/>
    <mergeCell ref="A593:D593"/>
    <mergeCell ref="A594:D594"/>
    <mergeCell ref="A595:G595"/>
    <mergeCell ref="A596:G596"/>
    <mergeCell ref="A597:G597"/>
    <mergeCell ref="A598:D598"/>
    <mergeCell ref="A586:J586"/>
    <mergeCell ref="A587:D587"/>
    <mergeCell ref="A589:J589"/>
    <mergeCell ref="A590:G590"/>
    <mergeCell ref="A591:G591"/>
    <mergeCell ref="A592:G592"/>
    <mergeCell ref="A546:J546"/>
    <mergeCell ref="A555:J555"/>
    <mergeCell ref="A565:J565"/>
    <mergeCell ref="A567:J567"/>
    <mergeCell ref="A572:J572"/>
    <mergeCell ref="A579:J579"/>
    <mergeCell ref="A536:J536"/>
    <mergeCell ref="A537:D537"/>
    <mergeCell ref="A538:J538"/>
    <mergeCell ref="A539:D539"/>
    <mergeCell ref="A540:J540"/>
    <mergeCell ref="A544:J544"/>
    <mergeCell ref="A525:D525"/>
    <mergeCell ref="A526:J526"/>
    <mergeCell ref="A530:J530"/>
    <mergeCell ref="A531:J531"/>
    <mergeCell ref="A532:D532"/>
    <mergeCell ref="A533:J533"/>
    <mergeCell ref="A516:D516"/>
    <mergeCell ref="A517:J517"/>
    <mergeCell ref="A520:J520"/>
    <mergeCell ref="A521:D521"/>
    <mergeCell ref="A523:J523"/>
    <mergeCell ref="A524:J524"/>
    <mergeCell ref="A510:J510"/>
    <mergeCell ref="A511:D511"/>
    <mergeCell ref="A512:J512"/>
    <mergeCell ref="A513:D513"/>
    <mergeCell ref="A514:D514"/>
    <mergeCell ref="A515:J515"/>
    <mergeCell ref="A470:G470"/>
    <mergeCell ref="A501:D501"/>
    <mergeCell ref="A506:J506"/>
    <mergeCell ref="A507:J507"/>
    <mergeCell ref="A508:J508"/>
    <mergeCell ref="A509:J509"/>
    <mergeCell ref="A432:G432"/>
    <mergeCell ref="A436:G436"/>
    <mergeCell ref="A445:G445"/>
    <mergeCell ref="A450:G450"/>
    <mergeCell ref="A459:G459"/>
    <mergeCell ref="A468:D468"/>
    <mergeCell ref="A359:D359"/>
    <mergeCell ref="A380:D380"/>
    <mergeCell ref="A382:G382"/>
    <mergeCell ref="A383:G383"/>
    <mergeCell ref="A401:G401"/>
    <mergeCell ref="A418:G418"/>
    <mergeCell ref="A336:D336"/>
    <mergeCell ref="A337:G337"/>
    <mergeCell ref="A344:G344"/>
    <mergeCell ref="A350:G350"/>
    <mergeCell ref="A356:D356"/>
    <mergeCell ref="A358:G358"/>
    <mergeCell ref="A288:G288"/>
    <mergeCell ref="A289:G289"/>
    <mergeCell ref="A298:G298"/>
    <mergeCell ref="A314:G314"/>
    <mergeCell ref="A323:G323"/>
    <mergeCell ref="A335:G335"/>
    <mergeCell ref="A250:D250"/>
    <mergeCell ref="A251:D251"/>
    <mergeCell ref="A260:D260"/>
    <mergeCell ref="A269:D269"/>
    <mergeCell ref="A276:D276"/>
    <mergeCell ref="A287:G287"/>
    <mergeCell ref="B233:C233"/>
    <mergeCell ref="D233:F233"/>
    <mergeCell ref="G233:I233"/>
    <mergeCell ref="J233:L233"/>
    <mergeCell ref="M233:O233"/>
    <mergeCell ref="P233:R233"/>
    <mergeCell ref="A220:R220"/>
    <mergeCell ref="B221:C221"/>
    <mergeCell ref="D221:F221"/>
    <mergeCell ref="G221:I221"/>
    <mergeCell ref="J221:L221"/>
    <mergeCell ref="M221:O221"/>
    <mergeCell ref="P221:R221"/>
    <mergeCell ref="A211:N211"/>
    <mergeCell ref="O211:P215"/>
    <mergeCell ref="A212:K212"/>
    <mergeCell ref="A213:K213"/>
    <mergeCell ref="A214:K214"/>
    <mergeCell ref="A215:N215"/>
    <mergeCell ref="B198:C198"/>
    <mergeCell ref="D198:F198"/>
    <mergeCell ref="G198:I198"/>
    <mergeCell ref="J198:K198"/>
    <mergeCell ref="L198:N198"/>
    <mergeCell ref="O198:P198"/>
    <mergeCell ref="A186:P186"/>
    <mergeCell ref="B187:C187"/>
    <mergeCell ref="D187:F187"/>
    <mergeCell ref="G187:I187"/>
    <mergeCell ref="J187:K187"/>
    <mergeCell ref="L187:N187"/>
    <mergeCell ref="O187:P187"/>
    <mergeCell ref="S160:U160"/>
    <mergeCell ref="V160:X160"/>
    <mergeCell ref="B172:C172"/>
    <mergeCell ref="D172:F172"/>
    <mergeCell ref="G172:I172"/>
    <mergeCell ref="J172:L172"/>
    <mergeCell ref="M172:O172"/>
    <mergeCell ref="P172:R172"/>
    <mergeCell ref="S172:U172"/>
    <mergeCell ref="V172:X172"/>
    <mergeCell ref="Q142:S142"/>
    <mergeCell ref="T142:U142"/>
    <mergeCell ref="A154:U154"/>
    <mergeCell ref="A159:X159"/>
    <mergeCell ref="B160:C160"/>
    <mergeCell ref="D160:F160"/>
    <mergeCell ref="G160:I160"/>
    <mergeCell ref="J160:L160"/>
    <mergeCell ref="M160:O160"/>
    <mergeCell ref="P160:R160"/>
    <mergeCell ref="B142:C142"/>
    <mergeCell ref="D142:E142"/>
    <mergeCell ref="F142:G142"/>
    <mergeCell ref="H142:J142"/>
    <mergeCell ref="K142:M142"/>
    <mergeCell ref="N142:P142"/>
    <mergeCell ref="A129:U129"/>
    <mergeCell ref="B130:C130"/>
    <mergeCell ref="D130:E130"/>
    <mergeCell ref="F130:G130"/>
    <mergeCell ref="H130:J130"/>
    <mergeCell ref="K130:M130"/>
    <mergeCell ref="N130:P130"/>
    <mergeCell ref="Q130:S130"/>
    <mergeCell ref="T130:U130"/>
    <mergeCell ref="A115:E115"/>
    <mergeCell ref="B116:C116"/>
    <mergeCell ref="D116:E116"/>
    <mergeCell ref="A122:E122"/>
    <mergeCell ref="B123:C123"/>
    <mergeCell ref="D123:E123"/>
    <mergeCell ref="A105:G105"/>
    <mergeCell ref="A106:D106"/>
    <mergeCell ref="A107:D107"/>
    <mergeCell ref="A108:D108"/>
    <mergeCell ref="A109:D109"/>
    <mergeCell ref="A110:D110"/>
    <mergeCell ref="A80:G80"/>
    <mergeCell ref="A91:G91"/>
    <mergeCell ref="A92:D92"/>
    <mergeCell ref="A93:G93"/>
    <mergeCell ref="A97:G97"/>
    <mergeCell ref="A103:D103"/>
    <mergeCell ref="A68:G68"/>
    <mergeCell ref="A72:G72"/>
    <mergeCell ref="A76:G76"/>
    <mergeCell ref="A77:D77"/>
    <mergeCell ref="A78:G78"/>
    <mergeCell ref="A79:D79"/>
    <mergeCell ref="A51:G51"/>
    <mergeCell ref="A56:G56"/>
    <mergeCell ref="A57:D57"/>
    <mergeCell ref="A58:G58"/>
    <mergeCell ref="A59:D59"/>
    <mergeCell ref="A60:G60"/>
    <mergeCell ref="A4:B4"/>
    <mergeCell ref="A27:B27"/>
    <mergeCell ref="A28:B28"/>
    <mergeCell ref="A48:G48"/>
    <mergeCell ref="A49:G49"/>
    <mergeCell ref="A50:D50"/>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86"/>
  <sheetViews>
    <sheetView workbookViewId="0">
      <selection activeCell="B1" sqref="B1"/>
    </sheetView>
  </sheetViews>
  <sheetFormatPr baseColWidth="10" defaultRowHeight="15" x14ac:dyDescent="0.2"/>
  <cols>
    <col min="1" max="1" width="56.83203125" style="106" customWidth="1"/>
    <col min="2" max="2" width="10.83203125" style="106"/>
    <col min="3" max="3" width="6.6640625" style="106" customWidth="1"/>
    <col min="4" max="4" width="10.83203125" style="106"/>
    <col min="5" max="5" width="6.1640625" style="106" customWidth="1"/>
    <col min="6" max="16384" width="10.83203125" style="106"/>
  </cols>
  <sheetData>
    <row r="1" spans="1:5" x14ac:dyDescent="0.2">
      <c r="A1" s="458" t="s">
        <v>3133</v>
      </c>
    </row>
    <row r="3" spans="1:5" x14ac:dyDescent="0.2">
      <c r="A3" s="113" t="s">
        <v>1111</v>
      </c>
    </row>
    <row r="4" spans="1:5" ht="32" customHeight="1" x14ac:dyDescent="0.2">
      <c r="A4" s="782" t="s">
        <v>3134</v>
      </c>
      <c r="B4" s="783"/>
      <c r="C4" s="783"/>
      <c r="D4" s="783"/>
      <c r="E4" s="784"/>
    </row>
    <row r="5" spans="1:5" x14ac:dyDescent="0.2">
      <c r="A5" s="923" t="s">
        <v>3135</v>
      </c>
      <c r="B5" s="924"/>
      <c r="C5" s="924"/>
      <c r="D5" s="145"/>
      <c r="E5" s="307"/>
    </row>
    <row r="6" spans="1:5" ht="45" x14ac:dyDescent="0.2">
      <c r="A6" s="539" t="s">
        <v>3136</v>
      </c>
      <c r="B6" s="145"/>
      <c r="C6" s="145"/>
      <c r="D6" s="145">
        <v>2080000</v>
      </c>
      <c r="E6" s="307"/>
    </row>
    <row r="7" spans="1:5" ht="30" x14ac:dyDescent="0.2">
      <c r="A7" s="539" t="s">
        <v>3137</v>
      </c>
      <c r="B7" s="145">
        <v>780000</v>
      </c>
      <c r="C7" s="145"/>
      <c r="D7" s="145"/>
      <c r="E7" s="307"/>
    </row>
    <row r="8" spans="1:5" ht="30" x14ac:dyDescent="0.2">
      <c r="A8" s="539" t="s">
        <v>3138</v>
      </c>
      <c r="B8" s="145">
        <v>156000</v>
      </c>
      <c r="C8" s="145"/>
      <c r="D8" s="145"/>
      <c r="E8" s="307"/>
    </row>
    <row r="9" spans="1:5" ht="45" x14ac:dyDescent="0.2">
      <c r="A9" s="539" t="s">
        <v>3139</v>
      </c>
      <c r="B9" s="145">
        <v>104000</v>
      </c>
      <c r="C9" s="145"/>
      <c r="D9" s="145"/>
      <c r="E9" s="307"/>
    </row>
    <row r="10" spans="1:5" ht="30" x14ac:dyDescent="0.2">
      <c r="A10" s="539" t="s">
        <v>3140</v>
      </c>
      <c r="B10" s="145">
        <v>104000</v>
      </c>
      <c r="C10" s="145"/>
      <c r="D10" s="145"/>
      <c r="E10" s="307"/>
    </row>
    <row r="11" spans="1:5" ht="45" x14ac:dyDescent="0.2">
      <c r="A11" s="539" t="s">
        <v>3141</v>
      </c>
      <c r="B11" s="145">
        <v>520000</v>
      </c>
      <c r="C11" s="145"/>
      <c r="D11" s="145"/>
      <c r="E11" s="307"/>
    </row>
    <row r="12" spans="1:5" ht="42" customHeight="1" x14ac:dyDescent="0.2">
      <c r="A12" s="539" t="s">
        <v>3142</v>
      </c>
      <c r="B12" s="145">
        <v>104000</v>
      </c>
      <c r="C12" s="145"/>
      <c r="D12" s="145"/>
      <c r="E12" s="307"/>
    </row>
    <row r="13" spans="1:5" x14ac:dyDescent="0.2">
      <c r="A13" s="539" t="s">
        <v>3143</v>
      </c>
      <c r="B13" s="145">
        <v>208000</v>
      </c>
      <c r="C13" s="145"/>
      <c r="D13" s="145"/>
      <c r="E13" s="307"/>
    </row>
    <row r="14" spans="1:5" ht="61" thickBot="1" x14ac:dyDescent="0.25">
      <c r="A14" s="539" t="s">
        <v>3144</v>
      </c>
      <c r="B14" s="187">
        <v>90142</v>
      </c>
      <c r="C14" s="187">
        <v>50</v>
      </c>
      <c r="D14" s="187">
        <v>2066142</v>
      </c>
      <c r="E14" s="444">
        <v>50</v>
      </c>
    </row>
    <row r="15" spans="1:5" x14ac:dyDescent="0.2">
      <c r="A15" s="539"/>
      <c r="B15" s="145"/>
      <c r="C15" s="145"/>
      <c r="D15" s="138">
        <f>+SUM(B7:B14)</f>
        <v>2066142</v>
      </c>
      <c r="E15" s="138">
        <f>+SUM(C7:C14)</f>
        <v>50</v>
      </c>
    </row>
    <row r="16" spans="1:5" x14ac:dyDescent="0.2">
      <c r="A16" s="925" t="s">
        <v>3145</v>
      </c>
      <c r="B16" s="145"/>
      <c r="C16" s="145"/>
      <c r="D16" s="145">
        <v>13857</v>
      </c>
      <c r="E16" s="307">
        <v>50</v>
      </c>
    </row>
    <row r="17" spans="1:5" x14ac:dyDescent="0.2">
      <c r="A17" s="925"/>
      <c r="B17" s="145"/>
      <c r="C17" s="145"/>
      <c r="D17" s="138">
        <f>+D6-D14</f>
        <v>13858</v>
      </c>
      <c r="E17" s="138">
        <f>+E6-E14</f>
        <v>-50</v>
      </c>
    </row>
    <row r="18" spans="1:5" x14ac:dyDescent="0.2">
      <c r="A18" s="539" t="s">
        <v>3146</v>
      </c>
      <c r="B18" s="145">
        <v>63200</v>
      </c>
      <c r="C18" s="145"/>
      <c r="D18" s="145"/>
      <c r="E18" s="307"/>
    </row>
    <row r="19" spans="1:5" ht="16" thickBot="1" x14ac:dyDescent="0.25">
      <c r="A19" s="539" t="s">
        <v>3147</v>
      </c>
      <c r="B19" s="187">
        <v>61040</v>
      </c>
      <c r="C19" s="187"/>
      <c r="D19" s="145"/>
      <c r="E19" s="307"/>
    </row>
    <row r="20" spans="1:5" x14ac:dyDescent="0.2">
      <c r="A20" s="925" t="s">
        <v>3145</v>
      </c>
      <c r="B20" s="145">
        <v>3160</v>
      </c>
      <c r="C20" s="145"/>
      <c r="D20" s="145"/>
      <c r="E20" s="307"/>
    </row>
    <row r="21" spans="1:5" x14ac:dyDescent="0.2">
      <c r="A21" s="925"/>
      <c r="B21" s="413">
        <f>+B18-B19</f>
        <v>2160</v>
      </c>
      <c r="C21" s="413"/>
      <c r="D21" s="145"/>
      <c r="E21" s="307"/>
    </row>
    <row r="22" spans="1:5" ht="30" x14ac:dyDescent="0.2">
      <c r="A22" s="539" t="s">
        <v>3148</v>
      </c>
      <c r="B22" s="145">
        <v>1580</v>
      </c>
      <c r="C22" s="145"/>
      <c r="D22" s="145"/>
      <c r="E22" s="307"/>
    </row>
    <row r="23" spans="1:5" x14ac:dyDescent="0.2">
      <c r="A23" s="926" t="s">
        <v>3149</v>
      </c>
      <c r="B23" s="927"/>
      <c r="C23" s="927"/>
      <c r="D23" s="145">
        <v>900000</v>
      </c>
      <c r="E23" s="307"/>
    </row>
    <row r="24" spans="1:5" x14ac:dyDescent="0.2">
      <c r="A24" s="576" t="s">
        <v>3150</v>
      </c>
      <c r="B24" s="145"/>
      <c r="C24" s="145"/>
      <c r="D24" s="145"/>
      <c r="E24" s="307"/>
    </row>
    <row r="25" spans="1:5" ht="30" x14ac:dyDescent="0.2">
      <c r="A25" s="576" t="s">
        <v>3151</v>
      </c>
      <c r="B25" s="145">
        <v>135000</v>
      </c>
      <c r="C25" s="145"/>
      <c r="D25" s="145"/>
      <c r="E25" s="307"/>
    </row>
    <row r="26" spans="1:5" ht="45" x14ac:dyDescent="0.2">
      <c r="A26" s="576" t="s">
        <v>3152</v>
      </c>
      <c r="B26" s="145">
        <v>94500</v>
      </c>
      <c r="C26" s="145"/>
      <c r="D26" s="145"/>
      <c r="E26" s="307"/>
    </row>
    <row r="27" spans="1:5" ht="31" thickBot="1" x14ac:dyDescent="0.25">
      <c r="A27" s="576" t="s">
        <v>3153</v>
      </c>
      <c r="B27" s="187">
        <v>225000</v>
      </c>
      <c r="C27" s="187"/>
      <c r="D27" s="187">
        <v>454500</v>
      </c>
      <c r="E27" s="444"/>
    </row>
    <row r="28" spans="1:5" ht="16" thickBot="1" x14ac:dyDescent="0.25">
      <c r="A28" s="576"/>
      <c r="B28" s="145"/>
      <c r="C28" s="145"/>
      <c r="D28" s="584">
        <f>+B25+B26+B27</f>
        <v>454500</v>
      </c>
      <c r="E28" s="928"/>
    </row>
    <row r="29" spans="1:5" ht="16" thickBot="1" x14ac:dyDescent="0.25">
      <c r="A29" s="929" t="s">
        <v>3145</v>
      </c>
      <c r="B29" s="145"/>
      <c r="C29" s="145"/>
      <c r="D29" s="448">
        <v>445500</v>
      </c>
      <c r="E29" s="449"/>
    </row>
    <row r="30" spans="1:5" x14ac:dyDescent="0.2">
      <c r="A30" s="929"/>
      <c r="B30" s="145"/>
      <c r="C30" s="145"/>
      <c r="D30" s="138">
        <f>+D23-D27</f>
        <v>445500</v>
      </c>
      <c r="E30" s="188"/>
    </row>
    <row r="31" spans="1:5" x14ac:dyDescent="0.2">
      <c r="A31" s="930" t="s">
        <v>3154</v>
      </c>
      <c r="B31" s="931"/>
      <c r="C31" s="931"/>
      <c r="D31" s="145">
        <v>10000</v>
      </c>
      <c r="E31" s="307"/>
    </row>
    <row r="32" spans="1:5" ht="31" thickBot="1" x14ac:dyDescent="0.25">
      <c r="A32" s="576" t="s">
        <v>3155</v>
      </c>
      <c r="B32" s="145"/>
      <c r="C32" s="145"/>
      <c r="D32" s="187">
        <v>5000</v>
      </c>
      <c r="E32" s="444"/>
    </row>
    <row r="33" spans="1:5" ht="16" thickBot="1" x14ac:dyDescent="0.25">
      <c r="A33" s="929" t="s">
        <v>3145</v>
      </c>
      <c r="B33" s="145"/>
      <c r="C33" s="145"/>
      <c r="D33" s="187">
        <v>5000</v>
      </c>
      <c r="E33" s="444"/>
    </row>
    <row r="34" spans="1:5" x14ac:dyDescent="0.2">
      <c r="A34" s="932" t="s">
        <v>3156</v>
      </c>
      <c r="B34" s="933"/>
      <c r="C34" s="933"/>
      <c r="D34" s="145">
        <v>250000</v>
      </c>
      <c r="E34" s="307"/>
    </row>
    <row r="35" spans="1:5" ht="16" thickBot="1" x14ac:dyDescent="0.25">
      <c r="A35" s="131" t="s">
        <v>3157</v>
      </c>
      <c r="B35" s="145"/>
      <c r="C35" s="145"/>
      <c r="D35" s="187">
        <v>25000</v>
      </c>
      <c r="E35" s="444"/>
    </row>
    <row r="36" spans="1:5" x14ac:dyDescent="0.2">
      <c r="A36" s="622" t="s">
        <v>3145</v>
      </c>
      <c r="B36" s="145"/>
      <c r="C36" s="145"/>
      <c r="D36" s="145">
        <v>225000</v>
      </c>
      <c r="E36" s="307"/>
    </row>
    <row r="37" spans="1:5" x14ac:dyDescent="0.2">
      <c r="A37" s="932" t="s">
        <v>3158</v>
      </c>
      <c r="B37" s="933"/>
      <c r="C37" s="933"/>
      <c r="D37" s="145">
        <v>60000</v>
      </c>
      <c r="E37" s="307"/>
    </row>
    <row r="38" spans="1:5" x14ac:dyDescent="0.2">
      <c r="A38" s="479" t="s">
        <v>3159</v>
      </c>
      <c r="B38" s="934">
        <v>48995</v>
      </c>
      <c r="C38" s="934"/>
      <c r="D38" s="145"/>
      <c r="E38" s="307"/>
    </row>
    <row r="39" spans="1:5" x14ac:dyDescent="0.2">
      <c r="A39" s="479" t="s">
        <v>3160</v>
      </c>
      <c r="B39" s="934">
        <v>82558</v>
      </c>
      <c r="C39" s="934"/>
      <c r="D39" s="145"/>
      <c r="E39" s="307"/>
    </row>
    <row r="40" spans="1:5" x14ac:dyDescent="0.2">
      <c r="A40" s="479" t="s">
        <v>3161</v>
      </c>
      <c r="B40" s="934">
        <v>33563</v>
      </c>
      <c r="C40" s="934"/>
      <c r="D40" s="145"/>
      <c r="E40" s="307"/>
    </row>
    <row r="41" spans="1:5" x14ac:dyDescent="0.2">
      <c r="A41" s="932" t="s">
        <v>3162</v>
      </c>
      <c r="B41" s="933"/>
      <c r="C41" s="933"/>
      <c r="D41" s="145">
        <v>20000</v>
      </c>
      <c r="E41" s="307"/>
    </row>
    <row r="42" spans="1:5" x14ac:dyDescent="0.2">
      <c r="A42" s="935" t="s">
        <v>3163</v>
      </c>
      <c r="B42" s="936"/>
      <c r="C42" s="936"/>
      <c r="D42" s="309">
        <v>30000</v>
      </c>
      <c r="E42" s="364"/>
    </row>
    <row r="43" spans="1:5" x14ac:dyDescent="0.2">
      <c r="A43" s="107"/>
      <c r="B43" s="107"/>
      <c r="C43" s="107"/>
      <c r="D43" s="107"/>
      <c r="E43" s="107"/>
    </row>
    <row r="44" spans="1:5" x14ac:dyDescent="0.2">
      <c r="A44" s="107"/>
      <c r="B44" s="107"/>
      <c r="C44" s="107"/>
      <c r="D44" s="107"/>
      <c r="E44" s="107"/>
    </row>
    <row r="45" spans="1:5" x14ac:dyDescent="0.2">
      <c r="A45" s="107"/>
      <c r="B45" s="107"/>
      <c r="C45" s="107"/>
      <c r="D45" s="107"/>
      <c r="E45" s="107"/>
    </row>
    <row r="46" spans="1:5" x14ac:dyDescent="0.2">
      <c r="A46" s="526" t="s">
        <v>1428</v>
      </c>
      <c r="B46" s="107"/>
      <c r="C46" s="107"/>
      <c r="D46" s="107"/>
      <c r="E46" s="107"/>
    </row>
    <row r="47" spans="1:5" ht="32.5" customHeight="1" x14ac:dyDescent="0.2">
      <c r="A47" s="937" t="s">
        <v>2614</v>
      </c>
      <c r="B47" s="938"/>
      <c r="C47" s="938"/>
      <c r="D47" s="938"/>
      <c r="E47" s="939"/>
    </row>
    <row r="48" spans="1:5" x14ac:dyDescent="0.2">
      <c r="A48" s="131" t="s">
        <v>1174</v>
      </c>
      <c r="B48" s="145"/>
      <c r="C48" s="145"/>
      <c r="D48" s="145">
        <v>13857</v>
      </c>
      <c r="E48" s="307">
        <v>50</v>
      </c>
    </row>
    <row r="49" spans="1:5" x14ac:dyDescent="0.2">
      <c r="A49" s="131" t="s">
        <v>1569</v>
      </c>
      <c r="B49" s="145"/>
      <c r="C49" s="145"/>
      <c r="D49" s="145">
        <v>445500</v>
      </c>
      <c r="E49" s="307"/>
    </row>
    <row r="50" spans="1:5" x14ac:dyDescent="0.2">
      <c r="A50" s="131" t="s">
        <v>1811</v>
      </c>
      <c r="B50" s="145"/>
      <c r="C50" s="145"/>
      <c r="D50" s="145">
        <v>5000</v>
      </c>
      <c r="E50" s="307"/>
    </row>
    <row r="51" spans="1:5" x14ac:dyDescent="0.2">
      <c r="A51" s="131" t="s">
        <v>1991</v>
      </c>
      <c r="B51" s="145"/>
      <c r="C51" s="145"/>
      <c r="D51" s="145">
        <v>225000</v>
      </c>
      <c r="E51" s="307"/>
    </row>
    <row r="52" spans="1:5" x14ac:dyDescent="0.2">
      <c r="A52" s="131" t="s">
        <v>1808</v>
      </c>
      <c r="B52" s="145"/>
      <c r="C52" s="145"/>
      <c r="D52" s="145">
        <v>30000</v>
      </c>
      <c r="E52" s="307"/>
    </row>
    <row r="53" spans="1:5" x14ac:dyDescent="0.2">
      <c r="A53" s="131" t="s">
        <v>3164</v>
      </c>
      <c r="B53" s="145"/>
      <c r="C53" s="145"/>
      <c r="D53" s="145">
        <v>25000</v>
      </c>
      <c r="E53" s="307"/>
    </row>
    <row r="54" spans="1:5" x14ac:dyDescent="0.2">
      <c r="A54" s="131" t="s">
        <v>3165</v>
      </c>
      <c r="B54" s="145"/>
      <c r="C54" s="145"/>
      <c r="D54" s="145"/>
      <c r="E54" s="307"/>
    </row>
    <row r="55" spans="1:5" x14ac:dyDescent="0.2">
      <c r="A55" s="131" t="s">
        <v>1175</v>
      </c>
      <c r="B55" s="145">
        <v>33563</v>
      </c>
      <c r="C55" s="145"/>
      <c r="D55" s="145"/>
      <c r="E55" s="307"/>
    </row>
    <row r="56" spans="1:5" ht="16" thickBot="1" x14ac:dyDescent="0.25">
      <c r="A56" s="131" t="s">
        <v>1573</v>
      </c>
      <c r="B56" s="187">
        <v>12000</v>
      </c>
      <c r="C56" s="187"/>
      <c r="D56" s="187">
        <v>45563</v>
      </c>
      <c r="E56" s="444"/>
    </row>
    <row r="57" spans="1:5" ht="16" thickBot="1" x14ac:dyDescent="0.25">
      <c r="A57" s="489" t="s">
        <v>2764</v>
      </c>
      <c r="B57" s="493"/>
      <c r="C57" s="493"/>
      <c r="D57" s="448">
        <v>698794</v>
      </c>
      <c r="E57" s="449">
        <v>50</v>
      </c>
    </row>
    <row r="58" spans="1:5" x14ac:dyDescent="0.2">
      <c r="A58" s="622"/>
      <c r="B58" s="623"/>
      <c r="C58" s="623"/>
      <c r="D58" s="138">
        <f>+D48+D49+D50+D51+D52+D53-B55-B56</f>
        <v>698794</v>
      </c>
      <c r="E58" s="138">
        <f>+E48+E49+E50+E51+E52+E53-C55-C56</f>
        <v>50</v>
      </c>
    </row>
    <row r="59" spans="1:5" x14ac:dyDescent="0.2">
      <c r="A59" s="588" t="s">
        <v>3166</v>
      </c>
      <c r="B59" s="589"/>
      <c r="C59" s="589"/>
      <c r="D59" s="145">
        <v>3555000</v>
      </c>
      <c r="E59" s="307"/>
    </row>
    <row r="60" spans="1:5" ht="16" thickBot="1" x14ac:dyDescent="0.25">
      <c r="A60" s="940" t="s">
        <v>3167</v>
      </c>
      <c r="B60" s="941"/>
      <c r="C60" s="941"/>
      <c r="D60" s="187">
        <v>698794</v>
      </c>
      <c r="E60" s="444">
        <v>50</v>
      </c>
    </row>
    <row r="61" spans="1:5" x14ac:dyDescent="0.2">
      <c r="A61" s="107"/>
      <c r="B61" s="107"/>
      <c r="C61" s="107"/>
      <c r="D61" s="107"/>
      <c r="E61" s="107"/>
    </row>
    <row r="62" spans="1:5" x14ac:dyDescent="0.2">
      <c r="A62" s="107"/>
      <c r="B62" s="107"/>
      <c r="C62" s="107"/>
      <c r="D62" s="107"/>
      <c r="E62" s="107"/>
    </row>
    <row r="63" spans="1:5" x14ac:dyDescent="0.2">
      <c r="A63" s="107"/>
      <c r="B63" s="107"/>
      <c r="C63" s="107"/>
      <c r="D63" s="107"/>
      <c r="E63" s="107"/>
    </row>
    <row r="64" spans="1:5" x14ac:dyDescent="0.2">
      <c r="A64" s="526" t="s">
        <v>1182</v>
      </c>
      <c r="B64" s="107"/>
      <c r="C64" s="107"/>
      <c r="D64" s="107"/>
      <c r="E64" s="107"/>
    </row>
    <row r="65" spans="1:5" ht="40.25" customHeight="1" x14ac:dyDescent="0.2">
      <c r="A65" s="839" t="s">
        <v>3168</v>
      </c>
      <c r="B65" s="942"/>
      <c r="C65" s="942"/>
      <c r="D65" s="840"/>
      <c r="E65" s="107"/>
    </row>
    <row r="66" spans="1:5" ht="16" x14ac:dyDescent="0.2">
      <c r="A66" s="943" t="s">
        <v>3169</v>
      </c>
      <c r="B66" s="944"/>
      <c r="C66" s="944"/>
      <c r="D66" s="945"/>
      <c r="E66" s="107"/>
    </row>
    <row r="67" spans="1:5" x14ac:dyDescent="0.2">
      <c r="A67" s="494" t="s">
        <v>3170</v>
      </c>
      <c r="B67" s="495"/>
      <c r="C67" s="495"/>
      <c r="D67" s="550"/>
      <c r="E67" s="107"/>
    </row>
    <row r="68" spans="1:5" x14ac:dyDescent="0.2">
      <c r="A68" s="131" t="s">
        <v>3171</v>
      </c>
      <c r="B68" s="145">
        <v>2089065</v>
      </c>
      <c r="C68" s="145">
        <v>81</v>
      </c>
      <c r="D68" s="133">
        <v>0.5</v>
      </c>
      <c r="E68" s="107"/>
    </row>
    <row r="69" spans="1:5" ht="16" thickBot="1" x14ac:dyDescent="0.25">
      <c r="A69" s="131" t="s">
        <v>3172</v>
      </c>
      <c r="B69" s="187">
        <v>149611</v>
      </c>
      <c r="C69" s="187">
        <v>41</v>
      </c>
      <c r="D69" s="189">
        <v>0.25</v>
      </c>
      <c r="E69" s="107"/>
    </row>
    <row r="70" spans="1:5" x14ac:dyDescent="0.2">
      <c r="A70" s="131" t="s">
        <v>3173</v>
      </c>
      <c r="B70" s="145">
        <v>1939454</v>
      </c>
      <c r="C70" s="145">
        <v>40</v>
      </c>
      <c r="D70" s="133">
        <v>0.25</v>
      </c>
      <c r="E70" s="107"/>
    </row>
    <row r="71" spans="1:5" ht="30" x14ac:dyDescent="0.2">
      <c r="A71" s="539" t="s">
        <v>3174</v>
      </c>
      <c r="B71" s="145">
        <v>1600000</v>
      </c>
      <c r="C71" s="145"/>
      <c r="D71" s="133"/>
      <c r="E71" s="107"/>
    </row>
    <row r="72" spans="1:5" x14ac:dyDescent="0.2">
      <c r="A72" s="131" t="s">
        <v>3175</v>
      </c>
      <c r="B72" s="145">
        <v>489065</v>
      </c>
      <c r="C72" s="145">
        <v>81</v>
      </c>
      <c r="D72" s="133">
        <v>0.5</v>
      </c>
      <c r="E72" s="107"/>
    </row>
    <row r="73" spans="1:5" x14ac:dyDescent="0.2">
      <c r="A73" s="131" t="s">
        <v>3176</v>
      </c>
      <c r="B73" s="145"/>
      <c r="C73" s="145"/>
      <c r="D73" s="133"/>
      <c r="E73" s="107"/>
    </row>
    <row r="74" spans="1:5" x14ac:dyDescent="0.2">
      <c r="A74" s="131" t="s">
        <v>3177</v>
      </c>
      <c r="B74" s="145">
        <v>2084827</v>
      </c>
      <c r="C74" s="145">
        <v>9</v>
      </c>
      <c r="D74" s="133"/>
      <c r="E74" s="107"/>
    </row>
    <row r="75" spans="1:5" ht="16" thickBot="1" x14ac:dyDescent="0.25">
      <c r="A75" s="131" t="s">
        <v>3178</v>
      </c>
      <c r="B75" s="187">
        <v>1543473</v>
      </c>
      <c r="C75" s="187">
        <v>70</v>
      </c>
      <c r="D75" s="189">
        <v>0.5</v>
      </c>
      <c r="E75" s="107"/>
    </row>
    <row r="76" spans="1:5" ht="16" thickBot="1" x14ac:dyDescent="0.25">
      <c r="A76" s="131" t="s">
        <v>3179</v>
      </c>
      <c r="B76" s="187">
        <v>541353</v>
      </c>
      <c r="C76" s="187">
        <v>38</v>
      </c>
      <c r="D76" s="189">
        <v>0.5</v>
      </c>
      <c r="E76" s="107"/>
    </row>
    <row r="77" spans="1:5" x14ac:dyDescent="0.2">
      <c r="A77" s="131" t="s">
        <v>3180</v>
      </c>
      <c r="B77" s="145">
        <v>1148668</v>
      </c>
      <c r="C77" s="145">
        <v>27</v>
      </c>
      <c r="D77" s="133">
        <v>0.25</v>
      </c>
      <c r="E77" s="107"/>
    </row>
    <row r="78" spans="1:5" x14ac:dyDescent="0.2">
      <c r="A78" s="131" t="s">
        <v>3181</v>
      </c>
      <c r="B78" s="145">
        <v>940397</v>
      </c>
      <c r="C78" s="145">
        <v>54</v>
      </c>
      <c r="D78" s="133">
        <v>0.25</v>
      </c>
      <c r="E78" s="107"/>
    </row>
    <row r="79" spans="1:5" x14ac:dyDescent="0.2">
      <c r="A79" s="131" t="s">
        <v>3182</v>
      </c>
      <c r="B79" s="145">
        <v>15182030</v>
      </c>
      <c r="C79" s="145">
        <v>913</v>
      </c>
      <c r="D79" s="133"/>
      <c r="E79" s="107"/>
    </row>
    <row r="80" spans="1:5" ht="16" thickBot="1" x14ac:dyDescent="0.25">
      <c r="A80" s="131" t="s">
        <v>3183</v>
      </c>
      <c r="B80" s="187">
        <v>12726491</v>
      </c>
      <c r="C80" s="187">
        <v>250</v>
      </c>
      <c r="D80" s="189"/>
      <c r="E80" s="107"/>
    </row>
    <row r="81" spans="1:5" x14ac:dyDescent="0.2">
      <c r="A81" s="131" t="s">
        <v>3184</v>
      </c>
      <c r="B81" s="145">
        <v>2455539</v>
      </c>
      <c r="C81" s="145">
        <v>663</v>
      </c>
      <c r="D81" s="133"/>
      <c r="E81" s="107"/>
    </row>
    <row r="82" spans="1:5" ht="46" thickBot="1" x14ac:dyDescent="0.25">
      <c r="A82" s="539" t="s">
        <v>3185</v>
      </c>
      <c r="B82" s="187">
        <v>114343</v>
      </c>
      <c r="C82" s="187">
        <v>750</v>
      </c>
      <c r="D82" s="189"/>
      <c r="E82" s="107"/>
    </row>
    <row r="83" spans="1:5" x14ac:dyDescent="0.2">
      <c r="A83" s="230" t="s">
        <v>3186</v>
      </c>
      <c r="B83" s="309">
        <v>2569883</v>
      </c>
      <c r="C83" s="309">
        <v>663</v>
      </c>
      <c r="D83" s="231"/>
      <c r="E83" s="107"/>
    </row>
    <row r="84" spans="1:5" x14ac:dyDescent="0.2">
      <c r="A84" s="107"/>
      <c r="B84" s="107"/>
      <c r="C84" s="107"/>
      <c r="D84" s="107"/>
      <c r="E84" s="107"/>
    </row>
    <row r="85" spans="1:5" x14ac:dyDescent="0.2">
      <c r="A85" s="107"/>
      <c r="B85" s="107"/>
      <c r="C85" s="107"/>
      <c r="D85" s="107"/>
      <c r="E85" s="107"/>
    </row>
    <row r="86" spans="1:5" x14ac:dyDescent="0.2">
      <c r="A86" s="107"/>
      <c r="B86" s="107"/>
      <c r="C86" s="107"/>
      <c r="D86" s="107"/>
      <c r="E86" s="107"/>
    </row>
  </sheetData>
  <mergeCells count="15">
    <mergeCell ref="A65:D65"/>
    <mergeCell ref="A66:D66"/>
    <mergeCell ref="A67:D67"/>
    <mergeCell ref="A41:C41"/>
    <mergeCell ref="A42:C42"/>
    <mergeCell ref="A47:E47"/>
    <mergeCell ref="A57:C57"/>
    <mergeCell ref="A59:C59"/>
    <mergeCell ref="A60:C60"/>
    <mergeCell ref="A4:E4"/>
    <mergeCell ref="A5:C5"/>
    <mergeCell ref="A23:C23"/>
    <mergeCell ref="A31:C31"/>
    <mergeCell ref="A34:C34"/>
    <mergeCell ref="A37:C37"/>
  </mergeCells>
  <pageMargins left="0.7" right="0.7" top="0.75" bottom="0.75" header="0.3" footer="0.3"/>
  <legacy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0"/>
  <sheetViews>
    <sheetView workbookViewId="0">
      <selection activeCell="B1" sqref="B1"/>
    </sheetView>
  </sheetViews>
  <sheetFormatPr baseColWidth="10" defaultRowHeight="15" x14ac:dyDescent="0.2"/>
  <cols>
    <col min="1" max="1" width="44.1640625" style="106" customWidth="1"/>
    <col min="2" max="2" width="12.83203125" style="106" bestFit="1" customWidth="1"/>
    <col min="3" max="3" width="11.83203125" style="106" customWidth="1"/>
    <col min="4" max="4" width="14.83203125" style="106" customWidth="1"/>
    <col min="5" max="5" width="7.6640625" style="106" customWidth="1"/>
    <col min="6" max="6" width="13.1640625" style="106" customWidth="1"/>
    <col min="7" max="7" width="10.83203125" style="106"/>
    <col min="8" max="8" width="5.33203125" style="106" customWidth="1"/>
    <col min="9" max="9" width="7.83203125" style="106" customWidth="1"/>
    <col min="10" max="16384" width="10.83203125" style="106"/>
  </cols>
  <sheetData>
    <row r="1" spans="1:8" x14ac:dyDescent="0.2">
      <c r="A1" s="458" t="s">
        <v>3187</v>
      </c>
    </row>
    <row r="2" spans="1:8" x14ac:dyDescent="0.2">
      <c r="A2" s="107"/>
      <c r="B2" s="107"/>
      <c r="C2" s="107"/>
      <c r="D2" s="107"/>
      <c r="E2" s="107"/>
      <c r="F2" s="107"/>
      <c r="G2" s="107"/>
      <c r="H2" s="107"/>
    </row>
    <row r="3" spans="1:8" x14ac:dyDescent="0.2">
      <c r="A3" s="526" t="s">
        <v>1111</v>
      </c>
      <c r="B3" s="107"/>
      <c r="C3" s="107"/>
      <c r="D3" s="107"/>
      <c r="E3" s="107"/>
      <c r="F3" s="107"/>
      <c r="G3" s="107"/>
      <c r="H3" s="107"/>
    </row>
    <row r="4" spans="1:8" ht="30" customHeight="1" x14ac:dyDescent="0.2">
      <c r="A4" s="664" t="s">
        <v>3188</v>
      </c>
      <c r="B4" s="665"/>
      <c r="C4" s="665"/>
      <c r="D4" s="666"/>
      <c r="E4" s="107"/>
      <c r="F4" s="107"/>
      <c r="G4" s="107"/>
      <c r="H4" s="107"/>
    </row>
    <row r="5" spans="1:8" x14ac:dyDescent="0.2">
      <c r="A5" s="131" t="s">
        <v>1174</v>
      </c>
      <c r="B5" s="145">
        <v>1561082</v>
      </c>
      <c r="C5" s="145">
        <v>10</v>
      </c>
      <c r="D5" s="133"/>
      <c r="E5" s="107"/>
      <c r="F5" s="107"/>
      <c r="G5" s="107"/>
      <c r="H5" s="107"/>
    </row>
    <row r="6" spans="1:8" x14ac:dyDescent="0.2">
      <c r="A6" s="131" t="s">
        <v>3189</v>
      </c>
      <c r="B6" s="145">
        <v>770143</v>
      </c>
      <c r="C6" s="145">
        <v>48</v>
      </c>
      <c r="D6" s="133">
        <v>0.5</v>
      </c>
      <c r="E6" s="107"/>
      <c r="F6" s="107"/>
      <c r="G6" s="107"/>
      <c r="H6" s="107"/>
    </row>
    <row r="7" spans="1:8" x14ac:dyDescent="0.2">
      <c r="A7" s="131" t="s">
        <v>1811</v>
      </c>
      <c r="B7" s="145">
        <v>19865</v>
      </c>
      <c r="C7" s="145">
        <v>30</v>
      </c>
      <c r="D7" s="133"/>
      <c r="E7" s="107"/>
      <c r="F7" s="107"/>
      <c r="G7" s="107"/>
      <c r="H7" s="107"/>
    </row>
    <row r="8" spans="1:8" x14ac:dyDescent="0.2">
      <c r="A8" s="131" t="s">
        <v>1991</v>
      </c>
      <c r="B8" s="145">
        <v>187500</v>
      </c>
      <c r="C8" s="145"/>
      <c r="D8" s="133"/>
      <c r="E8" s="107"/>
      <c r="F8" s="107"/>
      <c r="G8" s="107"/>
      <c r="H8" s="107"/>
    </row>
    <row r="9" spans="1:8" x14ac:dyDescent="0.2">
      <c r="A9" s="131" t="s">
        <v>1175</v>
      </c>
      <c r="B9" s="145">
        <v>52941</v>
      </c>
      <c r="C9" s="145">
        <v>85</v>
      </c>
      <c r="D9" s="133"/>
      <c r="E9" s="107"/>
      <c r="F9" s="107"/>
      <c r="G9" s="107"/>
      <c r="H9" s="107"/>
    </row>
    <row r="10" spans="1:8" x14ac:dyDescent="0.2">
      <c r="A10" s="131" t="s">
        <v>3190</v>
      </c>
      <c r="B10" s="145">
        <v>24759</v>
      </c>
      <c r="C10" s="145">
        <v>15</v>
      </c>
      <c r="D10" s="133"/>
      <c r="E10" s="107"/>
      <c r="F10" s="107"/>
      <c r="G10" s="107"/>
      <c r="H10" s="107"/>
    </row>
    <row r="11" spans="1:8" x14ac:dyDescent="0.2">
      <c r="A11" s="131" t="s">
        <v>3191</v>
      </c>
      <c r="B11" s="145">
        <v>37271</v>
      </c>
      <c r="C11" s="145">
        <v>50</v>
      </c>
      <c r="D11" s="133"/>
      <c r="E11" s="107"/>
      <c r="F11" s="107"/>
      <c r="G11" s="107"/>
      <c r="H11" s="107"/>
    </row>
    <row r="12" spans="1:8" x14ac:dyDescent="0.2">
      <c r="A12" s="131" t="s">
        <v>3192</v>
      </c>
      <c r="B12" s="145">
        <v>15673</v>
      </c>
      <c r="C12" s="145">
        <v>88</v>
      </c>
      <c r="D12" s="133"/>
      <c r="E12" s="107"/>
      <c r="F12" s="107"/>
      <c r="G12" s="107"/>
      <c r="H12" s="107"/>
    </row>
    <row r="13" spans="1:8" x14ac:dyDescent="0.2">
      <c r="A13" s="131" t="s">
        <v>3193</v>
      </c>
      <c r="B13" s="145">
        <v>738114</v>
      </c>
      <c r="C13" s="145"/>
      <c r="D13" s="133"/>
      <c r="E13" s="107"/>
      <c r="F13" s="107"/>
      <c r="G13" s="107"/>
      <c r="H13" s="107"/>
    </row>
    <row r="14" spans="1:8" x14ac:dyDescent="0.2">
      <c r="A14" s="131" t="s">
        <v>3194</v>
      </c>
      <c r="B14" s="145">
        <v>1223</v>
      </c>
      <c r="C14" s="145">
        <v>75</v>
      </c>
      <c r="D14" s="133"/>
      <c r="E14" s="107"/>
      <c r="F14" s="946"/>
      <c r="G14" s="107"/>
      <c r="H14" s="107"/>
    </row>
    <row r="15" spans="1:8" x14ac:dyDescent="0.2">
      <c r="A15" s="131" t="s">
        <v>1992</v>
      </c>
      <c r="B15" s="145">
        <v>151169</v>
      </c>
      <c r="C15" s="145">
        <v>17</v>
      </c>
      <c r="D15" s="133">
        <v>0.5</v>
      </c>
      <c r="E15" s="107"/>
      <c r="F15" s="107"/>
      <c r="G15" s="107"/>
      <c r="H15" s="107"/>
    </row>
    <row r="16" spans="1:8" x14ac:dyDescent="0.2">
      <c r="A16" s="131" t="s">
        <v>3195</v>
      </c>
      <c r="B16" s="145">
        <v>1926</v>
      </c>
      <c r="C16" s="145">
        <v>37</v>
      </c>
      <c r="D16" s="133">
        <v>0.5</v>
      </c>
      <c r="E16" s="107"/>
      <c r="F16" s="107"/>
      <c r="G16" s="107"/>
      <c r="H16" s="107"/>
    </row>
    <row r="17" spans="1:8" ht="16" thickBot="1" x14ac:dyDescent="0.25">
      <c r="A17" s="131" t="s">
        <v>2763</v>
      </c>
      <c r="B17" s="187">
        <v>8909</v>
      </c>
      <c r="C17" s="187">
        <v>65</v>
      </c>
      <c r="D17" s="189"/>
      <c r="E17" s="107"/>
      <c r="F17" s="107"/>
      <c r="G17" s="107"/>
      <c r="H17" s="107"/>
    </row>
    <row r="18" spans="1:8" x14ac:dyDescent="0.2">
      <c r="A18" s="794" t="s">
        <v>3196</v>
      </c>
      <c r="B18" s="309">
        <v>3570580</v>
      </c>
      <c r="C18" s="309">
        <v>21</v>
      </c>
      <c r="D18" s="231">
        <v>0.5</v>
      </c>
      <c r="E18" s="107"/>
      <c r="F18" s="107"/>
      <c r="G18" s="107"/>
      <c r="H18" s="107"/>
    </row>
    <row r="19" spans="1:8" x14ac:dyDescent="0.2">
      <c r="A19" s="107"/>
      <c r="B19" s="321">
        <f>+SUM(B5:B17)+C19/8</f>
        <v>3570640</v>
      </c>
      <c r="C19" s="321">
        <f>+SUM(C5:C17)</f>
        <v>520</v>
      </c>
      <c r="D19" s="139">
        <f>+SUM(D5:D17)</f>
        <v>1.5</v>
      </c>
      <c r="E19" s="107"/>
      <c r="F19" s="107"/>
      <c r="G19" s="107"/>
      <c r="H19" s="107"/>
    </row>
    <row r="20" spans="1:8" x14ac:dyDescent="0.2">
      <c r="A20" s="107"/>
      <c r="B20" s="107"/>
      <c r="C20" s="107"/>
      <c r="D20" s="107"/>
      <c r="E20" s="107"/>
      <c r="F20" s="107"/>
      <c r="G20" s="107"/>
      <c r="H20" s="107"/>
    </row>
    <row r="21" spans="1:8" x14ac:dyDescent="0.2">
      <c r="A21" s="107"/>
      <c r="B21" s="107"/>
      <c r="C21" s="107"/>
      <c r="D21" s="107"/>
      <c r="E21" s="107"/>
      <c r="F21" s="107"/>
      <c r="G21" s="107"/>
      <c r="H21" s="107"/>
    </row>
    <row r="22" spans="1:8" x14ac:dyDescent="0.2">
      <c r="A22" s="526" t="s">
        <v>1428</v>
      </c>
      <c r="B22" s="107"/>
      <c r="C22" s="107"/>
      <c r="D22" s="107"/>
      <c r="E22" s="107"/>
      <c r="F22" s="107"/>
      <c r="G22" s="107"/>
      <c r="H22" s="107"/>
    </row>
    <row r="23" spans="1:8" ht="29" customHeight="1" x14ac:dyDescent="0.2">
      <c r="A23" s="613" t="s">
        <v>3197</v>
      </c>
      <c r="B23" s="615"/>
      <c r="C23" s="107"/>
      <c r="D23" s="107"/>
      <c r="E23" s="107"/>
      <c r="F23" s="107"/>
      <c r="G23" s="107"/>
      <c r="H23" s="107"/>
    </row>
    <row r="24" spans="1:8" x14ac:dyDescent="0.2">
      <c r="A24" s="131" t="s">
        <v>1174</v>
      </c>
      <c r="B24" s="307">
        <v>1600000</v>
      </c>
      <c r="C24" s="107"/>
      <c r="D24" s="107"/>
      <c r="E24" s="107"/>
      <c r="F24" s="107"/>
      <c r="G24" s="107"/>
      <c r="H24" s="107"/>
    </row>
    <row r="25" spans="1:8" x14ac:dyDescent="0.2">
      <c r="A25" s="131" t="s">
        <v>1569</v>
      </c>
      <c r="B25" s="307">
        <v>780000</v>
      </c>
      <c r="C25" s="107"/>
      <c r="D25" s="107"/>
      <c r="E25" s="107"/>
      <c r="F25" s="107"/>
      <c r="G25" s="107"/>
      <c r="H25" s="107"/>
    </row>
    <row r="26" spans="1:8" x14ac:dyDescent="0.2">
      <c r="A26" s="131" t="s">
        <v>1991</v>
      </c>
      <c r="B26" s="307">
        <v>250000</v>
      </c>
      <c r="C26" s="107"/>
      <c r="D26" s="107"/>
      <c r="E26" s="107"/>
      <c r="F26" s="107"/>
      <c r="G26" s="107"/>
      <c r="H26" s="107"/>
    </row>
    <row r="27" spans="1:8" x14ac:dyDescent="0.2">
      <c r="A27" s="131" t="s">
        <v>1175</v>
      </c>
      <c r="B27" s="307">
        <v>60000</v>
      </c>
      <c r="C27" s="107"/>
      <c r="D27" s="107"/>
      <c r="E27" s="107"/>
      <c r="F27" s="107"/>
      <c r="G27" s="107"/>
      <c r="H27" s="107"/>
    </row>
    <row r="28" spans="1:8" x14ac:dyDescent="0.2">
      <c r="A28" s="131" t="s">
        <v>3195</v>
      </c>
      <c r="B28" s="307">
        <v>5000</v>
      </c>
      <c r="C28" s="107"/>
      <c r="D28" s="107"/>
      <c r="E28" s="107"/>
      <c r="F28" s="107"/>
      <c r="G28" s="107"/>
      <c r="H28" s="107"/>
    </row>
    <row r="29" spans="1:8" x14ac:dyDescent="0.2">
      <c r="A29" s="131" t="s">
        <v>1573</v>
      </c>
      <c r="B29" s="307">
        <v>40000</v>
      </c>
      <c r="C29" s="107"/>
      <c r="D29" s="107"/>
      <c r="E29" s="107"/>
      <c r="F29" s="107"/>
      <c r="G29" s="107"/>
      <c r="H29" s="107"/>
    </row>
    <row r="30" spans="1:8" x14ac:dyDescent="0.2">
      <c r="A30" s="131" t="s">
        <v>1808</v>
      </c>
      <c r="B30" s="307">
        <v>25000</v>
      </c>
      <c r="C30" s="107"/>
      <c r="D30" s="107"/>
      <c r="E30" s="107"/>
      <c r="F30" s="107"/>
      <c r="G30" s="107"/>
      <c r="H30" s="107"/>
    </row>
    <row r="31" spans="1:8" x14ac:dyDescent="0.2">
      <c r="A31" s="131" t="s">
        <v>3198</v>
      </c>
      <c r="B31" s="307">
        <v>16000</v>
      </c>
      <c r="C31" s="107"/>
      <c r="D31" s="107"/>
      <c r="E31" s="107"/>
      <c r="F31" s="107"/>
      <c r="G31" s="107"/>
      <c r="H31" s="107"/>
    </row>
    <row r="32" spans="1:8" ht="16" thickBot="1" x14ac:dyDescent="0.25">
      <c r="A32" s="794" t="s">
        <v>3199</v>
      </c>
      <c r="B32" s="363">
        <v>2775000</v>
      </c>
      <c r="C32" s="107"/>
      <c r="D32" s="107"/>
      <c r="E32" s="107"/>
      <c r="F32" s="107"/>
      <c r="G32" s="107"/>
      <c r="H32" s="107"/>
    </row>
    <row r="33" spans="1:9" ht="16" thickTop="1" x14ac:dyDescent="0.2">
      <c r="A33" s="107"/>
      <c r="B33" s="477">
        <f>+SUM(B24:B31)</f>
        <v>2776000</v>
      </c>
      <c r="C33" s="107"/>
      <c r="D33" s="107"/>
      <c r="E33" s="107"/>
      <c r="F33" s="107"/>
      <c r="G33" s="107"/>
      <c r="H33" s="107"/>
    </row>
    <row r="34" spans="1:9" x14ac:dyDescent="0.2">
      <c r="A34" s="107"/>
      <c r="B34" s="107"/>
      <c r="C34" s="107"/>
      <c r="D34" s="107"/>
      <c r="E34" s="107"/>
      <c r="F34" s="107"/>
      <c r="G34" s="107"/>
      <c r="H34" s="107"/>
    </row>
    <row r="35" spans="1:9" x14ac:dyDescent="0.2">
      <c r="A35" s="107"/>
      <c r="B35" s="107"/>
      <c r="C35" s="107"/>
      <c r="D35" s="107"/>
      <c r="E35" s="107"/>
      <c r="F35" s="107"/>
      <c r="G35" s="107"/>
      <c r="H35" s="107"/>
    </row>
    <row r="36" spans="1:9" x14ac:dyDescent="0.2">
      <c r="A36" s="526" t="s">
        <v>1182</v>
      </c>
      <c r="B36" s="107"/>
      <c r="C36" s="107"/>
      <c r="D36" s="107"/>
      <c r="E36" s="107"/>
      <c r="F36" s="107"/>
      <c r="G36" s="107"/>
      <c r="H36" s="107"/>
    </row>
    <row r="37" spans="1:9" ht="27" customHeight="1" x14ac:dyDescent="0.2">
      <c r="A37" s="782" t="s">
        <v>3200</v>
      </c>
      <c r="B37" s="783"/>
      <c r="C37" s="783"/>
      <c r="D37" s="783"/>
      <c r="E37" s="783"/>
      <c r="F37" s="783"/>
      <c r="G37" s="783"/>
      <c r="H37" s="784"/>
    </row>
    <row r="38" spans="1:9" ht="41.5" customHeight="1" x14ac:dyDescent="0.2">
      <c r="A38" s="240" t="s">
        <v>3201</v>
      </c>
      <c r="B38" s="947" t="s">
        <v>2637</v>
      </c>
      <c r="C38" s="608" t="s">
        <v>3202</v>
      </c>
      <c r="D38" s="609"/>
      <c r="E38" s="778" t="s">
        <v>3203</v>
      </c>
      <c r="F38" s="609"/>
      <c r="G38" s="608" t="s">
        <v>3204</v>
      </c>
      <c r="H38" s="609"/>
    </row>
    <row r="39" spans="1:9" x14ac:dyDescent="0.2">
      <c r="A39" s="131">
        <v>1793</v>
      </c>
      <c r="B39" s="131">
        <v>14500000</v>
      </c>
      <c r="C39" s="131" t="s">
        <v>3205</v>
      </c>
      <c r="D39" s="307">
        <v>7132000000</v>
      </c>
      <c r="E39" s="145" t="s">
        <v>3205</v>
      </c>
      <c r="F39" s="307">
        <v>1069000000</v>
      </c>
      <c r="G39" s="145">
        <v>73</v>
      </c>
      <c r="H39" s="307">
        <v>78</v>
      </c>
      <c r="I39" s="948">
        <f>+F39/B39</f>
        <v>73.724137931034477</v>
      </c>
    </row>
    <row r="40" spans="1:9" x14ac:dyDescent="0.2">
      <c r="A40" s="131">
        <v>1800</v>
      </c>
      <c r="B40" s="131">
        <v>16000000</v>
      </c>
      <c r="C40" s="131" t="s">
        <v>3206</v>
      </c>
      <c r="D40" s="307">
        <v>8753000000</v>
      </c>
      <c r="E40" s="145" t="s">
        <v>3206</v>
      </c>
      <c r="F40" s="307">
        <v>1313000000</v>
      </c>
      <c r="G40" s="145">
        <v>82</v>
      </c>
      <c r="H40" s="307">
        <v>6</v>
      </c>
      <c r="I40" s="949">
        <f t="shared" ref="I40:I48" si="0">+F40/B40</f>
        <v>82.0625</v>
      </c>
    </row>
    <row r="41" spans="1:9" x14ac:dyDescent="0.2">
      <c r="A41" s="131">
        <v>1812</v>
      </c>
      <c r="B41" s="131">
        <v>18000000</v>
      </c>
      <c r="C41" s="131" t="s">
        <v>3207</v>
      </c>
      <c r="D41" s="307">
        <v>10212000000</v>
      </c>
      <c r="E41" s="145" t="s">
        <v>3207</v>
      </c>
      <c r="F41" s="307">
        <v>1531000000</v>
      </c>
      <c r="G41" s="145">
        <v>85</v>
      </c>
      <c r="H41" s="307">
        <v>10</v>
      </c>
      <c r="I41" s="948">
        <f t="shared" si="0"/>
        <v>85.055555555555557</v>
      </c>
    </row>
    <row r="42" spans="1:9" x14ac:dyDescent="0.2">
      <c r="A42" s="131">
        <v>1816</v>
      </c>
      <c r="B42" s="131">
        <v>19275000</v>
      </c>
      <c r="C42" s="131" t="s">
        <v>3208</v>
      </c>
      <c r="D42" s="307">
        <v>10400000000</v>
      </c>
      <c r="E42" s="145" t="s">
        <v>3208</v>
      </c>
      <c r="F42" s="307">
        <v>1560000000</v>
      </c>
      <c r="G42" s="145">
        <v>80</v>
      </c>
      <c r="H42" s="307">
        <v>90</v>
      </c>
      <c r="I42" s="948">
        <f t="shared" si="0"/>
        <v>80.933852140077818</v>
      </c>
    </row>
    <row r="43" spans="1:9" x14ac:dyDescent="0.2">
      <c r="A43" s="131">
        <v>1823</v>
      </c>
      <c r="B43" s="131">
        <v>21193000</v>
      </c>
      <c r="C43" s="131" t="s">
        <v>3209</v>
      </c>
      <c r="D43" s="307">
        <v>10698000000</v>
      </c>
      <c r="E43" s="145" t="s">
        <v>3209</v>
      </c>
      <c r="F43" s="307">
        <v>1702000000</v>
      </c>
      <c r="G43" s="145">
        <v>80</v>
      </c>
      <c r="H43" s="307">
        <v>31</v>
      </c>
      <c r="I43" s="949">
        <f t="shared" si="0"/>
        <v>80.309536167602516</v>
      </c>
    </row>
    <row r="44" spans="1:9" x14ac:dyDescent="0.2">
      <c r="A44" s="131">
        <v>1833</v>
      </c>
      <c r="B44" s="131">
        <v>24304000</v>
      </c>
      <c r="C44" s="131" t="s">
        <v>3210</v>
      </c>
      <c r="D44" s="307">
        <v>17199000000</v>
      </c>
      <c r="E44" s="145" t="s">
        <v>3210</v>
      </c>
      <c r="F44" s="307">
        <v>2503000000</v>
      </c>
      <c r="G44" s="145">
        <v>103</v>
      </c>
      <c r="H44" s="307"/>
      <c r="I44" s="949">
        <f t="shared" si="0"/>
        <v>102.98716260697827</v>
      </c>
    </row>
    <row r="45" spans="1:9" x14ac:dyDescent="0.2">
      <c r="A45" s="131">
        <v>1841</v>
      </c>
      <c r="B45" s="131">
        <v>27341000</v>
      </c>
      <c r="C45" s="131" t="s">
        <v>3211</v>
      </c>
      <c r="D45" s="307">
        <v>19452000000</v>
      </c>
      <c r="E45" s="145" t="s">
        <v>3211</v>
      </c>
      <c r="F45" s="307">
        <v>2188000000</v>
      </c>
      <c r="G45" s="145">
        <v>80</v>
      </c>
      <c r="H45" s="307">
        <v>92</v>
      </c>
      <c r="I45" s="948">
        <f t="shared" si="0"/>
        <v>80.026334077027172</v>
      </c>
    </row>
    <row r="46" spans="1:9" x14ac:dyDescent="0.2">
      <c r="A46" s="131">
        <v>1850</v>
      </c>
      <c r="B46" s="131">
        <v>27300000</v>
      </c>
      <c r="C46" s="131" t="s">
        <v>3212</v>
      </c>
      <c r="D46" s="307">
        <v>22564000000</v>
      </c>
      <c r="E46" s="145" t="s">
        <v>3212</v>
      </c>
      <c r="F46" s="307">
        <v>2450000000</v>
      </c>
      <c r="G46" s="145">
        <v>89</v>
      </c>
      <c r="H46" s="307">
        <v>74</v>
      </c>
      <c r="I46" s="949">
        <f t="shared" si="0"/>
        <v>89.743589743589737</v>
      </c>
    </row>
    <row r="47" spans="1:9" x14ac:dyDescent="0.2">
      <c r="A47" s="131">
        <v>1858</v>
      </c>
      <c r="B47" s="131">
        <v>29000000</v>
      </c>
      <c r="C47" s="131" t="s">
        <v>3213</v>
      </c>
      <c r="D47" s="307">
        <v>29178000000</v>
      </c>
      <c r="E47" s="145" t="s">
        <v>3213</v>
      </c>
      <c r="F47" s="307">
        <v>2917000000</v>
      </c>
      <c r="G47" s="145">
        <v>100</v>
      </c>
      <c r="H47" s="307">
        <v>61</v>
      </c>
      <c r="I47" s="948">
        <f t="shared" si="0"/>
        <v>100.58620689655173</v>
      </c>
    </row>
    <row r="48" spans="1:9" x14ac:dyDescent="0.2">
      <c r="A48" s="230">
        <v>1861</v>
      </c>
      <c r="B48" s="230">
        <v>29334000</v>
      </c>
      <c r="C48" s="230" t="s">
        <v>3214</v>
      </c>
      <c r="D48" s="364">
        <v>31512000000</v>
      </c>
      <c r="E48" s="309" t="s">
        <v>3214</v>
      </c>
      <c r="F48" s="364">
        <v>3151000000</v>
      </c>
      <c r="G48" s="309">
        <v>107</v>
      </c>
      <c r="H48" s="364">
        <v>42</v>
      </c>
      <c r="I48" s="949">
        <f t="shared" si="0"/>
        <v>107.41801322697212</v>
      </c>
    </row>
    <row r="49" spans="1:8" ht="33.5" customHeight="1" x14ac:dyDescent="0.2">
      <c r="A49" s="606" t="s">
        <v>3215</v>
      </c>
      <c r="B49" s="644"/>
      <c r="C49" s="644"/>
      <c r="D49" s="644"/>
      <c r="E49" s="644"/>
      <c r="F49" s="644"/>
      <c r="G49" s="644"/>
      <c r="H49" s="607"/>
    </row>
    <row r="50" spans="1:8" x14ac:dyDescent="0.2">
      <c r="A50" s="107"/>
      <c r="B50" s="107"/>
      <c r="C50" s="107"/>
      <c r="D50" s="107"/>
      <c r="E50" s="107"/>
      <c r="F50" s="107"/>
      <c r="G50" s="107"/>
      <c r="H50" s="107"/>
    </row>
    <row r="51" spans="1:8" x14ac:dyDescent="0.2">
      <c r="A51" s="107"/>
      <c r="B51" s="107"/>
      <c r="C51" s="107"/>
      <c r="D51" s="107"/>
      <c r="E51" s="107"/>
      <c r="F51" s="107"/>
      <c r="G51" s="107"/>
      <c r="H51" s="107"/>
    </row>
    <row r="52" spans="1:8" x14ac:dyDescent="0.2">
      <c r="A52" s="107"/>
      <c r="B52" s="107"/>
      <c r="C52" s="107"/>
      <c r="D52" s="107"/>
      <c r="E52" s="107"/>
      <c r="F52" s="107"/>
      <c r="G52" s="107"/>
      <c r="H52" s="107"/>
    </row>
    <row r="53" spans="1:8" x14ac:dyDescent="0.2">
      <c r="A53" s="526" t="s">
        <v>1226</v>
      </c>
      <c r="B53" s="107"/>
      <c r="C53" s="107"/>
      <c r="D53" s="107"/>
      <c r="E53" s="107"/>
      <c r="F53" s="107"/>
      <c r="G53" s="107"/>
      <c r="H53" s="107"/>
    </row>
    <row r="54" spans="1:8" ht="73.25" customHeight="1" x14ac:dyDescent="0.2">
      <c r="A54" s="811" t="s">
        <v>3216</v>
      </c>
      <c r="B54" s="950" t="s">
        <v>3217</v>
      </c>
      <c r="C54" s="951" t="s">
        <v>2335</v>
      </c>
      <c r="D54" s="950" t="s">
        <v>3218</v>
      </c>
      <c r="E54" s="107"/>
      <c r="F54" s="107"/>
      <c r="G54" s="107"/>
      <c r="H54" s="107"/>
    </row>
    <row r="55" spans="1:8" x14ac:dyDescent="0.2">
      <c r="A55" s="131" t="s">
        <v>3219</v>
      </c>
      <c r="B55" s="533">
        <v>3151000000</v>
      </c>
      <c r="C55" s="145">
        <v>360000000</v>
      </c>
      <c r="D55" s="716" t="s">
        <v>3220</v>
      </c>
      <c r="E55" s="952">
        <f>+C55/B55</f>
        <v>0.11424944462075531</v>
      </c>
      <c r="F55" s="107"/>
      <c r="G55" s="107"/>
      <c r="H55" s="107"/>
    </row>
    <row r="56" spans="1:8" x14ac:dyDescent="0.2">
      <c r="A56" s="131" t="s">
        <v>3221</v>
      </c>
      <c r="B56" s="533">
        <v>4800000000</v>
      </c>
      <c r="C56" s="145">
        <v>411000000</v>
      </c>
      <c r="D56" s="533" t="s">
        <v>2573</v>
      </c>
      <c r="E56" s="952">
        <f>+C56/B56</f>
        <v>8.5625000000000007E-2</v>
      </c>
      <c r="F56" s="107"/>
      <c r="G56" s="107"/>
      <c r="H56" s="107"/>
    </row>
    <row r="57" spans="1:8" x14ac:dyDescent="0.2">
      <c r="A57" s="230" t="s">
        <v>3222</v>
      </c>
      <c r="B57" s="535">
        <v>128000000</v>
      </c>
      <c r="C57" s="309">
        <v>2650000</v>
      </c>
      <c r="D57" s="535" t="s">
        <v>2575</v>
      </c>
      <c r="E57" s="952">
        <f>+C57/B57</f>
        <v>2.0703124999999999E-2</v>
      </c>
      <c r="F57" s="107"/>
      <c r="G57" s="107"/>
      <c r="H57" s="107"/>
    </row>
    <row r="58" spans="1:8" x14ac:dyDescent="0.2">
      <c r="A58" s="107"/>
      <c r="B58" s="107"/>
      <c r="C58" s="107"/>
      <c r="D58" s="107"/>
      <c r="E58" s="107"/>
      <c r="F58" s="107"/>
      <c r="G58" s="107"/>
      <c r="H58" s="107"/>
    </row>
    <row r="59" spans="1:8" x14ac:dyDescent="0.2">
      <c r="A59" s="107"/>
      <c r="B59" s="107"/>
      <c r="C59" s="107"/>
      <c r="D59" s="107"/>
      <c r="E59" s="107"/>
      <c r="F59" s="107"/>
      <c r="G59" s="107"/>
      <c r="H59" s="107"/>
    </row>
    <row r="60" spans="1:8" x14ac:dyDescent="0.2">
      <c r="A60" s="107"/>
      <c r="B60" s="107"/>
      <c r="C60" s="107"/>
      <c r="D60" s="107"/>
      <c r="E60" s="107"/>
      <c r="F60" s="107"/>
      <c r="G60" s="107"/>
      <c r="H60" s="107"/>
    </row>
    <row r="61" spans="1:8" x14ac:dyDescent="0.2">
      <c r="A61" s="526" t="s">
        <v>1272</v>
      </c>
      <c r="B61" s="107"/>
      <c r="C61" s="107"/>
      <c r="D61" s="107"/>
      <c r="E61" s="107"/>
      <c r="F61" s="107"/>
      <c r="G61" s="107"/>
      <c r="H61" s="107"/>
    </row>
    <row r="62" spans="1:8" ht="30.5" customHeight="1" x14ac:dyDescent="0.2">
      <c r="A62" s="953" t="s">
        <v>3223</v>
      </c>
      <c r="B62" s="954"/>
      <c r="C62" s="954"/>
      <c r="D62" s="955"/>
      <c r="E62" s="107"/>
      <c r="F62" s="107"/>
      <c r="G62" s="107"/>
      <c r="H62" s="107"/>
    </row>
    <row r="63" spans="1:8" ht="22.25" customHeight="1" x14ac:dyDescent="0.2">
      <c r="A63" s="131"/>
      <c r="B63" s="956" t="s">
        <v>3224</v>
      </c>
      <c r="C63" s="861" t="s">
        <v>3225</v>
      </c>
      <c r="D63" s="863"/>
      <c r="E63" s="107"/>
      <c r="F63" s="107"/>
      <c r="G63" s="107"/>
      <c r="H63" s="107"/>
    </row>
    <row r="64" spans="1:8" x14ac:dyDescent="0.2">
      <c r="A64" s="131" t="s">
        <v>3226</v>
      </c>
      <c r="B64" s="533">
        <v>1349303</v>
      </c>
      <c r="C64" s="131">
        <v>606186</v>
      </c>
      <c r="D64" s="307">
        <v>35</v>
      </c>
      <c r="E64" s="107"/>
      <c r="F64" s="107"/>
      <c r="G64" s="107"/>
      <c r="H64" s="107"/>
    </row>
    <row r="65" spans="1:8" x14ac:dyDescent="0.2">
      <c r="A65" s="131" t="s">
        <v>3227</v>
      </c>
      <c r="B65" s="533">
        <v>895068</v>
      </c>
      <c r="C65" s="131">
        <v>179013</v>
      </c>
      <c r="D65" s="307">
        <v>60</v>
      </c>
      <c r="E65" s="107"/>
      <c r="F65" s="107"/>
      <c r="G65" s="107"/>
      <c r="H65" s="107"/>
    </row>
    <row r="66" spans="1:8" x14ac:dyDescent="0.2">
      <c r="A66" s="131" t="s">
        <v>3228</v>
      </c>
      <c r="B66" s="533">
        <v>340298</v>
      </c>
      <c r="C66" s="131">
        <v>152134</v>
      </c>
      <c r="D66" s="307">
        <v>10</v>
      </c>
      <c r="E66" s="107"/>
      <c r="F66" s="107"/>
      <c r="G66" s="107"/>
      <c r="H66" s="107"/>
    </row>
    <row r="67" spans="1:8" x14ac:dyDescent="0.2">
      <c r="A67" s="131" t="s">
        <v>3229</v>
      </c>
      <c r="B67" s="533">
        <v>56528</v>
      </c>
      <c r="C67" s="131">
        <v>25437</v>
      </c>
      <c r="D67" s="307">
        <v>60</v>
      </c>
      <c r="E67" s="107"/>
      <c r="F67" s="107"/>
      <c r="G67" s="107"/>
      <c r="H67" s="107"/>
    </row>
    <row r="68" spans="1:8" x14ac:dyDescent="0.2">
      <c r="A68" s="131" t="s">
        <v>3230</v>
      </c>
      <c r="B68" s="533">
        <v>356324</v>
      </c>
      <c r="C68" s="131">
        <v>71264</v>
      </c>
      <c r="D68" s="307">
        <v>80</v>
      </c>
      <c r="E68" s="107"/>
      <c r="F68" s="107"/>
      <c r="G68" s="107"/>
      <c r="H68" s="107"/>
    </row>
    <row r="69" spans="1:8" x14ac:dyDescent="0.2">
      <c r="A69" s="131" t="s">
        <v>3231</v>
      </c>
      <c r="B69" s="533">
        <v>17885</v>
      </c>
      <c r="C69" s="131">
        <v>8048</v>
      </c>
      <c r="D69" s="307">
        <v>25</v>
      </c>
      <c r="E69" s="107"/>
      <c r="F69" s="107"/>
      <c r="G69" s="107"/>
      <c r="H69" s="107"/>
    </row>
    <row r="70" spans="1:8" x14ac:dyDescent="0.2">
      <c r="A70" s="131" t="s">
        <v>3232</v>
      </c>
      <c r="B70" s="533">
        <v>244864</v>
      </c>
      <c r="C70" s="131">
        <v>101188</v>
      </c>
      <c r="D70" s="307">
        <v>80</v>
      </c>
      <c r="E70" s="107"/>
      <c r="F70" s="107"/>
      <c r="G70" s="107"/>
      <c r="H70" s="107"/>
    </row>
    <row r="71" spans="1:8" x14ac:dyDescent="0.2">
      <c r="A71" s="794" t="s">
        <v>1341</v>
      </c>
      <c r="B71" s="808">
        <v>3260270</v>
      </c>
      <c r="C71" s="240">
        <v>1143273</v>
      </c>
      <c r="D71" s="513">
        <v>50</v>
      </c>
      <c r="E71" s="107"/>
      <c r="F71" s="107"/>
      <c r="G71" s="107"/>
      <c r="H71" s="107"/>
    </row>
    <row r="72" spans="1:8" x14ac:dyDescent="0.2">
      <c r="A72" s="107"/>
      <c r="B72" s="321">
        <f>+SUM(B64:B70)</f>
        <v>3260270</v>
      </c>
      <c r="C72" s="321">
        <f>+SUM(C64:C70)</f>
        <v>1143270</v>
      </c>
      <c r="D72" s="321">
        <f>+SUM(D64:D70)</f>
        <v>350</v>
      </c>
      <c r="E72" s="107"/>
      <c r="F72" s="107"/>
      <c r="G72" s="107"/>
      <c r="H72" s="107"/>
    </row>
    <row r="73" spans="1:8" x14ac:dyDescent="0.2">
      <c r="A73" s="107"/>
      <c r="B73" s="107"/>
      <c r="C73" s="107"/>
      <c r="D73" s="107"/>
      <c r="E73" s="107"/>
      <c r="F73" s="107"/>
      <c r="G73" s="107"/>
      <c r="H73" s="107"/>
    </row>
    <row r="74" spans="1:8" x14ac:dyDescent="0.2">
      <c r="A74" s="107"/>
      <c r="B74" s="107"/>
      <c r="C74" s="107"/>
      <c r="D74" s="107"/>
      <c r="E74" s="107"/>
      <c r="F74" s="107"/>
      <c r="G74" s="107"/>
      <c r="H74" s="107"/>
    </row>
    <row r="75" spans="1:8" x14ac:dyDescent="0.2">
      <c r="A75" s="526" t="s">
        <v>1342</v>
      </c>
      <c r="B75" s="107"/>
      <c r="C75" s="107"/>
      <c r="D75" s="107"/>
      <c r="E75" s="107"/>
      <c r="F75" s="107"/>
      <c r="G75" s="107"/>
      <c r="H75" s="107"/>
    </row>
    <row r="76" spans="1:8" ht="32.5" customHeight="1" x14ac:dyDescent="0.2">
      <c r="A76" s="875" t="s">
        <v>3233</v>
      </c>
      <c r="B76" s="876"/>
      <c r="C76" s="877"/>
      <c r="D76" s="107"/>
      <c r="E76" s="107"/>
      <c r="F76" s="107"/>
      <c r="G76" s="107"/>
      <c r="H76" s="107"/>
    </row>
    <row r="77" spans="1:8" x14ac:dyDescent="0.2">
      <c r="A77" s="622" t="s">
        <v>3234</v>
      </c>
      <c r="B77" s="131">
        <v>5850821</v>
      </c>
      <c r="C77" s="307">
        <v>19</v>
      </c>
      <c r="D77" s="107"/>
      <c r="E77" s="107"/>
      <c r="F77" s="107"/>
      <c r="G77" s="107"/>
      <c r="H77" s="107"/>
    </row>
    <row r="78" spans="1:8" x14ac:dyDescent="0.2">
      <c r="A78" s="723">
        <v>1862</v>
      </c>
      <c r="B78" s="131">
        <v>6287155</v>
      </c>
      <c r="C78" s="307">
        <v>26</v>
      </c>
      <c r="D78" s="107"/>
      <c r="E78" s="107"/>
      <c r="F78" s="107"/>
      <c r="G78" s="107"/>
      <c r="H78" s="107"/>
    </row>
    <row r="79" spans="1:8" x14ac:dyDescent="0.2">
      <c r="A79" s="723">
        <v>1863</v>
      </c>
      <c r="B79" s="131">
        <v>6700659</v>
      </c>
      <c r="C79" s="307">
        <v>27</v>
      </c>
      <c r="D79" s="107"/>
      <c r="E79" s="107"/>
      <c r="F79" s="107"/>
      <c r="G79" s="107"/>
      <c r="H79" s="107"/>
    </row>
    <row r="80" spans="1:8" x14ac:dyDescent="0.2">
      <c r="A80" s="723">
        <v>1864</v>
      </c>
      <c r="B80" s="131">
        <v>6574918</v>
      </c>
      <c r="C80" s="307">
        <v>31</v>
      </c>
      <c r="D80" s="107"/>
      <c r="E80" s="107"/>
      <c r="F80" s="107"/>
      <c r="G80" s="107"/>
      <c r="H80" s="107"/>
    </row>
    <row r="81" spans="1:8" x14ac:dyDescent="0.2">
      <c r="A81" s="723">
        <v>1865</v>
      </c>
      <c r="B81" s="131">
        <v>7301043</v>
      </c>
      <c r="C81" s="307">
        <v>87</v>
      </c>
      <c r="D81" s="107"/>
      <c r="E81" s="107"/>
      <c r="F81" s="107"/>
      <c r="G81" s="107"/>
      <c r="H81" s="107"/>
    </row>
    <row r="82" spans="1:8" x14ac:dyDescent="0.2">
      <c r="A82" s="723">
        <v>1866</v>
      </c>
      <c r="B82" s="131">
        <v>6197111</v>
      </c>
      <c r="C82" s="307">
        <v>74</v>
      </c>
      <c r="D82" s="107"/>
      <c r="E82" s="107"/>
      <c r="F82" s="107"/>
      <c r="G82" s="107"/>
      <c r="H82" s="107"/>
    </row>
    <row r="83" spans="1:8" x14ac:dyDescent="0.2">
      <c r="A83" s="723">
        <v>1867</v>
      </c>
      <c r="B83" s="131">
        <v>9756838</v>
      </c>
      <c r="C83" s="307">
        <v>3</v>
      </c>
      <c r="D83" s="107"/>
      <c r="E83" s="107"/>
      <c r="F83" s="107"/>
      <c r="G83" s="107"/>
      <c r="H83" s="107"/>
    </row>
    <row r="84" spans="1:8" x14ac:dyDescent="0.2">
      <c r="A84" s="723">
        <v>1868</v>
      </c>
      <c r="B84" s="131">
        <v>10694974</v>
      </c>
      <c r="C84" s="307">
        <v>4</v>
      </c>
      <c r="D84" s="107"/>
      <c r="E84" s="107"/>
      <c r="F84" s="107"/>
      <c r="G84" s="107"/>
      <c r="H84" s="107"/>
    </row>
    <row r="85" spans="1:8" x14ac:dyDescent="0.2">
      <c r="A85" s="723">
        <v>1869</v>
      </c>
      <c r="B85" s="131">
        <v>11484806</v>
      </c>
      <c r="C85" s="307">
        <v>75</v>
      </c>
      <c r="D85" s="107"/>
      <c r="E85" s="107"/>
      <c r="F85" s="107"/>
      <c r="G85" s="107"/>
      <c r="H85" s="107"/>
    </row>
    <row r="86" spans="1:8" x14ac:dyDescent="0.2">
      <c r="A86" s="957">
        <v>1870</v>
      </c>
      <c r="B86" s="230">
        <v>11537781</v>
      </c>
      <c r="C86" s="364">
        <v>42</v>
      </c>
      <c r="D86" s="107"/>
      <c r="E86" s="107"/>
      <c r="F86" s="107"/>
      <c r="G86" s="107"/>
      <c r="H86" s="107"/>
    </row>
    <row r="87" spans="1:8" x14ac:dyDescent="0.2">
      <c r="A87" s="107"/>
      <c r="B87" s="107"/>
      <c r="C87" s="107"/>
      <c r="D87" s="107"/>
      <c r="E87" s="107"/>
      <c r="F87" s="107"/>
      <c r="G87" s="107"/>
      <c r="H87" s="107"/>
    </row>
    <row r="88" spans="1:8" x14ac:dyDescent="0.2">
      <c r="A88" s="107"/>
      <c r="B88" s="107"/>
      <c r="C88" s="107"/>
      <c r="D88" s="107"/>
      <c r="E88" s="107"/>
      <c r="F88" s="107"/>
      <c r="G88" s="107"/>
      <c r="H88" s="107"/>
    </row>
    <row r="89" spans="1:8" x14ac:dyDescent="0.2">
      <c r="A89" s="107"/>
      <c r="B89" s="107"/>
      <c r="C89" s="107"/>
      <c r="D89" s="107"/>
      <c r="E89" s="107"/>
      <c r="F89" s="107"/>
      <c r="G89" s="107"/>
      <c r="H89" s="107"/>
    </row>
    <row r="90" spans="1:8" x14ac:dyDescent="0.2">
      <c r="A90" s="107"/>
      <c r="B90" s="107"/>
      <c r="C90" s="107"/>
      <c r="D90" s="107"/>
      <c r="E90" s="107"/>
      <c r="F90" s="107"/>
      <c r="G90" s="107"/>
      <c r="H90" s="107"/>
    </row>
  </sheetData>
  <mergeCells count="10">
    <mergeCell ref="A49:H49"/>
    <mergeCell ref="A62:D62"/>
    <mergeCell ref="C63:D63"/>
    <mergeCell ref="A76:C76"/>
    <mergeCell ref="A4:D4"/>
    <mergeCell ref="A23:B23"/>
    <mergeCell ref="A37:H37"/>
    <mergeCell ref="C38:D38"/>
    <mergeCell ref="E38:F38"/>
    <mergeCell ref="G38:H3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18"/>
  <sheetViews>
    <sheetView topLeftCell="A29" workbookViewId="0">
      <selection activeCell="B1" sqref="B1"/>
    </sheetView>
  </sheetViews>
  <sheetFormatPr baseColWidth="10" defaultRowHeight="15" x14ac:dyDescent="0.2"/>
  <cols>
    <col min="1" max="1" width="49.83203125" style="106" customWidth="1"/>
    <col min="2" max="2" width="11.83203125" style="106" bestFit="1" customWidth="1"/>
    <col min="3" max="3" width="6.83203125" style="106" customWidth="1"/>
    <col min="4" max="4" width="11.1640625" style="106" customWidth="1"/>
    <col min="5" max="5" width="6.1640625" style="106" customWidth="1"/>
    <col min="6" max="6" width="10.83203125" style="106"/>
    <col min="7" max="7" width="8.83203125" style="106" customWidth="1"/>
    <col min="8" max="8" width="10.83203125" style="106"/>
    <col min="9" max="9" width="5.83203125" style="106" customWidth="1"/>
    <col min="10" max="10" width="10.83203125" style="106"/>
    <col min="11" max="11" width="5.83203125" style="106" customWidth="1"/>
    <col min="12" max="12" width="10.83203125" style="106"/>
    <col min="13" max="13" width="5.6640625" style="106" customWidth="1"/>
    <col min="14" max="14" width="10.83203125" style="106"/>
    <col min="15" max="15" width="10.1640625" style="106" customWidth="1"/>
    <col min="16" max="16" width="10.83203125" style="106"/>
    <col min="17" max="17" width="6.1640625" style="106" customWidth="1"/>
    <col min="18" max="16384" width="10.83203125" style="106"/>
  </cols>
  <sheetData>
    <row r="1" spans="1:17" x14ac:dyDescent="0.2">
      <c r="A1" s="458" t="s">
        <v>3235</v>
      </c>
    </row>
    <row r="3" spans="1:17" x14ac:dyDescent="0.2">
      <c r="A3" s="113" t="s">
        <v>1111</v>
      </c>
    </row>
    <row r="4" spans="1:17" ht="32" customHeight="1" x14ac:dyDescent="0.2">
      <c r="A4" s="613" t="s">
        <v>3236</v>
      </c>
      <c r="B4" s="615"/>
      <c r="C4" s="107"/>
      <c r="D4" s="107"/>
      <c r="E4" s="107"/>
      <c r="F4" s="107"/>
      <c r="G4" s="107"/>
      <c r="H4" s="107"/>
      <c r="I4" s="107"/>
      <c r="J4" s="107"/>
      <c r="K4" s="107"/>
      <c r="L4" s="107"/>
      <c r="M4" s="107"/>
      <c r="N4" s="107"/>
      <c r="O4" s="107"/>
      <c r="P4" s="107"/>
      <c r="Q4" s="107"/>
    </row>
    <row r="5" spans="1:17" ht="30" x14ac:dyDescent="0.2">
      <c r="A5" s="539" t="s">
        <v>3237</v>
      </c>
      <c r="B5" s="307">
        <v>575400</v>
      </c>
      <c r="C5" s="107"/>
      <c r="D5" s="107"/>
      <c r="E5" s="107"/>
      <c r="F5" s="107"/>
      <c r="G5" s="107"/>
      <c r="H5" s="107"/>
      <c r="I5" s="107"/>
      <c r="J5" s="107"/>
      <c r="K5" s="107"/>
      <c r="L5" s="107"/>
      <c r="M5" s="107"/>
      <c r="N5" s="107"/>
      <c r="O5" s="107"/>
      <c r="P5" s="107"/>
      <c r="Q5" s="107"/>
    </row>
    <row r="6" spans="1:17" x14ac:dyDescent="0.2">
      <c r="A6" s="131" t="s">
        <v>3238</v>
      </c>
      <c r="B6" s="307">
        <v>971000</v>
      </c>
      <c r="C6" s="107"/>
      <c r="D6" s="107"/>
      <c r="E6" s="107"/>
      <c r="F6" s="107"/>
      <c r="G6" s="107"/>
      <c r="H6" s="107"/>
      <c r="I6" s="107"/>
      <c r="J6" s="107"/>
      <c r="K6" s="107"/>
      <c r="L6" s="107"/>
      <c r="M6" s="107"/>
      <c r="N6" s="107"/>
      <c r="O6" s="107"/>
      <c r="P6" s="107"/>
      <c r="Q6" s="107"/>
    </row>
    <row r="7" spans="1:17" x14ac:dyDescent="0.2">
      <c r="A7" s="131" t="s">
        <v>3239</v>
      </c>
      <c r="B7" s="307">
        <v>1262000</v>
      </c>
      <c r="C7" s="107"/>
      <c r="D7" s="107"/>
      <c r="E7" s="107"/>
      <c r="F7" s="107"/>
      <c r="G7" s="107"/>
      <c r="H7" s="107"/>
      <c r="I7" s="107"/>
      <c r="J7" s="107"/>
      <c r="K7" s="107"/>
      <c r="L7" s="107"/>
      <c r="M7" s="107"/>
      <c r="N7" s="107"/>
      <c r="O7" s="107"/>
      <c r="P7" s="107"/>
      <c r="Q7" s="107"/>
    </row>
    <row r="8" spans="1:17" x14ac:dyDescent="0.2">
      <c r="A8" s="131" t="s">
        <v>3240</v>
      </c>
      <c r="B8" s="307">
        <v>373000</v>
      </c>
      <c r="C8" s="107"/>
      <c r="D8" s="107"/>
      <c r="E8" s="107"/>
      <c r="F8" s="107"/>
      <c r="G8" s="107"/>
      <c r="H8" s="107"/>
      <c r="I8" s="107"/>
      <c r="J8" s="107"/>
      <c r="K8" s="107"/>
      <c r="L8" s="107"/>
      <c r="M8" s="107"/>
      <c r="N8" s="107"/>
      <c r="O8" s="107"/>
      <c r="P8" s="107"/>
      <c r="Q8" s="107"/>
    </row>
    <row r="9" spans="1:17" x14ac:dyDescent="0.2">
      <c r="A9" s="539" t="s">
        <v>3241</v>
      </c>
      <c r="B9" s="307">
        <v>69333</v>
      </c>
      <c r="C9" s="107"/>
      <c r="D9" s="107"/>
      <c r="E9" s="107"/>
      <c r="F9" s="107"/>
      <c r="G9" s="107"/>
      <c r="H9" s="107"/>
      <c r="I9" s="107"/>
      <c r="J9" s="107"/>
      <c r="K9" s="107"/>
      <c r="L9" s="107"/>
      <c r="M9" s="107"/>
      <c r="N9" s="107"/>
      <c r="O9" s="107"/>
      <c r="P9" s="107"/>
      <c r="Q9" s="107"/>
    </row>
    <row r="10" spans="1:17" ht="16" thickBot="1" x14ac:dyDescent="0.25">
      <c r="A10" s="794" t="s">
        <v>3242</v>
      </c>
      <c r="B10" s="363">
        <v>3250733</v>
      </c>
      <c r="C10" s="107"/>
      <c r="D10" s="107"/>
      <c r="E10" s="107"/>
      <c r="F10" s="107"/>
      <c r="G10" s="107"/>
      <c r="H10" s="107"/>
      <c r="I10" s="107"/>
      <c r="J10" s="107"/>
      <c r="K10" s="107"/>
      <c r="L10" s="107"/>
      <c r="M10" s="107"/>
      <c r="N10" s="107"/>
      <c r="O10" s="107"/>
      <c r="P10" s="107"/>
      <c r="Q10" s="107"/>
    </row>
    <row r="11" spans="1:17" ht="16" thickTop="1" x14ac:dyDescent="0.2">
      <c r="A11" s="622"/>
      <c r="B11" s="138">
        <f>+SUM(B5:B9)</f>
        <v>3250733</v>
      </c>
      <c r="C11" s="107"/>
      <c r="D11" s="107"/>
      <c r="E11" s="107"/>
      <c r="F11" s="107"/>
      <c r="G11" s="107"/>
      <c r="H11" s="107"/>
      <c r="I11" s="107"/>
      <c r="J11" s="107"/>
      <c r="K11" s="107"/>
      <c r="L11" s="107"/>
      <c r="M11" s="107"/>
      <c r="N11" s="107"/>
      <c r="O11" s="107"/>
      <c r="P11" s="107"/>
      <c r="Q11" s="107"/>
    </row>
    <row r="12" spans="1:17" x14ac:dyDescent="0.2">
      <c r="A12" s="140" t="s">
        <v>3243</v>
      </c>
      <c r="B12" s="107"/>
      <c r="C12" s="107"/>
      <c r="D12" s="107"/>
      <c r="E12" s="107"/>
      <c r="F12" s="107"/>
      <c r="G12" s="107"/>
      <c r="H12" s="107"/>
      <c r="I12" s="107"/>
      <c r="J12" s="107"/>
      <c r="K12" s="107"/>
      <c r="L12" s="107"/>
      <c r="M12" s="107"/>
      <c r="N12" s="107"/>
      <c r="O12" s="107"/>
      <c r="P12" s="107"/>
      <c r="Q12" s="107"/>
    </row>
    <row r="13" spans="1:17" x14ac:dyDescent="0.2">
      <c r="A13" s="140" t="s">
        <v>3244</v>
      </c>
      <c r="B13" s="107">
        <v>3400733</v>
      </c>
      <c r="C13" s="107"/>
      <c r="D13" s="107"/>
      <c r="E13" s="107"/>
      <c r="F13" s="107"/>
      <c r="G13" s="107"/>
      <c r="H13" s="107"/>
      <c r="I13" s="107"/>
      <c r="J13" s="107"/>
      <c r="K13" s="107"/>
      <c r="L13" s="107"/>
      <c r="M13" s="107"/>
      <c r="N13" s="107"/>
      <c r="O13" s="107"/>
      <c r="P13" s="107"/>
      <c r="Q13" s="107"/>
    </row>
    <row r="14" spans="1:17" x14ac:dyDescent="0.2">
      <c r="A14" s="140" t="s">
        <v>3245</v>
      </c>
      <c r="B14" s="107">
        <v>3250733</v>
      </c>
      <c r="C14" s="107"/>
      <c r="D14" s="107"/>
      <c r="E14" s="107"/>
      <c r="F14" s="107"/>
      <c r="G14" s="107"/>
      <c r="H14" s="107"/>
      <c r="I14" s="107"/>
      <c r="J14" s="107"/>
      <c r="K14" s="107"/>
      <c r="L14" s="107"/>
      <c r="M14" s="107"/>
      <c r="N14" s="107"/>
      <c r="O14" s="107"/>
      <c r="P14" s="107"/>
      <c r="Q14" s="107"/>
    </row>
    <row r="15" spans="1:17" ht="16" thickBot="1" x14ac:dyDescent="0.25">
      <c r="A15" s="897" t="s">
        <v>3246</v>
      </c>
      <c r="B15" s="362">
        <v>150000</v>
      </c>
      <c r="C15" s="107"/>
      <c r="D15" s="107"/>
      <c r="E15" s="107"/>
      <c r="F15" s="107"/>
      <c r="G15" s="107"/>
      <c r="H15" s="107"/>
      <c r="I15" s="107"/>
      <c r="J15" s="107"/>
      <c r="K15" s="107"/>
      <c r="L15" s="107"/>
      <c r="M15" s="107"/>
      <c r="N15" s="107"/>
      <c r="O15" s="107"/>
      <c r="P15" s="107"/>
      <c r="Q15" s="107"/>
    </row>
    <row r="16" spans="1:17" ht="16" thickTop="1" x14ac:dyDescent="0.2">
      <c r="A16" s="107"/>
      <c r="B16" s="107"/>
      <c r="C16" s="107"/>
      <c r="D16" s="107"/>
      <c r="E16" s="107"/>
      <c r="F16" s="107"/>
      <c r="G16" s="107"/>
      <c r="H16" s="107"/>
      <c r="I16" s="107"/>
      <c r="J16" s="107"/>
      <c r="K16" s="107"/>
      <c r="L16" s="107"/>
      <c r="M16" s="107"/>
      <c r="N16" s="107"/>
      <c r="O16" s="107"/>
      <c r="P16" s="107"/>
      <c r="Q16" s="107"/>
    </row>
    <row r="17" spans="1:22" x14ac:dyDescent="0.2">
      <c r="A17" s="107"/>
      <c r="B17" s="107"/>
      <c r="C17" s="107"/>
      <c r="D17" s="107"/>
      <c r="E17" s="107"/>
      <c r="F17" s="107"/>
      <c r="G17" s="107"/>
      <c r="H17" s="107"/>
      <c r="I17" s="107"/>
      <c r="J17" s="107"/>
      <c r="K17" s="107"/>
      <c r="L17" s="107"/>
      <c r="M17" s="107"/>
      <c r="N17" s="107"/>
      <c r="O17" s="107"/>
      <c r="P17" s="107"/>
      <c r="Q17" s="107"/>
    </row>
    <row r="18" spans="1:22" x14ac:dyDescent="0.2">
      <c r="A18" s="107"/>
      <c r="B18" s="107"/>
      <c r="C18" s="107"/>
      <c r="D18" s="107"/>
      <c r="E18" s="107"/>
      <c r="F18" s="107"/>
      <c r="G18" s="107"/>
      <c r="H18" s="107"/>
      <c r="I18" s="107"/>
      <c r="J18" s="107"/>
      <c r="K18" s="107"/>
      <c r="L18" s="107"/>
      <c r="M18" s="107"/>
      <c r="N18" s="107"/>
      <c r="O18" s="107"/>
      <c r="P18" s="107"/>
      <c r="Q18" s="107"/>
    </row>
    <row r="19" spans="1:22" x14ac:dyDescent="0.2">
      <c r="A19" s="526" t="s">
        <v>1428</v>
      </c>
      <c r="B19" s="107"/>
      <c r="C19" s="107"/>
      <c r="D19" s="107"/>
      <c r="E19" s="107"/>
      <c r="F19" s="107"/>
      <c r="G19" s="107"/>
      <c r="H19" s="107"/>
      <c r="I19" s="107"/>
      <c r="J19" s="107"/>
      <c r="K19" s="107"/>
      <c r="L19" s="107"/>
      <c r="M19" s="107"/>
      <c r="N19" s="107"/>
      <c r="O19" s="107"/>
      <c r="P19" s="107"/>
      <c r="Q19" s="107"/>
    </row>
    <row r="20" spans="1:22" ht="32" customHeight="1" x14ac:dyDescent="0.2">
      <c r="A20" s="953" t="s">
        <v>3247</v>
      </c>
      <c r="B20" s="954"/>
      <c r="C20" s="955"/>
      <c r="D20" s="107"/>
      <c r="E20" s="107"/>
      <c r="F20" s="107"/>
      <c r="G20" s="107"/>
      <c r="H20" s="107"/>
      <c r="I20" s="107"/>
      <c r="J20" s="107"/>
      <c r="K20" s="107"/>
      <c r="L20" s="107"/>
      <c r="M20" s="107"/>
      <c r="N20" s="107"/>
      <c r="O20" s="107"/>
      <c r="P20" s="107"/>
      <c r="Q20" s="107"/>
    </row>
    <row r="21" spans="1:22" ht="26.5" customHeight="1" x14ac:dyDescent="0.2">
      <c r="A21" s="958" t="s">
        <v>3248</v>
      </c>
      <c r="B21" s="958">
        <v>2039450</v>
      </c>
      <c r="C21" s="959">
        <v>21</v>
      </c>
      <c r="D21" s="107"/>
      <c r="E21" s="107"/>
      <c r="F21" s="107"/>
      <c r="G21" s="107"/>
      <c r="H21" s="107"/>
      <c r="I21" s="107"/>
      <c r="J21" s="107"/>
      <c r="K21" s="107"/>
      <c r="L21" s="107"/>
      <c r="M21" s="107"/>
      <c r="N21" s="107"/>
      <c r="O21" s="107"/>
      <c r="P21" s="107"/>
      <c r="Q21" s="107"/>
    </row>
    <row r="22" spans="1:22" x14ac:dyDescent="0.2">
      <c r="A22" s="131" t="s">
        <v>3249</v>
      </c>
      <c r="B22" s="958">
        <v>181477</v>
      </c>
      <c r="C22" s="959">
        <v>28</v>
      </c>
      <c r="D22" s="107"/>
      <c r="E22" s="107"/>
      <c r="F22" s="107"/>
      <c r="G22" s="107"/>
      <c r="H22" s="107"/>
      <c r="I22" s="107"/>
      <c r="J22" s="107"/>
      <c r="K22" s="107"/>
      <c r="L22" s="107"/>
      <c r="M22" s="107"/>
      <c r="N22" s="107"/>
      <c r="O22" s="107"/>
      <c r="P22" s="107"/>
      <c r="Q22" s="107"/>
    </row>
    <row r="23" spans="1:22" x14ac:dyDescent="0.2">
      <c r="A23" s="131" t="s">
        <v>3173</v>
      </c>
      <c r="B23" s="958">
        <v>1875482</v>
      </c>
      <c r="C23" s="959">
        <v>78</v>
      </c>
      <c r="D23" s="107"/>
      <c r="E23" s="107"/>
      <c r="F23" s="107"/>
      <c r="G23" s="107"/>
      <c r="H23" s="107"/>
      <c r="I23" s="107"/>
      <c r="J23" s="107"/>
      <c r="K23" s="107"/>
      <c r="L23" s="107"/>
      <c r="M23" s="107"/>
      <c r="N23" s="107"/>
      <c r="O23" s="107"/>
      <c r="P23" s="107"/>
      <c r="Q23" s="107"/>
    </row>
    <row r="24" spans="1:22" x14ac:dyDescent="0.2">
      <c r="A24" s="131" t="s">
        <v>3250</v>
      </c>
      <c r="B24" s="960">
        <v>17509</v>
      </c>
      <c r="C24" s="961">
        <v>85</v>
      </c>
      <c r="D24" s="107"/>
      <c r="E24" s="107"/>
      <c r="F24" s="107"/>
      <c r="G24" s="107"/>
      <c r="H24" s="107"/>
      <c r="I24" s="107"/>
      <c r="J24" s="107"/>
      <c r="K24" s="107"/>
      <c r="L24" s="107"/>
      <c r="M24" s="107"/>
      <c r="N24" s="107"/>
      <c r="O24" s="107"/>
      <c r="P24" s="107"/>
      <c r="Q24" s="107"/>
    </row>
    <row r="25" spans="1:22" x14ac:dyDescent="0.2">
      <c r="A25" s="230" t="s">
        <v>3251</v>
      </c>
      <c r="B25" s="962">
        <v>1857972</v>
      </c>
      <c r="C25" s="963">
        <v>93</v>
      </c>
      <c r="D25" s="107"/>
      <c r="E25" s="107"/>
      <c r="F25" s="107"/>
      <c r="G25" s="107"/>
      <c r="H25" s="107"/>
      <c r="I25" s="107"/>
      <c r="J25" s="107"/>
      <c r="K25" s="107"/>
      <c r="L25" s="107"/>
      <c r="M25" s="107"/>
      <c r="N25" s="107"/>
      <c r="O25" s="107"/>
      <c r="P25" s="107"/>
      <c r="Q25" s="107"/>
    </row>
    <row r="26" spans="1:22" x14ac:dyDescent="0.2">
      <c r="A26" s="107"/>
      <c r="B26" s="107"/>
      <c r="C26" s="107"/>
      <c r="D26" s="107"/>
      <c r="E26" s="107"/>
      <c r="F26" s="107"/>
      <c r="G26" s="107"/>
      <c r="H26" s="107"/>
      <c r="I26" s="107"/>
      <c r="J26" s="107"/>
      <c r="K26" s="107"/>
      <c r="L26" s="107"/>
      <c r="M26" s="107"/>
      <c r="N26" s="107"/>
      <c r="O26" s="107"/>
      <c r="P26" s="107"/>
      <c r="Q26" s="107"/>
    </row>
    <row r="27" spans="1:22" x14ac:dyDescent="0.2">
      <c r="A27" s="107"/>
      <c r="B27" s="107"/>
      <c r="C27" s="107"/>
      <c r="D27" s="107"/>
      <c r="E27" s="107"/>
      <c r="F27" s="107"/>
      <c r="G27" s="107"/>
      <c r="H27" s="107"/>
      <c r="I27" s="107"/>
      <c r="J27" s="107"/>
      <c r="K27" s="107"/>
      <c r="L27" s="107"/>
      <c r="M27" s="107"/>
      <c r="N27" s="107"/>
      <c r="O27" s="107"/>
      <c r="P27" s="107"/>
      <c r="Q27" s="107"/>
    </row>
    <row r="28" spans="1:22" x14ac:dyDescent="0.2">
      <c r="A28" s="107"/>
      <c r="B28" s="107"/>
      <c r="C28" s="107"/>
      <c r="D28" s="107"/>
      <c r="E28" s="107"/>
      <c r="F28" s="107"/>
      <c r="G28" s="107"/>
      <c r="H28" s="107"/>
      <c r="I28" s="107"/>
      <c r="J28" s="107"/>
      <c r="K28" s="107"/>
      <c r="L28" s="107"/>
      <c r="M28" s="107"/>
      <c r="N28" s="107"/>
      <c r="O28" s="107"/>
      <c r="P28" s="107"/>
      <c r="Q28" s="107"/>
    </row>
    <row r="29" spans="1:22" x14ac:dyDescent="0.2">
      <c r="A29" s="526" t="s">
        <v>1182</v>
      </c>
      <c r="B29" s="107"/>
      <c r="C29" s="107"/>
      <c r="D29" s="107"/>
      <c r="E29" s="107"/>
      <c r="F29" s="107"/>
      <c r="G29" s="107"/>
      <c r="H29" s="107"/>
      <c r="I29" s="107"/>
      <c r="J29" s="107"/>
      <c r="K29" s="107"/>
      <c r="L29" s="107"/>
      <c r="M29" s="107"/>
      <c r="N29" s="107"/>
      <c r="O29" s="107"/>
      <c r="P29" s="107"/>
      <c r="Q29" s="107"/>
    </row>
    <row r="30" spans="1:22" ht="34.25" customHeight="1" x14ac:dyDescent="0.2">
      <c r="A30" s="782" t="s">
        <v>3252</v>
      </c>
      <c r="B30" s="783"/>
      <c r="C30" s="783"/>
      <c r="D30" s="783"/>
      <c r="E30" s="783"/>
      <c r="F30" s="783"/>
      <c r="G30" s="783"/>
      <c r="H30" s="783"/>
      <c r="I30" s="783"/>
      <c r="J30" s="783"/>
      <c r="K30" s="783"/>
      <c r="L30" s="783"/>
      <c r="M30" s="783"/>
      <c r="N30" s="783"/>
      <c r="O30" s="783"/>
      <c r="P30" s="783"/>
      <c r="Q30" s="783"/>
      <c r="R30" s="783"/>
      <c r="S30" s="783"/>
      <c r="T30" s="783"/>
      <c r="U30" s="783"/>
      <c r="V30" s="784"/>
    </row>
    <row r="31" spans="1:22" ht="21" customHeight="1" x14ac:dyDescent="0.2">
      <c r="A31" s="964" t="s">
        <v>3253</v>
      </c>
      <c r="B31" s="965"/>
      <c r="C31" s="965"/>
      <c r="D31" s="965"/>
      <c r="E31" s="965"/>
      <c r="F31" s="965"/>
      <c r="G31" s="965"/>
      <c r="H31" s="965"/>
      <c r="I31" s="965"/>
      <c r="J31" s="965"/>
      <c r="K31" s="965"/>
      <c r="L31" s="965"/>
      <c r="M31" s="965"/>
      <c r="N31" s="965"/>
      <c r="O31" s="965"/>
      <c r="P31" s="965"/>
      <c r="Q31" s="965"/>
      <c r="R31" s="965"/>
      <c r="S31" s="965"/>
      <c r="T31" s="965"/>
      <c r="U31" s="965"/>
      <c r="V31" s="966"/>
    </row>
    <row r="32" spans="1:22" ht="25.25" customHeight="1" x14ac:dyDescent="0.2">
      <c r="A32" s="967" t="s">
        <v>3254</v>
      </c>
      <c r="B32" s="608" t="s">
        <v>3255</v>
      </c>
      <c r="C32" s="778"/>
      <c r="D32" s="778"/>
      <c r="E32" s="778"/>
      <c r="F32" s="778"/>
      <c r="G32" s="778"/>
      <c r="H32" s="778"/>
      <c r="I32" s="778"/>
      <c r="J32" s="778"/>
      <c r="K32" s="778"/>
      <c r="L32" s="778"/>
      <c r="M32" s="778"/>
      <c r="N32" s="609"/>
      <c r="O32" s="602" t="s">
        <v>3256</v>
      </c>
      <c r="P32" s="631"/>
      <c r="Q32" s="603"/>
      <c r="R32" s="967" t="s">
        <v>3257</v>
      </c>
      <c r="S32" s="967"/>
      <c r="T32" s="602" t="s">
        <v>3258</v>
      </c>
      <c r="U32" s="631"/>
      <c r="V32" s="603"/>
    </row>
    <row r="33" spans="1:22" ht="34.25" customHeight="1" x14ac:dyDescent="0.2">
      <c r="A33" s="967"/>
      <c r="B33" s="609" t="s">
        <v>3259</v>
      </c>
      <c r="C33" s="608"/>
      <c r="D33" s="608" t="s">
        <v>3260</v>
      </c>
      <c r="E33" s="778"/>
      <c r="F33" s="609"/>
      <c r="G33" s="608" t="s">
        <v>3261</v>
      </c>
      <c r="H33" s="778"/>
      <c r="I33" s="609"/>
      <c r="J33" s="609" t="s">
        <v>3262</v>
      </c>
      <c r="K33" s="967"/>
      <c r="L33" s="608" t="s">
        <v>3263</v>
      </c>
      <c r="M33" s="778"/>
      <c r="N33" s="609"/>
      <c r="O33" s="606"/>
      <c r="P33" s="644"/>
      <c r="Q33" s="607"/>
      <c r="R33" s="967"/>
      <c r="S33" s="967"/>
      <c r="T33" s="606"/>
      <c r="U33" s="644"/>
      <c r="V33" s="607"/>
    </row>
    <row r="34" spans="1:22" x14ac:dyDescent="0.2">
      <c r="A34" s="533" t="s">
        <v>1373</v>
      </c>
      <c r="B34" s="145">
        <v>8271</v>
      </c>
      <c r="C34" s="145">
        <v>95</v>
      </c>
      <c r="D34" s="349">
        <v>91805</v>
      </c>
      <c r="E34" s="350">
        <v>75</v>
      </c>
      <c r="F34" s="352"/>
      <c r="G34" s="349">
        <v>220499</v>
      </c>
      <c r="H34" s="350"/>
      <c r="I34" s="352"/>
      <c r="J34" s="145">
        <v>585976</v>
      </c>
      <c r="K34" s="307">
        <v>75</v>
      </c>
      <c r="L34" s="349">
        <v>906553</v>
      </c>
      <c r="M34" s="350">
        <v>45</v>
      </c>
      <c r="N34" s="352"/>
      <c r="O34" s="349">
        <v>3002</v>
      </c>
      <c r="P34" s="350">
        <v>35</v>
      </c>
      <c r="Q34" s="352"/>
      <c r="R34" s="350"/>
      <c r="S34" s="717"/>
      <c r="T34" s="349">
        <v>2295</v>
      </c>
      <c r="U34" s="350">
        <v>55</v>
      </c>
      <c r="V34" s="352"/>
    </row>
    <row r="35" spans="1:22" x14ac:dyDescent="0.2">
      <c r="A35" s="533" t="s">
        <v>3264</v>
      </c>
      <c r="B35" s="145">
        <v>11036</v>
      </c>
      <c r="C35" s="145">
        <v>25</v>
      </c>
      <c r="D35" s="131">
        <v>118038</v>
      </c>
      <c r="E35" s="145">
        <v>65</v>
      </c>
      <c r="F35" s="133"/>
      <c r="G35" s="131">
        <v>171605</v>
      </c>
      <c r="H35" s="145">
        <v>75</v>
      </c>
      <c r="I35" s="133"/>
      <c r="J35" s="145">
        <v>358364</v>
      </c>
      <c r="K35" s="307">
        <v>90</v>
      </c>
      <c r="L35" s="131">
        <v>659045</v>
      </c>
      <c r="M35" s="145">
        <v>55</v>
      </c>
      <c r="N35" s="133"/>
      <c r="O35" s="131">
        <v>3327</v>
      </c>
      <c r="P35" s="145">
        <v>75</v>
      </c>
      <c r="Q35" s="133"/>
      <c r="R35" s="145"/>
      <c r="S35" s="307"/>
      <c r="T35" s="131">
        <v>2635</v>
      </c>
      <c r="U35" s="145">
        <v>95</v>
      </c>
      <c r="V35" s="133"/>
    </row>
    <row r="36" spans="1:22" x14ac:dyDescent="0.2">
      <c r="A36" s="533" t="s">
        <v>1517</v>
      </c>
      <c r="B36" s="145">
        <v>18084</v>
      </c>
      <c r="C36" s="145">
        <v>65</v>
      </c>
      <c r="D36" s="131">
        <v>15582</v>
      </c>
      <c r="E36" s="145">
        <v>85</v>
      </c>
      <c r="F36" s="133"/>
      <c r="G36" s="131">
        <v>47053</v>
      </c>
      <c r="H36" s="145">
        <v>30</v>
      </c>
      <c r="I36" s="133"/>
      <c r="J36" s="145">
        <v>94793</v>
      </c>
      <c r="K36" s="307">
        <v>5</v>
      </c>
      <c r="L36" s="131">
        <v>175513</v>
      </c>
      <c r="M36" s="145">
        <v>85</v>
      </c>
      <c r="N36" s="133"/>
      <c r="O36" s="131"/>
      <c r="P36" s="145"/>
      <c r="Q36" s="133"/>
      <c r="R36" s="145">
        <v>1995</v>
      </c>
      <c r="S36" s="307">
        <v>40</v>
      </c>
      <c r="T36" s="131">
        <v>387</v>
      </c>
      <c r="U36" s="145">
        <v>10</v>
      </c>
      <c r="V36" s="133"/>
    </row>
    <row r="37" spans="1:22" x14ac:dyDescent="0.2">
      <c r="A37" s="533" t="s">
        <v>1369</v>
      </c>
      <c r="B37" s="145">
        <v>10439</v>
      </c>
      <c r="C37" s="145">
        <v>72</v>
      </c>
      <c r="D37" s="131">
        <v>44086</v>
      </c>
      <c r="E37" s="145">
        <v>97</v>
      </c>
      <c r="F37" s="133">
        <v>0.25</v>
      </c>
      <c r="G37" s="131">
        <v>21384</v>
      </c>
      <c r="H37" s="145">
        <v>71</v>
      </c>
      <c r="I37" s="133">
        <v>0.5</v>
      </c>
      <c r="J37" s="145">
        <v>36554</v>
      </c>
      <c r="K37" s="307">
        <v>57</v>
      </c>
      <c r="L37" s="131">
        <v>112465</v>
      </c>
      <c r="M37" s="145">
        <v>97</v>
      </c>
      <c r="N37" s="133">
        <v>0.75</v>
      </c>
      <c r="O37" s="131">
        <v>1392</v>
      </c>
      <c r="P37" s="145">
        <v>46</v>
      </c>
      <c r="Q37" s="133"/>
      <c r="R37" s="145">
        <v>555</v>
      </c>
      <c r="S37" s="307">
        <v>65</v>
      </c>
      <c r="T37" s="131">
        <v>1455</v>
      </c>
      <c r="U37" s="145">
        <v>96</v>
      </c>
      <c r="V37" s="133">
        <v>0.75</v>
      </c>
    </row>
    <row r="38" spans="1:22" x14ac:dyDescent="0.2">
      <c r="A38" s="533" t="s">
        <v>1519</v>
      </c>
      <c r="B38" s="145">
        <v>14873</v>
      </c>
      <c r="C38" s="145">
        <v>75</v>
      </c>
      <c r="D38" s="131">
        <v>19969</v>
      </c>
      <c r="E38" s="145">
        <v>80</v>
      </c>
      <c r="F38" s="133"/>
      <c r="G38" s="131">
        <v>29646</v>
      </c>
      <c r="H38" s="145"/>
      <c r="I38" s="133"/>
      <c r="J38" s="145">
        <v>45202</v>
      </c>
      <c r="K38" s="307">
        <v>15</v>
      </c>
      <c r="L38" s="131">
        <v>109691</v>
      </c>
      <c r="M38" s="145">
        <v>70</v>
      </c>
      <c r="N38" s="133"/>
      <c r="O38" s="131">
        <v>369</v>
      </c>
      <c r="P38" s="145">
        <v>55</v>
      </c>
      <c r="Q38" s="133"/>
      <c r="R38" s="145">
        <v>63</v>
      </c>
      <c r="S38" s="307">
        <v>80</v>
      </c>
      <c r="T38" s="131">
        <v>564</v>
      </c>
      <c r="U38" s="145">
        <v>20</v>
      </c>
      <c r="V38" s="133"/>
    </row>
    <row r="39" spans="1:22" x14ac:dyDescent="0.2">
      <c r="A39" s="533" t="s">
        <v>1527</v>
      </c>
      <c r="B39" s="145">
        <v>11284</v>
      </c>
      <c r="C39" s="145">
        <v>80</v>
      </c>
      <c r="D39" s="131">
        <v>3575</v>
      </c>
      <c r="E39" s="145">
        <v>95</v>
      </c>
      <c r="F39" s="133"/>
      <c r="G39" s="131">
        <v>8474</v>
      </c>
      <c r="H39" s="145">
        <v>35</v>
      </c>
      <c r="I39" s="133"/>
      <c r="J39" s="145">
        <v>9130</v>
      </c>
      <c r="K39" s="307">
        <v>95</v>
      </c>
      <c r="L39" s="131">
        <v>32466</v>
      </c>
      <c r="M39" s="145">
        <v>5</v>
      </c>
      <c r="N39" s="133"/>
      <c r="O39" s="131">
        <v>3</v>
      </c>
      <c r="P39" s="145"/>
      <c r="Q39" s="133"/>
      <c r="R39" s="145">
        <v>586</v>
      </c>
      <c r="S39" s="307">
        <v>35</v>
      </c>
      <c r="T39" s="131">
        <v>269</v>
      </c>
      <c r="U39" s="145">
        <v>85</v>
      </c>
      <c r="V39" s="133"/>
    </row>
    <row r="40" spans="1:22" x14ac:dyDescent="0.2">
      <c r="A40" s="533" t="s">
        <v>1526</v>
      </c>
      <c r="B40" s="145">
        <v>903</v>
      </c>
      <c r="C40" s="145">
        <v>90</v>
      </c>
      <c r="D40" s="131">
        <v>4463</v>
      </c>
      <c r="E40" s="145">
        <v>30</v>
      </c>
      <c r="F40" s="133"/>
      <c r="G40" s="131">
        <v>8974</v>
      </c>
      <c r="H40" s="145">
        <v>30</v>
      </c>
      <c r="I40" s="133"/>
      <c r="J40" s="145">
        <v>7288</v>
      </c>
      <c r="K40" s="307">
        <v>75</v>
      </c>
      <c r="L40" s="131">
        <v>21630</v>
      </c>
      <c r="M40" s="145">
        <v>25</v>
      </c>
      <c r="N40" s="133"/>
      <c r="O40" s="131">
        <v>81</v>
      </c>
      <c r="P40" s="145">
        <v>45</v>
      </c>
      <c r="Q40" s="133"/>
      <c r="R40" s="145">
        <v>87</v>
      </c>
      <c r="S40" s="307">
        <v>30</v>
      </c>
      <c r="T40" s="131">
        <v>672</v>
      </c>
      <c r="U40" s="145"/>
      <c r="V40" s="133"/>
    </row>
    <row r="41" spans="1:22" x14ac:dyDescent="0.2">
      <c r="A41" s="533" t="s">
        <v>3265</v>
      </c>
      <c r="B41" s="145">
        <v>864</v>
      </c>
      <c r="C41" s="145"/>
      <c r="D41" s="131"/>
      <c r="E41" s="145"/>
      <c r="F41" s="133"/>
      <c r="G41" s="131"/>
      <c r="H41" s="145"/>
      <c r="I41" s="133"/>
      <c r="J41" s="145"/>
      <c r="K41" s="307"/>
      <c r="L41" s="131">
        <v>864</v>
      </c>
      <c r="M41" s="145"/>
      <c r="N41" s="133"/>
      <c r="O41" s="131"/>
      <c r="P41" s="145"/>
      <c r="Q41" s="133"/>
      <c r="R41" s="145">
        <v>501</v>
      </c>
      <c r="S41" s="307">
        <v>30</v>
      </c>
      <c r="T41" s="131"/>
      <c r="U41" s="145"/>
      <c r="V41" s="133"/>
    </row>
    <row r="42" spans="1:22" x14ac:dyDescent="0.2">
      <c r="A42" s="533" t="s">
        <v>3266</v>
      </c>
      <c r="B42" s="145">
        <v>204</v>
      </c>
      <c r="C42" s="145">
        <v>20</v>
      </c>
      <c r="D42" s="131">
        <v>209</v>
      </c>
      <c r="E42" s="145">
        <v>10</v>
      </c>
      <c r="F42" s="133"/>
      <c r="G42" s="131">
        <v>130</v>
      </c>
      <c r="H42" s="145">
        <v>40</v>
      </c>
      <c r="I42" s="133"/>
      <c r="J42" s="145">
        <v>4</v>
      </c>
      <c r="K42" s="307">
        <v>50</v>
      </c>
      <c r="L42" s="131">
        <v>548</v>
      </c>
      <c r="M42" s="145">
        <v>20</v>
      </c>
      <c r="N42" s="133"/>
      <c r="O42" s="131"/>
      <c r="P42" s="145"/>
      <c r="Q42" s="133"/>
      <c r="R42" s="145">
        <v>424</v>
      </c>
      <c r="S42" s="307">
        <v>20</v>
      </c>
      <c r="T42" s="131"/>
      <c r="U42" s="145"/>
      <c r="V42" s="133"/>
    </row>
    <row r="43" spans="1:22" x14ac:dyDescent="0.2">
      <c r="A43" s="533" t="s">
        <v>3267</v>
      </c>
      <c r="B43" s="145"/>
      <c r="C43" s="145"/>
      <c r="D43" s="131"/>
      <c r="E43" s="145"/>
      <c r="F43" s="133"/>
      <c r="G43" s="131"/>
      <c r="H43" s="145"/>
      <c r="I43" s="133"/>
      <c r="J43" s="145"/>
      <c r="K43" s="307"/>
      <c r="L43" s="131"/>
      <c r="M43" s="145"/>
      <c r="N43" s="133"/>
      <c r="O43" s="131"/>
      <c r="P43" s="145"/>
      <c r="Q43" s="133"/>
      <c r="R43" s="145"/>
      <c r="S43" s="307"/>
      <c r="T43" s="131"/>
      <c r="U43" s="145"/>
      <c r="V43" s="133"/>
    </row>
    <row r="44" spans="1:22" x14ac:dyDescent="0.2">
      <c r="A44" s="533" t="s">
        <v>3268</v>
      </c>
      <c r="B44" s="145"/>
      <c r="C44" s="145"/>
      <c r="D44" s="131"/>
      <c r="E44" s="145"/>
      <c r="F44" s="133"/>
      <c r="G44" s="131"/>
      <c r="H44" s="145"/>
      <c r="I44" s="133"/>
      <c r="J44" s="145"/>
      <c r="K44" s="307"/>
      <c r="L44" s="131"/>
      <c r="M44" s="145"/>
      <c r="N44" s="133"/>
      <c r="O44" s="131"/>
      <c r="P44" s="145"/>
      <c r="Q44" s="133"/>
      <c r="R44" s="145"/>
      <c r="S44" s="307"/>
      <c r="T44" s="131"/>
      <c r="U44" s="145"/>
      <c r="V44" s="133"/>
    </row>
    <row r="45" spans="1:22" x14ac:dyDescent="0.2">
      <c r="A45" s="785" t="s">
        <v>2673</v>
      </c>
      <c r="B45" s="318">
        <v>75963</v>
      </c>
      <c r="C45" s="318">
        <v>22</v>
      </c>
      <c r="D45" s="240">
        <v>297732</v>
      </c>
      <c r="E45" s="318">
        <v>37</v>
      </c>
      <c r="F45" s="241">
        <v>0.25</v>
      </c>
      <c r="G45" s="240">
        <v>507767</v>
      </c>
      <c r="H45" s="318">
        <v>81</v>
      </c>
      <c r="I45" s="241">
        <v>0.5</v>
      </c>
      <c r="J45" s="318">
        <v>1137315</v>
      </c>
      <c r="K45" s="513">
        <v>62</v>
      </c>
      <c r="L45" s="240">
        <v>2018779</v>
      </c>
      <c r="M45" s="318">
        <v>2</v>
      </c>
      <c r="N45" s="241">
        <v>0.75</v>
      </c>
      <c r="O45" s="240">
        <v>8176</v>
      </c>
      <c r="P45" s="318">
        <v>56</v>
      </c>
      <c r="Q45" s="241">
        <v>0.5</v>
      </c>
      <c r="R45" s="318">
        <v>4214</v>
      </c>
      <c r="S45" s="513"/>
      <c r="T45" s="240">
        <v>8280</v>
      </c>
      <c r="U45" s="318">
        <v>61</v>
      </c>
      <c r="V45" s="241">
        <v>0.75</v>
      </c>
    </row>
    <row r="46" spans="1:22" x14ac:dyDescent="0.2">
      <c r="A46" s="107"/>
      <c r="B46" s="321">
        <f>+SUM(B34:B44)</f>
        <v>75958</v>
      </c>
      <c r="C46" s="321">
        <f t="shared" ref="C46:V46" si="0">+SUM(C34:C44)</f>
        <v>522</v>
      </c>
      <c r="D46" s="299">
        <f t="shared" si="0"/>
        <v>297727</v>
      </c>
      <c r="E46" s="152">
        <f t="shared" si="0"/>
        <v>537</v>
      </c>
      <c r="F46" s="154">
        <f t="shared" si="0"/>
        <v>0.25</v>
      </c>
      <c r="G46" s="299">
        <f t="shared" si="0"/>
        <v>507765</v>
      </c>
      <c r="H46" s="152">
        <f t="shared" si="0"/>
        <v>281</v>
      </c>
      <c r="I46" s="154">
        <f t="shared" si="0"/>
        <v>0.5</v>
      </c>
      <c r="J46" s="321">
        <f t="shared" si="0"/>
        <v>1137311</v>
      </c>
      <c r="K46" s="321">
        <f t="shared" si="0"/>
        <v>462</v>
      </c>
      <c r="L46" s="299">
        <f t="shared" si="0"/>
        <v>2018775</v>
      </c>
      <c r="M46" s="152">
        <f t="shared" si="0"/>
        <v>402</v>
      </c>
      <c r="N46" s="154">
        <f t="shared" si="0"/>
        <v>0.75</v>
      </c>
      <c r="O46" s="299">
        <f t="shared" si="0"/>
        <v>8174</v>
      </c>
      <c r="P46" s="152">
        <f t="shared" si="0"/>
        <v>256</v>
      </c>
      <c r="Q46" s="154">
        <f t="shared" si="0"/>
        <v>0</v>
      </c>
      <c r="R46" s="321">
        <f t="shared" si="0"/>
        <v>4211</v>
      </c>
      <c r="S46" s="321">
        <f t="shared" si="0"/>
        <v>300</v>
      </c>
      <c r="T46" s="299">
        <f t="shared" si="0"/>
        <v>8277</v>
      </c>
      <c r="U46" s="152">
        <f t="shared" si="0"/>
        <v>361</v>
      </c>
      <c r="V46" s="154">
        <f t="shared" si="0"/>
        <v>0.75</v>
      </c>
    </row>
    <row r="47" spans="1:22" x14ac:dyDescent="0.2">
      <c r="A47" s="107"/>
      <c r="B47" s="107"/>
      <c r="C47" s="107"/>
      <c r="D47" s="107"/>
      <c r="E47" s="107"/>
      <c r="F47" s="107"/>
      <c r="G47" s="107"/>
      <c r="H47" s="107"/>
      <c r="I47" s="107"/>
      <c r="J47" s="107"/>
      <c r="K47" s="107"/>
      <c r="L47" s="107"/>
      <c r="M47" s="107"/>
      <c r="N47" s="107"/>
      <c r="O47" s="107"/>
      <c r="P47" s="107"/>
      <c r="Q47" s="107"/>
    </row>
    <row r="48" spans="1:22" x14ac:dyDescent="0.2">
      <c r="A48" s="107"/>
      <c r="B48" s="107"/>
      <c r="C48" s="107"/>
      <c r="D48" s="107"/>
      <c r="E48" s="107"/>
      <c r="F48" s="107"/>
      <c r="G48" s="107"/>
      <c r="H48" s="107"/>
      <c r="I48" s="107"/>
      <c r="J48" s="107"/>
      <c r="K48" s="107"/>
      <c r="L48" s="107"/>
      <c r="M48" s="107"/>
      <c r="N48" s="107"/>
      <c r="O48" s="107"/>
      <c r="P48" s="107"/>
      <c r="Q48" s="107"/>
    </row>
    <row r="49" spans="1:17" x14ac:dyDescent="0.2">
      <c r="A49" s="526" t="s">
        <v>1226</v>
      </c>
      <c r="B49" s="107"/>
      <c r="C49" s="107"/>
      <c r="D49" s="107"/>
      <c r="E49" s="107"/>
      <c r="F49" s="107"/>
      <c r="G49" s="107"/>
      <c r="H49" s="107"/>
      <c r="I49" s="107"/>
      <c r="J49" s="107"/>
      <c r="K49" s="107"/>
      <c r="L49" s="107"/>
      <c r="M49" s="107"/>
      <c r="N49" s="107"/>
      <c r="O49" s="107"/>
      <c r="P49" s="107"/>
      <c r="Q49" s="107"/>
    </row>
    <row r="50" spans="1:17" ht="30.5" customHeight="1" x14ac:dyDescent="0.2">
      <c r="A50" s="544" t="s">
        <v>3269</v>
      </c>
      <c r="B50" s="545"/>
      <c r="C50" s="545"/>
      <c r="D50" s="545"/>
      <c r="E50" s="545"/>
      <c r="F50" s="545"/>
      <c r="G50" s="545"/>
      <c r="H50" s="545"/>
      <c r="I50" s="545"/>
      <c r="J50" s="545"/>
      <c r="K50" s="545"/>
      <c r="L50" s="545"/>
      <c r="M50" s="546"/>
      <c r="N50" s="107"/>
      <c r="O50" s="107"/>
      <c r="P50" s="107"/>
      <c r="Q50" s="107"/>
    </row>
    <row r="51" spans="1:17" x14ac:dyDescent="0.2">
      <c r="A51" s="968" t="s">
        <v>3270</v>
      </c>
      <c r="B51" s="969"/>
      <c r="C51" s="969"/>
      <c r="D51" s="969"/>
      <c r="E51" s="969"/>
      <c r="F51" s="969"/>
      <c r="G51" s="969"/>
      <c r="H51" s="969"/>
      <c r="I51" s="969"/>
      <c r="J51" s="969"/>
      <c r="K51" s="969"/>
      <c r="L51" s="969"/>
      <c r="M51" s="970"/>
      <c r="N51" s="107"/>
      <c r="O51" s="107"/>
      <c r="P51" s="107"/>
      <c r="Q51" s="107"/>
    </row>
    <row r="52" spans="1:17" ht="18.5" customHeight="1" x14ac:dyDescent="0.2">
      <c r="A52" s="967" t="s">
        <v>1227</v>
      </c>
      <c r="B52" s="609" t="s">
        <v>3271</v>
      </c>
      <c r="C52" s="967"/>
      <c r="D52" s="967" t="s">
        <v>3272</v>
      </c>
      <c r="E52" s="967"/>
      <c r="F52" s="967" t="s">
        <v>3273</v>
      </c>
      <c r="G52" s="967"/>
      <c r="H52" s="967" t="s">
        <v>3274</v>
      </c>
      <c r="I52" s="967"/>
      <c r="J52" s="838" t="s">
        <v>3275</v>
      </c>
      <c r="K52" s="838"/>
      <c r="L52" s="838" t="s">
        <v>3276</v>
      </c>
      <c r="M52" s="838"/>
      <c r="N52" s="107"/>
      <c r="O52" s="107"/>
      <c r="P52" s="107"/>
      <c r="Q52" s="107"/>
    </row>
    <row r="53" spans="1:17" ht="18" customHeight="1" x14ac:dyDescent="0.2">
      <c r="A53" s="967"/>
      <c r="B53" s="609" t="s">
        <v>3277</v>
      </c>
      <c r="C53" s="967"/>
      <c r="D53" s="967" t="s">
        <v>3278</v>
      </c>
      <c r="E53" s="967"/>
      <c r="F53" s="967" t="s">
        <v>3279</v>
      </c>
      <c r="G53" s="967"/>
      <c r="H53" s="967" t="s">
        <v>3280</v>
      </c>
      <c r="I53" s="967"/>
      <c r="J53" s="838"/>
      <c r="K53" s="838"/>
      <c r="L53" s="838"/>
      <c r="M53" s="838"/>
      <c r="N53" s="107"/>
      <c r="O53" s="107"/>
      <c r="P53" s="107"/>
      <c r="Q53" s="107"/>
    </row>
    <row r="54" spans="1:17" ht="17.5" customHeight="1" x14ac:dyDescent="0.2">
      <c r="A54" s="967"/>
      <c r="B54" s="807" t="s">
        <v>3281</v>
      </c>
      <c r="C54" s="751" t="s">
        <v>3282</v>
      </c>
      <c r="D54" s="751" t="s">
        <v>3281</v>
      </c>
      <c r="E54" s="751" t="s">
        <v>3282</v>
      </c>
      <c r="F54" s="751" t="s">
        <v>3281</v>
      </c>
      <c r="G54" s="751" t="s">
        <v>3282</v>
      </c>
      <c r="H54" s="751" t="s">
        <v>3281</v>
      </c>
      <c r="I54" s="751" t="s">
        <v>3282</v>
      </c>
      <c r="J54" s="751" t="s">
        <v>3281</v>
      </c>
      <c r="K54" s="751" t="s">
        <v>3282</v>
      </c>
      <c r="L54" s="751" t="s">
        <v>3281</v>
      </c>
      <c r="M54" s="751" t="s">
        <v>3282</v>
      </c>
      <c r="N54" s="107"/>
      <c r="O54" s="107"/>
      <c r="P54" s="107"/>
      <c r="Q54" s="107"/>
    </row>
    <row r="55" spans="1:17" x14ac:dyDescent="0.2">
      <c r="A55" s="971" t="s">
        <v>3264</v>
      </c>
      <c r="B55" s="349">
        <v>1548480</v>
      </c>
      <c r="C55" s="717"/>
      <c r="D55" s="349">
        <v>2360773</v>
      </c>
      <c r="E55" s="717"/>
      <c r="F55" s="349">
        <v>858029</v>
      </c>
      <c r="G55" s="717"/>
      <c r="H55" s="349">
        <v>796366</v>
      </c>
      <c r="I55" s="717"/>
      <c r="J55" s="349">
        <v>551812</v>
      </c>
      <c r="K55" s="717"/>
      <c r="L55" s="349">
        <v>6115460</v>
      </c>
      <c r="M55" s="717"/>
      <c r="N55" s="321">
        <f>+J55+H55+F55+D55+B55</f>
        <v>6115460</v>
      </c>
      <c r="O55" s="321">
        <f>+K55+I55+G55+E55+C55</f>
        <v>0</v>
      </c>
      <c r="P55" s="107"/>
      <c r="Q55" s="107"/>
    </row>
    <row r="56" spans="1:17" x14ac:dyDescent="0.2">
      <c r="A56" s="533" t="s">
        <v>1373</v>
      </c>
      <c r="B56" s="131">
        <v>850354</v>
      </c>
      <c r="C56" s="307">
        <v>616</v>
      </c>
      <c r="D56" s="131">
        <v>1836114</v>
      </c>
      <c r="E56" s="307">
        <v>559</v>
      </c>
      <c r="F56" s="131">
        <v>1102495</v>
      </c>
      <c r="G56" s="307">
        <v>52</v>
      </c>
      <c r="H56" s="131">
        <v>1302170</v>
      </c>
      <c r="I56" s="307">
        <v>540</v>
      </c>
      <c r="J56" s="131">
        <v>413597</v>
      </c>
      <c r="K56" s="307"/>
      <c r="L56" s="131">
        <v>5504731</v>
      </c>
      <c r="M56" s="307">
        <v>767</v>
      </c>
      <c r="N56" s="321">
        <f t="shared" ref="N56:O65" si="1">+J56+H56+F56+D56+B56</f>
        <v>5504730</v>
      </c>
      <c r="O56" s="321">
        <f t="shared" si="1"/>
        <v>1767</v>
      </c>
      <c r="P56" s="107"/>
      <c r="Q56" s="107"/>
    </row>
    <row r="57" spans="1:17" x14ac:dyDescent="0.2">
      <c r="A57" s="533" t="s">
        <v>1517</v>
      </c>
      <c r="B57" s="131">
        <v>180782</v>
      </c>
      <c r="C57" s="307"/>
      <c r="D57" s="131">
        <v>311654</v>
      </c>
      <c r="E57" s="307">
        <v>500</v>
      </c>
      <c r="F57" s="131">
        <v>235266</v>
      </c>
      <c r="G57" s="307"/>
      <c r="H57" s="131">
        <v>210651</v>
      </c>
      <c r="I57" s="307"/>
      <c r="J57" s="131">
        <v>904242</v>
      </c>
      <c r="K57" s="307"/>
      <c r="L57" s="131">
        <v>1842595</v>
      </c>
      <c r="M57" s="307">
        <v>500</v>
      </c>
      <c r="N57" s="321">
        <f t="shared" si="1"/>
        <v>1842595</v>
      </c>
      <c r="O57" s="321">
        <f t="shared" si="1"/>
        <v>500</v>
      </c>
      <c r="P57" s="107"/>
      <c r="Q57" s="107"/>
    </row>
    <row r="58" spans="1:17" x14ac:dyDescent="0.2">
      <c r="A58" s="533" t="s">
        <v>1519</v>
      </c>
      <c r="B58" s="131">
        <v>366997</v>
      </c>
      <c r="C58" s="307">
        <v>250</v>
      </c>
      <c r="D58" s="131">
        <v>398991</v>
      </c>
      <c r="E58" s="307"/>
      <c r="F58" s="131">
        <v>148208</v>
      </c>
      <c r="G58" s="307">
        <v>150</v>
      </c>
      <c r="H58" s="131">
        <v>100373</v>
      </c>
      <c r="I58" s="307">
        <v>300</v>
      </c>
      <c r="J58" s="131">
        <v>743604</v>
      </c>
      <c r="K58" s="307"/>
      <c r="L58" s="131">
        <v>1758173</v>
      </c>
      <c r="M58" s="307">
        <v>700</v>
      </c>
      <c r="N58" s="321">
        <f t="shared" si="1"/>
        <v>1758173</v>
      </c>
      <c r="O58" s="321">
        <f t="shared" si="1"/>
        <v>700</v>
      </c>
      <c r="P58" s="107"/>
      <c r="Q58" s="107"/>
    </row>
    <row r="59" spans="1:17" x14ac:dyDescent="0.2">
      <c r="A59" s="533" t="s">
        <v>1527</v>
      </c>
      <c r="B59" s="131">
        <v>16356</v>
      </c>
      <c r="C59" s="307"/>
      <c r="D59" s="131">
        <v>71615</v>
      </c>
      <c r="E59" s="307"/>
      <c r="F59" s="131">
        <v>42371</v>
      </c>
      <c r="G59" s="307">
        <v>500</v>
      </c>
      <c r="H59" s="131">
        <v>20290</v>
      </c>
      <c r="I59" s="307">
        <v>500</v>
      </c>
      <c r="J59" s="131">
        <v>506555</v>
      </c>
      <c r="K59" s="307"/>
      <c r="L59" s="131">
        <v>657188</v>
      </c>
      <c r="M59" s="307"/>
      <c r="N59" s="321">
        <f t="shared" si="1"/>
        <v>657187</v>
      </c>
      <c r="O59" s="321">
        <f t="shared" si="1"/>
        <v>1000</v>
      </c>
      <c r="P59" s="107"/>
      <c r="Q59" s="107"/>
    </row>
    <row r="60" spans="1:17" x14ac:dyDescent="0.2">
      <c r="A60" s="533" t="s">
        <v>1526</v>
      </c>
      <c r="B60" s="131">
        <v>418885</v>
      </c>
      <c r="C60" s="307"/>
      <c r="D60" s="131">
        <v>87816</v>
      </c>
      <c r="E60" s="307"/>
      <c r="F60" s="131">
        <v>44857</v>
      </c>
      <c r="G60" s="307"/>
      <c r="H60" s="131">
        <v>16146</v>
      </c>
      <c r="I60" s="307"/>
      <c r="J60" s="131">
        <v>49454</v>
      </c>
      <c r="K60" s="307"/>
      <c r="L60" s="131">
        <v>617158</v>
      </c>
      <c r="M60" s="307"/>
      <c r="N60" s="321">
        <f t="shared" si="1"/>
        <v>617158</v>
      </c>
      <c r="O60" s="321">
        <f t="shared" si="1"/>
        <v>0</v>
      </c>
      <c r="P60" s="107"/>
      <c r="Q60" s="107"/>
    </row>
    <row r="61" spans="1:17" x14ac:dyDescent="0.2">
      <c r="A61" s="533" t="s">
        <v>1369</v>
      </c>
      <c r="B61" s="131"/>
      <c r="C61" s="307"/>
      <c r="D61" s="131"/>
      <c r="E61" s="307"/>
      <c r="F61" s="131"/>
      <c r="G61" s="307"/>
      <c r="H61" s="131"/>
      <c r="I61" s="307"/>
      <c r="J61" s="131"/>
      <c r="K61" s="307"/>
      <c r="L61" s="131"/>
      <c r="M61" s="307"/>
      <c r="N61" s="321">
        <f t="shared" si="1"/>
        <v>0</v>
      </c>
      <c r="O61" s="321">
        <f t="shared" si="1"/>
        <v>0</v>
      </c>
      <c r="P61" s="107"/>
      <c r="Q61" s="107"/>
    </row>
    <row r="62" spans="1:17" x14ac:dyDescent="0.2">
      <c r="A62" s="533" t="s">
        <v>3265</v>
      </c>
      <c r="B62" s="131"/>
      <c r="C62" s="307"/>
      <c r="D62" s="131"/>
      <c r="E62" s="307"/>
      <c r="F62" s="131"/>
      <c r="G62" s="307"/>
      <c r="H62" s="131"/>
      <c r="I62" s="307"/>
      <c r="J62" s="131">
        <v>57885</v>
      </c>
      <c r="K62" s="307"/>
      <c r="L62" s="131">
        <v>57885</v>
      </c>
      <c r="M62" s="307"/>
      <c r="N62" s="321">
        <f t="shared" si="1"/>
        <v>57885</v>
      </c>
      <c r="O62" s="321">
        <f t="shared" si="1"/>
        <v>0</v>
      </c>
      <c r="P62" s="107"/>
      <c r="Q62" s="107"/>
    </row>
    <row r="63" spans="1:17" x14ac:dyDescent="0.2">
      <c r="A63" s="533" t="s">
        <v>3266</v>
      </c>
      <c r="B63" s="131">
        <v>46498</v>
      </c>
      <c r="C63" s="307">
        <v>500</v>
      </c>
      <c r="D63" s="131">
        <v>4182</v>
      </c>
      <c r="E63" s="307"/>
      <c r="F63" s="131">
        <v>652</v>
      </c>
      <c r="G63" s="307"/>
      <c r="H63" s="131">
        <v>10</v>
      </c>
      <c r="I63" s="307"/>
      <c r="J63" s="131">
        <v>10210</v>
      </c>
      <c r="K63" s="307"/>
      <c r="L63" s="131">
        <v>61552</v>
      </c>
      <c r="M63" s="307">
        <v>500</v>
      </c>
      <c r="N63" s="321">
        <f t="shared" si="1"/>
        <v>61552</v>
      </c>
      <c r="O63" s="321">
        <f t="shared" si="1"/>
        <v>500</v>
      </c>
      <c r="P63" s="107"/>
      <c r="Q63" s="107"/>
    </row>
    <row r="64" spans="1:17" x14ac:dyDescent="0.2">
      <c r="A64" s="533" t="s">
        <v>3268</v>
      </c>
      <c r="B64" s="131"/>
      <c r="C64" s="307"/>
      <c r="D64" s="131"/>
      <c r="E64" s="307"/>
      <c r="F64" s="131"/>
      <c r="G64" s="307"/>
      <c r="H64" s="131"/>
      <c r="I64" s="307"/>
      <c r="J64" s="131"/>
      <c r="K64" s="307"/>
      <c r="L64" s="131"/>
      <c r="M64" s="307"/>
      <c r="N64" s="321">
        <f t="shared" si="1"/>
        <v>0</v>
      </c>
      <c r="O64" s="321">
        <f t="shared" si="1"/>
        <v>0</v>
      </c>
      <c r="P64" s="107"/>
      <c r="Q64" s="107"/>
    </row>
    <row r="65" spans="1:17" x14ac:dyDescent="0.2">
      <c r="A65" s="533" t="s">
        <v>3267</v>
      </c>
      <c r="B65" s="131"/>
      <c r="C65" s="307"/>
      <c r="D65" s="131"/>
      <c r="E65" s="307"/>
      <c r="F65" s="131"/>
      <c r="G65" s="307"/>
      <c r="H65" s="131"/>
      <c r="I65" s="307"/>
      <c r="J65" s="131"/>
      <c r="K65" s="307"/>
      <c r="L65" s="131"/>
      <c r="M65" s="307"/>
      <c r="N65" s="321">
        <f t="shared" si="1"/>
        <v>0</v>
      </c>
      <c r="O65" s="321">
        <f t="shared" si="1"/>
        <v>0</v>
      </c>
      <c r="P65" s="107"/>
      <c r="Q65" s="107"/>
    </row>
    <row r="66" spans="1:17" x14ac:dyDescent="0.2">
      <c r="A66" s="823" t="s">
        <v>3283</v>
      </c>
      <c r="B66" s="240">
        <v>3428353</v>
      </c>
      <c r="C66" s="513">
        <v>366</v>
      </c>
      <c r="D66" s="240">
        <v>5071146</v>
      </c>
      <c r="E66" s="513">
        <v>59</v>
      </c>
      <c r="F66" s="240">
        <v>2431878</v>
      </c>
      <c r="G66" s="513">
        <v>702</v>
      </c>
      <c r="H66" s="240">
        <v>2446007</v>
      </c>
      <c r="I66" s="513">
        <v>340</v>
      </c>
      <c r="J66" s="240">
        <v>3273759</v>
      </c>
      <c r="K66" s="513"/>
      <c r="L66" s="240">
        <v>16614744</v>
      </c>
      <c r="M66" s="513">
        <v>467</v>
      </c>
      <c r="N66" s="107"/>
      <c r="O66" s="107"/>
      <c r="P66" s="107"/>
      <c r="Q66" s="107"/>
    </row>
    <row r="67" spans="1:17" x14ac:dyDescent="0.2">
      <c r="A67" s="107"/>
      <c r="B67" s="321">
        <f>+SUM(B55:B65)</f>
        <v>3428352</v>
      </c>
      <c r="C67" s="321">
        <f t="shared" ref="C67:M67" si="2">+SUM(C55:C65)</f>
        <v>1366</v>
      </c>
      <c r="D67" s="321">
        <f t="shared" si="2"/>
        <v>5071145</v>
      </c>
      <c r="E67" s="321">
        <f t="shared" si="2"/>
        <v>1059</v>
      </c>
      <c r="F67" s="321">
        <f t="shared" si="2"/>
        <v>2431878</v>
      </c>
      <c r="G67" s="321">
        <f t="shared" si="2"/>
        <v>702</v>
      </c>
      <c r="H67" s="321">
        <f t="shared" si="2"/>
        <v>2446006</v>
      </c>
      <c r="I67" s="321">
        <f t="shared" si="2"/>
        <v>1340</v>
      </c>
      <c r="J67" s="321">
        <f t="shared" si="2"/>
        <v>3237359</v>
      </c>
      <c r="K67" s="321">
        <f t="shared" si="2"/>
        <v>0</v>
      </c>
      <c r="L67" s="321">
        <f t="shared" si="2"/>
        <v>16614742</v>
      </c>
      <c r="M67" s="321">
        <f t="shared" si="2"/>
        <v>2467</v>
      </c>
      <c r="N67" s="107"/>
      <c r="O67" s="107"/>
      <c r="P67" s="107"/>
      <c r="Q67" s="107"/>
    </row>
    <row r="68" spans="1:17" x14ac:dyDescent="0.2">
      <c r="A68" s="107"/>
      <c r="B68" s="107"/>
      <c r="C68" s="107"/>
      <c r="D68" s="107"/>
      <c r="E68" s="107"/>
      <c r="F68" s="107"/>
      <c r="G68" s="107"/>
      <c r="H68" s="107"/>
      <c r="I68" s="107"/>
      <c r="J68" s="107"/>
      <c r="K68" s="107"/>
      <c r="L68" s="107"/>
      <c r="M68" s="107"/>
      <c r="N68" s="107"/>
      <c r="O68" s="107"/>
      <c r="P68" s="107"/>
      <c r="Q68" s="107"/>
    </row>
    <row r="69" spans="1:17" x14ac:dyDescent="0.2">
      <c r="A69" s="107"/>
      <c r="B69" s="107"/>
      <c r="C69" s="107"/>
      <c r="D69" s="107"/>
      <c r="E69" s="107"/>
      <c r="F69" s="107"/>
      <c r="G69" s="107"/>
      <c r="H69" s="107"/>
      <c r="I69" s="107"/>
      <c r="J69" s="107"/>
      <c r="K69" s="107"/>
      <c r="L69" s="107"/>
      <c r="M69" s="107"/>
      <c r="N69" s="107"/>
      <c r="O69" s="107"/>
      <c r="P69" s="107"/>
      <c r="Q69" s="107"/>
    </row>
    <row r="70" spans="1:17" x14ac:dyDescent="0.2">
      <c r="A70" s="107"/>
      <c r="B70" s="107"/>
      <c r="C70" s="107"/>
      <c r="D70" s="107"/>
      <c r="E70" s="107"/>
      <c r="F70" s="107"/>
      <c r="G70" s="107"/>
      <c r="H70" s="107"/>
      <c r="I70" s="107"/>
      <c r="J70" s="107"/>
      <c r="K70" s="107"/>
      <c r="L70" s="107"/>
      <c r="M70" s="107"/>
      <c r="N70" s="107"/>
      <c r="O70" s="107"/>
      <c r="P70" s="107"/>
      <c r="Q70" s="107"/>
    </row>
    <row r="71" spans="1:17" x14ac:dyDescent="0.2">
      <c r="A71" s="107"/>
      <c r="B71" s="107"/>
      <c r="C71" s="107"/>
      <c r="D71" s="107"/>
      <c r="E71" s="107"/>
      <c r="F71" s="107"/>
      <c r="G71" s="107"/>
      <c r="H71" s="107"/>
      <c r="I71" s="107"/>
      <c r="J71" s="107"/>
      <c r="K71" s="107"/>
      <c r="L71" s="107"/>
      <c r="M71" s="107"/>
      <c r="N71" s="107"/>
      <c r="O71" s="107"/>
      <c r="P71" s="107"/>
      <c r="Q71" s="107"/>
    </row>
    <row r="72" spans="1:17" x14ac:dyDescent="0.2">
      <c r="A72" s="107"/>
      <c r="B72" s="107"/>
      <c r="C72" s="107"/>
      <c r="D72" s="107"/>
      <c r="E72" s="107"/>
      <c r="F72" s="107"/>
      <c r="G72" s="107"/>
      <c r="H72" s="107"/>
      <c r="I72" s="107"/>
      <c r="J72" s="107"/>
      <c r="K72" s="107"/>
      <c r="L72" s="107"/>
      <c r="M72" s="107"/>
      <c r="N72" s="107"/>
      <c r="O72" s="107"/>
      <c r="P72" s="107"/>
      <c r="Q72" s="107"/>
    </row>
    <row r="73" spans="1:17" x14ac:dyDescent="0.2">
      <c r="A73" s="107"/>
      <c r="B73" s="107"/>
      <c r="C73" s="107"/>
      <c r="D73" s="107"/>
      <c r="E73" s="107"/>
      <c r="F73" s="107"/>
      <c r="G73" s="107"/>
      <c r="H73" s="107"/>
      <c r="I73" s="107"/>
      <c r="J73" s="107"/>
      <c r="K73" s="107"/>
      <c r="L73" s="107"/>
      <c r="M73" s="107"/>
      <c r="N73" s="107"/>
      <c r="O73" s="107"/>
      <c r="P73" s="107"/>
      <c r="Q73" s="107"/>
    </row>
    <row r="74" spans="1:17" x14ac:dyDescent="0.2">
      <c r="A74" s="107"/>
      <c r="B74" s="107"/>
      <c r="C74" s="107"/>
      <c r="D74" s="107"/>
      <c r="E74" s="107"/>
      <c r="F74" s="107"/>
      <c r="G74" s="107"/>
      <c r="H74" s="107"/>
      <c r="I74" s="107"/>
      <c r="J74" s="107"/>
      <c r="K74" s="107"/>
      <c r="L74" s="107"/>
      <c r="M74" s="107"/>
      <c r="N74" s="107"/>
      <c r="O74" s="107"/>
      <c r="P74" s="107"/>
      <c r="Q74" s="107"/>
    </row>
    <row r="75" spans="1:17" x14ac:dyDescent="0.2">
      <c r="A75" s="107"/>
      <c r="B75" s="107"/>
      <c r="C75" s="107"/>
      <c r="D75" s="107"/>
      <c r="E75" s="107"/>
      <c r="F75" s="107"/>
      <c r="G75" s="107"/>
      <c r="H75" s="107"/>
      <c r="I75" s="107"/>
      <c r="J75" s="107"/>
      <c r="K75" s="107"/>
      <c r="L75" s="107"/>
      <c r="M75" s="107"/>
      <c r="N75" s="107"/>
      <c r="O75" s="107"/>
      <c r="P75" s="107"/>
      <c r="Q75" s="107"/>
    </row>
    <row r="76" spans="1:17" x14ac:dyDescent="0.2">
      <c r="A76" s="107"/>
      <c r="B76" s="107"/>
      <c r="C76" s="107"/>
      <c r="D76" s="107"/>
      <c r="E76" s="107"/>
      <c r="F76" s="107"/>
      <c r="G76" s="107"/>
      <c r="H76" s="107"/>
      <c r="I76" s="107"/>
      <c r="J76" s="107"/>
      <c r="K76" s="107"/>
      <c r="L76" s="107"/>
      <c r="M76" s="107"/>
      <c r="N76" s="107"/>
      <c r="O76" s="107"/>
      <c r="P76" s="107"/>
      <c r="Q76" s="107"/>
    </row>
    <row r="77" spans="1:17" x14ac:dyDescent="0.2">
      <c r="A77" s="107"/>
      <c r="B77" s="107"/>
      <c r="C77" s="107"/>
      <c r="D77" s="107"/>
      <c r="E77" s="107"/>
      <c r="F77" s="107"/>
      <c r="G77" s="107"/>
      <c r="H77" s="107"/>
      <c r="I77" s="107"/>
      <c r="J77" s="107"/>
      <c r="K77" s="107"/>
      <c r="L77" s="107"/>
      <c r="M77" s="107"/>
      <c r="N77" s="107"/>
      <c r="O77" s="107"/>
      <c r="P77" s="107"/>
      <c r="Q77" s="107"/>
    </row>
    <row r="78" spans="1:17" x14ac:dyDescent="0.2">
      <c r="A78" s="107"/>
      <c r="B78" s="107"/>
      <c r="C78" s="107"/>
      <c r="D78" s="107"/>
      <c r="E78" s="107"/>
      <c r="F78" s="107"/>
      <c r="G78" s="107"/>
      <c r="H78" s="107"/>
      <c r="I78" s="107"/>
      <c r="J78" s="107"/>
      <c r="K78" s="107"/>
      <c r="L78" s="107"/>
      <c r="M78" s="107"/>
      <c r="N78" s="107"/>
      <c r="O78" s="107"/>
      <c r="P78" s="107"/>
      <c r="Q78" s="107"/>
    </row>
    <row r="79" spans="1:17" x14ac:dyDescent="0.2">
      <c r="A79" s="107"/>
      <c r="B79" s="107"/>
      <c r="C79" s="107"/>
      <c r="D79" s="107"/>
      <c r="E79" s="107"/>
      <c r="F79" s="107"/>
      <c r="G79" s="107"/>
      <c r="H79" s="107"/>
      <c r="I79" s="107"/>
      <c r="J79" s="107"/>
      <c r="K79" s="107"/>
      <c r="L79" s="107"/>
      <c r="M79" s="107"/>
      <c r="N79" s="107"/>
      <c r="O79" s="107"/>
      <c r="P79" s="107"/>
      <c r="Q79" s="107"/>
    </row>
    <row r="80" spans="1:17" x14ac:dyDescent="0.2">
      <c r="A80" s="107"/>
      <c r="B80" s="107"/>
      <c r="C80" s="107"/>
      <c r="D80" s="107"/>
      <c r="E80" s="107"/>
      <c r="F80" s="107"/>
      <c r="G80" s="107"/>
      <c r="H80" s="107"/>
      <c r="I80" s="107"/>
      <c r="J80" s="107"/>
      <c r="K80" s="107"/>
      <c r="L80" s="107"/>
      <c r="M80" s="107"/>
      <c r="N80" s="107"/>
      <c r="O80" s="107"/>
      <c r="P80" s="107"/>
      <c r="Q80" s="107"/>
    </row>
    <row r="81" spans="1:17" x14ac:dyDescent="0.2">
      <c r="A81" s="107"/>
      <c r="B81" s="107"/>
      <c r="C81" s="107"/>
      <c r="D81" s="107"/>
      <c r="E81" s="107"/>
      <c r="F81" s="107"/>
      <c r="G81" s="107"/>
      <c r="H81" s="107"/>
      <c r="I81" s="107"/>
      <c r="J81" s="107"/>
      <c r="K81" s="107"/>
      <c r="L81" s="107"/>
      <c r="M81" s="107"/>
      <c r="N81" s="107"/>
      <c r="O81" s="107"/>
      <c r="P81" s="107"/>
      <c r="Q81" s="107"/>
    </row>
    <row r="82" spans="1:17" x14ac:dyDescent="0.2">
      <c r="A82" s="107"/>
      <c r="B82" s="107"/>
      <c r="C82" s="107"/>
      <c r="D82" s="107"/>
      <c r="E82" s="107"/>
      <c r="F82" s="107"/>
      <c r="G82" s="107"/>
      <c r="H82" s="107"/>
      <c r="I82" s="107"/>
      <c r="J82" s="107"/>
      <c r="K82" s="107"/>
      <c r="L82" s="107"/>
      <c r="M82" s="107"/>
      <c r="N82" s="107"/>
      <c r="O82" s="107"/>
      <c r="P82" s="107"/>
      <c r="Q82" s="107"/>
    </row>
    <row r="83" spans="1:17" x14ac:dyDescent="0.2">
      <c r="A83" s="107"/>
      <c r="B83" s="107"/>
      <c r="C83" s="107"/>
      <c r="D83" s="107"/>
      <c r="E83" s="107"/>
      <c r="F83" s="107"/>
      <c r="G83" s="107"/>
      <c r="H83" s="107"/>
      <c r="I83" s="107"/>
      <c r="J83" s="107"/>
      <c r="K83" s="107"/>
      <c r="L83" s="107"/>
      <c r="M83" s="107"/>
      <c r="N83" s="107"/>
      <c r="O83" s="107"/>
      <c r="P83" s="107"/>
      <c r="Q83" s="107"/>
    </row>
    <row r="84" spans="1:17" x14ac:dyDescent="0.2">
      <c r="A84" s="107"/>
      <c r="B84" s="107"/>
      <c r="C84" s="107"/>
      <c r="D84" s="107"/>
      <c r="E84" s="107"/>
      <c r="F84" s="107"/>
      <c r="G84" s="107"/>
      <c r="H84" s="107"/>
      <c r="I84" s="107"/>
      <c r="J84" s="107"/>
      <c r="K84" s="107"/>
      <c r="L84" s="107"/>
      <c r="M84" s="107"/>
      <c r="N84" s="107"/>
      <c r="O84" s="107"/>
      <c r="P84" s="107"/>
      <c r="Q84" s="107"/>
    </row>
    <row r="85" spans="1:17" x14ac:dyDescent="0.2">
      <c r="A85" s="107"/>
      <c r="B85" s="107"/>
      <c r="C85" s="107"/>
      <c r="D85" s="107"/>
      <c r="E85" s="107"/>
      <c r="F85" s="107"/>
      <c r="G85" s="107"/>
      <c r="H85" s="107"/>
      <c r="I85" s="107"/>
      <c r="J85" s="107"/>
      <c r="K85" s="107"/>
      <c r="L85" s="107"/>
      <c r="M85" s="107"/>
      <c r="N85" s="107"/>
      <c r="O85" s="107"/>
      <c r="P85" s="107"/>
      <c r="Q85" s="107"/>
    </row>
    <row r="86" spans="1:17" x14ac:dyDescent="0.2">
      <c r="A86" s="107"/>
      <c r="B86" s="107"/>
      <c r="C86" s="107"/>
      <c r="D86" s="107"/>
      <c r="E86" s="107"/>
      <c r="F86" s="107"/>
      <c r="G86" s="107"/>
      <c r="H86" s="107"/>
      <c r="I86" s="107"/>
      <c r="J86" s="107"/>
      <c r="K86" s="107"/>
      <c r="L86" s="107"/>
      <c r="M86" s="107"/>
      <c r="N86" s="107"/>
      <c r="O86" s="107"/>
      <c r="P86" s="107"/>
      <c r="Q86" s="107"/>
    </row>
    <row r="87" spans="1:17" x14ac:dyDescent="0.2">
      <c r="A87" s="107"/>
      <c r="B87" s="107"/>
      <c r="C87" s="107"/>
      <c r="D87" s="107"/>
      <c r="E87" s="107"/>
      <c r="F87" s="107"/>
      <c r="G87" s="107"/>
      <c r="H87" s="107"/>
      <c r="I87" s="107"/>
      <c r="J87" s="107"/>
      <c r="K87" s="107"/>
      <c r="L87" s="107"/>
      <c r="M87" s="107"/>
      <c r="N87" s="107"/>
      <c r="O87" s="107"/>
      <c r="P87" s="107"/>
      <c r="Q87" s="107"/>
    </row>
    <row r="88" spans="1:17" x14ac:dyDescent="0.2">
      <c r="A88" s="107"/>
      <c r="B88" s="107"/>
      <c r="C88" s="107"/>
      <c r="D88" s="107"/>
      <c r="E88" s="107"/>
      <c r="F88" s="107"/>
      <c r="G88" s="107"/>
      <c r="H88" s="107"/>
      <c r="I88" s="107"/>
      <c r="J88" s="107"/>
      <c r="K88" s="107"/>
      <c r="L88" s="107"/>
      <c r="M88" s="107"/>
      <c r="N88" s="107"/>
      <c r="O88" s="107"/>
      <c r="P88" s="107"/>
      <c r="Q88" s="107"/>
    </row>
    <row r="89" spans="1:17" x14ac:dyDescent="0.2">
      <c r="A89" s="107"/>
      <c r="B89" s="107"/>
      <c r="C89" s="107"/>
      <c r="D89" s="107"/>
      <c r="E89" s="107"/>
      <c r="F89" s="107"/>
      <c r="G89" s="107"/>
      <c r="H89" s="107"/>
      <c r="I89" s="107"/>
      <c r="J89" s="107"/>
      <c r="K89" s="107"/>
      <c r="L89" s="107"/>
      <c r="M89" s="107"/>
      <c r="N89" s="107"/>
      <c r="O89" s="107"/>
      <c r="P89" s="107"/>
      <c r="Q89" s="107"/>
    </row>
    <row r="90" spans="1:17" x14ac:dyDescent="0.2">
      <c r="A90" s="107"/>
      <c r="B90" s="107"/>
      <c r="C90" s="107"/>
      <c r="D90" s="107"/>
      <c r="E90" s="107"/>
      <c r="F90" s="107"/>
      <c r="G90" s="107"/>
      <c r="H90" s="107"/>
      <c r="I90" s="107"/>
      <c r="J90" s="107"/>
      <c r="K90" s="107"/>
      <c r="L90" s="107"/>
      <c r="M90" s="107"/>
      <c r="N90" s="107"/>
      <c r="O90" s="107"/>
      <c r="P90" s="107"/>
      <c r="Q90" s="107"/>
    </row>
    <row r="91" spans="1:17" x14ac:dyDescent="0.2">
      <c r="A91" s="107"/>
      <c r="B91" s="107"/>
      <c r="C91" s="107"/>
      <c r="D91" s="107"/>
      <c r="E91" s="107"/>
      <c r="F91" s="107"/>
      <c r="G91" s="107"/>
      <c r="H91" s="107"/>
      <c r="I91" s="107"/>
      <c r="J91" s="107"/>
      <c r="K91" s="107"/>
      <c r="L91" s="107"/>
      <c r="M91" s="107"/>
      <c r="N91" s="107"/>
      <c r="O91" s="107"/>
      <c r="P91" s="107"/>
      <c r="Q91" s="107"/>
    </row>
    <row r="92" spans="1:17" x14ac:dyDescent="0.2">
      <c r="A92" s="107"/>
      <c r="B92" s="107"/>
      <c r="C92" s="107"/>
      <c r="D92" s="107"/>
      <c r="E92" s="107"/>
      <c r="F92" s="107"/>
      <c r="G92" s="107"/>
      <c r="H92" s="107"/>
      <c r="I92" s="107"/>
      <c r="J92" s="107"/>
      <c r="K92" s="107"/>
      <c r="L92" s="107"/>
      <c r="M92" s="107"/>
      <c r="N92" s="107"/>
      <c r="O92" s="107"/>
      <c r="P92" s="107"/>
      <c r="Q92" s="107"/>
    </row>
    <row r="93" spans="1:17" x14ac:dyDescent="0.2">
      <c r="A93" s="107"/>
      <c r="B93" s="107"/>
      <c r="C93" s="107"/>
      <c r="D93" s="107"/>
      <c r="E93" s="107"/>
      <c r="F93" s="107"/>
      <c r="G93" s="107"/>
      <c r="H93" s="107"/>
      <c r="I93" s="107"/>
      <c r="J93" s="107"/>
      <c r="K93" s="107"/>
      <c r="L93" s="107"/>
      <c r="M93" s="107"/>
      <c r="N93" s="107"/>
      <c r="O93" s="107"/>
      <c r="P93" s="107"/>
      <c r="Q93" s="107"/>
    </row>
    <row r="94" spans="1:17" x14ac:dyDescent="0.2">
      <c r="A94" s="107"/>
      <c r="B94" s="107"/>
      <c r="C94" s="107"/>
      <c r="D94" s="107"/>
      <c r="E94" s="107"/>
      <c r="F94" s="107"/>
      <c r="G94" s="107"/>
      <c r="H94" s="107"/>
      <c r="I94" s="107"/>
      <c r="J94" s="107"/>
      <c r="K94" s="107"/>
      <c r="L94" s="107"/>
      <c r="M94" s="107"/>
      <c r="N94" s="107"/>
      <c r="O94" s="107"/>
      <c r="P94" s="107"/>
      <c r="Q94" s="107"/>
    </row>
    <row r="95" spans="1:17" x14ac:dyDescent="0.2">
      <c r="A95" s="107"/>
      <c r="B95" s="107"/>
      <c r="C95" s="107"/>
      <c r="D95" s="107"/>
      <c r="E95" s="107"/>
      <c r="F95" s="107"/>
      <c r="G95" s="107"/>
      <c r="H95" s="107"/>
      <c r="I95" s="107"/>
      <c r="J95" s="107"/>
      <c r="K95" s="107"/>
      <c r="L95" s="107"/>
      <c r="M95" s="107"/>
      <c r="N95" s="107"/>
      <c r="O95" s="107"/>
      <c r="P95" s="107"/>
      <c r="Q95" s="107"/>
    </row>
    <row r="96" spans="1:17" x14ac:dyDescent="0.2">
      <c r="A96" s="107"/>
      <c r="B96" s="107"/>
      <c r="C96" s="107"/>
      <c r="D96" s="107"/>
      <c r="E96" s="107"/>
      <c r="F96" s="107"/>
      <c r="G96" s="107"/>
      <c r="H96" s="107"/>
      <c r="I96" s="107"/>
      <c r="J96" s="107"/>
      <c r="K96" s="107"/>
      <c r="L96" s="107"/>
      <c r="M96" s="107"/>
      <c r="N96" s="107"/>
      <c r="O96" s="107"/>
      <c r="P96" s="107"/>
      <c r="Q96" s="107"/>
    </row>
    <row r="97" spans="1:17" x14ac:dyDescent="0.2">
      <c r="A97" s="107"/>
      <c r="B97" s="107"/>
      <c r="C97" s="107"/>
      <c r="D97" s="107"/>
      <c r="E97" s="107"/>
      <c r="F97" s="107"/>
      <c r="G97" s="107"/>
      <c r="H97" s="107"/>
      <c r="I97" s="107"/>
      <c r="J97" s="107"/>
      <c r="K97" s="107"/>
      <c r="L97" s="107"/>
      <c r="M97" s="107"/>
      <c r="N97" s="107"/>
      <c r="O97" s="107"/>
      <c r="P97" s="107"/>
      <c r="Q97" s="107"/>
    </row>
    <row r="98" spans="1:17" x14ac:dyDescent="0.2">
      <c r="A98" s="107"/>
      <c r="B98" s="107"/>
      <c r="C98" s="107"/>
      <c r="D98" s="107"/>
      <c r="E98" s="107"/>
      <c r="F98" s="107"/>
      <c r="G98" s="107"/>
      <c r="H98" s="107"/>
      <c r="I98" s="107"/>
      <c r="J98" s="107"/>
      <c r="K98" s="107"/>
      <c r="L98" s="107"/>
      <c r="M98" s="107"/>
      <c r="N98" s="107"/>
      <c r="O98" s="107"/>
      <c r="P98" s="107"/>
      <c r="Q98" s="107"/>
    </row>
    <row r="99" spans="1:17" x14ac:dyDescent="0.2">
      <c r="A99" s="107"/>
      <c r="B99" s="107"/>
      <c r="C99" s="107"/>
      <c r="D99" s="107"/>
      <c r="E99" s="107"/>
      <c r="F99" s="107"/>
      <c r="G99" s="107"/>
      <c r="H99" s="107"/>
      <c r="I99" s="107"/>
      <c r="J99" s="107"/>
      <c r="K99" s="107"/>
      <c r="L99" s="107"/>
      <c r="M99" s="107"/>
      <c r="N99" s="107"/>
      <c r="O99" s="107"/>
      <c r="P99" s="107"/>
      <c r="Q99" s="107"/>
    </row>
    <row r="100" spans="1:17" x14ac:dyDescent="0.2">
      <c r="A100" s="107"/>
      <c r="B100" s="107"/>
      <c r="C100" s="107"/>
      <c r="D100" s="107"/>
      <c r="E100" s="107"/>
      <c r="F100" s="107"/>
      <c r="G100" s="107"/>
      <c r="H100" s="107"/>
      <c r="I100" s="107"/>
      <c r="J100" s="107"/>
      <c r="K100" s="107"/>
      <c r="L100" s="107"/>
      <c r="M100" s="107"/>
      <c r="N100" s="107"/>
      <c r="O100" s="107"/>
      <c r="P100" s="107"/>
      <c r="Q100" s="107"/>
    </row>
    <row r="101" spans="1:17" x14ac:dyDescent="0.2">
      <c r="A101" s="107"/>
      <c r="B101" s="107"/>
      <c r="C101" s="107"/>
      <c r="D101" s="107"/>
      <c r="E101" s="107"/>
      <c r="F101" s="107"/>
      <c r="G101" s="107"/>
      <c r="H101" s="107"/>
      <c r="I101" s="107"/>
      <c r="J101" s="107"/>
      <c r="K101" s="107"/>
      <c r="L101" s="107"/>
      <c r="M101" s="107"/>
      <c r="N101" s="107"/>
      <c r="O101" s="107"/>
      <c r="P101" s="107"/>
      <c r="Q101" s="107"/>
    </row>
    <row r="102" spans="1:17" x14ac:dyDescent="0.2">
      <c r="A102" s="107"/>
      <c r="B102" s="107"/>
      <c r="C102" s="107"/>
      <c r="D102" s="107"/>
      <c r="E102" s="107"/>
      <c r="F102" s="107"/>
      <c r="G102" s="107"/>
      <c r="H102" s="107"/>
      <c r="I102" s="107"/>
      <c r="J102" s="107"/>
      <c r="K102" s="107"/>
      <c r="L102" s="107"/>
      <c r="M102" s="107"/>
      <c r="N102" s="107"/>
      <c r="O102" s="107"/>
      <c r="P102" s="107"/>
      <c r="Q102" s="107"/>
    </row>
    <row r="103" spans="1:17" x14ac:dyDescent="0.2">
      <c r="A103" s="107"/>
      <c r="B103" s="107"/>
      <c r="C103" s="107"/>
      <c r="D103" s="107"/>
      <c r="E103" s="107"/>
      <c r="F103" s="107"/>
      <c r="G103" s="107"/>
      <c r="H103" s="107"/>
      <c r="I103" s="107"/>
      <c r="J103" s="107"/>
      <c r="K103" s="107"/>
      <c r="L103" s="107"/>
      <c r="M103" s="107"/>
      <c r="N103" s="107"/>
      <c r="O103" s="107"/>
      <c r="P103" s="107"/>
      <c r="Q103" s="107"/>
    </row>
    <row r="104" spans="1:17" x14ac:dyDescent="0.2">
      <c r="A104" s="107"/>
      <c r="B104" s="107"/>
      <c r="C104" s="107"/>
      <c r="D104" s="107"/>
      <c r="E104" s="107"/>
      <c r="F104" s="107"/>
      <c r="G104" s="107"/>
      <c r="H104" s="107"/>
      <c r="I104" s="107"/>
      <c r="J104" s="107"/>
      <c r="K104" s="107"/>
      <c r="L104" s="107"/>
      <c r="M104" s="107"/>
      <c r="N104" s="107"/>
      <c r="O104" s="107"/>
      <c r="P104" s="107"/>
      <c r="Q104" s="107"/>
    </row>
    <row r="105" spans="1:17" x14ac:dyDescent="0.2">
      <c r="A105" s="107"/>
      <c r="B105" s="107"/>
      <c r="C105" s="107"/>
      <c r="D105" s="107"/>
      <c r="E105" s="107"/>
      <c r="F105" s="107"/>
      <c r="G105" s="107"/>
      <c r="H105" s="107"/>
      <c r="I105" s="107"/>
      <c r="J105" s="107"/>
      <c r="K105" s="107"/>
      <c r="L105" s="107"/>
      <c r="M105" s="107"/>
      <c r="N105" s="107"/>
      <c r="O105" s="107"/>
      <c r="P105" s="107"/>
      <c r="Q105" s="107"/>
    </row>
    <row r="106" spans="1:17" x14ac:dyDescent="0.2">
      <c r="A106" s="107"/>
      <c r="B106" s="107"/>
      <c r="C106" s="107"/>
      <c r="D106" s="107"/>
      <c r="E106" s="107"/>
      <c r="F106" s="107"/>
      <c r="G106" s="107"/>
      <c r="H106" s="107"/>
      <c r="I106" s="107"/>
      <c r="J106" s="107"/>
      <c r="K106" s="107"/>
      <c r="L106" s="107"/>
      <c r="M106" s="107"/>
      <c r="N106" s="107"/>
      <c r="O106" s="107"/>
      <c r="P106" s="107"/>
      <c r="Q106" s="107"/>
    </row>
    <row r="107" spans="1:17" x14ac:dyDescent="0.2">
      <c r="A107" s="107"/>
      <c r="B107" s="107"/>
      <c r="C107" s="107"/>
      <c r="D107" s="107"/>
      <c r="E107" s="107"/>
      <c r="F107" s="107"/>
      <c r="G107" s="107"/>
      <c r="H107" s="107"/>
      <c r="I107" s="107"/>
      <c r="J107" s="107"/>
      <c r="K107" s="107"/>
      <c r="L107" s="107"/>
      <c r="M107" s="107"/>
      <c r="N107" s="107"/>
      <c r="O107" s="107"/>
      <c r="P107" s="107"/>
      <c r="Q107" s="107"/>
    </row>
    <row r="108" spans="1:17" x14ac:dyDescent="0.2">
      <c r="A108" s="107"/>
      <c r="B108" s="107"/>
      <c r="C108" s="107"/>
      <c r="D108" s="107"/>
      <c r="E108" s="107"/>
      <c r="F108" s="107"/>
      <c r="G108" s="107"/>
      <c r="H108" s="107"/>
      <c r="I108" s="107"/>
      <c r="J108" s="107"/>
      <c r="K108" s="107"/>
      <c r="L108" s="107"/>
      <c r="M108" s="107"/>
      <c r="N108" s="107"/>
      <c r="O108" s="107"/>
      <c r="P108" s="107"/>
      <c r="Q108" s="107"/>
    </row>
    <row r="109" spans="1:17" x14ac:dyDescent="0.2">
      <c r="A109" s="107"/>
      <c r="B109" s="107"/>
      <c r="C109" s="107"/>
      <c r="D109" s="107"/>
      <c r="E109" s="107"/>
      <c r="F109" s="107"/>
      <c r="G109" s="107"/>
      <c r="H109" s="107"/>
      <c r="I109" s="107"/>
      <c r="J109" s="107"/>
      <c r="K109" s="107"/>
      <c r="L109" s="107"/>
      <c r="M109" s="107"/>
      <c r="N109" s="107"/>
      <c r="O109" s="107"/>
      <c r="P109" s="107"/>
      <c r="Q109" s="107"/>
    </row>
    <row r="110" spans="1:17" x14ac:dyDescent="0.2">
      <c r="A110" s="107"/>
      <c r="B110" s="107"/>
      <c r="C110" s="107"/>
      <c r="D110" s="107"/>
      <c r="E110" s="107"/>
      <c r="F110" s="107"/>
      <c r="G110" s="107"/>
      <c r="H110" s="107"/>
      <c r="I110" s="107"/>
      <c r="J110" s="107"/>
      <c r="K110" s="107"/>
      <c r="L110" s="107"/>
      <c r="M110" s="107"/>
      <c r="N110" s="107"/>
      <c r="O110" s="107"/>
      <c r="P110" s="107"/>
      <c r="Q110" s="107"/>
    </row>
    <row r="111" spans="1:17" x14ac:dyDescent="0.2">
      <c r="A111" s="107"/>
      <c r="B111" s="107"/>
      <c r="C111" s="107"/>
      <c r="D111" s="107"/>
      <c r="E111" s="107"/>
      <c r="F111" s="107"/>
      <c r="G111" s="107"/>
      <c r="H111" s="107"/>
      <c r="I111" s="107"/>
      <c r="J111" s="107"/>
      <c r="K111" s="107"/>
      <c r="L111" s="107"/>
      <c r="M111" s="107"/>
      <c r="N111" s="107"/>
      <c r="O111" s="107"/>
      <c r="P111" s="107"/>
      <c r="Q111" s="107"/>
    </row>
    <row r="112" spans="1:17" x14ac:dyDescent="0.2">
      <c r="A112" s="107"/>
      <c r="B112" s="107"/>
      <c r="C112" s="107"/>
      <c r="D112" s="107"/>
      <c r="E112" s="107"/>
      <c r="F112" s="107"/>
      <c r="G112" s="107"/>
      <c r="H112" s="107"/>
      <c r="I112" s="107"/>
      <c r="J112" s="107"/>
      <c r="K112" s="107"/>
      <c r="L112" s="107"/>
      <c r="M112" s="107"/>
      <c r="N112" s="107"/>
      <c r="O112" s="107"/>
      <c r="P112" s="107"/>
      <c r="Q112" s="107"/>
    </row>
    <row r="113" spans="1:17" x14ac:dyDescent="0.2">
      <c r="A113" s="107"/>
      <c r="B113" s="107"/>
      <c r="C113" s="107"/>
      <c r="D113" s="107"/>
      <c r="E113" s="107"/>
      <c r="F113" s="107"/>
      <c r="G113" s="107"/>
      <c r="H113" s="107"/>
      <c r="I113" s="107"/>
      <c r="J113" s="107"/>
      <c r="K113" s="107"/>
      <c r="L113" s="107"/>
      <c r="M113" s="107"/>
      <c r="N113" s="107"/>
      <c r="O113" s="107"/>
      <c r="P113" s="107"/>
      <c r="Q113" s="107"/>
    </row>
    <row r="114" spans="1:17" x14ac:dyDescent="0.2">
      <c r="A114" s="107"/>
      <c r="B114" s="107"/>
      <c r="C114" s="107"/>
      <c r="D114" s="107"/>
      <c r="E114" s="107"/>
      <c r="F114" s="107"/>
      <c r="G114" s="107"/>
      <c r="H114" s="107"/>
      <c r="I114" s="107"/>
      <c r="J114" s="107"/>
      <c r="K114" s="107"/>
      <c r="L114" s="107"/>
      <c r="M114" s="107"/>
      <c r="N114" s="107"/>
      <c r="O114" s="107"/>
      <c r="P114" s="107"/>
      <c r="Q114" s="107"/>
    </row>
    <row r="115" spans="1:17" x14ac:dyDescent="0.2">
      <c r="A115" s="107"/>
      <c r="B115" s="107"/>
      <c r="C115" s="107"/>
      <c r="D115" s="107"/>
      <c r="E115" s="107"/>
      <c r="F115" s="107"/>
      <c r="G115" s="107"/>
      <c r="H115" s="107"/>
      <c r="I115" s="107"/>
      <c r="J115" s="107"/>
      <c r="K115" s="107"/>
      <c r="L115" s="107"/>
      <c r="M115" s="107"/>
      <c r="N115" s="107"/>
      <c r="O115" s="107"/>
      <c r="P115" s="107"/>
      <c r="Q115" s="107"/>
    </row>
    <row r="116" spans="1:17" x14ac:dyDescent="0.2">
      <c r="A116" s="107"/>
      <c r="B116" s="107"/>
      <c r="C116" s="107"/>
      <c r="D116" s="107"/>
      <c r="E116" s="107"/>
      <c r="F116" s="107"/>
      <c r="G116" s="107"/>
      <c r="H116" s="107"/>
      <c r="I116" s="107"/>
      <c r="J116" s="107"/>
      <c r="K116" s="107"/>
      <c r="L116" s="107"/>
      <c r="M116" s="107"/>
      <c r="N116" s="107"/>
      <c r="O116" s="107"/>
      <c r="P116" s="107"/>
      <c r="Q116" s="107"/>
    </row>
    <row r="117" spans="1:17" x14ac:dyDescent="0.2">
      <c r="A117" s="107"/>
      <c r="B117" s="107"/>
      <c r="C117" s="107"/>
      <c r="D117" s="107"/>
      <c r="E117" s="107"/>
      <c r="F117" s="107"/>
      <c r="G117" s="107"/>
      <c r="H117" s="107"/>
      <c r="I117" s="107"/>
      <c r="J117" s="107"/>
      <c r="K117" s="107"/>
      <c r="L117" s="107"/>
      <c r="M117" s="107"/>
      <c r="N117" s="107"/>
      <c r="O117" s="107"/>
      <c r="P117" s="107"/>
      <c r="Q117" s="107"/>
    </row>
    <row r="118" spans="1:17" x14ac:dyDescent="0.2">
      <c r="A118" s="107"/>
      <c r="B118" s="107"/>
      <c r="C118" s="107"/>
      <c r="D118" s="107"/>
      <c r="E118" s="107"/>
      <c r="F118" s="107"/>
      <c r="G118" s="107"/>
      <c r="H118" s="107"/>
      <c r="I118" s="107"/>
      <c r="J118" s="107"/>
      <c r="K118" s="107"/>
      <c r="L118" s="107"/>
      <c r="M118" s="107"/>
      <c r="N118" s="107"/>
      <c r="O118" s="107"/>
      <c r="P118" s="107"/>
      <c r="Q118" s="107"/>
    </row>
  </sheetData>
  <mergeCells count="27">
    <mergeCell ref="L52:M53"/>
    <mergeCell ref="B53:C53"/>
    <mergeCell ref="D53:E53"/>
    <mergeCell ref="F53:G53"/>
    <mergeCell ref="H53:I53"/>
    <mergeCell ref="A52:A54"/>
    <mergeCell ref="B52:C52"/>
    <mergeCell ref="D52:E52"/>
    <mergeCell ref="F52:G52"/>
    <mergeCell ref="H52:I52"/>
    <mergeCell ref="J52:K53"/>
    <mergeCell ref="D33:F33"/>
    <mergeCell ref="G33:I33"/>
    <mergeCell ref="J33:K33"/>
    <mergeCell ref="L33:N33"/>
    <mergeCell ref="A50:M50"/>
    <mergeCell ref="A51:M51"/>
    <mergeCell ref="A4:B4"/>
    <mergeCell ref="A20:C20"/>
    <mergeCell ref="A30:V30"/>
    <mergeCell ref="A31:V31"/>
    <mergeCell ref="A32:A33"/>
    <mergeCell ref="B32:N32"/>
    <mergeCell ref="O32:Q33"/>
    <mergeCell ref="R32:S33"/>
    <mergeCell ref="T32:V33"/>
    <mergeCell ref="B33:C33"/>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79"/>
  <sheetViews>
    <sheetView topLeftCell="B246" workbookViewId="0">
      <selection activeCell="B1" sqref="B1"/>
    </sheetView>
  </sheetViews>
  <sheetFormatPr baseColWidth="10" defaultRowHeight="15" x14ac:dyDescent="0.2"/>
  <cols>
    <col min="1" max="1" width="49.33203125" style="106" customWidth="1"/>
    <col min="2" max="2" width="13.33203125" style="106" bestFit="1" customWidth="1"/>
    <col min="3" max="3" width="6.1640625" style="106" customWidth="1"/>
    <col min="4" max="4" width="10.83203125" style="106"/>
    <col min="5" max="5" width="8.83203125" style="106" customWidth="1"/>
    <col min="6" max="7" width="10.83203125" style="106" customWidth="1"/>
    <col min="8" max="8" width="9.83203125" style="106" customWidth="1"/>
    <col min="9" max="9" width="9.1640625" style="106" customWidth="1"/>
    <col min="10" max="10" width="11.6640625" style="106" customWidth="1"/>
    <col min="11" max="11" width="8.83203125" style="106" customWidth="1"/>
    <col min="12" max="12" width="11.6640625" style="106" customWidth="1"/>
    <col min="13" max="13" width="9.1640625" style="106" customWidth="1"/>
    <col min="14" max="14" width="9" style="106" customWidth="1"/>
    <col min="15" max="15" width="6.83203125" style="106" customWidth="1"/>
    <col min="16" max="16" width="11.6640625" style="106" customWidth="1"/>
    <col min="17" max="17" width="9.33203125" style="106" customWidth="1"/>
    <col min="18" max="18" width="10.1640625" style="106" customWidth="1"/>
    <col min="19" max="19" width="8.1640625" style="106" customWidth="1"/>
    <col min="20" max="20" width="7.1640625" style="106" customWidth="1"/>
    <col min="21" max="21" width="10.83203125" style="106"/>
    <col min="22" max="22" width="6.1640625" style="106" customWidth="1"/>
    <col min="23" max="23" width="10.83203125" style="106"/>
    <col min="24" max="24" width="7.83203125" style="106" customWidth="1"/>
    <col min="25" max="25" width="10.83203125" style="106"/>
    <col min="26" max="26" width="6.6640625" style="106" customWidth="1"/>
    <col min="27" max="28" width="6.1640625" style="106" customWidth="1"/>
    <col min="29" max="29" width="10.83203125" style="106"/>
    <col min="30" max="30" width="6.1640625" style="106" customWidth="1"/>
    <col min="31" max="31" width="10.83203125" style="106"/>
    <col min="32" max="32" width="6.1640625" style="106" customWidth="1"/>
    <col min="33" max="16384" width="10.83203125" style="106"/>
  </cols>
  <sheetData>
    <row r="1" spans="1:24" x14ac:dyDescent="0.2">
      <c r="A1" s="972" t="s">
        <v>3284</v>
      </c>
      <c r="B1" s="107"/>
      <c r="C1" s="107"/>
      <c r="D1" s="107"/>
      <c r="E1" s="107"/>
      <c r="F1" s="107"/>
      <c r="G1" s="107"/>
      <c r="H1" s="107"/>
      <c r="I1" s="107"/>
      <c r="J1" s="107"/>
      <c r="K1" s="107"/>
      <c r="L1" s="107"/>
      <c r="M1" s="107"/>
      <c r="N1" s="107"/>
      <c r="O1" s="107"/>
      <c r="P1" s="107"/>
      <c r="Q1" s="107"/>
      <c r="R1" s="107"/>
      <c r="S1" s="107"/>
      <c r="T1" s="107"/>
      <c r="U1" s="107"/>
      <c r="V1" s="107"/>
      <c r="W1" s="107"/>
      <c r="X1" s="107"/>
    </row>
    <row r="2" spans="1:24" x14ac:dyDescent="0.2">
      <c r="A2" s="107"/>
      <c r="B2" s="107"/>
      <c r="C2" s="107"/>
      <c r="D2" s="107"/>
      <c r="E2" s="107"/>
      <c r="F2" s="107"/>
      <c r="G2" s="107"/>
      <c r="H2" s="107"/>
      <c r="I2" s="107"/>
      <c r="J2" s="107"/>
      <c r="K2" s="107"/>
      <c r="L2" s="107"/>
      <c r="M2" s="107"/>
      <c r="N2" s="107"/>
      <c r="O2" s="107"/>
      <c r="P2" s="107"/>
      <c r="Q2" s="107"/>
      <c r="R2" s="107"/>
      <c r="S2" s="107"/>
      <c r="T2" s="107"/>
      <c r="U2" s="107"/>
      <c r="V2" s="107"/>
      <c r="W2" s="107"/>
      <c r="X2" s="107"/>
    </row>
    <row r="3" spans="1:24" x14ac:dyDescent="0.2">
      <c r="A3" s="526" t="s">
        <v>1111</v>
      </c>
      <c r="B3" s="107"/>
      <c r="C3" s="107"/>
      <c r="D3" s="107"/>
      <c r="E3" s="107"/>
      <c r="F3" s="107"/>
      <c r="G3" s="107"/>
      <c r="H3" s="107"/>
      <c r="I3" s="107"/>
      <c r="J3" s="107"/>
      <c r="K3" s="107"/>
      <c r="L3" s="107"/>
      <c r="M3" s="107"/>
      <c r="N3" s="107"/>
      <c r="O3" s="107"/>
      <c r="P3" s="107"/>
      <c r="Q3" s="107"/>
      <c r="R3" s="107"/>
      <c r="S3" s="107"/>
      <c r="T3" s="107"/>
      <c r="U3" s="107"/>
      <c r="V3" s="107"/>
      <c r="W3" s="107"/>
      <c r="X3" s="107"/>
    </row>
    <row r="4" spans="1:24" ht="39" customHeight="1" x14ac:dyDescent="0.2">
      <c r="A4" s="782" t="s">
        <v>3285</v>
      </c>
      <c r="B4" s="784"/>
      <c r="C4" s="107"/>
      <c r="D4" s="107"/>
      <c r="E4" s="107"/>
      <c r="F4" s="107"/>
      <c r="G4" s="107"/>
      <c r="H4" s="107"/>
      <c r="I4" s="107"/>
      <c r="J4" s="107"/>
      <c r="K4" s="107"/>
      <c r="L4" s="107"/>
      <c r="M4" s="107"/>
      <c r="N4" s="107"/>
      <c r="O4" s="107"/>
      <c r="P4" s="107"/>
      <c r="Q4" s="107"/>
      <c r="R4" s="107"/>
      <c r="S4" s="107"/>
      <c r="T4" s="107"/>
      <c r="U4" s="107"/>
      <c r="V4" s="107"/>
      <c r="W4" s="107"/>
      <c r="X4" s="107"/>
    </row>
    <row r="5" spans="1:24" x14ac:dyDescent="0.2">
      <c r="A5" s="131" t="s">
        <v>1174</v>
      </c>
      <c r="B5" s="307">
        <v>2775450</v>
      </c>
      <c r="C5" s="107"/>
      <c r="D5" s="107"/>
      <c r="E5" s="107"/>
      <c r="F5" s="107"/>
      <c r="G5" s="107"/>
      <c r="H5" s="107"/>
      <c r="I5" s="107"/>
      <c r="J5" s="107"/>
      <c r="K5" s="107"/>
      <c r="L5" s="107"/>
      <c r="M5" s="107"/>
      <c r="N5" s="107"/>
      <c r="O5" s="107"/>
      <c r="P5" s="107"/>
      <c r="Q5" s="107"/>
      <c r="R5" s="107"/>
      <c r="S5" s="107"/>
      <c r="T5" s="107"/>
      <c r="U5" s="107"/>
      <c r="V5" s="107"/>
      <c r="W5" s="107"/>
      <c r="X5" s="107"/>
    </row>
    <row r="6" spans="1:24" x14ac:dyDescent="0.2">
      <c r="A6" s="131" t="s">
        <v>1569</v>
      </c>
      <c r="B6" s="307">
        <v>799213</v>
      </c>
      <c r="C6" s="107"/>
      <c r="D6" s="107"/>
      <c r="E6" s="107"/>
      <c r="F6" s="107"/>
      <c r="G6" s="107"/>
      <c r="H6" s="107"/>
      <c r="I6" s="107"/>
      <c r="J6" s="107"/>
      <c r="K6" s="107"/>
      <c r="L6" s="107"/>
      <c r="M6" s="107"/>
      <c r="N6" s="107"/>
      <c r="O6" s="107"/>
      <c r="P6" s="107"/>
      <c r="Q6" s="107"/>
      <c r="R6" s="107"/>
      <c r="S6" s="107"/>
      <c r="T6" s="107"/>
      <c r="U6" s="107"/>
      <c r="V6" s="107"/>
      <c r="W6" s="107"/>
      <c r="X6" s="107"/>
    </row>
    <row r="7" spans="1:24" x14ac:dyDescent="0.2">
      <c r="A7" s="131" t="s">
        <v>1991</v>
      </c>
      <c r="B7" s="307">
        <v>250000</v>
      </c>
      <c r="C7" s="107"/>
      <c r="D7" s="107"/>
      <c r="E7" s="107"/>
      <c r="F7" s="107"/>
      <c r="G7" s="107"/>
      <c r="H7" s="107"/>
      <c r="I7" s="107"/>
      <c r="J7" s="107"/>
      <c r="K7" s="107"/>
      <c r="L7" s="107"/>
      <c r="M7" s="107"/>
      <c r="N7" s="107"/>
      <c r="O7" s="107"/>
      <c r="P7" s="107"/>
      <c r="Q7" s="107"/>
      <c r="R7" s="107"/>
      <c r="S7" s="107"/>
      <c r="T7" s="107"/>
      <c r="U7" s="107"/>
      <c r="V7" s="107"/>
      <c r="W7" s="107"/>
      <c r="X7" s="107"/>
    </row>
    <row r="8" spans="1:24" x14ac:dyDescent="0.2">
      <c r="A8" s="131" t="s">
        <v>1175</v>
      </c>
      <c r="B8" s="307">
        <v>67609</v>
      </c>
      <c r="C8" s="107"/>
      <c r="D8" s="107"/>
      <c r="E8" s="107"/>
      <c r="F8" s="107"/>
      <c r="G8" s="107"/>
      <c r="H8" s="107"/>
      <c r="I8" s="107"/>
      <c r="J8" s="107"/>
      <c r="K8" s="107"/>
      <c r="L8" s="107"/>
      <c r="M8" s="107"/>
      <c r="N8" s="107"/>
      <c r="O8" s="107"/>
      <c r="P8" s="107"/>
      <c r="Q8" s="107"/>
      <c r="R8" s="107"/>
      <c r="S8" s="107"/>
      <c r="T8" s="107"/>
      <c r="U8" s="107"/>
      <c r="V8" s="107"/>
      <c r="W8" s="107"/>
      <c r="X8" s="107"/>
    </row>
    <row r="9" spans="1:24" x14ac:dyDescent="0.2">
      <c r="A9" s="131" t="s">
        <v>1808</v>
      </c>
      <c r="B9" s="307">
        <v>72595</v>
      </c>
      <c r="C9" s="107"/>
      <c r="D9" s="107"/>
      <c r="E9" s="107"/>
      <c r="F9" s="107"/>
      <c r="G9" s="107"/>
      <c r="H9" s="107"/>
      <c r="I9" s="107"/>
      <c r="J9" s="107"/>
      <c r="K9" s="107"/>
      <c r="L9" s="107"/>
      <c r="M9" s="107"/>
      <c r="N9" s="107"/>
      <c r="O9" s="107"/>
      <c r="P9" s="107"/>
      <c r="Q9" s="107"/>
      <c r="R9" s="107"/>
      <c r="S9" s="107"/>
      <c r="T9" s="107"/>
      <c r="U9" s="107"/>
      <c r="V9" s="107"/>
      <c r="W9" s="107"/>
      <c r="X9" s="107"/>
    </row>
    <row r="10" spans="1:24" x14ac:dyDescent="0.2">
      <c r="A10" s="131" t="s">
        <v>3286</v>
      </c>
      <c r="B10" s="307">
        <v>18000</v>
      </c>
      <c r="C10" s="107"/>
      <c r="D10" s="107"/>
      <c r="E10" s="107"/>
      <c r="F10" s="107"/>
      <c r="G10" s="107"/>
      <c r="H10" s="107"/>
      <c r="I10" s="107"/>
      <c r="J10" s="107"/>
      <c r="K10" s="107"/>
      <c r="L10" s="107"/>
      <c r="M10" s="107"/>
      <c r="N10" s="107"/>
      <c r="O10" s="107"/>
      <c r="P10" s="107"/>
      <c r="Q10" s="107"/>
      <c r="R10" s="107"/>
      <c r="S10" s="107"/>
      <c r="T10" s="107"/>
      <c r="U10" s="107"/>
      <c r="V10" s="107"/>
      <c r="W10" s="107"/>
      <c r="X10" s="107"/>
    </row>
    <row r="11" spans="1:24" x14ac:dyDescent="0.2">
      <c r="A11" s="131" t="s">
        <v>3287</v>
      </c>
      <c r="B11" s="307">
        <v>10627</v>
      </c>
      <c r="C11" s="107"/>
      <c r="D11" s="107"/>
      <c r="E11" s="107"/>
      <c r="F11" s="107"/>
      <c r="G11" s="107"/>
      <c r="H11" s="107"/>
      <c r="I11" s="107"/>
      <c r="J11" s="107"/>
      <c r="K11" s="107"/>
      <c r="L11" s="107"/>
      <c r="M11" s="107"/>
      <c r="N11" s="107"/>
      <c r="O11" s="107"/>
      <c r="P11" s="107"/>
      <c r="Q11" s="107"/>
      <c r="R11" s="107"/>
      <c r="S11" s="107"/>
      <c r="T11" s="107"/>
      <c r="U11" s="107"/>
      <c r="V11" s="107"/>
      <c r="W11" s="107"/>
      <c r="X11" s="107"/>
    </row>
    <row r="12" spans="1:24" ht="16" thickBot="1" x14ac:dyDescent="0.25">
      <c r="A12" s="131" t="s">
        <v>3288</v>
      </c>
      <c r="B12" s="444">
        <v>6506</v>
      </c>
      <c r="C12" s="107"/>
      <c r="D12" s="107"/>
      <c r="E12" s="107"/>
      <c r="F12" s="107"/>
      <c r="G12" s="107"/>
      <c r="H12" s="107"/>
      <c r="I12" s="107"/>
      <c r="J12" s="107"/>
      <c r="K12" s="107"/>
      <c r="L12" s="107"/>
      <c r="M12" s="107"/>
      <c r="N12" s="107"/>
      <c r="O12" s="107"/>
      <c r="P12" s="107"/>
      <c r="Q12" s="107"/>
      <c r="R12" s="107"/>
      <c r="S12" s="107"/>
      <c r="T12" s="107"/>
      <c r="U12" s="107"/>
      <c r="V12" s="107"/>
      <c r="W12" s="107"/>
      <c r="X12" s="107"/>
    </row>
    <row r="13" spans="1:24" x14ac:dyDescent="0.2">
      <c r="A13" s="622" t="s">
        <v>3289</v>
      </c>
      <c r="B13" s="307">
        <v>4000000</v>
      </c>
      <c r="C13" s="107"/>
      <c r="D13" s="107"/>
      <c r="E13" s="107"/>
      <c r="F13" s="107"/>
      <c r="G13" s="107"/>
      <c r="H13" s="107"/>
      <c r="I13" s="107"/>
      <c r="J13" s="107"/>
      <c r="K13" s="107"/>
      <c r="L13" s="107"/>
      <c r="M13" s="107"/>
      <c r="N13" s="107"/>
      <c r="O13" s="107"/>
      <c r="P13" s="107"/>
      <c r="Q13" s="107"/>
      <c r="R13" s="107"/>
      <c r="S13" s="107"/>
      <c r="T13" s="107"/>
      <c r="U13" s="107"/>
      <c r="V13" s="107"/>
      <c r="W13" s="107"/>
      <c r="X13" s="107"/>
    </row>
    <row r="14" spans="1:24" x14ac:dyDescent="0.2">
      <c r="A14" s="622"/>
      <c r="B14" s="188">
        <f>+SUM(B5:B12)</f>
        <v>4000000</v>
      </c>
      <c r="C14" s="107"/>
      <c r="D14" s="107"/>
      <c r="E14" s="107"/>
      <c r="F14" s="107"/>
      <c r="G14" s="107"/>
      <c r="H14" s="107"/>
      <c r="I14" s="107"/>
      <c r="J14" s="107"/>
      <c r="K14" s="107"/>
      <c r="L14" s="107"/>
      <c r="M14" s="107"/>
      <c r="N14" s="107"/>
      <c r="O14" s="107"/>
      <c r="P14" s="107"/>
      <c r="Q14" s="107"/>
      <c r="R14" s="107"/>
      <c r="S14" s="107"/>
      <c r="T14" s="107"/>
      <c r="U14" s="107"/>
      <c r="V14" s="107"/>
      <c r="W14" s="107"/>
      <c r="X14" s="107"/>
    </row>
    <row r="15" spans="1:24" ht="16" x14ac:dyDescent="0.2">
      <c r="A15" s="973" t="s">
        <v>3290</v>
      </c>
      <c r="B15" s="974"/>
      <c r="C15" s="107"/>
      <c r="D15" s="107"/>
      <c r="E15" s="107"/>
      <c r="F15" s="107"/>
      <c r="G15" s="107"/>
      <c r="H15" s="107"/>
      <c r="I15" s="107"/>
      <c r="J15" s="107"/>
      <c r="K15" s="107"/>
      <c r="L15" s="107"/>
      <c r="M15" s="107"/>
      <c r="N15" s="107"/>
      <c r="O15" s="107"/>
      <c r="P15" s="107"/>
      <c r="Q15" s="107"/>
      <c r="R15" s="107"/>
      <c r="S15" s="107"/>
      <c r="T15" s="107"/>
      <c r="U15" s="107"/>
      <c r="V15" s="107"/>
      <c r="W15" s="107"/>
      <c r="X15" s="107"/>
    </row>
    <row r="16" spans="1:24" ht="45" x14ac:dyDescent="0.2">
      <c r="A16" s="539" t="s">
        <v>3291</v>
      </c>
      <c r="B16" s="307">
        <v>518775</v>
      </c>
      <c r="C16" s="107"/>
      <c r="D16" s="107"/>
      <c r="E16" s="107"/>
      <c r="F16" s="107"/>
      <c r="G16" s="107"/>
      <c r="H16" s="107"/>
      <c r="I16" s="107"/>
      <c r="J16" s="107"/>
      <c r="K16" s="107"/>
      <c r="L16" s="107"/>
      <c r="M16" s="107"/>
      <c r="N16" s="107"/>
      <c r="O16" s="107"/>
      <c r="P16" s="107"/>
      <c r="Q16" s="107"/>
      <c r="R16" s="107"/>
      <c r="S16" s="107"/>
      <c r="T16" s="107"/>
      <c r="U16" s="107"/>
      <c r="V16" s="107"/>
      <c r="W16" s="107"/>
      <c r="X16" s="107"/>
    </row>
    <row r="17" spans="1:24" x14ac:dyDescent="0.2">
      <c r="A17" s="131" t="s">
        <v>3292</v>
      </c>
      <c r="B17" s="307">
        <v>739050</v>
      </c>
      <c r="C17" s="107"/>
      <c r="D17" s="107"/>
      <c r="E17" s="107"/>
      <c r="F17" s="107"/>
      <c r="G17" s="107"/>
      <c r="H17" s="107"/>
      <c r="I17" s="107"/>
      <c r="J17" s="107"/>
      <c r="K17" s="107"/>
      <c r="L17" s="107"/>
      <c r="M17" s="107"/>
      <c r="N17" s="107"/>
      <c r="O17" s="107"/>
      <c r="P17" s="107"/>
      <c r="Q17" s="107"/>
      <c r="R17" s="107"/>
      <c r="S17" s="107"/>
      <c r="T17" s="107"/>
      <c r="U17" s="107"/>
      <c r="V17" s="107"/>
      <c r="W17" s="107"/>
      <c r="X17" s="107"/>
    </row>
    <row r="18" spans="1:24" x14ac:dyDescent="0.2">
      <c r="A18" s="131" t="s">
        <v>3293</v>
      </c>
      <c r="B18" s="307">
        <v>651527</v>
      </c>
      <c r="C18" s="107"/>
      <c r="D18" s="107"/>
      <c r="E18" s="107"/>
      <c r="F18" s="107"/>
      <c r="G18" s="107"/>
      <c r="H18" s="107"/>
      <c r="I18" s="107"/>
      <c r="J18" s="107"/>
      <c r="K18" s="107"/>
      <c r="L18" s="107"/>
      <c r="M18" s="107"/>
      <c r="N18" s="107"/>
      <c r="O18" s="107"/>
      <c r="P18" s="107"/>
      <c r="Q18" s="107"/>
      <c r="R18" s="107"/>
      <c r="S18" s="107"/>
      <c r="T18" s="107"/>
      <c r="U18" s="107"/>
      <c r="V18" s="107"/>
      <c r="W18" s="107"/>
      <c r="X18" s="107"/>
    </row>
    <row r="19" spans="1:24" x14ac:dyDescent="0.2">
      <c r="A19" s="131" t="s">
        <v>3294</v>
      </c>
      <c r="B19" s="307">
        <v>1060700</v>
      </c>
      <c r="C19" s="107"/>
      <c r="D19" s="107"/>
      <c r="E19" s="107"/>
      <c r="F19" s="107"/>
      <c r="G19" s="107"/>
      <c r="H19" s="107"/>
      <c r="I19" s="107"/>
      <c r="J19" s="107"/>
      <c r="K19" s="107"/>
      <c r="L19" s="107"/>
      <c r="M19" s="107"/>
      <c r="N19" s="107"/>
      <c r="O19" s="107"/>
      <c r="P19" s="107"/>
      <c r="Q19" s="107"/>
      <c r="R19" s="107"/>
      <c r="S19" s="107"/>
      <c r="T19" s="107"/>
      <c r="U19" s="107"/>
      <c r="V19" s="107"/>
      <c r="W19" s="107"/>
      <c r="X19" s="107"/>
    </row>
    <row r="20" spans="1:24" ht="31" thickBot="1" x14ac:dyDescent="0.25">
      <c r="A20" s="539" t="s">
        <v>3295</v>
      </c>
      <c r="B20" s="444">
        <v>179948</v>
      </c>
      <c r="C20" s="107"/>
      <c r="D20" s="107"/>
      <c r="E20" s="107"/>
      <c r="F20" s="107"/>
      <c r="G20" s="107"/>
      <c r="H20" s="107"/>
      <c r="I20" s="107"/>
      <c r="J20" s="107"/>
      <c r="K20" s="107"/>
      <c r="L20" s="107"/>
      <c r="M20" s="107"/>
      <c r="N20" s="107"/>
      <c r="O20" s="107"/>
      <c r="P20" s="107"/>
      <c r="Q20" s="107"/>
      <c r="R20" s="107"/>
      <c r="S20" s="107"/>
      <c r="T20" s="107"/>
      <c r="U20" s="107"/>
      <c r="V20" s="107"/>
      <c r="W20" s="107"/>
      <c r="X20" s="107"/>
    </row>
    <row r="21" spans="1:24" ht="16" thickBot="1" x14ac:dyDescent="0.25">
      <c r="A21" s="622" t="s">
        <v>3289</v>
      </c>
      <c r="B21" s="449">
        <v>3150000</v>
      </c>
      <c r="C21" s="107"/>
      <c r="D21" s="107"/>
      <c r="E21" s="107"/>
      <c r="F21" s="107"/>
      <c r="G21" s="107"/>
      <c r="H21" s="107"/>
      <c r="I21" s="107"/>
      <c r="J21" s="107"/>
      <c r="K21" s="107"/>
      <c r="L21" s="107"/>
      <c r="M21" s="107"/>
      <c r="N21" s="107"/>
      <c r="O21" s="107"/>
      <c r="P21" s="107"/>
      <c r="Q21" s="107"/>
      <c r="R21" s="107"/>
      <c r="S21" s="107"/>
      <c r="T21" s="107"/>
      <c r="U21" s="107"/>
      <c r="V21" s="107"/>
      <c r="W21" s="107"/>
      <c r="X21" s="107"/>
    </row>
    <row r="22" spans="1:24" x14ac:dyDescent="0.2">
      <c r="A22" s="622"/>
      <c r="B22" s="188">
        <f>+SUM(B16:B20)</f>
        <v>3150000</v>
      </c>
      <c r="C22" s="107"/>
      <c r="D22" s="107"/>
      <c r="E22" s="107"/>
      <c r="F22" s="107"/>
      <c r="G22" s="107"/>
      <c r="H22" s="107"/>
      <c r="I22" s="107"/>
      <c r="J22" s="107"/>
      <c r="K22" s="107"/>
      <c r="L22" s="107"/>
      <c r="M22" s="107"/>
      <c r="N22" s="107"/>
      <c r="O22" s="107"/>
      <c r="P22" s="107"/>
      <c r="Q22" s="107"/>
      <c r="R22" s="107"/>
      <c r="S22" s="107"/>
      <c r="T22" s="107"/>
      <c r="U22" s="107"/>
      <c r="V22" s="107"/>
      <c r="W22" s="107"/>
      <c r="X22" s="107"/>
    </row>
    <row r="23" spans="1:24" x14ac:dyDescent="0.2">
      <c r="A23" s="131" t="s">
        <v>3296</v>
      </c>
      <c r="B23" s="307">
        <v>4000000</v>
      </c>
      <c r="C23" s="107"/>
      <c r="D23" s="107"/>
      <c r="E23" s="107"/>
      <c r="F23" s="107"/>
      <c r="G23" s="107"/>
      <c r="H23" s="107"/>
      <c r="I23" s="107"/>
      <c r="J23" s="107"/>
      <c r="K23" s="107"/>
      <c r="L23" s="107"/>
      <c r="M23" s="107"/>
      <c r="N23" s="107"/>
      <c r="O23" s="107"/>
      <c r="P23" s="107"/>
      <c r="Q23" s="107"/>
      <c r="R23" s="107"/>
      <c r="S23" s="107"/>
      <c r="T23" s="107"/>
      <c r="U23" s="107"/>
      <c r="V23" s="107"/>
      <c r="W23" s="107"/>
      <c r="X23" s="107"/>
    </row>
    <row r="24" spans="1:24" ht="16" thickBot="1" x14ac:dyDescent="0.25">
      <c r="A24" s="131" t="s">
        <v>3297</v>
      </c>
      <c r="B24" s="444">
        <v>3150000</v>
      </c>
      <c r="C24" s="107"/>
      <c r="D24" s="107"/>
      <c r="E24" s="107"/>
      <c r="F24" s="107"/>
      <c r="G24" s="107"/>
      <c r="H24" s="107"/>
      <c r="I24" s="107"/>
      <c r="J24" s="107"/>
      <c r="K24" s="107"/>
      <c r="L24" s="107"/>
      <c r="M24" s="107"/>
      <c r="N24" s="107"/>
      <c r="O24" s="107"/>
      <c r="P24" s="107"/>
      <c r="Q24" s="107"/>
      <c r="R24" s="107"/>
      <c r="S24" s="107"/>
      <c r="T24" s="107"/>
      <c r="U24" s="107"/>
      <c r="V24" s="107"/>
      <c r="W24" s="107"/>
      <c r="X24" s="107"/>
    </row>
    <row r="25" spans="1:24" x14ac:dyDescent="0.2">
      <c r="A25" s="794" t="s">
        <v>3298</v>
      </c>
      <c r="B25" s="364">
        <v>850000</v>
      </c>
      <c r="C25" s="107"/>
      <c r="D25" s="107"/>
      <c r="E25" s="107"/>
      <c r="F25" s="107"/>
      <c r="G25" s="107"/>
      <c r="H25" s="107"/>
      <c r="I25" s="107"/>
      <c r="J25" s="107"/>
      <c r="K25" s="107"/>
      <c r="L25" s="107"/>
      <c r="M25" s="107"/>
      <c r="N25" s="107"/>
      <c r="O25" s="107"/>
      <c r="P25" s="107"/>
      <c r="Q25" s="107"/>
      <c r="R25" s="107"/>
      <c r="S25" s="107"/>
      <c r="T25" s="107"/>
      <c r="U25" s="107"/>
      <c r="V25" s="107"/>
      <c r="W25" s="107"/>
      <c r="X25" s="107"/>
    </row>
    <row r="26" spans="1:24" x14ac:dyDescent="0.2">
      <c r="A26" s="107"/>
      <c r="B26" s="107"/>
      <c r="C26" s="107"/>
      <c r="D26" s="107"/>
      <c r="E26" s="107"/>
      <c r="F26" s="107"/>
      <c r="G26" s="107"/>
      <c r="H26" s="107"/>
      <c r="I26" s="107"/>
      <c r="J26" s="107"/>
      <c r="K26" s="107"/>
      <c r="L26" s="107"/>
      <c r="M26" s="107"/>
      <c r="N26" s="107"/>
      <c r="O26" s="107"/>
      <c r="P26" s="107"/>
      <c r="Q26" s="107"/>
      <c r="R26" s="107"/>
      <c r="S26" s="107"/>
      <c r="T26" s="107"/>
      <c r="U26" s="107"/>
      <c r="V26" s="107"/>
      <c r="W26" s="107"/>
      <c r="X26" s="107"/>
    </row>
    <row r="27" spans="1:24" x14ac:dyDescent="0.2">
      <c r="A27" s="107"/>
      <c r="B27" s="107"/>
      <c r="C27" s="107"/>
      <c r="D27" s="107"/>
      <c r="E27" s="107"/>
      <c r="F27" s="107"/>
      <c r="G27" s="107"/>
      <c r="H27" s="107"/>
      <c r="I27" s="107"/>
      <c r="J27" s="107"/>
      <c r="K27" s="107"/>
      <c r="L27" s="107"/>
      <c r="M27" s="107"/>
      <c r="N27" s="107"/>
      <c r="O27" s="107"/>
      <c r="P27" s="107"/>
      <c r="Q27" s="107"/>
      <c r="R27" s="107"/>
      <c r="S27" s="107"/>
      <c r="T27" s="107"/>
      <c r="U27" s="107"/>
      <c r="V27" s="107"/>
      <c r="W27" s="107"/>
      <c r="X27" s="107"/>
    </row>
    <row r="28" spans="1:24" x14ac:dyDescent="0.2">
      <c r="A28" s="107"/>
      <c r="B28" s="107"/>
      <c r="C28" s="107"/>
      <c r="D28" s="107"/>
      <c r="E28" s="107"/>
      <c r="F28" s="107"/>
      <c r="G28" s="107"/>
      <c r="H28" s="107"/>
      <c r="I28" s="107"/>
      <c r="J28" s="107"/>
      <c r="K28" s="107"/>
      <c r="L28" s="107"/>
      <c r="M28" s="107"/>
      <c r="N28" s="107"/>
      <c r="O28" s="107"/>
      <c r="P28" s="107"/>
      <c r="Q28" s="107"/>
      <c r="R28" s="107"/>
      <c r="S28" s="107"/>
      <c r="T28" s="107"/>
      <c r="U28" s="107"/>
      <c r="V28" s="107"/>
      <c r="W28" s="107"/>
      <c r="X28" s="107"/>
    </row>
    <row r="29" spans="1:24" x14ac:dyDescent="0.2">
      <c r="A29" s="526" t="s">
        <v>1428</v>
      </c>
      <c r="B29" s="107"/>
      <c r="C29" s="107"/>
      <c r="D29" s="107"/>
      <c r="E29" s="107"/>
      <c r="F29" s="107"/>
      <c r="G29" s="107"/>
      <c r="H29" s="107"/>
      <c r="I29" s="107"/>
      <c r="J29" s="107"/>
      <c r="K29" s="107"/>
      <c r="L29" s="107"/>
      <c r="M29" s="107"/>
      <c r="N29" s="107"/>
      <c r="O29" s="107"/>
      <c r="P29" s="107"/>
      <c r="Q29" s="107"/>
      <c r="R29" s="107"/>
      <c r="S29" s="107"/>
      <c r="T29" s="107"/>
      <c r="U29" s="107"/>
      <c r="V29" s="107"/>
      <c r="W29" s="107"/>
      <c r="X29" s="107"/>
    </row>
    <row r="30" spans="1:24" ht="29" customHeight="1" x14ac:dyDescent="0.2">
      <c r="A30" s="953" t="s">
        <v>3299</v>
      </c>
      <c r="B30" s="954"/>
      <c r="C30" s="954"/>
      <c r="D30" s="954"/>
      <c r="E30" s="954"/>
      <c r="F30" s="954"/>
      <c r="G30" s="954"/>
      <c r="H30" s="954"/>
      <c r="I30" s="954"/>
      <c r="J30" s="954"/>
      <c r="K30" s="954"/>
      <c r="L30" s="954"/>
      <c r="M30" s="954"/>
      <c r="N30" s="954"/>
      <c r="O30" s="954"/>
      <c r="P30" s="954"/>
      <c r="Q30" s="954"/>
      <c r="R30" s="954"/>
      <c r="S30" s="954"/>
      <c r="T30" s="954"/>
      <c r="U30" s="954"/>
      <c r="V30" s="955"/>
      <c r="W30" s="107"/>
      <c r="X30" s="107"/>
    </row>
    <row r="31" spans="1:24" ht="14.5" customHeight="1" x14ac:dyDescent="0.2">
      <c r="A31" s="967" t="s">
        <v>3254</v>
      </c>
      <c r="B31" s="608" t="s">
        <v>3255</v>
      </c>
      <c r="C31" s="778"/>
      <c r="D31" s="778"/>
      <c r="E31" s="778"/>
      <c r="F31" s="778"/>
      <c r="G31" s="778"/>
      <c r="H31" s="778"/>
      <c r="I31" s="778"/>
      <c r="J31" s="778"/>
      <c r="K31" s="778"/>
      <c r="L31" s="778"/>
      <c r="M31" s="778"/>
      <c r="N31" s="609"/>
      <c r="O31" s="602" t="s">
        <v>3256</v>
      </c>
      <c r="P31" s="631"/>
      <c r="Q31" s="603"/>
      <c r="R31" s="967" t="s">
        <v>3257</v>
      </c>
      <c r="S31" s="967"/>
      <c r="T31" s="602" t="s">
        <v>3258</v>
      </c>
      <c r="U31" s="631"/>
      <c r="V31" s="603"/>
      <c r="W31" s="107"/>
      <c r="X31" s="107"/>
    </row>
    <row r="32" spans="1:24" ht="26.5" customHeight="1" x14ac:dyDescent="0.2">
      <c r="A32" s="967"/>
      <c r="B32" s="967" t="s">
        <v>3259</v>
      </c>
      <c r="C32" s="967"/>
      <c r="D32" s="608" t="s">
        <v>3260</v>
      </c>
      <c r="E32" s="778"/>
      <c r="F32" s="609"/>
      <c r="G32" s="608" t="s">
        <v>3261</v>
      </c>
      <c r="H32" s="778"/>
      <c r="I32" s="609"/>
      <c r="J32" s="967" t="s">
        <v>3262</v>
      </c>
      <c r="K32" s="967"/>
      <c r="L32" s="608" t="s">
        <v>3276</v>
      </c>
      <c r="M32" s="778"/>
      <c r="N32" s="609"/>
      <c r="O32" s="606"/>
      <c r="P32" s="644"/>
      <c r="Q32" s="607"/>
      <c r="R32" s="967"/>
      <c r="S32" s="967"/>
      <c r="T32" s="606"/>
      <c r="U32" s="644"/>
      <c r="V32" s="607"/>
      <c r="W32" s="107"/>
      <c r="X32" s="107"/>
    </row>
    <row r="33" spans="1:24" x14ac:dyDescent="0.2">
      <c r="A33" s="533" t="s">
        <v>1526</v>
      </c>
      <c r="B33" s="131"/>
      <c r="C33" s="145"/>
      <c r="D33" s="349">
        <v>8428</v>
      </c>
      <c r="E33" s="350">
        <v>75</v>
      </c>
      <c r="F33" s="352"/>
      <c r="G33" s="349">
        <v>8892</v>
      </c>
      <c r="H33" s="350"/>
      <c r="I33" s="352"/>
      <c r="J33" s="131">
        <v>13582</v>
      </c>
      <c r="K33" s="307">
        <v>60</v>
      </c>
      <c r="L33" s="349">
        <v>30903</v>
      </c>
      <c r="M33" s="350">
        <v>35</v>
      </c>
      <c r="N33" s="352"/>
      <c r="O33" s="349">
        <v>17</v>
      </c>
      <c r="P33" s="350">
        <v>35</v>
      </c>
      <c r="Q33" s="352"/>
      <c r="R33" s="349"/>
      <c r="S33" s="717"/>
      <c r="T33" s="349">
        <v>704</v>
      </c>
      <c r="U33" s="350">
        <v>5</v>
      </c>
      <c r="V33" s="352"/>
      <c r="W33" s="107"/>
      <c r="X33" s="107"/>
    </row>
    <row r="34" spans="1:24" x14ac:dyDescent="0.2">
      <c r="A34" s="533" t="s">
        <v>1373</v>
      </c>
      <c r="B34" s="131">
        <v>5571</v>
      </c>
      <c r="C34" s="145">
        <v>20</v>
      </c>
      <c r="D34" s="131">
        <v>75486</v>
      </c>
      <c r="E34" s="145">
        <v>25</v>
      </c>
      <c r="F34" s="133"/>
      <c r="G34" s="131">
        <v>165295</v>
      </c>
      <c r="H34" s="145">
        <v>60</v>
      </c>
      <c r="I34" s="133"/>
      <c r="J34" s="131">
        <v>297361</v>
      </c>
      <c r="K34" s="307">
        <v>65</v>
      </c>
      <c r="L34" s="131">
        <v>543714</v>
      </c>
      <c r="M34" s="145">
        <v>70</v>
      </c>
      <c r="N34" s="133"/>
      <c r="O34" s="131">
        <v>827</v>
      </c>
      <c r="P34" s="145">
        <v>40</v>
      </c>
      <c r="Q34" s="133"/>
      <c r="R34" s="131"/>
      <c r="S34" s="307"/>
      <c r="T34" s="131">
        <v>2626</v>
      </c>
      <c r="U34" s="145">
        <v>35</v>
      </c>
      <c r="V34" s="133"/>
      <c r="W34" s="107"/>
      <c r="X34" s="107"/>
    </row>
    <row r="35" spans="1:24" x14ac:dyDescent="0.2">
      <c r="A35" s="533" t="s">
        <v>3264</v>
      </c>
      <c r="B35" s="131">
        <v>13281</v>
      </c>
      <c r="C35" s="145">
        <v>85</v>
      </c>
      <c r="D35" s="131">
        <v>204285</v>
      </c>
      <c r="E35" s="145">
        <v>55</v>
      </c>
      <c r="F35" s="133"/>
      <c r="G35" s="131">
        <v>410224</v>
      </c>
      <c r="H35" s="145">
        <v>5</v>
      </c>
      <c r="I35" s="133"/>
      <c r="J35" s="131">
        <v>927531</v>
      </c>
      <c r="K35" s="307">
        <v>20</v>
      </c>
      <c r="L35" s="131">
        <v>1555322</v>
      </c>
      <c r="M35" s="145">
        <v>65</v>
      </c>
      <c r="N35" s="133"/>
      <c r="O35" s="131">
        <v>2707</v>
      </c>
      <c r="P35" s="145">
        <v>55</v>
      </c>
      <c r="Q35" s="133"/>
      <c r="R35" s="131"/>
      <c r="S35" s="307"/>
      <c r="T35" s="131">
        <v>2846</v>
      </c>
      <c r="U35" s="145">
        <v>15</v>
      </c>
      <c r="V35" s="133"/>
      <c r="W35" s="107"/>
      <c r="X35" s="107"/>
    </row>
    <row r="36" spans="1:24" x14ac:dyDescent="0.2">
      <c r="A36" s="533" t="s">
        <v>1369</v>
      </c>
      <c r="B36" s="131"/>
      <c r="C36" s="145"/>
      <c r="D36" s="131">
        <v>57911</v>
      </c>
      <c r="E36" s="145">
        <v>58</v>
      </c>
      <c r="F36" s="133">
        <v>0.25</v>
      </c>
      <c r="G36" s="131">
        <v>51470</v>
      </c>
      <c r="H36" s="145">
        <v>6</v>
      </c>
      <c r="I36" s="133">
        <v>0.5</v>
      </c>
      <c r="J36" s="131">
        <v>86328</v>
      </c>
      <c r="K36" s="307">
        <v>21</v>
      </c>
      <c r="L36" s="131">
        <v>195709</v>
      </c>
      <c r="M36" s="145">
        <v>85</v>
      </c>
      <c r="N36" s="133">
        <v>0.75</v>
      </c>
      <c r="O36" s="131">
        <v>1117</v>
      </c>
      <c r="P36" s="145">
        <v>82</v>
      </c>
      <c r="Q36" s="133">
        <v>0.75</v>
      </c>
      <c r="R36" s="131">
        <v>8155</v>
      </c>
      <c r="S36" s="307">
        <v>10</v>
      </c>
      <c r="T36" s="131">
        <v>2383</v>
      </c>
      <c r="U36" s="145">
        <v>21</v>
      </c>
      <c r="V36" s="133"/>
      <c r="W36" s="107"/>
      <c r="X36" s="107"/>
    </row>
    <row r="37" spans="1:24" x14ac:dyDescent="0.2">
      <c r="A37" s="533" t="s">
        <v>3265</v>
      </c>
      <c r="B37" s="131"/>
      <c r="C37" s="145"/>
      <c r="D37" s="131">
        <v>399</v>
      </c>
      <c r="E37" s="145">
        <v>77</v>
      </c>
      <c r="F37" s="133">
        <v>0.5</v>
      </c>
      <c r="G37" s="131">
        <v>2013</v>
      </c>
      <c r="H37" s="145">
        <v>20</v>
      </c>
      <c r="I37" s="133"/>
      <c r="J37" s="131">
        <v>2194</v>
      </c>
      <c r="K37" s="307">
        <v>20</v>
      </c>
      <c r="L37" s="131">
        <v>4607</v>
      </c>
      <c r="M37" s="145">
        <v>17</v>
      </c>
      <c r="N37" s="133">
        <v>0.5</v>
      </c>
      <c r="O37" s="131">
        <v>98</v>
      </c>
      <c r="P37" s="145">
        <v>64</v>
      </c>
      <c r="Q37" s="133"/>
      <c r="R37" s="131"/>
      <c r="S37" s="307"/>
      <c r="T37" s="131">
        <v>1308</v>
      </c>
      <c r="U37" s="145">
        <v>89</v>
      </c>
      <c r="V37" s="133">
        <v>0.5</v>
      </c>
      <c r="W37" s="107"/>
      <c r="X37" s="107"/>
    </row>
    <row r="38" spans="1:24" x14ac:dyDescent="0.2">
      <c r="A38" s="533" t="s">
        <v>3267</v>
      </c>
      <c r="B38" s="131">
        <v>72</v>
      </c>
      <c r="C38" s="145">
        <v>80</v>
      </c>
      <c r="D38" s="131">
        <v>106</v>
      </c>
      <c r="E38" s="145">
        <v>54</v>
      </c>
      <c r="F38" s="133"/>
      <c r="G38" s="131">
        <v>106</v>
      </c>
      <c r="H38" s="145">
        <v>54</v>
      </c>
      <c r="I38" s="133"/>
      <c r="J38" s="131">
        <v>106</v>
      </c>
      <c r="K38" s="307">
        <v>57</v>
      </c>
      <c r="L38" s="131">
        <v>392</v>
      </c>
      <c r="M38" s="145">
        <v>45</v>
      </c>
      <c r="N38" s="133"/>
      <c r="O38" s="131">
        <v>27</v>
      </c>
      <c r="P38" s="145">
        <v>94</v>
      </c>
      <c r="Q38" s="133"/>
      <c r="R38" s="131">
        <v>157</v>
      </c>
      <c r="S38" s="307">
        <v>25</v>
      </c>
      <c r="T38" s="131"/>
      <c r="U38" s="145"/>
      <c r="V38" s="133"/>
      <c r="W38" s="107"/>
      <c r="X38" s="107"/>
    </row>
    <row r="39" spans="1:24" x14ac:dyDescent="0.2">
      <c r="A39" s="533" t="s">
        <v>3300</v>
      </c>
      <c r="B39" s="131"/>
      <c r="C39" s="145"/>
      <c r="D39" s="131"/>
      <c r="E39" s="145"/>
      <c r="F39" s="133"/>
      <c r="G39" s="131"/>
      <c r="H39" s="145"/>
      <c r="I39" s="133"/>
      <c r="J39" s="131"/>
      <c r="K39" s="307"/>
      <c r="L39" s="131">
        <v>687</v>
      </c>
      <c r="M39" s="145">
        <v>65</v>
      </c>
      <c r="N39" s="133"/>
      <c r="O39" s="131"/>
      <c r="P39" s="145"/>
      <c r="Q39" s="133"/>
      <c r="R39" s="131"/>
      <c r="S39" s="307"/>
      <c r="T39" s="131"/>
      <c r="U39" s="145"/>
      <c r="V39" s="133"/>
      <c r="W39" s="107"/>
      <c r="X39" s="107"/>
    </row>
    <row r="40" spans="1:24" x14ac:dyDescent="0.2">
      <c r="A40" s="533" t="s">
        <v>1517</v>
      </c>
      <c r="B40" s="131">
        <v>16011</v>
      </c>
      <c r="C40" s="145">
        <v>95</v>
      </c>
      <c r="D40" s="131">
        <v>26896</v>
      </c>
      <c r="E40" s="145">
        <v>10</v>
      </c>
      <c r="F40" s="133"/>
      <c r="G40" s="131">
        <v>48622</v>
      </c>
      <c r="H40" s="145">
        <v>40</v>
      </c>
      <c r="I40" s="133"/>
      <c r="J40" s="131">
        <v>132403</v>
      </c>
      <c r="K40" s="307">
        <v>15</v>
      </c>
      <c r="L40" s="131">
        <v>223933</v>
      </c>
      <c r="M40" s="145">
        <v>60</v>
      </c>
      <c r="N40" s="133"/>
      <c r="O40" s="131">
        <v>3074</v>
      </c>
      <c r="P40" s="145">
        <v>50</v>
      </c>
      <c r="Q40" s="133"/>
      <c r="R40" s="131">
        <v>212</v>
      </c>
      <c r="S40" s="307">
        <v>25</v>
      </c>
      <c r="T40" s="131">
        <v>1727</v>
      </c>
      <c r="U40" s="145">
        <v>65</v>
      </c>
      <c r="V40" s="133"/>
      <c r="W40" s="107"/>
      <c r="X40" s="107"/>
    </row>
    <row r="41" spans="1:24" x14ac:dyDescent="0.2">
      <c r="A41" s="533" t="s">
        <v>1527</v>
      </c>
      <c r="B41" s="131">
        <v>4561</v>
      </c>
      <c r="C41" s="145">
        <v>49</v>
      </c>
      <c r="D41" s="131">
        <v>8421</v>
      </c>
      <c r="E41" s="145">
        <v>70</v>
      </c>
      <c r="F41" s="133"/>
      <c r="G41" s="131">
        <v>10400</v>
      </c>
      <c r="H41" s="145">
        <v>45</v>
      </c>
      <c r="I41" s="133"/>
      <c r="J41" s="131">
        <v>12021</v>
      </c>
      <c r="K41" s="307">
        <v>75</v>
      </c>
      <c r="L41" s="131">
        <v>35405</v>
      </c>
      <c r="M41" s="145">
        <v>39</v>
      </c>
      <c r="N41" s="133"/>
      <c r="O41" s="131">
        <v>1112</v>
      </c>
      <c r="P41" s="145">
        <v>55</v>
      </c>
      <c r="Q41" s="133"/>
      <c r="R41" s="131">
        <v>442</v>
      </c>
      <c r="S41" s="307">
        <v>15</v>
      </c>
      <c r="T41" s="131">
        <v>1231</v>
      </c>
      <c r="U41" s="145">
        <v>95</v>
      </c>
      <c r="V41" s="133"/>
      <c r="W41" s="107"/>
      <c r="X41" s="107"/>
    </row>
    <row r="42" spans="1:24" x14ac:dyDescent="0.2">
      <c r="A42" s="533" t="s">
        <v>3266</v>
      </c>
      <c r="B42" s="131">
        <v>261</v>
      </c>
      <c r="C42" s="145">
        <v>80</v>
      </c>
      <c r="D42" s="131">
        <v>426</v>
      </c>
      <c r="E42" s="145">
        <v>35</v>
      </c>
      <c r="F42" s="133"/>
      <c r="G42" s="131">
        <v>296</v>
      </c>
      <c r="H42" s="145"/>
      <c r="I42" s="133"/>
      <c r="J42" s="131"/>
      <c r="K42" s="307"/>
      <c r="L42" s="131">
        <v>984</v>
      </c>
      <c r="M42" s="145">
        <v>15</v>
      </c>
      <c r="N42" s="133"/>
      <c r="O42" s="131"/>
      <c r="P42" s="145"/>
      <c r="Q42" s="133"/>
      <c r="R42" s="131">
        <v>80</v>
      </c>
      <c r="S42" s="307"/>
      <c r="T42" s="131"/>
      <c r="U42" s="145"/>
      <c r="V42" s="133"/>
      <c r="W42" s="107"/>
      <c r="X42" s="107"/>
    </row>
    <row r="43" spans="1:24" x14ac:dyDescent="0.2">
      <c r="A43" s="533" t="s">
        <v>1519</v>
      </c>
      <c r="B43" s="131">
        <v>13885</v>
      </c>
      <c r="C43" s="145">
        <v>50</v>
      </c>
      <c r="D43" s="131">
        <v>28828</v>
      </c>
      <c r="E43" s="145">
        <v>10</v>
      </c>
      <c r="F43" s="133"/>
      <c r="G43" s="131">
        <v>46281</v>
      </c>
      <c r="H43" s="145">
        <v>10</v>
      </c>
      <c r="I43" s="133"/>
      <c r="J43" s="131">
        <v>63100</v>
      </c>
      <c r="K43" s="307">
        <v>80</v>
      </c>
      <c r="L43" s="131">
        <v>152095</v>
      </c>
      <c r="M43" s="145">
        <v>50</v>
      </c>
      <c r="N43" s="133"/>
      <c r="O43" s="131">
        <v>288</v>
      </c>
      <c r="P43" s="145">
        <v>10</v>
      </c>
      <c r="Q43" s="133"/>
      <c r="R43" s="131"/>
      <c r="S43" s="307"/>
      <c r="T43" s="131">
        <v>547</v>
      </c>
      <c r="U43" s="145">
        <v>5</v>
      </c>
      <c r="V43" s="133"/>
      <c r="W43" s="107"/>
      <c r="X43" s="107"/>
    </row>
    <row r="44" spans="1:24" x14ac:dyDescent="0.2">
      <c r="A44" s="533" t="s">
        <v>1514</v>
      </c>
      <c r="B44" s="131"/>
      <c r="C44" s="145"/>
      <c r="D44" s="230"/>
      <c r="E44" s="309"/>
      <c r="F44" s="231"/>
      <c r="G44" s="230"/>
      <c r="H44" s="309"/>
      <c r="I44" s="231"/>
      <c r="J44" s="131"/>
      <c r="K44" s="307"/>
      <c r="L44" s="230"/>
      <c r="M44" s="309"/>
      <c r="N44" s="231"/>
      <c r="O44" s="230"/>
      <c r="P44" s="309"/>
      <c r="Q44" s="231"/>
      <c r="R44" s="131"/>
      <c r="S44" s="307"/>
      <c r="T44" s="230"/>
      <c r="U44" s="309"/>
      <c r="V44" s="231"/>
      <c r="W44" s="107"/>
      <c r="X44" s="107"/>
    </row>
    <row r="45" spans="1:24" x14ac:dyDescent="0.2">
      <c r="A45" s="535"/>
      <c r="B45" s="240">
        <v>53649</v>
      </c>
      <c r="C45" s="318">
        <v>59</v>
      </c>
      <c r="D45" s="240">
        <v>411190</v>
      </c>
      <c r="E45" s="318">
        <v>69</v>
      </c>
      <c r="F45" s="241">
        <v>0.75</v>
      </c>
      <c r="G45" s="240">
        <v>743601</v>
      </c>
      <c r="H45" s="318">
        <v>40</v>
      </c>
      <c r="I45" s="241">
        <v>0.5</v>
      </c>
      <c r="J45" s="240">
        <v>1534630</v>
      </c>
      <c r="K45" s="513">
        <v>13</v>
      </c>
      <c r="L45" s="240">
        <v>2743756</v>
      </c>
      <c r="M45" s="318">
        <v>47</v>
      </c>
      <c r="N45" s="241">
        <v>0.25</v>
      </c>
      <c r="O45" s="240">
        <v>9271</v>
      </c>
      <c r="P45" s="318">
        <v>85</v>
      </c>
      <c r="Q45" s="241">
        <v>0.75</v>
      </c>
      <c r="R45" s="240">
        <v>9046</v>
      </c>
      <c r="S45" s="513">
        <v>75</v>
      </c>
      <c r="T45" s="240">
        <v>13375</v>
      </c>
      <c r="U45" s="318">
        <v>30</v>
      </c>
      <c r="V45" s="241">
        <v>0.5</v>
      </c>
      <c r="W45" s="107"/>
      <c r="X45" s="107"/>
    </row>
    <row r="46" spans="1:24" x14ac:dyDescent="0.2">
      <c r="A46" s="145"/>
      <c r="B46" s="138">
        <f>+SUM(B33:B44)</f>
        <v>53642</v>
      </c>
      <c r="C46" s="138">
        <f t="shared" ref="C46:V46" si="0">+SUM(C33:C44)</f>
        <v>459</v>
      </c>
      <c r="D46" s="299">
        <f t="shared" si="0"/>
        <v>411186</v>
      </c>
      <c r="E46" s="152">
        <f t="shared" si="0"/>
        <v>469</v>
      </c>
      <c r="F46" s="154">
        <f t="shared" si="0"/>
        <v>0.75</v>
      </c>
      <c r="G46" s="299">
        <f t="shared" si="0"/>
        <v>743599</v>
      </c>
      <c r="H46" s="152">
        <f t="shared" si="0"/>
        <v>240</v>
      </c>
      <c r="I46" s="154">
        <f t="shared" si="0"/>
        <v>0.5</v>
      </c>
      <c r="J46" s="138">
        <f t="shared" si="0"/>
        <v>1534626</v>
      </c>
      <c r="K46" s="138">
        <f t="shared" si="0"/>
        <v>413</v>
      </c>
      <c r="L46" s="299">
        <f t="shared" si="0"/>
        <v>2743751</v>
      </c>
      <c r="M46" s="152">
        <f t="shared" si="0"/>
        <v>546</v>
      </c>
      <c r="N46" s="154">
        <f t="shared" si="0"/>
        <v>1.25</v>
      </c>
      <c r="O46" s="299">
        <f t="shared" si="0"/>
        <v>9267</v>
      </c>
      <c r="P46" s="152">
        <f t="shared" si="0"/>
        <v>485</v>
      </c>
      <c r="Q46" s="154">
        <f t="shared" si="0"/>
        <v>0.75</v>
      </c>
      <c r="R46" s="138">
        <f t="shared" si="0"/>
        <v>9046</v>
      </c>
      <c r="S46" s="138">
        <f t="shared" si="0"/>
        <v>75</v>
      </c>
      <c r="T46" s="299">
        <f t="shared" si="0"/>
        <v>13372</v>
      </c>
      <c r="U46" s="152">
        <f t="shared" si="0"/>
        <v>330</v>
      </c>
      <c r="V46" s="154">
        <f t="shared" si="0"/>
        <v>0.5</v>
      </c>
      <c r="W46" s="107"/>
      <c r="X46" s="107"/>
    </row>
    <row r="47" spans="1:24" x14ac:dyDescent="0.2">
      <c r="A47" s="145"/>
      <c r="B47" s="145"/>
      <c r="C47" s="145"/>
      <c r="D47" s="145"/>
      <c r="E47" s="145"/>
      <c r="F47" s="145"/>
      <c r="G47" s="145"/>
      <c r="H47" s="145"/>
      <c r="I47" s="145"/>
      <c r="J47" s="145"/>
      <c r="K47" s="145"/>
      <c r="L47" s="145"/>
      <c r="M47" s="145"/>
      <c r="N47" s="145"/>
      <c r="O47" s="145"/>
      <c r="P47" s="145"/>
      <c r="Q47" s="145"/>
      <c r="R47" s="107"/>
      <c r="S47" s="107"/>
      <c r="T47" s="107"/>
      <c r="U47" s="107"/>
      <c r="V47" s="107"/>
      <c r="W47" s="107"/>
      <c r="X47" s="107"/>
    </row>
    <row r="48" spans="1:24" x14ac:dyDescent="0.2">
      <c r="A48" s="145"/>
      <c r="B48" s="145"/>
      <c r="C48" s="145"/>
      <c r="D48" s="145"/>
      <c r="E48" s="145"/>
      <c r="F48" s="145"/>
      <c r="G48" s="145"/>
      <c r="H48" s="145"/>
      <c r="I48" s="145"/>
      <c r="J48" s="145"/>
      <c r="K48" s="145"/>
      <c r="L48" s="145"/>
      <c r="M48" s="145"/>
      <c r="N48" s="145"/>
      <c r="O48" s="145"/>
      <c r="P48" s="145"/>
      <c r="Q48" s="145"/>
      <c r="R48" s="107"/>
      <c r="S48" s="107"/>
      <c r="T48" s="107"/>
      <c r="U48" s="107"/>
      <c r="V48" s="107"/>
      <c r="W48" s="107"/>
      <c r="X48" s="107"/>
    </row>
    <row r="49" spans="1:24" x14ac:dyDescent="0.2">
      <c r="A49" s="526" t="s">
        <v>1182</v>
      </c>
      <c r="B49" s="145"/>
      <c r="C49" s="145"/>
      <c r="D49" s="145"/>
      <c r="E49" s="145"/>
      <c r="F49" s="145"/>
      <c r="G49" s="145"/>
      <c r="H49" s="145"/>
      <c r="I49" s="145"/>
      <c r="J49" s="145"/>
      <c r="K49" s="145"/>
      <c r="L49" s="145"/>
      <c r="M49" s="145"/>
      <c r="N49" s="145"/>
      <c r="O49" s="145"/>
      <c r="P49" s="145"/>
      <c r="Q49" s="145"/>
      <c r="R49" s="107"/>
      <c r="S49" s="107"/>
      <c r="T49" s="107"/>
      <c r="U49" s="107"/>
      <c r="V49" s="107"/>
      <c r="W49" s="107"/>
      <c r="X49" s="107"/>
    </row>
    <row r="50" spans="1:24" ht="24" customHeight="1" x14ac:dyDescent="0.2">
      <c r="A50" s="975" t="s">
        <v>3301</v>
      </c>
      <c r="B50" s="976"/>
      <c r="C50" s="976"/>
      <c r="D50" s="976"/>
      <c r="E50" s="976"/>
      <c r="F50" s="976"/>
      <c r="G50" s="976"/>
      <c r="H50" s="976"/>
      <c r="I50" s="976"/>
      <c r="J50" s="976"/>
      <c r="K50" s="976"/>
      <c r="L50" s="107"/>
      <c r="M50" s="107"/>
      <c r="N50" s="107"/>
      <c r="O50" s="107"/>
      <c r="P50" s="107"/>
      <c r="Q50" s="107"/>
      <c r="R50" s="107"/>
      <c r="S50" s="107"/>
      <c r="T50" s="107"/>
      <c r="U50" s="107"/>
      <c r="V50" s="107"/>
      <c r="W50" s="107"/>
      <c r="X50" s="107"/>
    </row>
    <row r="51" spans="1:24" ht="26" customHeight="1" x14ac:dyDescent="0.2">
      <c r="A51" s="716"/>
      <c r="B51" s="977" t="s">
        <v>3302</v>
      </c>
      <c r="C51" s="977"/>
      <c r="D51" s="978" t="s">
        <v>3303</v>
      </c>
      <c r="E51" s="979"/>
      <c r="F51" s="980"/>
      <c r="G51" s="978" t="s">
        <v>1859</v>
      </c>
      <c r="H51" s="979"/>
      <c r="I51" s="980"/>
      <c r="J51" s="977" t="s">
        <v>1860</v>
      </c>
      <c r="K51" s="977"/>
      <c r="L51" s="107"/>
      <c r="M51" s="107"/>
      <c r="N51" s="107"/>
      <c r="O51" s="107"/>
      <c r="P51" s="107"/>
      <c r="Q51" s="107"/>
      <c r="R51" s="107"/>
      <c r="S51" s="107"/>
      <c r="T51" s="107"/>
      <c r="U51" s="107"/>
      <c r="V51" s="107"/>
      <c r="W51" s="107"/>
      <c r="X51" s="107"/>
    </row>
    <row r="52" spans="1:24" x14ac:dyDescent="0.2">
      <c r="A52" s="981" t="s">
        <v>1227</v>
      </c>
      <c r="B52" s="230">
        <v>2039450</v>
      </c>
      <c r="C52" s="364">
        <v>21</v>
      </c>
      <c r="D52" s="230">
        <v>2774185</v>
      </c>
      <c r="E52" s="309">
        <v>9</v>
      </c>
      <c r="F52" s="231">
        <v>0.5</v>
      </c>
      <c r="G52" s="230">
        <v>1099417</v>
      </c>
      <c r="H52" s="309">
        <v>78</v>
      </c>
      <c r="I52" s="231">
        <v>0.5</v>
      </c>
      <c r="J52" s="230">
        <v>364682</v>
      </c>
      <c r="K52" s="364">
        <v>90</v>
      </c>
      <c r="L52" s="107"/>
      <c r="M52" s="107"/>
      <c r="N52" s="107"/>
      <c r="O52" s="107"/>
      <c r="P52" s="107"/>
      <c r="Q52" s="107"/>
      <c r="R52" s="107"/>
      <c r="S52" s="107"/>
      <c r="T52" s="107"/>
      <c r="U52" s="107"/>
      <c r="V52" s="107"/>
      <c r="W52" s="107"/>
      <c r="X52" s="107"/>
    </row>
    <row r="53" spans="1:24" ht="16" thickBot="1" x14ac:dyDescent="0.25">
      <c r="A53" s="982" t="s">
        <v>3304</v>
      </c>
      <c r="B53" s="983"/>
      <c r="C53" s="983"/>
      <c r="D53" s="983"/>
      <c r="E53" s="983"/>
      <c r="F53" s="984"/>
      <c r="G53" s="985">
        <v>734734</v>
      </c>
      <c r="H53" s="637"/>
      <c r="I53" s="637">
        <v>88</v>
      </c>
      <c r="J53" s="637"/>
      <c r="K53" s="986">
        <v>0.5</v>
      </c>
      <c r="L53" s="107"/>
      <c r="M53" s="107"/>
      <c r="N53" s="107"/>
      <c r="O53" s="107"/>
      <c r="P53" s="107"/>
      <c r="Q53" s="107"/>
      <c r="R53" s="107"/>
      <c r="S53" s="107"/>
      <c r="T53" s="107"/>
      <c r="U53" s="107"/>
      <c r="V53" s="107"/>
      <c r="W53" s="107"/>
      <c r="X53" s="107"/>
    </row>
    <row r="54" spans="1:24" ht="16" thickTop="1" x14ac:dyDescent="0.2">
      <c r="A54" s="107"/>
      <c r="B54" s="107"/>
      <c r="C54" s="107"/>
      <c r="D54" s="107"/>
      <c r="E54" s="107"/>
      <c r="F54" s="107"/>
      <c r="G54" s="107"/>
      <c r="H54" s="107"/>
      <c r="I54" s="107"/>
      <c r="J54" s="107"/>
      <c r="K54" s="107"/>
      <c r="L54" s="107"/>
      <c r="M54" s="107"/>
      <c r="N54" s="107"/>
      <c r="O54" s="107"/>
      <c r="P54" s="107"/>
      <c r="Q54" s="107"/>
      <c r="R54" s="107"/>
      <c r="S54" s="107"/>
      <c r="T54" s="107"/>
      <c r="U54" s="107"/>
      <c r="V54" s="107"/>
      <c r="W54" s="107"/>
      <c r="X54" s="107"/>
    </row>
    <row r="55" spans="1:24" x14ac:dyDescent="0.2">
      <c r="A55" s="107"/>
      <c r="B55" s="107"/>
      <c r="C55" s="107"/>
      <c r="D55" s="107"/>
      <c r="E55" s="107"/>
      <c r="F55" s="107"/>
      <c r="G55" s="107"/>
      <c r="H55" s="107"/>
      <c r="I55" s="107"/>
      <c r="J55" s="107"/>
      <c r="K55" s="107"/>
      <c r="L55" s="107"/>
      <c r="M55" s="107"/>
      <c r="N55" s="107"/>
      <c r="O55" s="107"/>
      <c r="P55" s="107"/>
      <c r="Q55" s="107"/>
      <c r="R55" s="107"/>
      <c r="S55" s="107"/>
      <c r="T55" s="107"/>
      <c r="U55" s="107"/>
      <c r="V55" s="107"/>
      <c r="W55" s="107"/>
      <c r="X55" s="107"/>
    </row>
    <row r="56" spans="1:24" x14ac:dyDescent="0.2">
      <c r="A56" s="107"/>
      <c r="B56" s="107"/>
      <c r="C56" s="107"/>
      <c r="D56" s="107"/>
      <c r="E56" s="107"/>
      <c r="F56" s="107"/>
      <c r="G56" s="107"/>
      <c r="H56" s="107"/>
      <c r="I56" s="107"/>
      <c r="J56" s="107"/>
      <c r="K56" s="107"/>
      <c r="L56" s="107"/>
      <c r="M56" s="107"/>
      <c r="N56" s="107"/>
      <c r="O56" s="107"/>
      <c r="P56" s="107"/>
      <c r="Q56" s="107"/>
      <c r="R56" s="107"/>
      <c r="S56" s="107"/>
      <c r="T56" s="107"/>
      <c r="U56" s="107"/>
      <c r="V56" s="107"/>
      <c r="W56" s="107"/>
      <c r="X56" s="107"/>
    </row>
    <row r="57" spans="1:24" x14ac:dyDescent="0.2">
      <c r="A57" s="526" t="s">
        <v>1226</v>
      </c>
      <c r="B57" s="107"/>
      <c r="C57" s="107"/>
      <c r="D57" s="107"/>
      <c r="E57" s="107"/>
      <c r="F57" s="107"/>
      <c r="G57" s="107"/>
      <c r="H57" s="107"/>
      <c r="I57" s="107"/>
      <c r="J57" s="107"/>
      <c r="K57" s="107"/>
      <c r="L57" s="107"/>
      <c r="M57" s="107"/>
      <c r="N57" s="107"/>
      <c r="O57" s="107"/>
      <c r="P57" s="107"/>
      <c r="Q57" s="107"/>
      <c r="R57" s="107"/>
      <c r="S57" s="107"/>
      <c r="T57" s="107"/>
      <c r="U57" s="107"/>
      <c r="V57" s="107"/>
      <c r="W57" s="107"/>
      <c r="X57" s="107"/>
    </row>
    <row r="58" spans="1:24" ht="22.25" customHeight="1" x14ac:dyDescent="0.2">
      <c r="A58" s="953" t="s">
        <v>3305</v>
      </c>
      <c r="B58" s="954"/>
      <c r="C58" s="954"/>
      <c r="D58" s="954"/>
      <c r="E58" s="954"/>
      <c r="F58" s="954"/>
      <c r="G58" s="954"/>
      <c r="H58" s="954"/>
      <c r="I58" s="954"/>
      <c r="J58" s="954"/>
      <c r="K58" s="954"/>
      <c r="L58" s="954"/>
      <c r="M58" s="954"/>
      <c r="N58" s="954"/>
      <c r="O58" s="954"/>
      <c r="P58" s="954"/>
      <c r="Q58" s="954"/>
      <c r="R58" s="954"/>
      <c r="S58" s="954"/>
      <c r="T58" s="954"/>
      <c r="U58" s="954"/>
      <c r="V58" s="955"/>
      <c r="W58" s="107"/>
      <c r="X58" s="107"/>
    </row>
    <row r="59" spans="1:24" ht="21.5" customHeight="1" x14ac:dyDescent="0.2">
      <c r="A59" s="967" t="s">
        <v>1227</v>
      </c>
      <c r="B59" s="608" t="s">
        <v>3306</v>
      </c>
      <c r="C59" s="778"/>
      <c r="D59" s="778"/>
      <c r="E59" s="778"/>
      <c r="F59" s="778"/>
      <c r="G59" s="609"/>
      <c r="H59" s="608" t="s">
        <v>3307</v>
      </c>
      <c r="I59" s="778"/>
      <c r="J59" s="778"/>
      <c r="K59" s="778"/>
      <c r="L59" s="778"/>
      <c r="M59" s="609"/>
      <c r="N59" s="967" t="s">
        <v>3308</v>
      </c>
      <c r="O59" s="967"/>
      <c r="P59" s="967" t="s">
        <v>3309</v>
      </c>
      <c r="Q59" s="967"/>
      <c r="R59" s="602" t="s">
        <v>3310</v>
      </c>
      <c r="S59" s="631"/>
      <c r="T59" s="603"/>
      <c r="U59" s="967" t="s">
        <v>3276</v>
      </c>
      <c r="V59" s="967"/>
      <c r="W59" s="107"/>
      <c r="X59" s="107"/>
    </row>
    <row r="60" spans="1:24" ht="25.25" customHeight="1" x14ac:dyDescent="0.2">
      <c r="A60" s="608"/>
      <c r="B60" s="485" t="s">
        <v>3311</v>
      </c>
      <c r="C60" s="712"/>
      <c r="D60" s="486"/>
      <c r="E60" s="485" t="s">
        <v>3312</v>
      </c>
      <c r="F60" s="712"/>
      <c r="G60" s="486"/>
      <c r="H60" s="485" t="s">
        <v>3311</v>
      </c>
      <c r="I60" s="712"/>
      <c r="J60" s="486"/>
      <c r="K60" s="485" t="s">
        <v>3312</v>
      </c>
      <c r="L60" s="712"/>
      <c r="M60" s="486"/>
      <c r="N60" s="967"/>
      <c r="O60" s="967"/>
      <c r="P60" s="967"/>
      <c r="Q60" s="967"/>
      <c r="R60" s="606"/>
      <c r="S60" s="644"/>
      <c r="T60" s="607"/>
      <c r="U60" s="967"/>
      <c r="V60" s="967"/>
      <c r="W60" s="107"/>
      <c r="X60" s="107"/>
    </row>
    <row r="61" spans="1:24" x14ac:dyDescent="0.2">
      <c r="A61" s="131" t="s">
        <v>1514</v>
      </c>
      <c r="B61" s="349">
        <v>991</v>
      </c>
      <c r="C61" s="350">
        <v>65</v>
      </c>
      <c r="D61" s="352"/>
      <c r="E61" s="349"/>
      <c r="F61" s="350"/>
      <c r="G61" s="352"/>
      <c r="H61" s="349">
        <v>1020</v>
      </c>
      <c r="I61" s="350"/>
      <c r="J61" s="352"/>
      <c r="K61" s="349"/>
      <c r="L61" s="350"/>
      <c r="M61" s="352"/>
      <c r="N61" s="349"/>
      <c r="O61" s="717"/>
      <c r="P61" s="349">
        <v>66</v>
      </c>
      <c r="Q61" s="717">
        <v>66</v>
      </c>
      <c r="R61" s="349"/>
      <c r="S61" s="350"/>
      <c r="T61" s="352"/>
      <c r="U61" s="349">
        <v>2078</v>
      </c>
      <c r="V61" s="717">
        <v>31</v>
      </c>
      <c r="W61" s="321">
        <f>+R61+P61+N61+K61+H61+E61+B61</f>
        <v>2077</v>
      </c>
      <c r="X61" s="321">
        <f>+S61+Q61+O61+L61+I61+F61+C61</f>
        <v>131</v>
      </c>
    </row>
    <row r="62" spans="1:24" x14ac:dyDescent="0.2">
      <c r="A62" s="131" t="s">
        <v>1517</v>
      </c>
      <c r="B62" s="131">
        <v>4294</v>
      </c>
      <c r="C62" s="145">
        <v>55</v>
      </c>
      <c r="D62" s="133"/>
      <c r="E62" s="131">
        <v>2290</v>
      </c>
      <c r="F62" s="145">
        <v>70</v>
      </c>
      <c r="G62" s="133"/>
      <c r="H62" s="131">
        <v>13434</v>
      </c>
      <c r="I62" s="145">
        <v>90</v>
      </c>
      <c r="J62" s="133"/>
      <c r="K62" s="131">
        <v>6863</v>
      </c>
      <c r="L62" s="145">
        <v>55</v>
      </c>
      <c r="M62" s="133"/>
      <c r="N62" s="131"/>
      <c r="O62" s="307"/>
      <c r="P62" s="131">
        <v>1824</v>
      </c>
      <c r="Q62" s="307">
        <v>80</v>
      </c>
      <c r="R62" s="131">
        <v>1373</v>
      </c>
      <c r="S62" s="145">
        <v>35</v>
      </c>
      <c r="T62" s="133"/>
      <c r="U62" s="131">
        <v>30081</v>
      </c>
      <c r="V62" s="307">
        <v>85</v>
      </c>
      <c r="W62" s="321">
        <f t="shared" ref="W62:X72" si="1">+R62+P62+N62+K62+H62+E62+B62</f>
        <v>30078</v>
      </c>
      <c r="X62" s="321">
        <f t="shared" si="1"/>
        <v>385</v>
      </c>
    </row>
    <row r="63" spans="1:24" x14ac:dyDescent="0.2">
      <c r="A63" s="131" t="s">
        <v>3313</v>
      </c>
      <c r="B63" s="131">
        <v>1152</v>
      </c>
      <c r="C63" s="145"/>
      <c r="D63" s="133"/>
      <c r="E63" s="131">
        <v>26</v>
      </c>
      <c r="F63" s="145">
        <v>27</v>
      </c>
      <c r="G63" s="133"/>
      <c r="H63" s="131">
        <v>2263</v>
      </c>
      <c r="I63" s="145">
        <v>80</v>
      </c>
      <c r="J63" s="133"/>
      <c r="K63" s="131">
        <v>54</v>
      </c>
      <c r="L63" s="145">
        <v>23</v>
      </c>
      <c r="M63" s="133"/>
      <c r="N63" s="131"/>
      <c r="O63" s="307"/>
      <c r="P63" s="131">
        <v>216</v>
      </c>
      <c r="Q63" s="307"/>
      <c r="R63" s="131">
        <v>30</v>
      </c>
      <c r="S63" s="145"/>
      <c r="T63" s="133"/>
      <c r="U63" s="131">
        <v>3742</v>
      </c>
      <c r="V63" s="307">
        <v>30</v>
      </c>
      <c r="W63" s="321">
        <f t="shared" si="1"/>
        <v>3741</v>
      </c>
      <c r="X63" s="321">
        <f t="shared" si="1"/>
        <v>130</v>
      </c>
    </row>
    <row r="64" spans="1:24" x14ac:dyDescent="0.2">
      <c r="A64" s="131" t="s">
        <v>1369</v>
      </c>
      <c r="B64" s="131">
        <v>5403</v>
      </c>
      <c r="C64" s="145">
        <v>45</v>
      </c>
      <c r="D64" s="133"/>
      <c r="E64" s="131">
        <v>2535</v>
      </c>
      <c r="F64" s="145">
        <v>90</v>
      </c>
      <c r="G64" s="133"/>
      <c r="H64" s="131">
        <v>12395</v>
      </c>
      <c r="I64" s="145">
        <v>60</v>
      </c>
      <c r="J64" s="133"/>
      <c r="K64" s="131">
        <v>5786</v>
      </c>
      <c r="L64" s="145">
        <v>70</v>
      </c>
      <c r="M64" s="133"/>
      <c r="N64" s="131">
        <v>1508</v>
      </c>
      <c r="O64" s="307"/>
      <c r="P64" s="131">
        <v>437</v>
      </c>
      <c r="Q64" s="307">
        <v>40</v>
      </c>
      <c r="R64" s="131">
        <v>1429</v>
      </c>
      <c r="S64" s="145">
        <v>37</v>
      </c>
      <c r="T64" s="133"/>
      <c r="U64" s="131">
        <v>29496</v>
      </c>
      <c r="V64" s="307">
        <v>42</v>
      </c>
      <c r="W64" s="321">
        <f t="shared" si="1"/>
        <v>29493</v>
      </c>
      <c r="X64" s="321">
        <f t="shared" si="1"/>
        <v>342</v>
      </c>
    </row>
    <row r="65" spans="1:34" x14ac:dyDescent="0.2">
      <c r="A65" s="131" t="s">
        <v>1519</v>
      </c>
      <c r="B65" s="131">
        <v>5548</v>
      </c>
      <c r="C65" s="145">
        <v>90</v>
      </c>
      <c r="D65" s="133"/>
      <c r="E65" s="131">
        <v>2776</v>
      </c>
      <c r="F65" s="145">
        <v>20</v>
      </c>
      <c r="G65" s="133"/>
      <c r="H65" s="131">
        <v>8358</v>
      </c>
      <c r="I65" s="145">
        <v>15</v>
      </c>
      <c r="J65" s="133"/>
      <c r="K65" s="131">
        <v>4994</v>
      </c>
      <c r="L65" s="145">
        <v>85</v>
      </c>
      <c r="M65" s="133"/>
      <c r="N65" s="131"/>
      <c r="O65" s="307"/>
      <c r="P65" s="131">
        <v>10344</v>
      </c>
      <c r="Q65" s="307">
        <v>60</v>
      </c>
      <c r="R65" s="131"/>
      <c r="S65" s="145"/>
      <c r="T65" s="133"/>
      <c r="U65" s="131">
        <v>32022</v>
      </c>
      <c r="V65" s="307">
        <v>70</v>
      </c>
      <c r="W65" s="321">
        <f t="shared" si="1"/>
        <v>32020</v>
      </c>
      <c r="X65" s="321">
        <f t="shared" si="1"/>
        <v>270</v>
      </c>
    </row>
    <row r="66" spans="1:34" x14ac:dyDescent="0.2">
      <c r="A66" s="131" t="s">
        <v>1526</v>
      </c>
      <c r="B66" s="131">
        <v>2931</v>
      </c>
      <c r="C66" s="145">
        <v>10</v>
      </c>
      <c r="D66" s="133"/>
      <c r="E66" s="131">
        <v>573</v>
      </c>
      <c r="F66" s="145">
        <v>21</v>
      </c>
      <c r="G66" s="133"/>
      <c r="H66" s="131">
        <v>5196</v>
      </c>
      <c r="I66" s="145">
        <v>85</v>
      </c>
      <c r="J66" s="133"/>
      <c r="K66" s="131">
        <v>1016</v>
      </c>
      <c r="L66" s="145">
        <v>79</v>
      </c>
      <c r="M66" s="133"/>
      <c r="N66" s="131">
        <v>199</v>
      </c>
      <c r="O66" s="307">
        <v>80</v>
      </c>
      <c r="P66" s="131">
        <v>1008</v>
      </c>
      <c r="Q66" s="307"/>
      <c r="R66" s="131">
        <v>322</v>
      </c>
      <c r="S66" s="145">
        <v>40</v>
      </c>
      <c r="T66" s="133"/>
      <c r="U66" s="131">
        <v>11248</v>
      </c>
      <c r="V66" s="307">
        <v>15</v>
      </c>
      <c r="W66" s="321">
        <f t="shared" si="1"/>
        <v>11245</v>
      </c>
      <c r="X66" s="321">
        <f t="shared" si="1"/>
        <v>315</v>
      </c>
    </row>
    <row r="67" spans="1:34" x14ac:dyDescent="0.2">
      <c r="A67" s="131" t="s">
        <v>3267</v>
      </c>
      <c r="B67" s="131">
        <v>2208</v>
      </c>
      <c r="C67" s="145"/>
      <c r="D67" s="133"/>
      <c r="E67" s="131">
        <v>12</v>
      </c>
      <c r="F67" s="145">
        <v>43</v>
      </c>
      <c r="G67" s="133">
        <v>0.5</v>
      </c>
      <c r="H67" s="131">
        <v>3553</v>
      </c>
      <c r="I67" s="145">
        <v>52</v>
      </c>
      <c r="J67" s="133"/>
      <c r="K67" s="131">
        <v>20</v>
      </c>
      <c r="L67" s="145">
        <v>2</v>
      </c>
      <c r="M67" s="133">
        <v>0.5</v>
      </c>
      <c r="N67" s="131"/>
      <c r="O67" s="307"/>
      <c r="P67" s="131">
        <v>108</v>
      </c>
      <c r="Q67" s="307">
        <v>81</v>
      </c>
      <c r="R67" s="131">
        <v>136</v>
      </c>
      <c r="S67" s="145">
        <v>45</v>
      </c>
      <c r="T67" s="133"/>
      <c r="U67" s="131">
        <v>6039</v>
      </c>
      <c r="V67" s="307">
        <v>24</v>
      </c>
      <c r="W67" s="321">
        <f t="shared" si="1"/>
        <v>6037</v>
      </c>
      <c r="X67" s="477">
        <f t="shared" si="1"/>
        <v>223</v>
      </c>
    </row>
    <row r="68" spans="1:34" x14ac:dyDescent="0.2">
      <c r="A68" s="131" t="s">
        <v>3264</v>
      </c>
      <c r="B68" s="131">
        <v>6632</v>
      </c>
      <c r="C68" s="145">
        <v>55</v>
      </c>
      <c r="D68" s="133"/>
      <c r="E68" s="131">
        <v>13700</v>
      </c>
      <c r="F68" s="145">
        <v>5</v>
      </c>
      <c r="G68" s="133"/>
      <c r="H68" s="131">
        <v>6700</v>
      </c>
      <c r="I68" s="145">
        <v>35</v>
      </c>
      <c r="J68" s="133"/>
      <c r="K68" s="131">
        <v>13744</v>
      </c>
      <c r="L68" s="145">
        <v>40</v>
      </c>
      <c r="M68" s="133"/>
      <c r="N68" s="131">
        <v>376</v>
      </c>
      <c r="O68" s="307"/>
      <c r="P68" s="131">
        <v>1272</v>
      </c>
      <c r="Q68" s="307"/>
      <c r="R68" s="131"/>
      <c r="S68" s="145"/>
      <c r="T68" s="133"/>
      <c r="U68" s="131">
        <v>42425</v>
      </c>
      <c r="V68" s="307">
        <v>35</v>
      </c>
      <c r="W68" s="321">
        <f t="shared" si="1"/>
        <v>42424</v>
      </c>
      <c r="X68" s="321">
        <f t="shared" si="1"/>
        <v>135</v>
      </c>
    </row>
    <row r="69" spans="1:34" x14ac:dyDescent="0.2">
      <c r="A69" s="131" t="s">
        <v>1373</v>
      </c>
      <c r="B69" s="131">
        <v>9177</v>
      </c>
      <c r="C69" s="145">
        <v>95</v>
      </c>
      <c r="D69" s="133"/>
      <c r="E69" s="131">
        <v>4846</v>
      </c>
      <c r="F69" s="145">
        <v>60</v>
      </c>
      <c r="G69" s="133"/>
      <c r="H69" s="131">
        <v>11527</v>
      </c>
      <c r="I69" s="145">
        <v>95</v>
      </c>
      <c r="J69" s="133"/>
      <c r="K69" s="131">
        <v>6093</v>
      </c>
      <c r="L69" s="145">
        <v>65</v>
      </c>
      <c r="M69" s="133"/>
      <c r="N69" s="131">
        <v>250</v>
      </c>
      <c r="O69" s="307"/>
      <c r="P69" s="131">
        <v>499</v>
      </c>
      <c r="Q69" s="307">
        <v>80</v>
      </c>
      <c r="R69" s="131"/>
      <c r="S69" s="145"/>
      <c r="T69" s="133"/>
      <c r="U69" s="131">
        <v>32395</v>
      </c>
      <c r="V69" s="307">
        <v>95</v>
      </c>
      <c r="W69" s="321">
        <f t="shared" si="1"/>
        <v>32392</v>
      </c>
      <c r="X69" s="321">
        <f t="shared" si="1"/>
        <v>395</v>
      </c>
    </row>
    <row r="70" spans="1:34" x14ac:dyDescent="0.2">
      <c r="A70" s="131" t="s">
        <v>3265</v>
      </c>
      <c r="B70" s="131">
        <v>3243</v>
      </c>
      <c r="C70" s="145">
        <v>85</v>
      </c>
      <c r="D70" s="133"/>
      <c r="E70" s="131">
        <v>204</v>
      </c>
      <c r="F70" s="145">
        <v>70</v>
      </c>
      <c r="G70" s="133"/>
      <c r="H70" s="131">
        <v>4092</v>
      </c>
      <c r="I70" s="145">
        <v>75</v>
      </c>
      <c r="J70" s="133"/>
      <c r="K70" s="131">
        <v>273</v>
      </c>
      <c r="L70" s="145">
        <v>75</v>
      </c>
      <c r="M70" s="133"/>
      <c r="N70" s="131"/>
      <c r="O70" s="307"/>
      <c r="P70" s="131">
        <v>399</v>
      </c>
      <c r="Q70" s="307">
        <v>10</v>
      </c>
      <c r="R70" s="131">
        <v>119</v>
      </c>
      <c r="S70" s="145">
        <v>70</v>
      </c>
      <c r="T70" s="133"/>
      <c r="U70" s="131">
        <v>8333</v>
      </c>
      <c r="V70" s="307">
        <v>85</v>
      </c>
      <c r="W70" s="321">
        <f t="shared" si="1"/>
        <v>8330</v>
      </c>
      <c r="X70" s="321">
        <f t="shared" si="1"/>
        <v>385</v>
      </c>
    </row>
    <row r="71" spans="1:34" x14ac:dyDescent="0.2">
      <c r="A71" s="131" t="s">
        <v>1527</v>
      </c>
      <c r="B71" s="131">
        <v>2915</v>
      </c>
      <c r="C71" s="145">
        <v>97</v>
      </c>
      <c r="D71" s="133">
        <v>0.5</v>
      </c>
      <c r="E71" s="131">
        <v>819</v>
      </c>
      <c r="F71" s="145">
        <v>41</v>
      </c>
      <c r="G71" s="133">
        <v>0.5</v>
      </c>
      <c r="H71" s="131">
        <v>8268</v>
      </c>
      <c r="I71" s="145">
        <v>67</v>
      </c>
      <c r="J71" s="133">
        <v>0.5</v>
      </c>
      <c r="K71" s="131">
        <v>2226</v>
      </c>
      <c r="L71" s="145">
        <v>6</v>
      </c>
      <c r="M71" s="133"/>
      <c r="N71" s="131"/>
      <c r="O71" s="307"/>
      <c r="P71" s="131">
        <v>10759</v>
      </c>
      <c r="Q71" s="307">
        <v>20</v>
      </c>
      <c r="R71" s="131">
        <v>636</v>
      </c>
      <c r="S71" s="145">
        <v>2</v>
      </c>
      <c r="T71" s="133">
        <v>0.5</v>
      </c>
      <c r="U71" s="131">
        <v>25625</v>
      </c>
      <c r="V71" s="307">
        <v>35</v>
      </c>
      <c r="W71" s="321">
        <f t="shared" si="1"/>
        <v>25623</v>
      </c>
      <c r="X71" s="477">
        <f t="shared" si="1"/>
        <v>233</v>
      </c>
    </row>
    <row r="72" spans="1:34" x14ac:dyDescent="0.2">
      <c r="A72" s="131" t="s">
        <v>3300</v>
      </c>
      <c r="B72" s="131"/>
      <c r="C72" s="145"/>
      <c r="D72" s="133"/>
      <c r="E72" s="131"/>
      <c r="F72" s="145"/>
      <c r="G72" s="133"/>
      <c r="H72" s="131"/>
      <c r="I72" s="145"/>
      <c r="J72" s="133"/>
      <c r="K72" s="131"/>
      <c r="L72" s="145"/>
      <c r="M72" s="133"/>
      <c r="N72" s="131"/>
      <c r="O72" s="307"/>
      <c r="P72" s="131"/>
      <c r="Q72" s="307"/>
      <c r="R72" s="131"/>
      <c r="S72" s="145"/>
      <c r="T72" s="133"/>
      <c r="U72" s="131">
        <v>687</v>
      </c>
      <c r="V72" s="307">
        <v>65</v>
      </c>
      <c r="W72" s="477">
        <f t="shared" si="1"/>
        <v>0</v>
      </c>
      <c r="X72" s="477">
        <f t="shared" si="1"/>
        <v>0</v>
      </c>
    </row>
    <row r="73" spans="1:34" x14ac:dyDescent="0.2">
      <c r="A73" s="230"/>
      <c r="B73" s="240">
        <v>44499</v>
      </c>
      <c r="C73" s="318">
        <v>97</v>
      </c>
      <c r="D73" s="241">
        <v>0.5</v>
      </c>
      <c r="E73" s="240">
        <v>27785</v>
      </c>
      <c r="F73" s="318">
        <v>48</v>
      </c>
      <c r="G73" s="241"/>
      <c r="H73" s="240">
        <v>76812</v>
      </c>
      <c r="I73" s="318">
        <v>54</v>
      </c>
      <c r="J73" s="241">
        <v>0.5</v>
      </c>
      <c r="K73" s="240">
        <v>41074</v>
      </c>
      <c r="L73" s="318"/>
      <c r="M73" s="241">
        <v>0.5</v>
      </c>
      <c r="N73" s="240">
        <v>2333</v>
      </c>
      <c r="O73" s="513">
        <v>80</v>
      </c>
      <c r="P73" s="240">
        <v>26936</v>
      </c>
      <c r="Q73" s="513">
        <v>37</v>
      </c>
      <c r="R73" s="240">
        <v>4047</v>
      </c>
      <c r="S73" s="318">
        <v>29</v>
      </c>
      <c r="T73" s="241">
        <v>0.5</v>
      </c>
      <c r="U73" s="240">
        <v>224177</v>
      </c>
      <c r="V73" s="513">
        <v>12</v>
      </c>
      <c r="W73" s="107"/>
      <c r="X73" s="107"/>
    </row>
    <row r="74" spans="1:34" x14ac:dyDescent="0.2">
      <c r="A74" s="230"/>
      <c r="B74" s="243">
        <f>+SUM(B61:B72)</f>
        <v>44494</v>
      </c>
      <c r="C74" s="417">
        <f t="shared" ref="C74:V74" si="2">+SUM(C61:C72)</f>
        <v>597</v>
      </c>
      <c r="D74" s="245">
        <f t="shared" si="2"/>
        <v>0.5</v>
      </c>
      <c r="E74" s="243">
        <f t="shared" si="2"/>
        <v>27781</v>
      </c>
      <c r="F74" s="417">
        <f t="shared" si="2"/>
        <v>447</v>
      </c>
      <c r="G74" s="245">
        <f t="shared" si="2"/>
        <v>1</v>
      </c>
      <c r="H74" s="243">
        <f t="shared" si="2"/>
        <v>76806</v>
      </c>
      <c r="I74" s="417">
        <f t="shared" si="2"/>
        <v>654</v>
      </c>
      <c r="J74" s="245">
        <f t="shared" si="2"/>
        <v>0.5</v>
      </c>
      <c r="K74" s="243">
        <f t="shared" si="2"/>
        <v>41069</v>
      </c>
      <c r="L74" s="417">
        <f t="shared" si="2"/>
        <v>500</v>
      </c>
      <c r="M74" s="245">
        <f t="shared" si="2"/>
        <v>0.5</v>
      </c>
      <c r="N74" s="417">
        <f t="shared" si="2"/>
        <v>2333</v>
      </c>
      <c r="O74" s="417">
        <f t="shared" si="2"/>
        <v>80</v>
      </c>
      <c r="P74" s="417">
        <f t="shared" si="2"/>
        <v>26932</v>
      </c>
      <c r="Q74" s="417">
        <f t="shared" si="2"/>
        <v>437</v>
      </c>
      <c r="R74" s="243">
        <f t="shared" si="2"/>
        <v>4045</v>
      </c>
      <c r="S74" s="417">
        <f t="shared" si="2"/>
        <v>229</v>
      </c>
      <c r="T74" s="245">
        <f t="shared" si="2"/>
        <v>0.5</v>
      </c>
      <c r="U74" s="417">
        <f t="shared" si="2"/>
        <v>224171</v>
      </c>
      <c r="V74" s="417">
        <f t="shared" si="2"/>
        <v>612</v>
      </c>
      <c r="W74" s="107"/>
      <c r="X74" s="107"/>
    </row>
    <row r="75" spans="1:34" ht="23.5" customHeight="1" x14ac:dyDescent="0.2">
      <c r="A75" s="987" t="s">
        <v>3314</v>
      </c>
      <c r="B75" s="988"/>
      <c r="C75" s="988"/>
      <c r="D75" s="988"/>
      <c r="E75" s="988"/>
      <c r="F75" s="988"/>
      <c r="G75" s="988"/>
      <c r="H75" s="988"/>
      <c r="I75" s="988"/>
      <c r="J75" s="988"/>
      <c r="K75" s="988"/>
      <c r="L75" s="988"/>
      <c r="M75" s="988"/>
      <c r="N75" s="988"/>
      <c r="O75" s="988"/>
      <c r="P75" s="988"/>
      <c r="Q75" s="988"/>
      <c r="R75" s="988"/>
      <c r="S75" s="988"/>
      <c r="T75" s="988"/>
      <c r="U75" s="988"/>
      <c r="V75" s="988"/>
      <c r="W75" s="988"/>
      <c r="X75" s="988"/>
      <c r="Y75" s="988"/>
      <c r="Z75" s="988"/>
      <c r="AA75" s="988"/>
      <c r="AB75" s="988"/>
      <c r="AC75" s="988"/>
      <c r="AD75" s="988"/>
      <c r="AE75" s="988"/>
      <c r="AF75" s="988"/>
    </row>
    <row r="76" spans="1:34" ht="24" customHeight="1" x14ac:dyDescent="0.2">
      <c r="A76" s="601" t="s">
        <v>1227</v>
      </c>
      <c r="B76" s="608" t="s">
        <v>3306</v>
      </c>
      <c r="C76" s="778"/>
      <c r="D76" s="778"/>
      <c r="E76" s="778"/>
      <c r="F76" s="778"/>
      <c r="G76" s="778"/>
      <c r="H76" s="778"/>
      <c r="I76" s="778"/>
      <c r="J76" s="778"/>
      <c r="K76" s="609"/>
      <c r="L76" s="608" t="s">
        <v>3307</v>
      </c>
      <c r="M76" s="778"/>
      <c r="N76" s="778"/>
      <c r="O76" s="778"/>
      <c r="P76" s="778"/>
      <c r="Q76" s="778"/>
      <c r="R76" s="778"/>
      <c r="S76" s="778"/>
      <c r="T76" s="778"/>
      <c r="U76" s="609"/>
      <c r="V76" s="602" t="s">
        <v>3309</v>
      </c>
      <c r="W76" s="631"/>
      <c r="X76" s="631"/>
      <c r="Y76" s="631"/>
      <c r="Z76" s="602" t="s">
        <v>3315</v>
      </c>
      <c r="AA76" s="631"/>
      <c r="AB76" s="631"/>
      <c r="AC76" s="631"/>
      <c r="AD76" s="603"/>
      <c r="AE76" s="602" t="s">
        <v>3316</v>
      </c>
      <c r="AF76" s="631"/>
      <c r="AG76" s="631"/>
      <c r="AH76" s="603"/>
    </row>
    <row r="77" spans="1:34" ht="33" customHeight="1" x14ac:dyDescent="0.2">
      <c r="A77" s="989"/>
      <c r="B77" s="485" t="s">
        <v>3311</v>
      </c>
      <c r="C77" s="712"/>
      <c r="D77" s="712"/>
      <c r="E77" s="712"/>
      <c r="F77" s="486"/>
      <c r="G77" s="485" t="s">
        <v>3312</v>
      </c>
      <c r="H77" s="712"/>
      <c r="I77" s="712"/>
      <c r="J77" s="712"/>
      <c r="K77" s="486"/>
      <c r="L77" s="485" t="s">
        <v>3311</v>
      </c>
      <c r="M77" s="712"/>
      <c r="N77" s="712"/>
      <c r="O77" s="712"/>
      <c r="P77" s="486"/>
      <c r="Q77" s="485" t="s">
        <v>3312</v>
      </c>
      <c r="R77" s="712"/>
      <c r="S77" s="712"/>
      <c r="T77" s="712"/>
      <c r="U77" s="486"/>
      <c r="V77" s="606"/>
      <c r="W77" s="644"/>
      <c r="X77" s="644"/>
      <c r="Y77" s="644"/>
      <c r="Z77" s="606"/>
      <c r="AA77" s="644"/>
      <c r="AB77" s="644"/>
      <c r="AC77" s="644"/>
      <c r="AD77" s="607"/>
      <c r="AE77" s="606"/>
      <c r="AF77" s="644"/>
      <c r="AG77" s="644"/>
      <c r="AH77" s="607"/>
    </row>
    <row r="78" spans="1:34" x14ac:dyDescent="0.2">
      <c r="A78" s="989"/>
      <c r="B78" s="990" t="s">
        <v>3317</v>
      </c>
      <c r="C78" s="991"/>
      <c r="D78" s="992"/>
      <c r="E78" s="990" t="s">
        <v>3318</v>
      </c>
      <c r="F78" s="992"/>
      <c r="G78" s="990" t="s">
        <v>3317</v>
      </c>
      <c r="H78" s="991"/>
      <c r="I78" s="991"/>
      <c r="J78" s="990" t="s">
        <v>3318</v>
      </c>
      <c r="K78" s="992"/>
      <c r="L78" s="990" t="s">
        <v>3317</v>
      </c>
      <c r="M78" s="991"/>
      <c r="N78" s="991"/>
      <c r="O78" s="990" t="s">
        <v>3318</v>
      </c>
      <c r="P78" s="992"/>
      <c r="Q78" s="990" t="s">
        <v>3317</v>
      </c>
      <c r="R78" s="991"/>
      <c r="S78" s="991"/>
      <c r="T78" s="990" t="s">
        <v>3318</v>
      </c>
      <c r="U78" s="992"/>
      <c r="V78" s="990" t="s">
        <v>3317</v>
      </c>
      <c r="W78" s="992"/>
      <c r="X78" s="990" t="s">
        <v>3318</v>
      </c>
      <c r="Y78" s="992"/>
      <c r="Z78" s="990" t="s">
        <v>3317</v>
      </c>
      <c r="AA78" s="991"/>
      <c r="AB78" s="992"/>
      <c r="AC78" s="990" t="s">
        <v>3318</v>
      </c>
      <c r="AD78" s="992"/>
      <c r="AE78" s="990" t="s">
        <v>3317</v>
      </c>
      <c r="AF78" s="992"/>
      <c r="AG78" s="990" t="s">
        <v>3318</v>
      </c>
      <c r="AH78" s="992"/>
    </row>
    <row r="79" spans="1:34" x14ac:dyDescent="0.2">
      <c r="A79" s="131" t="s">
        <v>1517</v>
      </c>
      <c r="B79" s="131"/>
      <c r="C79" s="145"/>
      <c r="D79" s="307"/>
      <c r="E79" s="131">
        <v>93</v>
      </c>
      <c r="F79" s="307">
        <v>25</v>
      </c>
      <c r="G79" s="131">
        <v>246</v>
      </c>
      <c r="H79" s="145">
        <v>10</v>
      </c>
      <c r="I79" s="145"/>
      <c r="J79" s="131"/>
      <c r="K79" s="307"/>
      <c r="L79" s="131">
        <v>2599</v>
      </c>
      <c r="M79" s="145">
        <v>85</v>
      </c>
      <c r="N79" s="145"/>
      <c r="O79" s="131"/>
      <c r="P79" s="307"/>
      <c r="Q79" s="131">
        <v>1818</v>
      </c>
      <c r="R79" s="145">
        <v>85</v>
      </c>
      <c r="S79" s="145"/>
      <c r="T79" s="131"/>
      <c r="U79" s="307"/>
      <c r="V79" s="131">
        <v>688</v>
      </c>
      <c r="W79" s="307">
        <v>10</v>
      </c>
      <c r="X79" s="131"/>
      <c r="Y79" s="307"/>
      <c r="Z79" s="131">
        <v>567</v>
      </c>
      <c r="AA79" s="145">
        <v>55</v>
      </c>
      <c r="AB79" s="307"/>
      <c r="AC79" s="131"/>
      <c r="AD79" s="307"/>
      <c r="AE79" s="131">
        <v>5827</v>
      </c>
      <c r="AF79" s="307">
        <v>20</v>
      </c>
      <c r="AG79" s="131"/>
      <c r="AH79" s="307"/>
    </row>
    <row r="80" spans="1:34" x14ac:dyDescent="0.2">
      <c r="A80" s="131" t="s">
        <v>3313</v>
      </c>
      <c r="B80" s="131"/>
      <c r="C80" s="145"/>
      <c r="D80" s="307"/>
      <c r="E80" s="131"/>
      <c r="F80" s="307"/>
      <c r="G80" s="131"/>
      <c r="H80" s="145"/>
      <c r="I80" s="145"/>
      <c r="J80" s="131"/>
      <c r="K80" s="307">
        <v>83</v>
      </c>
      <c r="L80" s="131"/>
      <c r="M80" s="145"/>
      <c r="N80" s="145"/>
      <c r="O80" s="131"/>
      <c r="P80" s="307"/>
      <c r="Q80" s="131">
        <v>2</v>
      </c>
      <c r="R80" s="145">
        <v>13</v>
      </c>
      <c r="S80" s="145"/>
      <c r="T80" s="131"/>
      <c r="U80" s="307"/>
      <c r="V80" s="131"/>
      <c r="W80" s="307"/>
      <c r="X80" s="131"/>
      <c r="Y80" s="307"/>
      <c r="Z80" s="131"/>
      <c r="AA80" s="145"/>
      <c r="AB80" s="307"/>
      <c r="AC80" s="131">
        <v>101</v>
      </c>
      <c r="AD80" s="307">
        <v>90</v>
      </c>
      <c r="AE80" s="131"/>
      <c r="AF80" s="307"/>
      <c r="AG80" s="131">
        <v>100</v>
      </c>
      <c r="AH80" s="307">
        <v>60</v>
      </c>
    </row>
    <row r="81" spans="1:34" x14ac:dyDescent="0.2">
      <c r="A81" s="131" t="s">
        <v>1369</v>
      </c>
      <c r="B81" s="131">
        <v>833</v>
      </c>
      <c r="C81" s="145">
        <v>40</v>
      </c>
      <c r="D81" s="307"/>
      <c r="E81" s="131"/>
      <c r="F81" s="307"/>
      <c r="G81" s="131">
        <v>1039</v>
      </c>
      <c r="H81" s="145">
        <v>15</v>
      </c>
      <c r="I81" s="145"/>
      <c r="J81" s="131"/>
      <c r="K81" s="307"/>
      <c r="L81" s="131">
        <v>3241</v>
      </c>
      <c r="M81" s="145">
        <v>17</v>
      </c>
      <c r="N81" s="145">
        <v>0.5</v>
      </c>
      <c r="O81" s="131"/>
      <c r="P81" s="307"/>
      <c r="Q81" s="131">
        <v>2948</v>
      </c>
      <c r="R81" s="145">
        <v>89</v>
      </c>
      <c r="S81" s="145">
        <v>0.5</v>
      </c>
      <c r="T81" s="131"/>
      <c r="U81" s="307"/>
      <c r="V81" s="131">
        <v>27</v>
      </c>
      <c r="W81" s="307">
        <v>60</v>
      </c>
      <c r="X81" s="131"/>
      <c r="Y81" s="307"/>
      <c r="Z81" s="131"/>
      <c r="AA81" s="145"/>
      <c r="AB81" s="307"/>
      <c r="AC81" s="131">
        <v>2429</v>
      </c>
      <c r="AD81" s="307">
        <v>83</v>
      </c>
      <c r="AE81" s="131">
        <v>5660</v>
      </c>
      <c r="AF81" s="307">
        <v>39</v>
      </c>
      <c r="AG81" s="131"/>
      <c r="AH81" s="307"/>
    </row>
    <row r="82" spans="1:34" x14ac:dyDescent="0.2">
      <c r="A82" s="131" t="s">
        <v>1519</v>
      </c>
      <c r="B82" s="131"/>
      <c r="C82" s="145"/>
      <c r="D82" s="307"/>
      <c r="E82" s="131">
        <v>52</v>
      </c>
      <c r="F82" s="307">
        <v>75</v>
      </c>
      <c r="G82" s="131">
        <v>882</v>
      </c>
      <c r="H82" s="145">
        <v>19</v>
      </c>
      <c r="I82" s="145"/>
      <c r="J82" s="131"/>
      <c r="K82" s="307"/>
      <c r="L82" s="131"/>
      <c r="M82" s="145"/>
      <c r="N82" s="145"/>
      <c r="O82" s="131">
        <v>115</v>
      </c>
      <c r="P82" s="307"/>
      <c r="Q82" s="131">
        <v>1355</v>
      </c>
      <c r="R82" s="145">
        <v>1</v>
      </c>
      <c r="S82" s="145"/>
      <c r="T82" s="131"/>
      <c r="U82" s="307"/>
      <c r="V82" s="131">
        <v>9629</v>
      </c>
      <c r="W82" s="307">
        <v>60</v>
      </c>
      <c r="X82" s="131"/>
      <c r="Y82" s="307"/>
      <c r="Z82" s="131"/>
      <c r="AA82" s="145"/>
      <c r="AB82" s="307"/>
      <c r="AC82" s="131">
        <v>474</v>
      </c>
      <c r="AD82" s="307">
        <v>40</v>
      </c>
      <c r="AE82" s="131">
        <v>11224</v>
      </c>
      <c r="AF82" s="307">
        <v>65</v>
      </c>
      <c r="AG82" s="131"/>
      <c r="AH82" s="307"/>
    </row>
    <row r="83" spans="1:34" x14ac:dyDescent="0.2">
      <c r="A83" s="131" t="s">
        <v>1526</v>
      </c>
      <c r="B83" s="131">
        <v>15</v>
      </c>
      <c r="C83" s="145">
        <v>10</v>
      </c>
      <c r="D83" s="307"/>
      <c r="E83" s="131"/>
      <c r="F83" s="307"/>
      <c r="G83" s="131">
        <v>138</v>
      </c>
      <c r="H83" s="145">
        <v>46</v>
      </c>
      <c r="I83" s="145"/>
      <c r="J83" s="131"/>
      <c r="K83" s="307"/>
      <c r="L83" s="131">
        <v>2337</v>
      </c>
      <c r="M83" s="145">
        <v>65</v>
      </c>
      <c r="N83" s="145"/>
      <c r="O83" s="131"/>
      <c r="P83" s="307"/>
      <c r="Q83" s="131">
        <v>274</v>
      </c>
      <c r="R83" s="145">
        <v>79</v>
      </c>
      <c r="S83" s="145"/>
      <c r="T83" s="131"/>
      <c r="U83" s="307"/>
      <c r="V83" s="131">
        <v>210</v>
      </c>
      <c r="W83" s="307"/>
      <c r="X83" s="131"/>
      <c r="Y83" s="307"/>
      <c r="Z83" s="131">
        <v>248</v>
      </c>
      <c r="AA83" s="145">
        <v>65</v>
      </c>
      <c r="AB83" s="307"/>
      <c r="AC83" s="131"/>
      <c r="AD83" s="307"/>
      <c r="AE83" s="131">
        <v>3224</v>
      </c>
      <c r="AF83" s="307">
        <v>65</v>
      </c>
      <c r="AG83" s="131"/>
      <c r="AH83" s="307"/>
    </row>
    <row r="84" spans="1:34" x14ac:dyDescent="0.2">
      <c r="A84" s="131" t="s">
        <v>3267</v>
      </c>
      <c r="B84" s="131"/>
      <c r="C84" s="145"/>
      <c r="D84" s="307"/>
      <c r="E84" s="131"/>
      <c r="F84" s="307"/>
      <c r="G84" s="131"/>
      <c r="H84" s="145"/>
      <c r="I84" s="145"/>
      <c r="J84" s="131"/>
      <c r="K84" s="307"/>
      <c r="L84" s="131"/>
      <c r="M84" s="145"/>
      <c r="N84" s="145"/>
      <c r="O84" s="131"/>
      <c r="P84" s="307"/>
      <c r="Q84" s="131"/>
      <c r="R84" s="145"/>
      <c r="S84" s="145"/>
      <c r="T84" s="131"/>
      <c r="U84" s="307"/>
      <c r="V84" s="131"/>
      <c r="W84" s="307"/>
      <c r="X84" s="131"/>
      <c r="Y84" s="307"/>
      <c r="Z84" s="131"/>
      <c r="AA84" s="145"/>
      <c r="AB84" s="307"/>
      <c r="AC84" s="131"/>
      <c r="AD84" s="307"/>
      <c r="AE84" s="131"/>
      <c r="AF84" s="307"/>
      <c r="AG84" s="131">
        <v>2235</v>
      </c>
      <c r="AH84" s="307">
        <v>76</v>
      </c>
    </row>
    <row r="85" spans="1:34" x14ac:dyDescent="0.2">
      <c r="A85" s="131" t="s">
        <v>3264</v>
      </c>
      <c r="B85" s="131">
        <v>2158</v>
      </c>
      <c r="C85" s="145">
        <v>60</v>
      </c>
      <c r="D85" s="307"/>
      <c r="E85" s="131"/>
      <c r="F85" s="307"/>
      <c r="G85" s="131">
        <v>4548</v>
      </c>
      <c r="H85" s="145">
        <v>70</v>
      </c>
      <c r="I85" s="145"/>
      <c r="J85" s="131"/>
      <c r="K85" s="307"/>
      <c r="L85" s="131">
        <v>260</v>
      </c>
      <c r="M85" s="145"/>
      <c r="N85" s="145"/>
      <c r="O85" s="131"/>
      <c r="P85" s="307"/>
      <c r="Q85" s="131">
        <v>1042</v>
      </c>
      <c r="R85" s="145">
        <v>30</v>
      </c>
      <c r="S85" s="145"/>
      <c r="T85" s="131"/>
      <c r="U85" s="307"/>
      <c r="V85" s="131">
        <v>312</v>
      </c>
      <c r="W85" s="307">
        <v>40</v>
      </c>
      <c r="X85" s="131"/>
      <c r="Y85" s="307"/>
      <c r="Z85" s="131"/>
      <c r="AA85" s="145"/>
      <c r="AB85" s="307"/>
      <c r="AC85" s="131">
        <v>8</v>
      </c>
      <c r="AD85" s="307"/>
      <c r="AE85" s="131">
        <v>8314</v>
      </c>
      <c r="AF85" s="307"/>
      <c r="AG85" s="131"/>
      <c r="AH85" s="307"/>
    </row>
    <row r="86" spans="1:34" x14ac:dyDescent="0.2">
      <c r="A86" s="131" t="s">
        <v>1373</v>
      </c>
      <c r="B86" s="131">
        <v>16</v>
      </c>
      <c r="C86" s="145">
        <v>35</v>
      </c>
      <c r="D86" s="307"/>
      <c r="E86" s="131"/>
      <c r="F86" s="307"/>
      <c r="G86" s="131"/>
      <c r="H86" s="145"/>
      <c r="I86" s="145"/>
      <c r="J86" s="131">
        <v>1426</v>
      </c>
      <c r="K86" s="307">
        <v>20</v>
      </c>
      <c r="L86" s="131">
        <v>175</v>
      </c>
      <c r="M86" s="145">
        <v>5</v>
      </c>
      <c r="N86" s="145"/>
      <c r="O86" s="131"/>
      <c r="P86" s="307"/>
      <c r="Q86" s="131"/>
      <c r="R86" s="145"/>
      <c r="S86" s="145"/>
      <c r="T86" s="131">
        <v>1327</v>
      </c>
      <c r="U86" s="307">
        <v>70</v>
      </c>
      <c r="V86" s="131"/>
      <c r="W86" s="307"/>
      <c r="X86" s="131">
        <v>158</v>
      </c>
      <c r="Y86" s="307">
        <v>80</v>
      </c>
      <c r="Z86" s="131"/>
      <c r="AA86" s="145"/>
      <c r="AB86" s="307"/>
      <c r="AC86" s="131">
        <v>1342</v>
      </c>
      <c r="AD86" s="307">
        <v>95</v>
      </c>
      <c r="AE86" s="131"/>
      <c r="AF86" s="307"/>
      <c r="AG86" s="131">
        <v>4064</v>
      </c>
      <c r="AH86" s="307">
        <v>25</v>
      </c>
    </row>
    <row r="87" spans="1:34" x14ac:dyDescent="0.2">
      <c r="A87" s="131" t="s">
        <v>3265</v>
      </c>
      <c r="B87" s="131"/>
      <c r="C87" s="145"/>
      <c r="D87" s="307"/>
      <c r="E87" s="131">
        <v>537</v>
      </c>
      <c r="F87" s="307">
        <v>45</v>
      </c>
      <c r="G87" s="131">
        <v>160</v>
      </c>
      <c r="H87" s="145">
        <v>45</v>
      </c>
      <c r="I87" s="145"/>
      <c r="J87" s="131"/>
      <c r="K87" s="307"/>
      <c r="L87" s="131">
        <v>710</v>
      </c>
      <c r="M87" s="145">
        <v>85</v>
      </c>
      <c r="N87" s="145"/>
      <c r="O87" s="131"/>
      <c r="P87" s="307"/>
      <c r="Q87" s="131">
        <v>233</v>
      </c>
      <c r="R87" s="145">
        <v>50</v>
      </c>
      <c r="S87" s="145"/>
      <c r="T87" s="131"/>
      <c r="U87" s="307"/>
      <c r="V87" s="131">
        <v>299</v>
      </c>
      <c r="W87" s="307">
        <v>50</v>
      </c>
      <c r="X87" s="131"/>
      <c r="Y87" s="307"/>
      <c r="Z87" s="131"/>
      <c r="AA87" s="145"/>
      <c r="AB87" s="307"/>
      <c r="AC87" s="131">
        <v>162</v>
      </c>
      <c r="AD87" s="307">
        <v>65</v>
      </c>
      <c r="AE87" s="131">
        <v>704</v>
      </c>
      <c r="AF87" s="307">
        <v>20</v>
      </c>
      <c r="AG87" s="131"/>
      <c r="AH87" s="307"/>
    </row>
    <row r="88" spans="1:34" x14ac:dyDescent="0.2">
      <c r="A88" s="131" t="s">
        <v>1527</v>
      </c>
      <c r="B88" s="131">
        <v>43</v>
      </c>
      <c r="C88" s="145">
        <v>22</v>
      </c>
      <c r="D88" s="307">
        <v>0.5</v>
      </c>
      <c r="E88" s="131"/>
      <c r="F88" s="307"/>
      <c r="G88" s="131">
        <v>57</v>
      </c>
      <c r="H88" s="145">
        <v>16</v>
      </c>
      <c r="I88" s="145">
        <v>0.5</v>
      </c>
      <c r="J88" s="131"/>
      <c r="K88" s="307"/>
      <c r="L88" s="131">
        <v>1145</v>
      </c>
      <c r="M88" s="145">
        <v>72</v>
      </c>
      <c r="N88" s="145">
        <v>0.5</v>
      </c>
      <c r="O88" s="131"/>
      <c r="P88" s="307"/>
      <c r="Q88" s="131">
        <v>335</v>
      </c>
      <c r="R88" s="145">
        <v>66</v>
      </c>
      <c r="S88" s="145"/>
      <c r="T88" s="131"/>
      <c r="U88" s="307"/>
      <c r="V88" s="131">
        <v>9419</v>
      </c>
      <c r="W88" s="307">
        <v>85</v>
      </c>
      <c r="X88" s="131"/>
      <c r="Y88" s="307"/>
      <c r="Z88" s="131">
        <v>482</v>
      </c>
      <c r="AA88" s="145">
        <v>7</v>
      </c>
      <c r="AB88" s="307">
        <v>0.5</v>
      </c>
      <c r="AC88" s="131"/>
      <c r="AD88" s="307"/>
      <c r="AE88" s="131">
        <v>11483</v>
      </c>
      <c r="AF88" s="307">
        <v>70</v>
      </c>
      <c r="AG88" s="131"/>
      <c r="AH88" s="307"/>
    </row>
    <row r="89" spans="1:34" ht="24.5" customHeight="1" thickBot="1" x14ac:dyDescent="0.25">
      <c r="A89" s="230"/>
      <c r="B89" s="372">
        <v>3066</v>
      </c>
      <c r="C89" s="362">
        <v>67</v>
      </c>
      <c r="D89" s="363">
        <v>0.5</v>
      </c>
      <c r="E89" s="362">
        <v>683</v>
      </c>
      <c r="F89" s="363">
        <v>45</v>
      </c>
      <c r="G89" s="372">
        <v>7072</v>
      </c>
      <c r="H89" s="362">
        <v>21</v>
      </c>
      <c r="I89" s="362">
        <v>0.5</v>
      </c>
      <c r="J89" s="372">
        <v>1427</v>
      </c>
      <c r="K89" s="363">
        <v>3</v>
      </c>
      <c r="L89" s="372">
        <v>10470</v>
      </c>
      <c r="M89" s="362">
        <v>30</v>
      </c>
      <c r="N89" s="362"/>
      <c r="O89" s="372">
        <v>115</v>
      </c>
      <c r="P89" s="363"/>
      <c r="Q89" s="372">
        <v>8011</v>
      </c>
      <c r="R89" s="362">
        <v>13</v>
      </c>
      <c r="S89" s="362">
        <v>0.5</v>
      </c>
      <c r="T89" s="372">
        <v>1327</v>
      </c>
      <c r="U89" s="363">
        <v>70</v>
      </c>
      <c r="V89" s="372">
        <v>20587</v>
      </c>
      <c r="W89" s="363">
        <v>5</v>
      </c>
      <c r="X89" s="372">
        <v>158</v>
      </c>
      <c r="Y89" s="362">
        <v>80</v>
      </c>
      <c r="Z89" s="372">
        <v>1298</v>
      </c>
      <c r="AA89" s="362">
        <v>27</v>
      </c>
      <c r="AB89" s="363">
        <v>0.5</v>
      </c>
      <c r="AC89" s="372">
        <v>4519</v>
      </c>
      <c r="AD89" s="362">
        <v>73</v>
      </c>
      <c r="AE89" s="372">
        <v>46438</v>
      </c>
      <c r="AF89" s="363">
        <v>79</v>
      </c>
      <c r="AG89" s="372">
        <v>1500</v>
      </c>
      <c r="AH89" s="363">
        <v>61</v>
      </c>
    </row>
    <row r="90" spans="1:34" ht="15" customHeight="1" thickTop="1" x14ac:dyDescent="0.2">
      <c r="A90" s="230"/>
      <c r="B90" s="137">
        <f>+SUM(B79:B88)</f>
        <v>3065</v>
      </c>
      <c r="C90" s="137">
        <f t="shared" ref="C90:AH90" si="3">+SUM(C79:C88)</f>
        <v>167</v>
      </c>
      <c r="D90" s="137">
        <f t="shared" si="3"/>
        <v>0.5</v>
      </c>
      <c r="E90" s="137">
        <f t="shared" si="3"/>
        <v>682</v>
      </c>
      <c r="F90" s="137">
        <f t="shared" si="3"/>
        <v>145</v>
      </c>
      <c r="G90" s="137">
        <f t="shared" si="3"/>
        <v>7070</v>
      </c>
      <c r="H90" s="137">
        <f t="shared" si="3"/>
        <v>221</v>
      </c>
      <c r="I90" s="137">
        <f t="shared" si="3"/>
        <v>0.5</v>
      </c>
      <c r="J90" s="137">
        <f t="shared" si="3"/>
        <v>1426</v>
      </c>
      <c r="K90" s="137">
        <f t="shared" si="3"/>
        <v>103</v>
      </c>
      <c r="L90" s="137">
        <f t="shared" si="3"/>
        <v>10467</v>
      </c>
      <c r="M90" s="137">
        <f t="shared" si="3"/>
        <v>329</v>
      </c>
      <c r="N90" s="137">
        <f t="shared" si="3"/>
        <v>1</v>
      </c>
      <c r="O90" s="137">
        <f t="shared" si="3"/>
        <v>115</v>
      </c>
      <c r="P90" s="137">
        <f t="shared" si="3"/>
        <v>0</v>
      </c>
      <c r="Q90" s="137">
        <f t="shared" si="3"/>
        <v>8007</v>
      </c>
      <c r="R90" s="137">
        <f t="shared" si="3"/>
        <v>413</v>
      </c>
      <c r="S90" s="137">
        <f t="shared" si="3"/>
        <v>0.5</v>
      </c>
      <c r="T90" s="137">
        <f t="shared" si="3"/>
        <v>1327</v>
      </c>
      <c r="U90" s="137">
        <f t="shared" si="3"/>
        <v>70</v>
      </c>
      <c r="V90" s="137">
        <f t="shared" si="3"/>
        <v>20584</v>
      </c>
      <c r="W90" s="137">
        <f t="shared" si="3"/>
        <v>305</v>
      </c>
      <c r="X90" s="137">
        <f t="shared" si="3"/>
        <v>158</v>
      </c>
      <c r="Y90" s="137">
        <f t="shared" si="3"/>
        <v>80</v>
      </c>
      <c r="Z90" s="137">
        <f t="shared" si="3"/>
        <v>1297</v>
      </c>
      <c r="AA90" s="137">
        <f t="shared" si="3"/>
        <v>127</v>
      </c>
      <c r="AB90" s="137">
        <f t="shared" si="3"/>
        <v>0.5</v>
      </c>
      <c r="AC90" s="137">
        <f t="shared" si="3"/>
        <v>4516</v>
      </c>
      <c r="AD90" s="137">
        <f t="shared" si="3"/>
        <v>373</v>
      </c>
      <c r="AE90" s="137">
        <f t="shared" si="3"/>
        <v>46436</v>
      </c>
      <c r="AF90" s="137">
        <f t="shared" si="3"/>
        <v>279</v>
      </c>
      <c r="AG90" s="993">
        <f t="shared" si="3"/>
        <v>6399</v>
      </c>
      <c r="AH90" s="137">
        <f t="shared" si="3"/>
        <v>161</v>
      </c>
    </row>
    <row r="91" spans="1:34" x14ac:dyDescent="0.2">
      <c r="A91" s="230"/>
      <c r="B91" s="982">
        <v>2383</v>
      </c>
      <c r="C91" s="983"/>
      <c r="D91" s="994">
        <v>22</v>
      </c>
      <c r="E91" s="617">
        <v>0.5</v>
      </c>
      <c r="F91" s="618"/>
      <c r="G91" s="982">
        <v>5645</v>
      </c>
      <c r="H91" s="983"/>
      <c r="I91" s="617">
        <v>18</v>
      </c>
      <c r="J91" s="617"/>
      <c r="K91" s="995">
        <v>0.5</v>
      </c>
      <c r="L91" s="982">
        <v>10355</v>
      </c>
      <c r="M91" s="983"/>
      <c r="N91" s="994">
        <v>30</v>
      </c>
      <c r="O91" s="617"/>
      <c r="P91" s="618"/>
      <c r="Q91" s="982">
        <v>6683</v>
      </c>
      <c r="R91" s="983"/>
      <c r="S91" s="617">
        <v>43</v>
      </c>
      <c r="T91" s="617"/>
      <c r="U91" s="995">
        <v>0.5</v>
      </c>
      <c r="V91" s="982">
        <v>20428</v>
      </c>
      <c r="W91" s="983"/>
      <c r="X91" s="318">
        <v>25</v>
      </c>
      <c r="Y91" s="513"/>
      <c r="Z91" s="982">
        <v>3221</v>
      </c>
      <c r="AA91" s="983"/>
      <c r="AB91" s="983"/>
      <c r="AC91" s="238">
        <v>45</v>
      </c>
      <c r="AD91" s="239">
        <f>1/2</f>
        <v>0.5</v>
      </c>
      <c r="AE91" s="996">
        <v>39938</v>
      </c>
      <c r="AF91" s="997"/>
      <c r="AG91" s="238">
        <v>18</v>
      </c>
      <c r="AH91" s="239"/>
    </row>
    <row r="92" spans="1:34" x14ac:dyDescent="0.2">
      <c r="A92" s="107"/>
      <c r="B92" s="107"/>
      <c r="C92" s="107"/>
      <c r="D92" s="107"/>
      <c r="E92" s="107"/>
      <c r="F92" s="107"/>
      <c r="G92" s="107"/>
      <c r="H92" s="107"/>
      <c r="I92" s="107"/>
      <c r="J92" s="107"/>
      <c r="K92" s="107"/>
      <c r="L92" s="107"/>
      <c r="M92" s="107"/>
      <c r="N92" s="107"/>
      <c r="O92" s="107"/>
      <c r="P92" s="107"/>
      <c r="Q92" s="107"/>
      <c r="R92" s="107"/>
      <c r="S92" s="107"/>
      <c r="T92" s="107"/>
      <c r="U92" s="107"/>
      <c r="V92" s="107"/>
      <c r="W92" s="107"/>
      <c r="X92" s="107"/>
    </row>
    <row r="93" spans="1:34" x14ac:dyDescent="0.2">
      <c r="A93" s="107"/>
      <c r="B93" s="107"/>
      <c r="C93" s="107"/>
      <c r="D93" s="107"/>
      <c r="E93" s="107"/>
      <c r="F93" s="107"/>
      <c r="G93" s="107"/>
      <c r="H93" s="107"/>
      <c r="I93" s="107"/>
      <c r="J93" s="107"/>
      <c r="K93" s="107"/>
      <c r="L93" s="107"/>
      <c r="M93" s="107"/>
      <c r="N93" s="107"/>
      <c r="O93" s="107"/>
      <c r="P93" s="107"/>
      <c r="Q93" s="107"/>
      <c r="R93" s="107"/>
      <c r="S93" s="107"/>
      <c r="T93" s="107"/>
    </row>
    <row r="94" spans="1:34" x14ac:dyDescent="0.2">
      <c r="A94" s="107"/>
      <c r="B94" s="107"/>
      <c r="C94" s="107"/>
      <c r="D94" s="107"/>
      <c r="E94" s="107"/>
      <c r="F94" s="107"/>
      <c r="G94" s="107"/>
      <c r="H94" s="107"/>
      <c r="I94" s="107"/>
      <c r="J94" s="107"/>
      <c r="K94" s="107"/>
      <c r="L94" s="107"/>
      <c r="M94" s="107"/>
      <c r="N94" s="107"/>
      <c r="O94" s="107"/>
      <c r="P94" s="107"/>
      <c r="Q94" s="107"/>
      <c r="R94" s="107"/>
      <c r="S94" s="107"/>
      <c r="T94" s="107"/>
    </row>
    <row r="95" spans="1:34" x14ac:dyDescent="0.2">
      <c r="A95" s="526" t="s">
        <v>1272</v>
      </c>
      <c r="B95" s="107"/>
      <c r="C95" s="107"/>
      <c r="D95" s="107"/>
      <c r="E95" s="107"/>
      <c r="F95" s="107"/>
      <c r="G95" s="107"/>
      <c r="H95" s="107"/>
      <c r="I95" s="107"/>
      <c r="J95" s="107"/>
      <c r="K95" s="107"/>
      <c r="L95" s="107"/>
      <c r="M95" s="107"/>
      <c r="N95" s="107"/>
      <c r="O95" s="107"/>
      <c r="P95" s="107"/>
      <c r="Q95" s="107"/>
      <c r="R95" s="107"/>
      <c r="S95" s="107"/>
      <c r="T95" s="107"/>
      <c r="U95" s="107"/>
      <c r="V95" s="107"/>
      <c r="W95" s="107"/>
      <c r="X95" s="107"/>
    </row>
    <row r="96" spans="1:34" ht="29" customHeight="1" x14ac:dyDescent="0.2">
      <c r="A96" s="953" t="s">
        <v>3319</v>
      </c>
      <c r="B96" s="954"/>
      <c r="C96" s="954"/>
      <c r="D96" s="954"/>
      <c r="E96" s="954"/>
      <c r="F96" s="954"/>
      <c r="G96" s="954"/>
      <c r="H96" s="954"/>
      <c r="I96" s="954"/>
      <c r="J96" s="955"/>
      <c r="K96" s="107"/>
      <c r="L96" s="107"/>
      <c r="M96" s="107"/>
      <c r="N96" s="107"/>
      <c r="O96" s="107"/>
      <c r="P96" s="107"/>
      <c r="Q96" s="107"/>
      <c r="R96" s="107"/>
      <c r="S96" s="107"/>
      <c r="T96" s="107"/>
      <c r="U96" s="107"/>
      <c r="V96" s="107"/>
      <c r="W96" s="107"/>
      <c r="X96" s="107"/>
    </row>
    <row r="97" spans="1:24" ht="29" customHeight="1" x14ac:dyDescent="0.2">
      <c r="A97" s="838" t="s">
        <v>1227</v>
      </c>
      <c r="B97" s="967" t="s">
        <v>3320</v>
      </c>
      <c r="C97" s="967"/>
      <c r="D97" s="967"/>
      <c r="E97" s="967"/>
      <c r="F97" s="608" t="s">
        <v>3321</v>
      </c>
      <c r="G97" s="778"/>
      <c r="H97" s="778"/>
      <c r="I97" s="778"/>
      <c r="J97" s="609"/>
      <c r="K97" s="107"/>
      <c r="L97" s="107"/>
      <c r="M97" s="107"/>
      <c r="N97" s="107"/>
      <c r="O97" s="107"/>
      <c r="P97" s="107"/>
      <c r="Q97" s="107"/>
      <c r="R97" s="107"/>
      <c r="S97" s="107"/>
      <c r="T97" s="107"/>
      <c r="U97" s="107"/>
      <c r="V97" s="107"/>
      <c r="W97" s="107"/>
      <c r="X97" s="107"/>
    </row>
    <row r="98" spans="1:24" ht="14.5" customHeight="1" x14ac:dyDescent="0.2">
      <c r="A98" s="838"/>
      <c r="B98" s="967" t="s">
        <v>3322</v>
      </c>
      <c r="C98" s="967"/>
      <c r="D98" s="967" t="s">
        <v>3323</v>
      </c>
      <c r="E98" s="967"/>
      <c r="F98" s="608" t="s">
        <v>3322</v>
      </c>
      <c r="G98" s="778"/>
      <c r="H98" s="609"/>
      <c r="I98" s="967" t="s">
        <v>3323</v>
      </c>
      <c r="J98" s="967"/>
      <c r="K98" s="107"/>
      <c r="L98" s="107"/>
      <c r="M98" s="107"/>
      <c r="N98" s="107"/>
      <c r="O98" s="107"/>
      <c r="P98" s="107"/>
      <c r="Q98" s="107"/>
      <c r="R98" s="107"/>
      <c r="S98" s="107"/>
      <c r="T98" s="107"/>
      <c r="U98" s="107"/>
      <c r="V98" s="107"/>
      <c r="W98" s="107"/>
      <c r="X98" s="107"/>
    </row>
    <row r="99" spans="1:24" x14ac:dyDescent="0.2">
      <c r="A99" s="716" t="s">
        <v>1514</v>
      </c>
      <c r="B99" s="349"/>
      <c r="C99" s="717"/>
      <c r="D99" s="349"/>
      <c r="E99" s="717"/>
      <c r="F99" s="349"/>
      <c r="G99" s="350"/>
      <c r="H99" s="717"/>
      <c r="I99" s="349">
        <v>2078</v>
      </c>
      <c r="J99" s="717">
        <v>31</v>
      </c>
      <c r="K99" s="107"/>
      <c r="L99" s="107"/>
      <c r="M99" s="107"/>
      <c r="N99" s="107"/>
      <c r="O99" s="107"/>
      <c r="P99" s="107"/>
      <c r="Q99" s="107"/>
      <c r="R99" s="107"/>
      <c r="S99" s="107"/>
      <c r="T99" s="107"/>
      <c r="U99" s="107"/>
      <c r="V99" s="107"/>
      <c r="W99" s="107"/>
      <c r="X99" s="107"/>
    </row>
    <row r="100" spans="1:24" x14ac:dyDescent="0.2">
      <c r="A100" s="533" t="s">
        <v>1517</v>
      </c>
      <c r="B100" s="131">
        <v>153641</v>
      </c>
      <c r="C100" s="307">
        <v>70</v>
      </c>
      <c r="D100" s="131"/>
      <c r="E100" s="307"/>
      <c r="F100" s="131">
        <v>198866</v>
      </c>
      <c r="G100" s="145">
        <v>15</v>
      </c>
      <c r="H100" s="133"/>
      <c r="I100" s="131"/>
      <c r="J100" s="307"/>
      <c r="K100" s="107"/>
      <c r="L100" s="107"/>
      <c r="M100" s="107"/>
      <c r="N100" s="107"/>
      <c r="O100" s="107"/>
      <c r="P100" s="107"/>
      <c r="Q100" s="107"/>
      <c r="R100" s="107"/>
      <c r="S100" s="107"/>
      <c r="T100" s="107"/>
      <c r="U100" s="107"/>
      <c r="V100" s="107"/>
      <c r="W100" s="107"/>
      <c r="X100" s="107"/>
    </row>
    <row r="101" spans="1:24" x14ac:dyDescent="0.2">
      <c r="A101" s="533" t="s">
        <v>3266</v>
      </c>
      <c r="B101" s="131"/>
      <c r="C101" s="307"/>
      <c r="D101" s="131">
        <v>2870</v>
      </c>
      <c r="E101" s="307">
        <v>50</v>
      </c>
      <c r="F101" s="131"/>
      <c r="G101" s="145"/>
      <c r="H101" s="133"/>
      <c r="I101" s="131">
        <v>2678</v>
      </c>
      <c r="J101" s="307">
        <v>15</v>
      </c>
      <c r="K101" s="107"/>
      <c r="L101" s="107"/>
      <c r="M101" s="107"/>
      <c r="N101" s="107"/>
      <c r="O101" s="107"/>
      <c r="P101" s="107"/>
      <c r="Q101" s="107"/>
      <c r="R101" s="107"/>
      <c r="S101" s="107"/>
      <c r="T101" s="107"/>
      <c r="U101" s="107"/>
      <c r="V101" s="107"/>
      <c r="W101" s="107"/>
      <c r="X101" s="107"/>
    </row>
    <row r="102" spans="1:24" x14ac:dyDescent="0.2">
      <c r="A102" s="533" t="s">
        <v>1369</v>
      </c>
      <c r="B102" s="131">
        <v>92034</v>
      </c>
      <c r="C102" s="307">
        <v>3</v>
      </c>
      <c r="D102" s="131"/>
      <c r="E102" s="307"/>
      <c r="F102" s="131">
        <v>177869</v>
      </c>
      <c r="G102" s="145">
        <v>57</v>
      </c>
      <c r="H102" s="133">
        <v>0.5</v>
      </c>
      <c r="I102" s="131"/>
      <c r="J102" s="307"/>
      <c r="K102" s="107"/>
      <c r="L102" s="107"/>
      <c r="M102" s="107"/>
      <c r="N102" s="107"/>
      <c r="O102" s="107"/>
      <c r="P102" s="107"/>
      <c r="Q102" s="107"/>
      <c r="R102" s="107"/>
      <c r="S102" s="107"/>
      <c r="T102" s="107"/>
      <c r="U102" s="107"/>
      <c r="V102" s="107"/>
      <c r="W102" s="107"/>
      <c r="X102" s="107"/>
    </row>
    <row r="103" spans="1:24" x14ac:dyDescent="0.2">
      <c r="A103" s="533" t="s">
        <v>1519</v>
      </c>
      <c r="B103" s="131">
        <v>89886</v>
      </c>
      <c r="C103" s="307">
        <v>90</v>
      </c>
      <c r="D103" s="131"/>
      <c r="E103" s="307"/>
      <c r="F103" s="131">
        <v>120907</v>
      </c>
      <c r="G103" s="145">
        <v>95</v>
      </c>
      <c r="H103" s="133"/>
      <c r="I103" s="131"/>
      <c r="J103" s="307"/>
      <c r="K103" s="107"/>
      <c r="L103" s="107"/>
      <c r="M103" s="107"/>
      <c r="N103" s="107"/>
      <c r="O103" s="107"/>
      <c r="P103" s="107"/>
      <c r="Q103" s="107"/>
      <c r="R103" s="107"/>
      <c r="S103" s="107"/>
      <c r="T103" s="107"/>
      <c r="U103" s="107"/>
      <c r="V103" s="107"/>
      <c r="W103" s="107"/>
      <c r="X103" s="107"/>
    </row>
    <row r="104" spans="1:24" x14ac:dyDescent="0.2">
      <c r="A104" s="533" t="s">
        <v>1526</v>
      </c>
      <c r="B104" s="131">
        <v>14447</v>
      </c>
      <c r="C104" s="307">
        <v>50</v>
      </c>
      <c r="D104" s="131"/>
      <c r="E104" s="307"/>
      <c r="F104" s="131">
        <v>20376</v>
      </c>
      <c r="G104" s="145">
        <v>60</v>
      </c>
      <c r="H104" s="133"/>
      <c r="I104" s="131"/>
      <c r="J104" s="307"/>
      <c r="K104" s="107"/>
      <c r="L104" s="107"/>
      <c r="M104" s="107"/>
      <c r="N104" s="107"/>
      <c r="O104" s="107"/>
      <c r="P104" s="107"/>
      <c r="Q104" s="107"/>
      <c r="R104" s="107"/>
      <c r="S104" s="107"/>
      <c r="T104" s="107"/>
      <c r="U104" s="107"/>
      <c r="V104" s="107"/>
      <c r="W104" s="107"/>
      <c r="X104" s="107"/>
    </row>
    <row r="105" spans="1:24" x14ac:dyDescent="0.2">
      <c r="A105" s="533" t="s">
        <v>3267</v>
      </c>
      <c r="B105" s="131"/>
      <c r="C105" s="307"/>
      <c r="D105" s="131">
        <v>8375</v>
      </c>
      <c r="E105" s="307"/>
      <c r="F105" s="131"/>
      <c r="G105" s="145"/>
      <c r="H105" s="133"/>
      <c r="I105" s="131">
        <v>5461</v>
      </c>
      <c r="J105" s="307">
        <v>60</v>
      </c>
      <c r="K105" s="107"/>
      <c r="L105" s="107"/>
      <c r="M105" s="107"/>
      <c r="N105" s="107"/>
      <c r="O105" s="107"/>
      <c r="P105" s="107"/>
      <c r="Q105" s="107"/>
      <c r="R105" s="107"/>
      <c r="S105" s="107"/>
      <c r="T105" s="107"/>
      <c r="U105" s="107"/>
      <c r="V105" s="107"/>
      <c r="W105" s="107"/>
      <c r="X105" s="107"/>
    </row>
    <row r="106" spans="1:24" x14ac:dyDescent="0.2">
      <c r="A106" s="533" t="s">
        <v>3264</v>
      </c>
      <c r="B106" s="131">
        <v>630897</v>
      </c>
      <c r="C106" s="307">
        <v>90</v>
      </c>
      <c r="D106" s="131"/>
      <c r="E106" s="307"/>
      <c r="F106" s="131">
        <v>1518451</v>
      </c>
      <c r="G106" s="145"/>
      <c r="H106" s="133"/>
      <c r="I106" s="131"/>
      <c r="J106" s="307"/>
      <c r="K106" s="107"/>
      <c r="L106" s="107"/>
      <c r="M106" s="107"/>
      <c r="N106" s="107"/>
      <c r="O106" s="107"/>
      <c r="P106" s="107"/>
      <c r="Q106" s="107"/>
      <c r="R106" s="107"/>
      <c r="S106" s="107"/>
      <c r="T106" s="107"/>
      <c r="U106" s="107"/>
      <c r="V106" s="107"/>
      <c r="W106" s="107"/>
      <c r="X106" s="107"/>
    </row>
    <row r="107" spans="1:24" x14ac:dyDescent="0.2">
      <c r="A107" s="533" t="s">
        <v>1373</v>
      </c>
      <c r="B107" s="131">
        <v>875391</v>
      </c>
      <c r="C107" s="307">
        <v>15</v>
      </c>
      <c r="D107" s="131"/>
      <c r="E107" s="307"/>
      <c r="F107" s="131">
        <v>514772</v>
      </c>
      <c r="G107" s="145">
        <v>50</v>
      </c>
      <c r="H107" s="133"/>
      <c r="I107" s="131"/>
      <c r="J107" s="307"/>
      <c r="K107" s="107"/>
      <c r="L107" s="107"/>
      <c r="M107" s="107"/>
      <c r="N107" s="107"/>
      <c r="O107" s="107"/>
      <c r="P107" s="107"/>
      <c r="Q107" s="107"/>
      <c r="R107" s="107"/>
      <c r="S107" s="107"/>
      <c r="T107" s="107"/>
      <c r="U107" s="107"/>
      <c r="V107" s="107"/>
      <c r="W107" s="107"/>
      <c r="X107" s="107"/>
    </row>
    <row r="108" spans="1:24" x14ac:dyDescent="0.2">
      <c r="A108" s="533" t="s">
        <v>3265</v>
      </c>
      <c r="B108" s="131"/>
      <c r="C108" s="307"/>
      <c r="D108" s="131">
        <v>6264</v>
      </c>
      <c r="E108" s="307">
        <v>35</v>
      </c>
      <c r="F108" s="131"/>
      <c r="G108" s="145"/>
      <c r="H108" s="133"/>
      <c r="I108" s="131">
        <v>2319</v>
      </c>
      <c r="J108" s="307">
        <v>14</v>
      </c>
      <c r="K108" s="107"/>
      <c r="L108" s="107"/>
      <c r="M108" s="107"/>
      <c r="N108" s="107"/>
      <c r="O108" s="107"/>
      <c r="P108" s="107"/>
      <c r="Q108" s="107"/>
      <c r="R108" s="107"/>
      <c r="S108" s="107"/>
      <c r="T108" s="107"/>
      <c r="U108" s="107"/>
      <c r="V108" s="107"/>
      <c r="W108" s="107"/>
      <c r="X108" s="107"/>
    </row>
    <row r="109" spans="1:24" x14ac:dyDescent="0.2">
      <c r="A109" s="533" t="s">
        <v>1527</v>
      </c>
      <c r="B109" s="131">
        <v>19183</v>
      </c>
      <c r="C109" s="307">
        <v>60</v>
      </c>
      <c r="D109" s="131"/>
      <c r="E109" s="307"/>
      <c r="F109" s="131">
        <v>12566</v>
      </c>
      <c r="G109" s="145">
        <v>69</v>
      </c>
      <c r="H109" s="133"/>
      <c r="I109" s="131"/>
      <c r="J109" s="307"/>
      <c r="K109" s="107"/>
      <c r="L109" s="107"/>
      <c r="M109" s="107"/>
      <c r="N109" s="107"/>
      <c r="O109" s="107"/>
      <c r="P109" s="107"/>
      <c r="Q109" s="107"/>
      <c r="R109" s="107"/>
      <c r="S109" s="107"/>
      <c r="T109" s="107"/>
      <c r="U109" s="107"/>
      <c r="V109" s="107"/>
      <c r="W109" s="107"/>
      <c r="X109" s="107"/>
    </row>
    <row r="110" spans="1:24" x14ac:dyDescent="0.2">
      <c r="A110" s="533" t="s">
        <v>3300</v>
      </c>
      <c r="B110" s="131"/>
      <c r="C110" s="307"/>
      <c r="D110" s="131"/>
      <c r="E110" s="307"/>
      <c r="F110" s="131"/>
      <c r="G110" s="145"/>
      <c r="H110" s="133"/>
      <c r="I110" s="131"/>
      <c r="J110" s="307"/>
      <c r="K110" s="107"/>
      <c r="L110" s="107"/>
      <c r="M110" s="107"/>
      <c r="N110" s="107"/>
      <c r="O110" s="107"/>
      <c r="P110" s="107"/>
      <c r="Q110" s="107"/>
      <c r="R110" s="107"/>
      <c r="S110" s="107"/>
      <c r="T110" s="107"/>
      <c r="U110" s="107"/>
      <c r="V110" s="107"/>
      <c r="W110" s="107"/>
      <c r="X110" s="107"/>
    </row>
    <row r="111" spans="1:24" x14ac:dyDescent="0.2">
      <c r="A111" s="535"/>
      <c r="B111" s="349">
        <v>1875482</v>
      </c>
      <c r="C111" s="717">
        <v>78</v>
      </c>
      <c r="D111" s="349">
        <v>17509</v>
      </c>
      <c r="E111" s="717">
        <v>85</v>
      </c>
      <c r="F111" s="349">
        <v>2563810</v>
      </c>
      <c r="G111" s="350">
        <v>46</v>
      </c>
      <c r="H111" s="352">
        <v>0.5</v>
      </c>
      <c r="I111" s="349">
        <v>12537</v>
      </c>
      <c r="J111" s="717">
        <v>20</v>
      </c>
      <c r="K111" s="107"/>
      <c r="L111" s="107"/>
      <c r="M111" s="107"/>
      <c r="N111" s="107"/>
      <c r="O111" s="107"/>
      <c r="P111" s="107"/>
      <c r="Q111" s="107"/>
      <c r="R111" s="107"/>
      <c r="S111" s="107"/>
      <c r="T111" s="107"/>
      <c r="U111" s="107"/>
      <c r="V111" s="107"/>
      <c r="W111" s="107"/>
      <c r="X111" s="107"/>
    </row>
    <row r="112" spans="1:24" x14ac:dyDescent="0.2">
      <c r="A112" s="230"/>
      <c r="B112" s="343">
        <f>+SUM(B99:B110)</f>
        <v>1875479</v>
      </c>
      <c r="C112" s="343">
        <f t="shared" ref="C112:J112" si="4">+SUM(C99:C110)</f>
        <v>378</v>
      </c>
      <c r="D112" s="343">
        <f t="shared" si="4"/>
        <v>17509</v>
      </c>
      <c r="E112" s="343">
        <f t="shared" si="4"/>
        <v>85</v>
      </c>
      <c r="F112" s="343">
        <f t="shared" si="4"/>
        <v>2563807</v>
      </c>
      <c r="G112" s="343">
        <f t="shared" si="4"/>
        <v>346</v>
      </c>
      <c r="H112" s="344">
        <f t="shared" si="4"/>
        <v>0.5</v>
      </c>
      <c r="I112" s="343">
        <f t="shared" si="4"/>
        <v>12536</v>
      </c>
      <c r="J112" s="343">
        <f t="shared" si="4"/>
        <v>120</v>
      </c>
      <c r="K112" s="107"/>
      <c r="L112" s="107"/>
      <c r="M112" s="107"/>
      <c r="N112" s="107"/>
      <c r="O112" s="107"/>
      <c r="P112" s="107"/>
      <c r="Q112" s="107"/>
      <c r="R112" s="107"/>
      <c r="S112" s="107"/>
      <c r="T112" s="107"/>
      <c r="U112" s="107"/>
      <c r="V112" s="107"/>
      <c r="W112" s="107"/>
      <c r="X112" s="107"/>
    </row>
    <row r="113" spans="1:24" x14ac:dyDescent="0.2">
      <c r="A113" s="230"/>
      <c r="B113" s="982">
        <v>1857972</v>
      </c>
      <c r="C113" s="983"/>
      <c r="D113" s="994">
        <v>93</v>
      </c>
      <c r="E113" s="995"/>
      <c r="F113" s="982">
        <v>2551273</v>
      </c>
      <c r="G113" s="983"/>
      <c r="H113" s="617">
        <v>26</v>
      </c>
      <c r="I113" s="617"/>
      <c r="J113" s="995">
        <v>0.5</v>
      </c>
      <c r="K113" s="107"/>
      <c r="L113" s="107"/>
      <c r="M113" s="107"/>
      <c r="N113" s="107"/>
      <c r="O113" s="107"/>
      <c r="P113" s="107"/>
      <c r="Q113" s="107"/>
      <c r="R113" s="107"/>
      <c r="S113" s="107"/>
      <c r="T113" s="107"/>
      <c r="U113" s="107"/>
      <c r="V113" s="107"/>
      <c r="W113" s="107"/>
      <c r="X113" s="107"/>
    </row>
    <row r="114" spans="1:24" x14ac:dyDescent="0.2">
      <c r="A114" s="107"/>
      <c r="B114" s="107"/>
      <c r="C114" s="107"/>
      <c r="D114" s="107"/>
      <c r="E114" s="107"/>
      <c r="F114" s="107"/>
      <c r="G114" s="107"/>
      <c r="H114" s="107"/>
      <c r="I114" s="107"/>
      <c r="J114" s="107"/>
      <c r="K114" s="107"/>
      <c r="L114" s="107"/>
      <c r="M114" s="107"/>
      <c r="N114" s="107"/>
      <c r="O114" s="107"/>
      <c r="P114" s="107"/>
      <c r="Q114" s="107"/>
      <c r="R114" s="107"/>
      <c r="S114" s="107"/>
      <c r="T114" s="107"/>
      <c r="U114" s="107"/>
      <c r="V114" s="107"/>
      <c r="W114" s="107"/>
      <c r="X114" s="107"/>
    </row>
    <row r="115" spans="1:24" x14ac:dyDescent="0.2">
      <c r="A115" s="107"/>
      <c r="B115" s="107"/>
      <c r="C115" s="107"/>
      <c r="D115" s="107"/>
      <c r="E115" s="107"/>
      <c r="F115" s="107"/>
      <c r="G115" s="107"/>
      <c r="H115" s="107"/>
      <c r="I115" s="107"/>
      <c r="J115" s="107"/>
      <c r="K115" s="107"/>
      <c r="L115" s="107"/>
      <c r="M115" s="107"/>
      <c r="N115" s="107"/>
      <c r="O115" s="107"/>
      <c r="P115" s="107"/>
      <c r="Q115" s="107"/>
      <c r="R115" s="107"/>
      <c r="S115" s="107"/>
      <c r="T115" s="107"/>
      <c r="U115" s="107"/>
      <c r="V115" s="107"/>
      <c r="W115" s="107"/>
      <c r="X115" s="107"/>
    </row>
    <row r="116" spans="1:24" x14ac:dyDescent="0.2">
      <c r="A116" s="107"/>
      <c r="B116" s="107"/>
      <c r="C116" s="107"/>
      <c r="D116" s="107"/>
      <c r="E116" s="107"/>
      <c r="F116" s="107"/>
      <c r="G116" s="107"/>
      <c r="H116" s="107"/>
      <c r="I116" s="107"/>
      <c r="J116" s="107"/>
      <c r="K116" s="107"/>
      <c r="L116" s="107"/>
      <c r="M116" s="107"/>
      <c r="N116" s="107"/>
      <c r="O116" s="107"/>
      <c r="P116" s="107"/>
      <c r="Q116" s="107"/>
      <c r="R116" s="107"/>
      <c r="S116" s="107"/>
      <c r="T116" s="107"/>
      <c r="U116" s="107"/>
      <c r="V116" s="107"/>
      <c r="W116" s="107"/>
      <c r="X116" s="107"/>
    </row>
    <row r="117" spans="1:24" x14ac:dyDescent="0.2">
      <c r="A117" s="526" t="s">
        <v>1342</v>
      </c>
      <c r="B117" s="107"/>
      <c r="C117" s="107"/>
      <c r="D117" s="107"/>
      <c r="E117" s="107"/>
      <c r="F117" s="107"/>
      <c r="G117" s="107"/>
      <c r="H117" s="107"/>
      <c r="I117" s="107"/>
      <c r="J117" s="107"/>
      <c r="K117" s="107"/>
      <c r="L117" s="107"/>
      <c r="M117" s="107"/>
      <c r="N117" s="107"/>
      <c r="O117" s="107"/>
      <c r="P117" s="107"/>
      <c r="Q117" s="107"/>
      <c r="R117" s="107"/>
      <c r="S117" s="107"/>
      <c r="T117" s="107"/>
      <c r="U117" s="107"/>
      <c r="V117" s="107"/>
      <c r="W117" s="107"/>
      <c r="X117" s="107"/>
    </row>
    <row r="118" spans="1:24" ht="19" x14ac:dyDescent="0.2">
      <c r="A118" s="544" t="s">
        <v>3269</v>
      </c>
      <c r="B118" s="545"/>
      <c r="C118" s="545"/>
      <c r="D118" s="545"/>
      <c r="E118" s="545"/>
      <c r="F118" s="545"/>
      <c r="G118" s="545"/>
      <c r="H118" s="545"/>
      <c r="I118" s="545"/>
      <c r="J118" s="545"/>
      <c r="K118" s="545"/>
      <c r="L118" s="545"/>
      <c r="M118" s="546"/>
      <c r="N118" s="107"/>
      <c r="O118" s="107"/>
      <c r="P118" s="107"/>
      <c r="Q118" s="107"/>
      <c r="R118" s="107"/>
      <c r="S118" s="107"/>
      <c r="T118" s="107"/>
      <c r="U118" s="107"/>
      <c r="V118" s="107"/>
      <c r="W118" s="107"/>
      <c r="X118" s="107"/>
    </row>
    <row r="119" spans="1:24" x14ac:dyDescent="0.2">
      <c r="A119" s="967" t="s">
        <v>1227</v>
      </c>
      <c r="B119" s="609" t="s">
        <v>3271</v>
      </c>
      <c r="C119" s="967"/>
      <c r="D119" s="967" t="s">
        <v>3272</v>
      </c>
      <c r="E119" s="967"/>
      <c r="F119" s="967" t="s">
        <v>3273</v>
      </c>
      <c r="G119" s="967"/>
      <c r="H119" s="967" t="s">
        <v>3274</v>
      </c>
      <c r="I119" s="967"/>
      <c r="J119" s="838" t="s">
        <v>3275</v>
      </c>
      <c r="K119" s="838"/>
      <c r="L119" s="838" t="s">
        <v>3276</v>
      </c>
      <c r="M119" s="838"/>
      <c r="N119" s="107"/>
      <c r="O119" s="107"/>
      <c r="P119" s="107"/>
      <c r="Q119" s="107"/>
      <c r="R119" s="107"/>
      <c r="S119" s="107"/>
      <c r="T119" s="107"/>
      <c r="U119" s="107"/>
      <c r="V119" s="107"/>
      <c r="W119" s="107"/>
      <c r="X119" s="107"/>
    </row>
    <row r="120" spans="1:24" x14ac:dyDescent="0.2">
      <c r="A120" s="967"/>
      <c r="B120" s="609" t="s">
        <v>3277</v>
      </c>
      <c r="C120" s="967"/>
      <c r="D120" s="967" t="s">
        <v>3278</v>
      </c>
      <c r="E120" s="967"/>
      <c r="F120" s="967" t="s">
        <v>3279</v>
      </c>
      <c r="G120" s="967"/>
      <c r="H120" s="967" t="s">
        <v>3280</v>
      </c>
      <c r="I120" s="967"/>
      <c r="J120" s="838"/>
      <c r="K120" s="838"/>
      <c r="L120" s="838"/>
      <c r="M120" s="838"/>
      <c r="N120" s="107"/>
      <c r="O120" s="107"/>
      <c r="P120" s="107"/>
      <c r="Q120" s="107"/>
      <c r="R120" s="107"/>
      <c r="S120" s="107"/>
      <c r="T120" s="107"/>
      <c r="U120" s="107"/>
      <c r="V120" s="107"/>
      <c r="W120" s="107"/>
      <c r="X120" s="107"/>
    </row>
    <row r="121" spans="1:24" x14ac:dyDescent="0.2">
      <c r="A121" s="967"/>
      <c r="B121" s="807" t="s">
        <v>3281</v>
      </c>
      <c r="C121" s="751" t="s">
        <v>3282</v>
      </c>
      <c r="D121" s="751" t="s">
        <v>3281</v>
      </c>
      <c r="E121" s="751" t="s">
        <v>3282</v>
      </c>
      <c r="F121" s="751" t="s">
        <v>3281</v>
      </c>
      <c r="G121" s="751" t="s">
        <v>3282</v>
      </c>
      <c r="H121" s="751" t="s">
        <v>3281</v>
      </c>
      <c r="I121" s="751" t="s">
        <v>3282</v>
      </c>
      <c r="J121" s="751" t="s">
        <v>3281</v>
      </c>
      <c r="K121" s="751" t="s">
        <v>3282</v>
      </c>
      <c r="L121" s="751" t="s">
        <v>3281</v>
      </c>
      <c r="M121" s="751" t="s">
        <v>3282</v>
      </c>
      <c r="N121" s="107"/>
      <c r="O121" s="107"/>
      <c r="P121" s="107"/>
      <c r="Q121" s="107"/>
      <c r="R121" s="107"/>
      <c r="S121" s="107"/>
      <c r="T121" s="107"/>
      <c r="U121" s="107"/>
      <c r="V121" s="107"/>
      <c r="W121" s="107"/>
      <c r="X121" s="107"/>
    </row>
    <row r="122" spans="1:24" x14ac:dyDescent="0.2">
      <c r="A122" s="971" t="s">
        <v>1514</v>
      </c>
      <c r="B122" s="349"/>
      <c r="C122" s="717"/>
      <c r="D122" s="349"/>
      <c r="E122" s="717"/>
      <c r="F122" s="349"/>
      <c r="G122" s="717"/>
      <c r="H122" s="349"/>
      <c r="I122" s="717"/>
      <c r="J122" s="349"/>
      <c r="K122" s="717"/>
      <c r="L122" s="349"/>
      <c r="M122" s="717"/>
      <c r="N122" s="107"/>
      <c r="O122" s="107"/>
      <c r="P122" s="107"/>
      <c r="Q122" s="107"/>
      <c r="R122" s="107"/>
      <c r="S122" s="107"/>
      <c r="T122" s="107"/>
      <c r="U122" s="107"/>
      <c r="V122" s="107"/>
      <c r="W122" s="107"/>
      <c r="X122" s="107"/>
    </row>
    <row r="123" spans="1:24" x14ac:dyDescent="0.2">
      <c r="A123" s="533" t="s">
        <v>1517</v>
      </c>
      <c r="B123" s="131">
        <v>166381</v>
      </c>
      <c r="C123" s="307"/>
      <c r="D123" s="131">
        <v>438207</v>
      </c>
      <c r="E123" s="307"/>
      <c r="F123" s="131">
        <v>222178</v>
      </c>
      <c r="G123" s="307"/>
      <c r="H123" s="131">
        <v>249334</v>
      </c>
      <c r="I123" s="307"/>
      <c r="J123" s="131">
        <v>800597</v>
      </c>
      <c r="K123" s="307">
        <v>500</v>
      </c>
      <c r="L123" s="131">
        <v>1876697</v>
      </c>
      <c r="M123" s="307">
        <v>500</v>
      </c>
      <c r="N123" s="321">
        <f>+J123+H123+F123+D123+B123</f>
        <v>1876697</v>
      </c>
      <c r="O123" s="321">
        <f>+K123+I123+G123+E123+C123</f>
        <v>500</v>
      </c>
      <c r="P123" s="107"/>
      <c r="Q123" s="107"/>
      <c r="R123" s="107"/>
      <c r="S123" s="107"/>
      <c r="T123" s="107"/>
      <c r="U123" s="107"/>
      <c r="V123" s="107"/>
      <c r="W123" s="107"/>
      <c r="X123" s="107"/>
    </row>
    <row r="124" spans="1:24" x14ac:dyDescent="0.2">
      <c r="A124" s="533" t="s">
        <v>3266</v>
      </c>
      <c r="B124" s="131">
        <v>96310</v>
      </c>
      <c r="C124" s="307"/>
      <c r="D124" s="131">
        <v>8527</v>
      </c>
      <c r="E124" s="307"/>
      <c r="F124" s="131">
        <v>1480</v>
      </c>
      <c r="G124" s="307"/>
      <c r="H124" s="131"/>
      <c r="I124" s="307"/>
      <c r="J124" s="131">
        <v>13089</v>
      </c>
      <c r="K124" s="307"/>
      <c r="L124" s="131">
        <v>119406</v>
      </c>
      <c r="M124" s="307"/>
      <c r="N124" s="321">
        <f t="shared" ref="N124:O133" si="5">+J124+H124+F124+D124+B124</f>
        <v>119406</v>
      </c>
      <c r="O124" s="321">
        <f t="shared" si="5"/>
        <v>0</v>
      </c>
      <c r="P124" s="107"/>
      <c r="Q124" s="107"/>
      <c r="R124" s="107"/>
      <c r="S124" s="107"/>
      <c r="T124" s="107"/>
      <c r="U124" s="107"/>
      <c r="V124" s="107"/>
      <c r="W124" s="107"/>
      <c r="X124" s="107"/>
    </row>
    <row r="125" spans="1:24" x14ac:dyDescent="0.2">
      <c r="A125" s="533" t="s">
        <v>1369</v>
      </c>
      <c r="B125" s="131">
        <v>774098</v>
      </c>
      <c r="C125" s="307">
        <v>519</v>
      </c>
      <c r="D125" s="131">
        <v>1179940</v>
      </c>
      <c r="E125" s="307">
        <v>150</v>
      </c>
      <c r="F125" s="131">
        <v>265239</v>
      </c>
      <c r="G125" s="307">
        <v>600</v>
      </c>
      <c r="H125" s="131">
        <v>193176</v>
      </c>
      <c r="I125" s="307">
        <v>961</v>
      </c>
      <c r="J125" s="131"/>
      <c r="K125" s="307"/>
      <c r="L125" s="131">
        <v>2412455</v>
      </c>
      <c r="M125" s="307">
        <v>230</v>
      </c>
      <c r="N125" s="321">
        <f t="shared" si="5"/>
        <v>2412453</v>
      </c>
      <c r="O125" s="321">
        <f t="shared" si="5"/>
        <v>2230</v>
      </c>
      <c r="P125" s="107"/>
      <c r="Q125" s="107"/>
      <c r="R125" s="107"/>
      <c r="S125" s="107"/>
      <c r="T125" s="107"/>
      <c r="U125" s="107"/>
      <c r="V125" s="107"/>
      <c r="W125" s="107"/>
      <c r="X125" s="107"/>
    </row>
    <row r="126" spans="1:24" x14ac:dyDescent="0.2">
      <c r="A126" s="533" t="s">
        <v>1519</v>
      </c>
      <c r="B126" s="131">
        <v>438728</v>
      </c>
      <c r="C126" s="307">
        <v>325</v>
      </c>
      <c r="D126" s="131">
        <v>576507</v>
      </c>
      <c r="E126" s="307"/>
      <c r="F126" s="131">
        <v>231409</v>
      </c>
      <c r="G126" s="307">
        <v>250</v>
      </c>
      <c r="H126" s="131">
        <v>140220</v>
      </c>
      <c r="I126" s="307"/>
      <c r="J126" s="131">
        <v>694234</v>
      </c>
      <c r="K126" s="307">
        <v>250</v>
      </c>
      <c r="L126" s="131">
        <v>2081098</v>
      </c>
      <c r="M126" s="307">
        <v>825</v>
      </c>
      <c r="N126" s="321">
        <f t="shared" si="5"/>
        <v>2081098</v>
      </c>
      <c r="O126" s="321">
        <f t="shared" si="5"/>
        <v>825</v>
      </c>
      <c r="P126" s="107"/>
      <c r="Q126" s="107"/>
      <c r="R126" s="107"/>
      <c r="S126" s="107"/>
      <c r="T126" s="107"/>
      <c r="U126" s="107"/>
      <c r="V126" s="107"/>
      <c r="W126" s="107"/>
      <c r="X126" s="107"/>
    </row>
    <row r="127" spans="1:24" x14ac:dyDescent="0.2">
      <c r="A127" s="533" t="s">
        <v>1526</v>
      </c>
      <c r="B127" s="131">
        <v>423627</v>
      </c>
      <c r="C127" s="307"/>
      <c r="D127" s="131">
        <v>166562</v>
      </c>
      <c r="E127" s="307"/>
      <c r="F127" s="131">
        <v>44347</v>
      </c>
      <c r="G127" s="307"/>
      <c r="H127" s="131">
        <v>30009</v>
      </c>
      <c r="I127" s="307"/>
      <c r="J127" s="131"/>
      <c r="K127" s="307"/>
      <c r="L127" s="131">
        <v>664545</v>
      </c>
      <c r="M127" s="307"/>
      <c r="N127" s="321">
        <f t="shared" si="5"/>
        <v>664545</v>
      </c>
      <c r="O127" s="321">
        <f t="shared" si="5"/>
        <v>0</v>
      </c>
      <c r="P127" s="107"/>
      <c r="Q127" s="107"/>
      <c r="R127" s="107"/>
      <c r="S127" s="107"/>
      <c r="T127" s="107"/>
      <c r="U127" s="107"/>
      <c r="V127" s="107"/>
      <c r="W127" s="107"/>
      <c r="X127" s="107"/>
    </row>
    <row r="128" spans="1:24" x14ac:dyDescent="0.2">
      <c r="A128" s="533" t="s">
        <v>3267</v>
      </c>
      <c r="B128" s="131">
        <v>3642</v>
      </c>
      <c r="C128" s="307"/>
      <c r="D128" s="131">
        <v>2130</v>
      </c>
      <c r="E128" s="307"/>
      <c r="F128" s="131">
        <v>535</v>
      </c>
      <c r="G128" s="307"/>
      <c r="H128" s="131"/>
      <c r="I128" s="307"/>
      <c r="J128" s="131"/>
      <c r="K128" s="307"/>
      <c r="L128" s="131">
        <v>6304</v>
      </c>
      <c r="M128" s="307"/>
      <c r="N128" s="477">
        <f t="shared" si="5"/>
        <v>6307</v>
      </c>
      <c r="O128" s="321">
        <f t="shared" si="5"/>
        <v>0</v>
      </c>
      <c r="P128" s="107"/>
      <c r="Q128" s="107"/>
      <c r="R128" s="107"/>
      <c r="S128" s="107"/>
      <c r="T128" s="107"/>
      <c r="U128" s="107"/>
      <c r="V128" s="107"/>
      <c r="W128" s="107"/>
      <c r="X128" s="107"/>
    </row>
    <row r="129" spans="1:24" x14ac:dyDescent="0.2">
      <c r="A129" s="534" t="s">
        <v>3264</v>
      </c>
      <c r="B129" s="131">
        <v>2395351</v>
      </c>
      <c r="C129" s="307">
        <v>750</v>
      </c>
      <c r="D129" s="131">
        <v>4085711</v>
      </c>
      <c r="E129" s="307"/>
      <c r="F129" s="131">
        <v>2051120</v>
      </c>
      <c r="G129" s="307">
        <v>250</v>
      </c>
      <c r="H129" s="131">
        <v>2061180</v>
      </c>
      <c r="I129" s="307"/>
      <c r="J129" s="131">
        <v>774920</v>
      </c>
      <c r="K129" s="307"/>
      <c r="L129" s="131">
        <v>11368283</v>
      </c>
      <c r="M129" s="307"/>
      <c r="N129" s="321">
        <f t="shared" si="5"/>
        <v>11368282</v>
      </c>
      <c r="O129" s="321">
        <f t="shared" si="5"/>
        <v>1000</v>
      </c>
      <c r="P129" s="107"/>
      <c r="Q129" s="107"/>
      <c r="R129" s="107"/>
      <c r="S129" s="107"/>
      <c r="T129" s="107"/>
      <c r="U129" s="107"/>
      <c r="V129" s="107"/>
      <c r="W129" s="107"/>
      <c r="X129" s="107"/>
    </row>
    <row r="130" spans="1:24" x14ac:dyDescent="0.2">
      <c r="A130" s="533" t="s">
        <v>1373</v>
      </c>
      <c r="B130" s="131">
        <v>1520145</v>
      </c>
      <c r="C130" s="307">
        <v>920</v>
      </c>
      <c r="D130" s="131">
        <v>1509725</v>
      </c>
      <c r="E130" s="307">
        <v>50</v>
      </c>
      <c r="F130" s="131">
        <v>826478</v>
      </c>
      <c r="G130" s="307"/>
      <c r="H130" s="131">
        <v>660803</v>
      </c>
      <c r="I130" s="307">
        <v>650</v>
      </c>
      <c r="J130" s="131">
        <v>278561</v>
      </c>
      <c r="K130" s="307"/>
      <c r="L130" s="131">
        <v>4795713</v>
      </c>
      <c r="M130" s="307">
        <v>620</v>
      </c>
      <c r="N130" s="321">
        <f t="shared" si="5"/>
        <v>4795712</v>
      </c>
      <c r="O130" s="321">
        <f t="shared" si="5"/>
        <v>1620</v>
      </c>
      <c r="P130" s="107"/>
      <c r="Q130" s="107"/>
      <c r="R130" s="107"/>
      <c r="S130" s="107"/>
      <c r="T130" s="107"/>
      <c r="U130" s="107"/>
      <c r="V130" s="107"/>
      <c r="W130" s="107"/>
      <c r="X130" s="107"/>
    </row>
    <row r="131" spans="1:24" x14ac:dyDescent="0.2">
      <c r="A131" s="533" t="s">
        <v>3265</v>
      </c>
      <c r="B131" s="131"/>
      <c r="C131" s="307"/>
      <c r="D131" s="131"/>
      <c r="E131" s="307"/>
      <c r="F131" s="131"/>
      <c r="G131" s="307"/>
      <c r="H131" s="131"/>
      <c r="I131" s="307"/>
      <c r="J131" s="131"/>
      <c r="K131" s="307"/>
      <c r="L131" s="131"/>
      <c r="M131" s="307"/>
      <c r="N131" s="321">
        <f t="shared" si="5"/>
        <v>0</v>
      </c>
      <c r="O131" s="321">
        <f t="shared" si="5"/>
        <v>0</v>
      </c>
      <c r="P131" s="107"/>
      <c r="Q131" s="107"/>
      <c r="R131" s="107"/>
      <c r="S131" s="107"/>
      <c r="T131" s="107"/>
      <c r="U131" s="107"/>
      <c r="V131" s="107"/>
      <c r="W131" s="107"/>
      <c r="X131" s="107"/>
    </row>
    <row r="132" spans="1:24" x14ac:dyDescent="0.2">
      <c r="A132" s="533" t="s">
        <v>1527</v>
      </c>
      <c r="B132" s="131">
        <v>201730</v>
      </c>
      <c r="C132" s="307"/>
      <c r="D132" s="131">
        <v>168696</v>
      </c>
      <c r="E132" s="307">
        <v>500</v>
      </c>
      <c r="F132" s="131">
        <v>51665</v>
      </c>
      <c r="G132" s="307"/>
      <c r="H132" s="131">
        <v>26816</v>
      </c>
      <c r="I132" s="307"/>
      <c r="J132" s="131">
        <v>228072</v>
      </c>
      <c r="K132" s="307">
        <v>500</v>
      </c>
      <c r="L132" s="131">
        <v>676980</v>
      </c>
      <c r="M132" s="307"/>
      <c r="N132" s="321">
        <f t="shared" si="5"/>
        <v>676979</v>
      </c>
      <c r="O132" s="321">
        <f t="shared" si="5"/>
        <v>1000</v>
      </c>
      <c r="P132" s="107"/>
      <c r="Q132" s="107"/>
      <c r="R132" s="107"/>
      <c r="S132" s="107"/>
      <c r="T132" s="107"/>
      <c r="U132" s="107"/>
      <c r="V132" s="107"/>
      <c r="W132" s="107"/>
      <c r="X132" s="107"/>
    </row>
    <row r="133" spans="1:24" x14ac:dyDescent="0.2">
      <c r="A133" s="533" t="s">
        <v>3300</v>
      </c>
      <c r="B133" s="131"/>
      <c r="C133" s="307"/>
      <c r="D133" s="131"/>
      <c r="E133" s="307"/>
      <c r="F133" s="131"/>
      <c r="G133" s="307"/>
      <c r="H133" s="131"/>
      <c r="I133" s="307"/>
      <c r="J133" s="131"/>
      <c r="K133" s="307"/>
      <c r="L133" s="131"/>
      <c r="M133" s="307"/>
      <c r="N133" s="321">
        <f t="shared" si="5"/>
        <v>0</v>
      </c>
      <c r="O133" s="321">
        <f t="shared" si="5"/>
        <v>0</v>
      </c>
      <c r="P133" s="107"/>
      <c r="Q133" s="107"/>
      <c r="R133" s="107"/>
      <c r="S133" s="107"/>
      <c r="T133" s="107"/>
      <c r="U133" s="107"/>
      <c r="V133" s="107"/>
      <c r="W133" s="107"/>
      <c r="X133" s="107"/>
    </row>
    <row r="134" spans="1:24" x14ac:dyDescent="0.2">
      <c r="A134" s="823" t="s">
        <v>3283</v>
      </c>
      <c r="B134" s="240">
        <v>6020014</v>
      </c>
      <c r="C134" s="513">
        <v>514</v>
      </c>
      <c r="D134" s="240">
        <v>8136005</v>
      </c>
      <c r="E134" s="513">
        <v>700</v>
      </c>
      <c r="F134" s="240">
        <v>3694452</v>
      </c>
      <c r="G134" s="513">
        <v>100</v>
      </c>
      <c r="H134" s="240">
        <v>3361539</v>
      </c>
      <c r="I134" s="513">
        <v>611</v>
      </c>
      <c r="J134" s="240">
        <v>2789474</v>
      </c>
      <c r="K134" s="513">
        <v>250</v>
      </c>
      <c r="L134" s="240">
        <v>24001483</v>
      </c>
      <c r="M134" s="513">
        <v>175</v>
      </c>
      <c r="N134" s="107"/>
      <c r="O134" s="107"/>
      <c r="P134" s="107"/>
      <c r="Q134" s="107"/>
      <c r="R134" s="107"/>
      <c r="S134" s="107"/>
      <c r="T134" s="107"/>
      <c r="U134" s="107"/>
      <c r="V134" s="107"/>
      <c r="W134" s="107"/>
      <c r="X134" s="107"/>
    </row>
    <row r="135" spans="1:24" x14ac:dyDescent="0.2">
      <c r="A135" s="107"/>
      <c r="B135" s="321">
        <f>+SUM(B122:B133)</f>
        <v>6020012</v>
      </c>
      <c r="C135" s="321">
        <f t="shared" ref="C135:M135" si="6">+SUM(C122:C133)</f>
        <v>2514</v>
      </c>
      <c r="D135" s="321">
        <f t="shared" si="6"/>
        <v>8136005</v>
      </c>
      <c r="E135" s="321">
        <f t="shared" si="6"/>
        <v>700</v>
      </c>
      <c r="F135" s="321">
        <f t="shared" si="6"/>
        <v>3694451</v>
      </c>
      <c r="G135" s="321">
        <f t="shared" si="6"/>
        <v>1100</v>
      </c>
      <c r="H135" s="321">
        <f t="shared" si="6"/>
        <v>3361538</v>
      </c>
      <c r="I135" s="321">
        <f t="shared" si="6"/>
        <v>1611</v>
      </c>
      <c r="J135" s="321">
        <f t="shared" si="6"/>
        <v>2789473</v>
      </c>
      <c r="K135" s="321">
        <f t="shared" si="6"/>
        <v>1250</v>
      </c>
      <c r="L135" s="321">
        <f t="shared" si="6"/>
        <v>24001481</v>
      </c>
      <c r="M135" s="321">
        <f t="shared" si="6"/>
        <v>2175</v>
      </c>
      <c r="N135" s="107"/>
      <c r="O135" s="107"/>
      <c r="P135" s="107"/>
      <c r="Q135" s="107"/>
      <c r="R135" s="107"/>
      <c r="S135" s="107"/>
      <c r="T135" s="107"/>
      <c r="U135" s="107"/>
      <c r="V135" s="107"/>
      <c r="W135" s="107"/>
      <c r="X135" s="107"/>
    </row>
    <row r="136" spans="1:24" x14ac:dyDescent="0.2">
      <c r="A136" s="107"/>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row>
    <row r="137" spans="1:24" x14ac:dyDescent="0.2">
      <c r="A137" s="107"/>
      <c r="C137" s="107"/>
      <c r="D137" s="107"/>
      <c r="E137" s="107"/>
      <c r="F137" s="107"/>
      <c r="G137" s="107"/>
      <c r="H137" s="107"/>
      <c r="I137" s="107"/>
      <c r="J137" s="107"/>
      <c r="K137" s="107"/>
      <c r="M137" s="107"/>
      <c r="N137" s="107"/>
      <c r="O137" s="107"/>
      <c r="P137" s="107"/>
      <c r="Q137" s="107"/>
      <c r="R137" s="107"/>
      <c r="S137" s="107"/>
      <c r="T137" s="107"/>
      <c r="U137" s="107"/>
      <c r="V137" s="107"/>
      <c r="W137" s="107"/>
      <c r="X137" s="107"/>
    </row>
    <row r="138" spans="1:24" x14ac:dyDescent="0.2">
      <c r="A138" s="526" t="s">
        <v>1358</v>
      </c>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row>
    <row r="139" spans="1:24" ht="26.5" customHeight="1" x14ac:dyDescent="0.2">
      <c r="A139" s="875" t="s">
        <v>3324</v>
      </c>
      <c r="B139" s="876"/>
      <c r="C139" s="876"/>
      <c r="D139" s="876"/>
      <c r="E139" s="876"/>
      <c r="F139" s="876"/>
      <c r="G139" s="876"/>
      <c r="H139" s="876"/>
      <c r="I139" s="876"/>
      <c r="J139" s="876"/>
      <c r="K139" s="876"/>
      <c r="L139" s="876"/>
      <c r="M139" s="876"/>
      <c r="N139" s="876"/>
      <c r="O139" s="876"/>
      <c r="P139" s="876"/>
      <c r="Q139" s="876"/>
      <c r="R139" s="876"/>
      <c r="S139" s="876"/>
      <c r="T139" s="876"/>
      <c r="U139" s="876"/>
      <c r="V139" s="876"/>
      <c r="W139" s="876"/>
      <c r="X139" s="877"/>
    </row>
    <row r="140" spans="1:24" ht="31.25" customHeight="1" x14ac:dyDescent="0.2">
      <c r="A140" s="967" t="s">
        <v>1227</v>
      </c>
      <c r="B140" s="608" t="s">
        <v>3271</v>
      </c>
      <c r="C140" s="778"/>
      <c r="D140" s="609"/>
      <c r="E140" s="608" t="s">
        <v>3272</v>
      </c>
      <c r="F140" s="778"/>
      <c r="G140" s="778"/>
      <c r="H140" s="609"/>
      <c r="I140" s="608" t="s">
        <v>3273</v>
      </c>
      <c r="J140" s="778"/>
      <c r="K140" s="778"/>
      <c r="L140" s="609"/>
      <c r="M140" s="608" t="s">
        <v>3274</v>
      </c>
      <c r="N140" s="778"/>
      <c r="O140" s="778"/>
      <c r="P140" s="609"/>
      <c r="Q140" s="608" t="s">
        <v>3275</v>
      </c>
      <c r="R140" s="778"/>
      <c r="S140" s="778"/>
      <c r="T140" s="609"/>
      <c r="U140" s="602" t="s">
        <v>3325</v>
      </c>
      <c r="V140" s="631"/>
      <c r="W140" s="631"/>
      <c r="X140" s="603"/>
    </row>
    <row r="141" spans="1:24" ht="32" customHeight="1" x14ac:dyDescent="0.2">
      <c r="A141" s="967"/>
      <c r="B141" s="608" t="s">
        <v>3326</v>
      </c>
      <c r="C141" s="778"/>
      <c r="D141" s="609"/>
      <c r="E141" s="608" t="s">
        <v>3326</v>
      </c>
      <c r="F141" s="778"/>
      <c r="G141" s="778"/>
      <c r="H141" s="609"/>
      <c r="I141" s="608" t="s">
        <v>3326</v>
      </c>
      <c r="J141" s="778"/>
      <c r="K141" s="778"/>
      <c r="L141" s="609"/>
      <c r="M141" s="608" t="s">
        <v>3326</v>
      </c>
      <c r="N141" s="778"/>
      <c r="O141" s="778"/>
      <c r="P141" s="609"/>
      <c r="Q141" s="608" t="s">
        <v>3326</v>
      </c>
      <c r="R141" s="778"/>
      <c r="S141" s="778"/>
      <c r="T141" s="609"/>
      <c r="U141" s="606"/>
      <c r="V141" s="644"/>
      <c r="W141" s="644"/>
      <c r="X141" s="607"/>
    </row>
    <row r="142" spans="1:24" ht="26" customHeight="1" x14ac:dyDescent="0.2">
      <c r="A142" s="967"/>
      <c r="B142" s="978" t="s">
        <v>2387</v>
      </c>
      <c r="C142" s="980"/>
      <c r="D142" s="950" t="s">
        <v>2388</v>
      </c>
      <c r="E142" s="978" t="s">
        <v>2387</v>
      </c>
      <c r="F142" s="980"/>
      <c r="G142" s="978" t="s">
        <v>2388</v>
      </c>
      <c r="H142" s="980"/>
      <c r="I142" s="978" t="s">
        <v>2387</v>
      </c>
      <c r="J142" s="980"/>
      <c r="K142" s="978" t="s">
        <v>2388</v>
      </c>
      <c r="L142" s="980"/>
      <c r="M142" s="978" t="s">
        <v>2387</v>
      </c>
      <c r="N142" s="980"/>
      <c r="O142" s="978" t="s">
        <v>2388</v>
      </c>
      <c r="P142" s="980"/>
      <c r="Q142" s="978" t="s">
        <v>2387</v>
      </c>
      <c r="R142" s="980"/>
      <c r="S142" s="978" t="s">
        <v>2388</v>
      </c>
      <c r="T142" s="980"/>
      <c r="U142" s="978" t="s">
        <v>2387</v>
      </c>
      <c r="V142" s="980"/>
      <c r="W142" s="978" t="s">
        <v>2388</v>
      </c>
      <c r="X142" s="980"/>
    </row>
    <row r="143" spans="1:24" x14ac:dyDescent="0.2">
      <c r="A143" s="967"/>
      <c r="B143" s="807" t="s">
        <v>3327</v>
      </c>
      <c r="C143" s="751" t="s">
        <v>3282</v>
      </c>
      <c r="D143" s="751" t="s">
        <v>3327</v>
      </c>
      <c r="E143" s="807" t="s">
        <v>3327</v>
      </c>
      <c r="F143" s="751" t="s">
        <v>3282</v>
      </c>
      <c r="G143" s="807" t="s">
        <v>3327</v>
      </c>
      <c r="H143" s="751" t="s">
        <v>3282</v>
      </c>
      <c r="I143" s="807" t="s">
        <v>3327</v>
      </c>
      <c r="J143" s="751" t="s">
        <v>3282</v>
      </c>
      <c r="K143" s="807" t="s">
        <v>3327</v>
      </c>
      <c r="L143" s="751" t="s">
        <v>3282</v>
      </c>
      <c r="M143" s="807" t="s">
        <v>3327</v>
      </c>
      <c r="N143" s="751" t="s">
        <v>3282</v>
      </c>
      <c r="O143" s="807" t="s">
        <v>3327</v>
      </c>
      <c r="P143" s="751" t="s">
        <v>3282</v>
      </c>
      <c r="Q143" s="807" t="s">
        <v>3327</v>
      </c>
      <c r="R143" s="751" t="s">
        <v>3282</v>
      </c>
      <c r="S143" s="807" t="s">
        <v>3327</v>
      </c>
      <c r="T143" s="751" t="s">
        <v>3282</v>
      </c>
      <c r="U143" s="807" t="s">
        <v>3327</v>
      </c>
      <c r="V143" s="751" t="s">
        <v>3282</v>
      </c>
      <c r="W143" s="807" t="s">
        <v>3327</v>
      </c>
      <c r="X143" s="751" t="s">
        <v>3282</v>
      </c>
    </row>
    <row r="144" spans="1:24" x14ac:dyDescent="0.2">
      <c r="A144" s="971" t="s">
        <v>1514</v>
      </c>
      <c r="B144" s="349"/>
      <c r="C144" s="717"/>
      <c r="D144" s="350"/>
      <c r="E144" s="349"/>
      <c r="F144" s="717"/>
      <c r="G144" s="350"/>
      <c r="H144" s="350"/>
      <c r="I144" s="349"/>
      <c r="J144" s="717"/>
      <c r="K144" s="350"/>
      <c r="L144" s="350"/>
      <c r="M144" s="349"/>
      <c r="N144" s="717"/>
      <c r="O144" s="350"/>
      <c r="P144" s="350"/>
      <c r="Q144" s="349"/>
      <c r="R144" s="717"/>
      <c r="S144" s="350"/>
      <c r="T144" s="350"/>
      <c r="U144" s="349"/>
      <c r="V144" s="717"/>
      <c r="W144" s="349"/>
      <c r="X144" s="717"/>
    </row>
    <row r="145" spans="1:24" x14ac:dyDescent="0.2">
      <c r="A145" s="533" t="s">
        <v>1517</v>
      </c>
      <c r="B145" s="131"/>
      <c r="C145" s="307"/>
      <c r="D145" s="145">
        <v>14401</v>
      </c>
      <c r="E145" s="131">
        <v>126552</v>
      </c>
      <c r="F145" s="307">
        <v>500</v>
      </c>
      <c r="G145" s="145"/>
      <c r="H145" s="145"/>
      <c r="I145" s="131"/>
      <c r="J145" s="307"/>
      <c r="K145" s="145">
        <v>13088</v>
      </c>
      <c r="L145" s="145"/>
      <c r="M145" s="131">
        <v>38683</v>
      </c>
      <c r="N145" s="307"/>
      <c r="O145" s="145"/>
      <c r="P145" s="145"/>
      <c r="Q145" s="131"/>
      <c r="R145" s="307"/>
      <c r="S145" s="145">
        <v>103644</v>
      </c>
      <c r="T145" s="145">
        <v>500</v>
      </c>
      <c r="U145" s="131">
        <v>34102</v>
      </c>
      <c r="V145" s="307"/>
      <c r="W145" s="131"/>
      <c r="X145" s="307"/>
    </row>
    <row r="146" spans="1:24" x14ac:dyDescent="0.2">
      <c r="A146" s="533" t="s">
        <v>3266</v>
      </c>
      <c r="B146" s="131">
        <v>49811</v>
      </c>
      <c r="C146" s="307">
        <v>500</v>
      </c>
      <c r="D146" s="145"/>
      <c r="E146" s="131">
        <v>4345</v>
      </c>
      <c r="F146" s="307"/>
      <c r="G146" s="145"/>
      <c r="H146" s="145"/>
      <c r="I146" s="131">
        <v>828</v>
      </c>
      <c r="J146" s="307"/>
      <c r="K146" s="145"/>
      <c r="L146" s="145"/>
      <c r="M146" s="131"/>
      <c r="N146" s="307"/>
      <c r="O146" s="145">
        <v>10</v>
      </c>
      <c r="P146" s="145"/>
      <c r="Q146" s="131">
        <v>2879</v>
      </c>
      <c r="R146" s="307"/>
      <c r="S146" s="145"/>
      <c r="T146" s="145"/>
      <c r="U146" s="131">
        <v>57853</v>
      </c>
      <c r="V146" s="307">
        <v>500</v>
      </c>
      <c r="W146" s="131"/>
      <c r="X146" s="307"/>
    </row>
    <row r="147" spans="1:24" x14ac:dyDescent="0.2">
      <c r="A147" s="533" t="s">
        <v>1369</v>
      </c>
      <c r="B147" s="131">
        <v>260138</v>
      </c>
      <c r="C147" s="307">
        <v>769</v>
      </c>
      <c r="D147" s="145"/>
      <c r="E147" s="131">
        <v>282946</v>
      </c>
      <c r="F147" s="307">
        <v>600</v>
      </c>
      <c r="G147" s="145"/>
      <c r="H147" s="145"/>
      <c r="I147" s="131">
        <v>156466</v>
      </c>
      <c r="J147" s="307">
        <v>600</v>
      </c>
      <c r="K147" s="145"/>
      <c r="L147" s="145"/>
      <c r="M147" s="131">
        <v>110539</v>
      </c>
      <c r="N147" s="307">
        <v>338</v>
      </c>
      <c r="O147" s="145"/>
      <c r="P147" s="145"/>
      <c r="Q147" s="131"/>
      <c r="R147" s="307"/>
      <c r="S147" s="145">
        <v>521986</v>
      </c>
      <c r="T147" s="145"/>
      <c r="U147" s="131">
        <v>288105</v>
      </c>
      <c r="V147" s="307">
        <v>307</v>
      </c>
      <c r="W147" s="131"/>
      <c r="X147" s="307"/>
    </row>
    <row r="148" spans="1:24" x14ac:dyDescent="0.2">
      <c r="A148" s="533" t="s">
        <v>1519</v>
      </c>
      <c r="B148" s="131">
        <v>71731</v>
      </c>
      <c r="C148" s="307">
        <v>75</v>
      </c>
      <c r="D148" s="145"/>
      <c r="E148" s="131">
        <v>177516</v>
      </c>
      <c r="F148" s="307"/>
      <c r="G148" s="145"/>
      <c r="H148" s="145"/>
      <c r="I148" s="131">
        <v>83201</v>
      </c>
      <c r="J148" s="307">
        <v>100</v>
      </c>
      <c r="K148" s="145"/>
      <c r="L148" s="145"/>
      <c r="M148" s="131">
        <v>39846</v>
      </c>
      <c r="N148" s="307">
        <v>700</v>
      </c>
      <c r="O148" s="145"/>
      <c r="P148" s="145"/>
      <c r="Q148" s="131"/>
      <c r="R148" s="307"/>
      <c r="S148" s="145">
        <v>49369</v>
      </c>
      <c r="T148" s="145">
        <v>750</v>
      </c>
      <c r="U148" s="131">
        <v>322925</v>
      </c>
      <c r="V148" s="307">
        <v>125</v>
      </c>
      <c r="W148" s="131"/>
      <c r="X148" s="307"/>
    </row>
    <row r="149" spans="1:24" x14ac:dyDescent="0.2">
      <c r="A149" s="533" t="s">
        <v>1526</v>
      </c>
      <c r="B149" s="131">
        <v>4742</v>
      </c>
      <c r="C149" s="307"/>
      <c r="D149" s="145"/>
      <c r="E149" s="131">
        <v>78746</v>
      </c>
      <c r="F149" s="307"/>
      <c r="G149" s="145"/>
      <c r="H149" s="145"/>
      <c r="I149" s="131"/>
      <c r="J149" s="307"/>
      <c r="K149" s="145">
        <v>510</v>
      </c>
      <c r="L149" s="145"/>
      <c r="M149" s="131">
        <v>13863</v>
      </c>
      <c r="N149" s="307"/>
      <c r="O149" s="145"/>
      <c r="P149" s="145"/>
      <c r="Q149" s="131"/>
      <c r="R149" s="307"/>
      <c r="S149" s="145">
        <v>49454</v>
      </c>
      <c r="T149" s="145"/>
      <c r="U149" s="131">
        <v>47387</v>
      </c>
      <c r="V149" s="307"/>
      <c r="W149" s="131"/>
      <c r="X149" s="307"/>
    </row>
    <row r="150" spans="1:24" x14ac:dyDescent="0.2">
      <c r="A150" s="533" t="s">
        <v>3267</v>
      </c>
      <c r="B150" s="131"/>
      <c r="C150" s="307"/>
      <c r="D150" s="145"/>
      <c r="E150" s="131"/>
      <c r="F150" s="307"/>
      <c r="G150" s="145"/>
      <c r="H150" s="145"/>
      <c r="I150" s="131"/>
      <c r="J150" s="307"/>
      <c r="K150" s="145"/>
      <c r="L150" s="145"/>
      <c r="M150" s="131"/>
      <c r="N150" s="307"/>
      <c r="O150" s="145"/>
      <c r="P150" s="145"/>
      <c r="Q150" s="131"/>
      <c r="R150" s="307"/>
      <c r="S150" s="145"/>
      <c r="T150" s="145"/>
      <c r="U150" s="131"/>
      <c r="V150" s="307"/>
      <c r="W150" s="131"/>
      <c r="X150" s="307"/>
    </row>
    <row r="151" spans="1:24" x14ac:dyDescent="0.2">
      <c r="A151" s="534" t="s">
        <v>3264</v>
      </c>
      <c r="B151" s="131">
        <v>846871</v>
      </c>
      <c r="C151" s="307">
        <v>750</v>
      </c>
      <c r="D151" s="145"/>
      <c r="E151" s="131">
        <v>1724938</v>
      </c>
      <c r="F151" s="307"/>
      <c r="G151" s="145"/>
      <c r="H151" s="145"/>
      <c r="I151" s="131">
        <v>1193091</v>
      </c>
      <c r="J151" s="307">
        <v>250</v>
      </c>
      <c r="K151" s="145"/>
      <c r="L151" s="145"/>
      <c r="M151" s="131">
        <v>1264814</v>
      </c>
      <c r="N151" s="307"/>
      <c r="O151" s="145"/>
      <c r="P151" s="145"/>
      <c r="Q151" s="131">
        <v>223108</v>
      </c>
      <c r="R151" s="307"/>
      <c r="S151" s="145"/>
      <c r="T151" s="145"/>
      <c r="U151" s="131">
        <v>5252823</v>
      </c>
      <c r="V151" s="307"/>
      <c r="W151" s="131"/>
      <c r="X151" s="307"/>
    </row>
    <row r="152" spans="1:24" x14ac:dyDescent="0.2">
      <c r="A152" s="533" t="s">
        <v>1373</v>
      </c>
      <c r="B152" s="131">
        <v>669791</v>
      </c>
      <c r="C152" s="307">
        <v>304</v>
      </c>
      <c r="D152" s="145"/>
      <c r="E152" s="131"/>
      <c r="F152" s="307"/>
      <c r="G152" s="145">
        <v>326389</v>
      </c>
      <c r="H152" s="145">
        <v>509</v>
      </c>
      <c r="I152" s="131"/>
      <c r="J152" s="307"/>
      <c r="K152" s="145">
        <v>276017</v>
      </c>
      <c r="L152" s="145">
        <v>5</v>
      </c>
      <c r="M152" s="131"/>
      <c r="N152" s="307"/>
      <c r="O152" s="145">
        <v>641366</v>
      </c>
      <c r="P152" s="145">
        <v>890</v>
      </c>
      <c r="Q152" s="131"/>
      <c r="R152" s="307"/>
      <c r="S152" s="145">
        <v>135036</v>
      </c>
      <c r="T152" s="145"/>
      <c r="U152" s="131"/>
      <c r="V152" s="307"/>
      <c r="W152" s="131">
        <v>709018</v>
      </c>
      <c r="X152" s="307">
        <v>147</v>
      </c>
    </row>
    <row r="153" spans="1:24" x14ac:dyDescent="0.2">
      <c r="A153" s="533" t="s">
        <v>3265</v>
      </c>
      <c r="B153" s="131"/>
      <c r="C153" s="307"/>
      <c r="D153" s="145"/>
      <c r="E153" s="131"/>
      <c r="F153" s="307"/>
      <c r="G153" s="145"/>
      <c r="H153" s="145"/>
      <c r="I153" s="131"/>
      <c r="J153" s="307"/>
      <c r="K153" s="145"/>
      <c r="L153" s="145"/>
      <c r="M153" s="131"/>
      <c r="N153" s="307"/>
      <c r="O153" s="145"/>
      <c r="P153" s="145"/>
      <c r="Q153" s="131"/>
      <c r="R153" s="307"/>
      <c r="S153" s="145"/>
      <c r="T153" s="145"/>
      <c r="U153" s="131"/>
      <c r="V153" s="307"/>
      <c r="W153" s="131"/>
      <c r="X153" s="307"/>
    </row>
    <row r="154" spans="1:24" x14ac:dyDescent="0.2">
      <c r="A154" s="533" t="s">
        <v>1527</v>
      </c>
      <c r="B154" s="131">
        <v>185374</v>
      </c>
      <c r="C154" s="307"/>
      <c r="D154" s="145"/>
      <c r="E154" s="131">
        <v>97081</v>
      </c>
      <c r="F154" s="307">
        <v>500</v>
      </c>
      <c r="G154" s="145"/>
      <c r="H154" s="145"/>
      <c r="I154" s="131">
        <v>9293</v>
      </c>
      <c r="J154" s="307">
        <v>500</v>
      </c>
      <c r="K154" s="145"/>
      <c r="L154" s="145"/>
      <c r="M154" s="131">
        <v>6525</v>
      </c>
      <c r="N154" s="307">
        <v>500</v>
      </c>
      <c r="O154" s="145"/>
      <c r="P154" s="145"/>
      <c r="Q154" s="131"/>
      <c r="R154" s="307"/>
      <c r="S154" s="145">
        <v>278482</v>
      </c>
      <c r="T154" s="145">
        <v>500</v>
      </c>
      <c r="U154" s="131">
        <v>19792</v>
      </c>
      <c r="V154" s="307"/>
      <c r="W154" s="131"/>
      <c r="X154" s="307"/>
    </row>
    <row r="155" spans="1:24" x14ac:dyDescent="0.2">
      <c r="A155" s="533" t="s">
        <v>3300</v>
      </c>
      <c r="B155" s="131"/>
      <c r="C155" s="307"/>
      <c r="D155" s="145"/>
      <c r="E155" s="131"/>
      <c r="F155" s="307"/>
      <c r="G155" s="145"/>
      <c r="H155" s="145"/>
      <c r="I155" s="131"/>
      <c r="J155" s="307"/>
      <c r="K155" s="145"/>
      <c r="L155" s="145"/>
      <c r="M155" s="131"/>
      <c r="N155" s="307"/>
      <c r="O155" s="145"/>
      <c r="P155" s="145"/>
      <c r="Q155" s="131"/>
      <c r="R155" s="307"/>
      <c r="S155" s="145"/>
      <c r="T155" s="145"/>
      <c r="U155" s="131"/>
      <c r="V155" s="307"/>
      <c r="W155" s="131"/>
      <c r="X155" s="307"/>
    </row>
    <row r="156" spans="1:24" ht="16" thickBot="1" x14ac:dyDescent="0.25">
      <c r="A156" s="823" t="s">
        <v>3283</v>
      </c>
      <c r="B156" s="372">
        <v>2088460</v>
      </c>
      <c r="C156" s="363">
        <v>598</v>
      </c>
      <c r="D156" s="362">
        <v>14401</v>
      </c>
      <c r="E156" s="372">
        <v>2492125</v>
      </c>
      <c r="F156" s="363">
        <v>600</v>
      </c>
      <c r="G156" s="362">
        <v>326389</v>
      </c>
      <c r="H156" s="362">
        <v>509</v>
      </c>
      <c r="I156" s="372">
        <v>1442880</v>
      </c>
      <c r="J156" s="363">
        <v>450</v>
      </c>
      <c r="K156" s="362">
        <v>289615</v>
      </c>
      <c r="L156" s="362">
        <v>5</v>
      </c>
      <c r="M156" s="372">
        <v>1474271</v>
      </c>
      <c r="N156" s="363">
        <v>538</v>
      </c>
      <c r="O156" s="362">
        <v>641376</v>
      </c>
      <c r="P156" s="362">
        <v>890</v>
      </c>
      <c r="Q156" s="372">
        <v>225987</v>
      </c>
      <c r="R156" s="363"/>
      <c r="S156" s="362">
        <v>1137972</v>
      </c>
      <c r="T156" s="362">
        <v>750</v>
      </c>
      <c r="U156" s="372">
        <v>6022987</v>
      </c>
      <c r="V156" s="363">
        <v>932</v>
      </c>
      <c r="W156" s="372">
        <v>709018</v>
      </c>
      <c r="X156" s="363">
        <v>147</v>
      </c>
    </row>
    <row r="157" spans="1:24" ht="16" thickTop="1" x14ac:dyDescent="0.2">
      <c r="A157" s="801"/>
      <c r="B157" s="138">
        <f>+SUM(B144:B155)</f>
        <v>2088458</v>
      </c>
      <c r="C157" s="413">
        <f>+SUM(C144:C155)</f>
        <v>2398</v>
      </c>
      <c r="D157" s="138">
        <f>+SUM(D144:D155)</f>
        <v>14401</v>
      </c>
      <c r="E157" s="138">
        <f t="shared" ref="E157:X157" si="7">+SUM(E144:E155)</f>
        <v>2492124</v>
      </c>
      <c r="F157" s="138">
        <f t="shared" si="7"/>
        <v>1600</v>
      </c>
      <c r="G157" s="138">
        <f t="shared" si="7"/>
        <v>326389</v>
      </c>
      <c r="H157" s="138">
        <f t="shared" si="7"/>
        <v>509</v>
      </c>
      <c r="I157" s="138">
        <f t="shared" si="7"/>
        <v>1442879</v>
      </c>
      <c r="J157" s="138">
        <f t="shared" si="7"/>
        <v>1450</v>
      </c>
      <c r="K157" s="138">
        <f t="shared" si="7"/>
        <v>289615</v>
      </c>
      <c r="L157" s="138">
        <f t="shared" si="7"/>
        <v>5</v>
      </c>
      <c r="M157" s="138">
        <f t="shared" si="7"/>
        <v>1474270</v>
      </c>
      <c r="N157" s="138">
        <f t="shared" si="7"/>
        <v>1538</v>
      </c>
      <c r="O157" s="138">
        <f t="shared" si="7"/>
        <v>641376</v>
      </c>
      <c r="P157" s="138">
        <f t="shared" si="7"/>
        <v>890</v>
      </c>
      <c r="Q157" s="138">
        <f t="shared" si="7"/>
        <v>225987</v>
      </c>
      <c r="R157" s="138">
        <f t="shared" si="7"/>
        <v>0</v>
      </c>
      <c r="S157" s="138">
        <f t="shared" si="7"/>
        <v>1137971</v>
      </c>
      <c r="T157" s="138">
        <f t="shared" si="7"/>
        <v>1750</v>
      </c>
      <c r="U157" s="138">
        <f t="shared" si="7"/>
        <v>6022987</v>
      </c>
      <c r="V157" s="138">
        <f t="shared" si="7"/>
        <v>932</v>
      </c>
      <c r="W157" s="138">
        <f t="shared" si="7"/>
        <v>709018</v>
      </c>
      <c r="X157" s="138">
        <f t="shared" si="7"/>
        <v>147</v>
      </c>
    </row>
    <row r="158" spans="1:24" x14ac:dyDescent="0.2">
      <c r="A158" s="230"/>
      <c r="B158" s="885">
        <v>2074059</v>
      </c>
      <c r="C158" s="994">
        <v>598</v>
      </c>
      <c r="D158" s="995"/>
      <c r="E158" s="982">
        <v>2165736</v>
      </c>
      <c r="F158" s="983"/>
      <c r="G158" s="994">
        <v>91</v>
      </c>
      <c r="H158" s="995"/>
      <c r="I158" s="616">
        <v>1153265</v>
      </c>
      <c r="J158" s="617"/>
      <c r="K158" s="994">
        <v>398</v>
      </c>
      <c r="L158" s="995"/>
      <c r="M158" s="616">
        <v>832894</v>
      </c>
      <c r="N158" s="617"/>
      <c r="O158" s="994">
        <v>648</v>
      </c>
      <c r="P158" s="995"/>
      <c r="Q158" s="616">
        <v>911985</v>
      </c>
      <c r="R158" s="617"/>
      <c r="S158" s="994">
        <v>750</v>
      </c>
      <c r="T158" s="995"/>
      <c r="U158" s="616">
        <v>5313969</v>
      </c>
      <c r="V158" s="617"/>
      <c r="W158" s="994">
        <v>785</v>
      </c>
      <c r="X158" s="995"/>
    </row>
    <row r="159" spans="1:24" x14ac:dyDescent="0.2">
      <c r="A159" s="107"/>
      <c r="B159" s="107">
        <f>B135+B157-D157</f>
        <v>8094069</v>
      </c>
      <c r="C159" s="107"/>
      <c r="D159" s="107"/>
      <c r="E159" s="107"/>
      <c r="F159" s="107"/>
      <c r="G159" s="107"/>
      <c r="H159" s="107"/>
      <c r="I159" s="107"/>
      <c r="J159" s="107"/>
      <c r="K159" s="107"/>
      <c r="L159" s="107"/>
      <c r="M159" s="107"/>
      <c r="N159" s="107"/>
      <c r="O159" s="107"/>
      <c r="P159" s="107"/>
      <c r="Q159" s="107"/>
      <c r="R159" s="107"/>
      <c r="S159" s="107"/>
      <c r="T159" s="107"/>
      <c r="U159" s="107"/>
      <c r="V159" s="107"/>
      <c r="W159" s="107"/>
      <c r="X159" s="107"/>
    </row>
    <row r="160" spans="1:24" x14ac:dyDescent="0.2">
      <c r="A160" s="107"/>
      <c r="B160" s="107"/>
      <c r="C160" s="107"/>
      <c r="D160" s="107"/>
      <c r="E160" s="107"/>
      <c r="F160" s="107"/>
      <c r="G160" s="107"/>
      <c r="H160" s="107"/>
      <c r="I160" s="107"/>
      <c r="J160" s="107"/>
      <c r="K160" s="107"/>
      <c r="L160" s="107"/>
      <c r="M160" s="107"/>
      <c r="N160" s="107"/>
      <c r="O160" s="107"/>
      <c r="P160" s="107"/>
      <c r="Q160" s="107"/>
      <c r="R160" s="107"/>
      <c r="S160" s="107"/>
      <c r="T160" s="107"/>
      <c r="U160" s="107"/>
      <c r="V160" s="107"/>
      <c r="W160" s="107"/>
      <c r="X160" s="107"/>
    </row>
    <row r="161" spans="1:24" x14ac:dyDescent="0.2">
      <c r="A161" s="107"/>
      <c r="B161" s="107"/>
      <c r="C161" s="107"/>
      <c r="D161" s="107"/>
      <c r="E161" s="107"/>
      <c r="F161" s="107"/>
      <c r="G161" s="107"/>
      <c r="H161" s="107"/>
      <c r="I161" s="107"/>
      <c r="J161" s="107"/>
      <c r="K161" s="107"/>
      <c r="L161" s="107"/>
      <c r="M161" s="107"/>
      <c r="N161" s="107"/>
      <c r="O161" s="107"/>
      <c r="P161" s="107"/>
      <c r="Q161" s="107"/>
      <c r="R161" s="107"/>
      <c r="S161" s="107"/>
      <c r="T161" s="107"/>
      <c r="U161" s="107"/>
      <c r="V161" s="107"/>
      <c r="W161" s="107"/>
      <c r="X161" s="107"/>
    </row>
    <row r="162" spans="1:24" x14ac:dyDescent="0.2">
      <c r="A162" s="526" t="s">
        <v>1374</v>
      </c>
      <c r="B162" s="107"/>
      <c r="C162" s="107"/>
      <c r="D162" s="107"/>
      <c r="E162" s="107"/>
      <c r="F162" s="107"/>
      <c r="G162" s="107"/>
      <c r="H162" s="107"/>
      <c r="I162" s="107"/>
      <c r="J162" s="107"/>
      <c r="K162" s="107"/>
      <c r="L162" s="107"/>
      <c r="M162" s="107"/>
      <c r="N162" s="107"/>
      <c r="O162" s="107"/>
      <c r="P162" s="107"/>
      <c r="Q162" s="107"/>
      <c r="R162" s="107"/>
      <c r="S162" s="107"/>
      <c r="T162" s="107"/>
      <c r="U162" s="107"/>
      <c r="V162" s="107"/>
      <c r="W162" s="107"/>
      <c r="X162" s="107"/>
    </row>
    <row r="163" spans="1:24" ht="28.25" customHeight="1" x14ac:dyDescent="0.2">
      <c r="A163" s="998" t="s">
        <v>3328</v>
      </c>
      <c r="B163" s="998"/>
      <c r="C163" s="998"/>
      <c r="D163" s="998"/>
      <c r="E163" s="998"/>
      <c r="F163" s="998"/>
      <c r="G163" s="998"/>
      <c r="H163" s="107"/>
      <c r="I163" s="107"/>
      <c r="J163" s="107"/>
      <c r="K163" s="107"/>
      <c r="L163" s="107"/>
      <c r="M163" s="107"/>
      <c r="N163" s="107"/>
      <c r="O163" s="107"/>
      <c r="P163" s="107"/>
      <c r="Q163" s="107"/>
      <c r="R163" s="107"/>
      <c r="S163" s="107"/>
      <c r="T163" s="107"/>
      <c r="U163" s="107"/>
      <c r="V163" s="107"/>
      <c r="W163" s="107"/>
      <c r="X163" s="107"/>
    </row>
    <row r="164" spans="1:24" x14ac:dyDescent="0.2">
      <c r="A164" s="967" t="s">
        <v>3254</v>
      </c>
      <c r="B164" s="609" t="s">
        <v>3303</v>
      </c>
      <c r="C164" s="967"/>
      <c r="D164" s="793" t="s">
        <v>3329</v>
      </c>
      <c r="E164" s="793"/>
      <c r="F164" s="793"/>
      <c r="G164" s="793"/>
      <c r="H164" s="107"/>
      <c r="I164" s="107"/>
      <c r="J164" s="107"/>
      <c r="K164" s="107"/>
      <c r="L164" s="107"/>
      <c r="M164" s="107"/>
      <c r="N164" s="107"/>
      <c r="O164" s="107"/>
      <c r="P164" s="107"/>
      <c r="Q164" s="107"/>
      <c r="R164" s="107"/>
      <c r="S164" s="107"/>
      <c r="T164" s="107"/>
      <c r="U164" s="107"/>
      <c r="V164" s="107"/>
      <c r="W164" s="107"/>
      <c r="X164" s="107"/>
    </row>
    <row r="165" spans="1:24" ht="21" customHeight="1" x14ac:dyDescent="0.2">
      <c r="A165" s="967"/>
      <c r="B165" s="609"/>
      <c r="C165" s="967"/>
      <c r="D165" s="967" t="s">
        <v>2520</v>
      </c>
      <c r="E165" s="967"/>
      <c r="F165" s="967" t="s">
        <v>3330</v>
      </c>
      <c r="G165" s="967"/>
      <c r="H165" s="107"/>
      <c r="I165" s="107"/>
      <c r="J165" s="107"/>
      <c r="K165" s="107"/>
      <c r="L165" s="107"/>
      <c r="M165" s="107"/>
      <c r="N165" s="107"/>
      <c r="O165" s="107"/>
      <c r="P165" s="107"/>
      <c r="Q165" s="107"/>
      <c r="R165" s="107"/>
      <c r="S165" s="107"/>
      <c r="T165" s="107"/>
      <c r="U165" s="107"/>
      <c r="V165" s="107"/>
      <c r="W165" s="107"/>
      <c r="X165" s="107"/>
    </row>
    <row r="166" spans="1:24" x14ac:dyDescent="0.2">
      <c r="A166" s="533" t="s">
        <v>1517</v>
      </c>
      <c r="B166" s="349">
        <v>730973</v>
      </c>
      <c r="C166" s="717">
        <v>65</v>
      </c>
      <c r="D166" s="349"/>
      <c r="E166" s="717"/>
      <c r="F166" s="349">
        <v>43783</v>
      </c>
      <c r="G166" s="717">
        <v>10</v>
      </c>
      <c r="H166" s="107"/>
      <c r="I166" s="107"/>
      <c r="J166" s="107"/>
      <c r="K166" s="107"/>
      <c r="L166" s="107"/>
      <c r="M166" s="107"/>
      <c r="N166" s="107"/>
      <c r="O166" s="107"/>
      <c r="P166" s="107"/>
      <c r="Q166" s="107"/>
      <c r="R166" s="107"/>
      <c r="S166" s="107"/>
      <c r="T166" s="107"/>
      <c r="U166" s="107"/>
      <c r="V166" s="107"/>
      <c r="W166" s="107"/>
      <c r="X166" s="107"/>
    </row>
    <row r="167" spans="1:24" x14ac:dyDescent="0.2">
      <c r="A167" s="533" t="s">
        <v>3266</v>
      </c>
      <c r="B167" s="131">
        <v>115699</v>
      </c>
      <c r="C167" s="307">
        <v>44</v>
      </c>
      <c r="D167" s="131">
        <v>41271</v>
      </c>
      <c r="E167" s="307">
        <v>54</v>
      </c>
      <c r="F167" s="131"/>
      <c r="G167" s="307"/>
      <c r="H167" s="107"/>
      <c r="I167" s="107"/>
      <c r="J167" s="107"/>
      <c r="K167" s="107"/>
      <c r="L167" s="107"/>
      <c r="M167" s="107"/>
      <c r="N167" s="107"/>
      <c r="O167" s="107"/>
      <c r="P167" s="107"/>
      <c r="Q167" s="107"/>
      <c r="R167" s="107"/>
      <c r="S167" s="107"/>
      <c r="T167" s="107"/>
      <c r="U167" s="107"/>
      <c r="V167" s="107"/>
      <c r="W167" s="107"/>
      <c r="X167" s="107"/>
    </row>
    <row r="168" spans="1:24" x14ac:dyDescent="0.2">
      <c r="A168" s="533" t="s">
        <v>1369</v>
      </c>
      <c r="B168" s="131">
        <v>767682</v>
      </c>
      <c r="C168" s="307">
        <v>15</v>
      </c>
      <c r="D168" s="131">
        <v>386489</v>
      </c>
      <c r="E168" s="307">
        <v>2</v>
      </c>
      <c r="F168" s="131"/>
      <c r="G168" s="307"/>
      <c r="H168" s="107"/>
      <c r="I168" s="107"/>
      <c r="J168" s="107"/>
      <c r="K168" s="107"/>
      <c r="L168" s="107"/>
      <c r="M168" s="107"/>
      <c r="N168" s="107"/>
      <c r="O168" s="107"/>
      <c r="P168" s="107"/>
      <c r="Q168" s="107"/>
      <c r="R168" s="107"/>
      <c r="S168" s="107"/>
      <c r="T168" s="107"/>
      <c r="U168" s="107"/>
      <c r="V168" s="107"/>
      <c r="W168" s="107"/>
      <c r="X168" s="107"/>
    </row>
    <row r="169" spans="1:24" x14ac:dyDescent="0.2">
      <c r="A169" s="533" t="s">
        <v>3331</v>
      </c>
      <c r="B169" s="131">
        <v>1427169</v>
      </c>
      <c r="C169" s="307">
        <v>80</v>
      </c>
      <c r="D169" s="131">
        <v>845073</v>
      </c>
      <c r="E169" s="307">
        <v>65</v>
      </c>
      <c r="F169" s="131"/>
      <c r="G169" s="307"/>
      <c r="H169" s="107"/>
      <c r="I169" s="107"/>
      <c r="J169" s="107"/>
      <c r="K169" s="107"/>
      <c r="L169" s="107"/>
      <c r="M169" s="107"/>
      <c r="N169" s="107"/>
      <c r="O169" s="107"/>
      <c r="P169" s="107"/>
      <c r="Q169" s="107"/>
      <c r="R169" s="107"/>
      <c r="S169" s="107"/>
      <c r="T169" s="107"/>
      <c r="U169" s="107"/>
      <c r="V169" s="107"/>
      <c r="W169" s="107"/>
      <c r="X169" s="107"/>
    </row>
    <row r="170" spans="1:24" x14ac:dyDescent="0.2">
      <c r="A170" s="533" t="s">
        <v>1526</v>
      </c>
      <c r="B170" s="131">
        <v>130601</v>
      </c>
      <c r="C170" s="307">
        <v>74</v>
      </c>
      <c r="D170" s="131">
        <v>32760</v>
      </c>
      <c r="E170" s="307">
        <v>81</v>
      </c>
      <c r="F170" s="131"/>
      <c r="G170" s="307"/>
      <c r="H170" s="107"/>
      <c r="I170" s="107"/>
      <c r="J170" s="107"/>
      <c r="K170" s="107"/>
      <c r="L170" s="107"/>
      <c r="M170" s="107"/>
      <c r="N170" s="107"/>
      <c r="O170" s="107"/>
      <c r="P170" s="107"/>
      <c r="Q170" s="107"/>
      <c r="R170" s="107"/>
      <c r="S170" s="107"/>
      <c r="T170" s="107"/>
      <c r="U170" s="107"/>
      <c r="V170" s="107"/>
      <c r="W170" s="107"/>
      <c r="X170" s="107"/>
    </row>
    <row r="171" spans="1:24" x14ac:dyDescent="0.2">
      <c r="A171" s="533" t="s">
        <v>3264</v>
      </c>
      <c r="B171" s="131">
        <v>7012631</v>
      </c>
      <c r="C171" s="307">
        <v>54</v>
      </c>
      <c r="D171" s="131">
        <v>4578797</v>
      </c>
      <c r="E171" s="307">
        <v>54</v>
      </c>
      <c r="F171" s="131"/>
      <c r="G171" s="307"/>
      <c r="H171" s="107"/>
      <c r="I171" s="107"/>
      <c r="J171" s="107"/>
      <c r="K171" s="107"/>
      <c r="L171" s="107"/>
      <c r="M171" s="107"/>
      <c r="N171" s="107"/>
      <c r="O171" s="107"/>
      <c r="P171" s="107"/>
      <c r="Q171" s="107"/>
      <c r="R171" s="107"/>
      <c r="S171" s="107"/>
      <c r="T171" s="107"/>
      <c r="U171" s="107"/>
      <c r="V171" s="107"/>
      <c r="W171" s="107"/>
      <c r="X171" s="107"/>
    </row>
    <row r="172" spans="1:24" x14ac:dyDescent="0.2">
      <c r="A172" s="533" t="s">
        <v>1373</v>
      </c>
      <c r="B172" s="131">
        <v>2135543</v>
      </c>
      <c r="C172" s="307">
        <v>7</v>
      </c>
      <c r="D172" s="131"/>
      <c r="E172" s="307"/>
      <c r="F172" s="131">
        <v>1837969</v>
      </c>
      <c r="G172" s="307">
        <v>49</v>
      </c>
      <c r="H172" s="107"/>
      <c r="I172" s="107"/>
      <c r="J172" s="107"/>
      <c r="K172" s="107"/>
      <c r="L172" s="107"/>
      <c r="M172" s="107"/>
      <c r="N172" s="107"/>
      <c r="O172" s="107"/>
      <c r="P172" s="107"/>
      <c r="Q172" s="107"/>
      <c r="R172" s="107"/>
      <c r="S172" s="107"/>
      <c r="T172" s="107"/>
      <c r="U172" s="107"/>
      <c r="V172" s="107"/>
      <c r="W172" s="107"/>
      <c r="X172" s="107"/>
    </row>
    <row r="173" spans="1:24" x14ac:dyDescent="0.2">
      <c r="A173" s="533" t="s">
        <v>3265</v>
      </c>
      <c r="B173" s="131"/>
      <c r="C173" s="307"/>
      <c r="D173" s="131"/>
      <c r="E173" s="307"/>
      <c r="F173" s="131"/>
      <c r="G173" s="307"/>
      <c r="H173" s="107"/>
      <c r="I173" s="107"/>
      <c r="J173" s="107"/>
      <c r="K173" s="107"/>
      <c r="L173" s="107"/>
      <c r="M173" s="107"/>
      <c r="N173" s="107"/>
      <c r="O173" s="107"/>
      <c r="P173" s="107"/>
      <c r="Q173" s="107"/>
      <c r="R173" s="107"/>
      <c r="S173" s="107"/>
      <c r="T173" s="107"/>
      <c r="U173" s="107"/>
      <c r="V173" s="107"/>
      <c r="W173" s="107"/>
      <c r="X173" s="107"/>
    </row>
    <row r="174" spans="1:24" x14ac:dyDescent="0.2">
      <c r="A174" s="533" t="s">
        <v>1527</v>
      </c>
      <c r="B174" s="131">
        <v>195338</v>
      </c>
      <c r="C174" s="307">
        <v>17</v>
      </c>
      <c r="D174" s="230">
        <v>91287</v>
      </c>
      <c r="E174" s="364">
        <v>74</v>
      </c>
      <c r="F174" s="230"/>
      <c r="G174" s="364"/>
      <c r="H174" s="107"/>
      <c r="I174" s="107"/>
      <c r="J174" s="107"/>
      <c r="K174" s="107"/>
      <c r="L174" s="107"/>
      <c r="M174" s="107"/>
      <c r="N174" s="107"/>
      <c r="O174" s="107"/>
      <c r="P174" s="107"/>
      <c r="Q174" s="107"/>
      <c r="R174" s="107"/>
      <c r="S174" s="107"/>
      <c r="T174" s="107"/>
      <c r="U174" s="107"/>
      <c r="V174" s="107"/>
      <c r="W174" s="107"/>
      <c r="X174" s="107"/>
    </row>
    <row r="175" spans="1:24" x14ac:dyDescent="0.2">
      <c r="A175" s="533"/>
      <c r="B175" s="349">
        <v>12515639</v>
      </c>
      <c r="C175" s="717">
        <v>56</v>
      </c>
      <c r="D175" s="350">
        <v>5975680</v>
      </c>
      <c r="E175" s="717">
        <v>30</v>
      </c>
      <c r="F175" s="350">
        <v>1881752</v>
      </c>
      <c r="G175" s="717">
        <v>59</v>
      </c>
      <c r="H175" s="107"/>
      <c r="I175" s="107"/>
      <c r="J175" s="107"/>
      <c r="K175" s="107"/>
      <c r="L175" s="107"/>
      <c r="M175" s="107"/>
      <c r="N175" s="107"/>
      <c r="O175" s="107"/>
      <c r="P175" s="107"/>
      <c r="Q175" s="107"/>
      <c r="R175" s="107"/>
      <c r="S175" s="107"/>
      <c r="T175" s="107"/>
      <c r="U175" s="107"/>
      <c r="V175" s="107"/>
      <c r="W175" s="107"/>
      <c r="X175" s="107"/>
    </row>
    <row r="176" spans="1:24" x14ac:dyDescent="0.2">
      <c r="A176" s="533"/>
      <c r="B176" s="137">
        <f t="shared" ref="B176:G176" si="8">+SUM(B166:B174)</f>
        <v>12515636</v>
      </c>
      <c r="C176" s="137">
        <f t="shared" si="8"/>
        <v>356</v>
      </c>
      <c r="D176" s="137">
        <f t="shared" si="8"/>
        <v>5975677</v>
      </c>
      <c r="E176" s="137">
        <f t="shared" si="8"/>
        <v>330</v>
      </c>
      <c r="F176" s="137">
        <f t="shared" si="8"/>
        <v>1881752</v>
      </c>
      <c r="G176" s="137">
        <f t="shared" si="8"/>
        <v>59</v>
      </c>
      <c r="H176" s="107"/>
      <c r="I176" s="107"/>
      <c r="J176" s="107"/>
      <c r="K176" s="107"/>
      <c r="L176" s="107"/>
      <c r="M176" s="107"/>
      <c r="N176" s="107"/>
      <c r="O176" s="107"/>
      <c r="P176" s="107"/>
      <c r="Q176" s="107"/>
      <c r="R176" s="107"/>
      <c r="S176" s="107"/>
      <c r="T176" s="107"/>
      <c r="U176" s="107"/>
      <c r="V176" s="107"/>
      <c r="W176" s="107"/>
      <c r="X176" s="107"/>
    </row>
    <row r="177" spans="1:24" x14ac:dyDescent="0.2">
      <c r="A177" s="535"/>
      <c r="B177" s="230"/>
      <c r="C177" s="364"/>
      <c r="D177" s="982">
        <v>4093927</v>
      </c>
      <c r="E177" s="983"/>
      <c r="F177" s="617">
        <v>71</v>
      </c>
      <c r="G177" s="618"/>
      <c r="H177" s="107"/>
      <c r="I177" s="107"/>
      <c r="J177" s="107"/>
      <c r="K177" s="107"/>
      <c r="L177" s="107"/>
      <c r="M177" s="107"/>
      <c r="N177" s="107"/>
      <c r="O177" s="107"/>
      <c r="P177" s="107"/>
      <c r="Q177" s="107"/>
      <c r="R177" s="107"/>
      <c r="S177" s="107"/>
      <c r="T177" s="107"/>
      <c r="U177" s="107"/>
      <c r="V177" s="107"/>
      <c r="W177" s="107"/>
      <c r="X177" s="107"/>
    </row>
    <row r="178" spans="1:24" x14ac:dyDescent="0.2">
      <c r="A178" s="107"/>
      <c r="B178" s="107"/>
      <c r="C178" s="107"/>
      <c r="D178" s="107"/>
      <c r="E178" s="107"/>
      <c r="F178" s="107"/>
      <c r="G178" s="107"/>
      <c r="H178" s="107"/>
      <c r="I178" s="107"/>
      <c r="J178" s="107"/>
      <c r="K178" s="107"/>
      <c r="L178" s="107"/>
      <c r="M178" s="107"/>
      <c r="N178" s="107"/>
      <c r="O178" s="107"/>
      <c r="P178" s="107"/>
      <c r="Q178" s="107"/>
      <c r="R178" s="107"/>
      <c r="S178" s="107"/>
      <c r="T178" s="107"/>
      <c r="U178" s="107"/>
      <c r="V178" s="107"/>
      <c r="W178" s="107"/>
      <c r="X178" s="107"/>
    </row>
    <row r="179" spans="1:24" x14ac:dyDescent="0.2">
      <c r="A179" s="107"/>
      <c r="B179" s="107"/>
      <c r="C179" s="107"/>
      <c r="D179" s="107"/>
      <c r="E179" s="107"/>
      <c r="F179" s="107"/>
      <c r="G179" s="107"/>
      <c r="H179" s="107"/>
      <c r="I179" s="107"/>
      <c r="J179" s="107"/>
      <c r="K179" s="107"/>
      <c r="L179" s="107"/>
      <c r="M179" s="107"/>
      <c r="N179" s="107"/>
      <c r="O179" s="107"/>
      <c r="P179" s="107"/>
      <c r="Q179" s="107"/>
      <c r="R179" s="107"/>
      <c r="S179" s="107"/>
      <c r="T179" s="107"/>
      <c r="U179" s="107"/>
      <c r="V179" s="107"/>
      <c r="W179" s="107"/>
      <c r="X179" s="107"/>
    </row>
    <row r="180" spans="1:24" x14ac:dyDescent="0.2">
      <c r="A180" s="107"/>
      <c r="B180" s="107"/>
      <c r="C180" s="107"/>
      <c r="D180" s="107"/>
      <c r="E180" s="107"/>
      <c r="F180" s="107"/>
      <c r="G180" s="107"/>
      <c r="H180" s="107"/>
      <c r="I180" s="107"/>
      <c r="J180" s="107"/>
      <c r="K180" s="107"/>
      <c r="L180" s="107"/>
      <c r="M180" s="107"/>
      <c r="N180" s="107"/>
      <c r="O180" s="107"/>
      <c r="P180" s="107"/>
      <c r="Q180" s="107"/>
      <c r="R180" s="107"/>
      <c r="S180" s="107"/>
      <c r="T180" s="107"/>
      <c r="U180" s="107"/>
      <c r="V180" s="107"/>
      <c r="W180" s="107"/>
      <c r="X180" s="107"/>
    </row>
    <row r="181" spans="1:24" x14ac:dyDescent="0.2">
      <c r="A181" s="526" t="s">
        <v>1934</v>
      </c>
      <c r="B181" s="107"/>
      <c r="C181" s="107"/>
      <c r="D181" s="107"/>
      <c r="E181" s="107"/>
      <c r="F181" s="107"/>
      <c r="G181" s="107"/>
      <c r="H181" s="107"/>
      <c r="I181" s="107"/>
      <c r="J181" s="107"/>
      <c r="K181" s="107"/>
      <c r="L181" s="107"/>
      <c r="M181" s="107"/>
      <c r="N181" s="107"/>
      <c r="O181" s="107"/>
      <c r="P181" s="107"/>
      <c r="Q181" s="107"/>
      <c r="R181" s="107"/>
      <c r="S181" s="107"/>
      <c r="T181" s="107"/>
      <c r="U181" s="107"/>
      <c r="V181" s="107"/>
      <c r="W181" s="107"/>
      <c r="X181" s="107"/>
    </row>
    <row r="182" spans="1:24" ht="27.5" customHeight="1" x14ac:dyDescent="0.2">
      <c r="A182" s="953" t="s">
        <v>3332</v>
      </c>
      <c r="B182" s="954"/>
      <c r="C182" s="954"/>
      <c r="D182" s="954"/>
      <c r="E182" s="954"/>
      <c r="F182" s="955"/>
      <c r="G182" s="107"/>
      <c r="H182" s="107"/>
      <c r="I182" s="107"/>
      <c r="J182" s="107"/>
      <c r="K182" s="107"/>
      <c r="L182" s="107"/>
      <c r="M182" s="107"/>
      <c r="N182" s="107"/>
      <c r="O182" s="107"/>
      <c r="P182" s="107"/>
      <c r="Q182" s="107"/>
      <c r="R182" s="107"/>
      <c r="S182" s="107"/>
      <c r="T182" s="107"/>
      <c r="U182" s="107"/>
      <c r="V182" s="107"/>
      <c r="W182" s="107"/>
      <c r="X182" s="107"/>
    </row>
    <row r="183" spans="1:24" ht="25.25" customHeight="1" x14ac:dyDescent="0.2">
      <c r="A183" s="999" t="s">
        <v>3333</v>
      </c>
      <c r="B183" s="977" t="s">
        <v>3334</v>
      </c>
      <c r="C183" s="977"/>
      <c r="D183" s="978" t="s">
        <v>3335</v>
      </c>
      <c r="E183" s="979"/>
      <c r="F183" s="980"/>
      <c r="G183" s="107"/>
      <c r="H183" s="107"/>
      <c r="I183" s="107"/>
      <c r="J183" s="107"/>
      <c r="K183" s="107"/>
      <c r="L183" s="107"/>
      <c r="M183" s="107"/>
      <c r="N183" s="107"/>
      <c r="O183" s="107"/>
      <c r="P183" s="107"/>
      <c r="Q183" s="107"/>
      <c r="R183" s="107"/>
      <c r="S183" s="107"/>
      <c r="T183" s="107"/>
      <c r="U183" s="107"/>
      <c r="V183" s="107"/>
      <c r="W183" s="107"/>
      <c r="X183" s="107"/>
    </row>
    <row r="184" spans="1:24" x14ac:dyDescent="0.2">
      <c r="A184" s="1000"/>
      <c r="B184" s="810" t="s">
        <v>3281</v>
      </c>
      <c r="C184" s="810" t="s">
        <v>3282</v>
      </c>
      <c r="D184" s="812" t="s">
        <v>3281</v>
      </c>
      <c r="E184" s="608" t="s">
        <v>3282</v>
      </c>
      <c r="F184" s="609"/>
      <c r="G184" s="107"/>
      <c r="H184" s="107"/>
      <c r="I184" s="107"/>
      <c r="J184" s="107"/>
      <c r="K184" s="107"/>
      <c r="L184" s="107"/>
      <c r="M184" s="107"/>
      <c r="N184" s="107"/>
      <c r="O184" s="107"/>
      <c r="P184" s="107"/>
      <c r="Q184" s="107"/>
      <c r="R184" s="107"/>
      <c r="S184" s="107"/>
      <c r="T184" s="107"/>
      <c r="U184" s="107"/>
      <c r="V184" s="107"/>
      <c r="W184" s="107"/>
      <c r="X184" s="107"/>
    </row>
    <row r="185" spans="1:24" x14ac:dyDescent="0.2">
      <c r="A185" s="131" t="s">
        <v>3336</v>
      </c>
      <c r="B185" s="131">
        <v>835210</v>
      </c>
      <c r="C185" s="307">
        <v>500</v>
      </c>
      <c r="D185" s="145">
        <v>258958</v>
      </c>
      <c r="E185" s="145">
        <v>56</v>
      </c>
      <c r="F185" s="307"/>
      <c r="G185" s="107"/>
      <c r="H185" s="107"/>
      <c r="I185" s="107"/>
      <c r="J185" s="107"/>
      <c r="K185" s="107"/>
      <c r="L185" s="107"/>
      <c r="M185" s="107"/>
      <c r="N185" s="107"/>
      <c r="O185" s="107"/>
      <c r="P185" s="107"/>
      <c r="Q185" s="107"/>
      <c r="R185" s="107"/>
      <c r="S185" s="107"/>
      <c r="T185" s="107"/>
      <c r="U185" s="107"/>
      <c r="V185" s="107"/>
      <c r="W185" s="107"/>
      <c r="X185" s="107"/>
    </row>
    <row r="186" spans="1:24" x14ac:dyDescent="0.2">
      <c r="A186" s="131" t="s">
        <v>3337</v>
      </c>
      <c r="B186" s="131">
        <v>2894098</v>
      </c>
      <c r="C186" s="307">
        <v>700</v>
      </c>
      <c r="D186" s="145">
        <v>1342100</v>
      </c>
      <c r="E186" s="145">
        <v>928</v>
      </c>
      <c r="F186" s="307"/>
      <c r="G186" s="107"/>
      <c r="H186" s="107"/>
      <c r="I186" s="107"/>
      <c r="J186" s="107"/>
      <c r="K186" s="107"/>
      <c r="L186" s="107"/>
      <c r="M186" s="107"/>
      <c r="N186" s="107"/>
      <c r="O186" s="107"/>
      <c r="P186" s="107"/>
      <c r="Q186" s="107"/>
      <c r="R186" s="107"/>
      <c r="S186" s="107"/>
      <c r="T186" s="107"/>
      <c r="U186" s="107"/>
      <c r="V186" s="107"/>
      <c r="W186" s="107"/>
      <c r="X186" s="107"/>
    </row>
    <row r="187" spans="1:24" x14ac:dyDescent="0.2">
      <c r="A187" s="131" t="s">
        <v>3338</v>
      </c>
      <c r="B187" s="131">
        <v>730999</v>
      </c>
      <c r="C187" s="307">
        <v>780</v>
      </c>
      <c r="D187" s="145">
        <v>329819</v>
      </c>
      <c r="E187" s="145">
        <v>750</v>
      </c>
      <c r="F187" s="307"/>
      <c r="G187" s="107"/>
      <c r="H187" s="107"/>
      <c r="I187" s="107"/>
      <c r="J187" s="107"/>
      <c r="K187" s="107"/>
      <c r="L187" s="107"/>
      <c r="M187" s="107"/>
      <c r="N187" s="107"/>
      <c r="O187" s="107"/>
      <c r="P187" s="107"/>
      <c r="Q187" s="107"/>
      <c r="R187" s="107"/>
      <c r="S187" s="107"/>
      <c r="T187" s="107"/>
      <c r="U187" s="107"/>
      <c r="V187" s="107"/>
      <c r="W187" s="107"/>
      <c r="X187" s="107"/>
    </row>
    <row r="188" spans="1:24" x14ac:dyDescent="0.2">
      <c r="A188" s="131" t="s">
        <v>3339</v>
      </c>
      <c r="B188" s="131">
        <v>360716</v>
      </c>
      <c r="C188" s="307">
        <v>500</v>
      </c>
      <c r="D188" s="145">
        <v>117252</v>
      </c>
      <c r="E188" s="145">
        <v>700</v>
      </c>
      <c r="F188" s="307"/>
      <c r="G188" s="107"/>
      <c r="H188" s="107"/>
      <c r="I188" s="107"/>
      <c r="J188" s="107"/>
      <c r="K188" s="107"/>
      <c r="L188" s="107"/>
      <c r="M188" s="107"/>
      <c r="N188" s="107"/>
      <c r="O188" s="107"/>
      <c r="P188" s="107"/>
      <c r="Q188" s="107"/>
      <c r="R188" s="107"/>
      <c r="S188" s="107"/>
      <c r="T188" s="107"/>
      <c r="U188" s="107"/>
      <c r="V188" s="107"/>
      <c r="W188" s="107"/>
      <c r="X188" s="107"/>
    </row>
    <row r="189" spans="1:24" x14ac:dyDescent="0.2">
      <c r="A189" s="131" t="s">
        <v>3340</v>
      </c>
      <c r="B189" s="131">
        <v>15567</v>
      </c>
      <c r="C189" s="307">
        <v>500</v>
      </c>
      <c r="D189" s="145">
        <v>3994</v>
      </c>
      <c r="E189" s="145">
        <v>500</v>
      </c>
      <c r="F189" s="307"/>
      <c r="G189" s="107"/>
      <c r="H189" s="107"/>
      <c r="I189" s="107"/>
      <c r="J189" s="107"/>
      <c r="K189" s="107"/>
      <c r="L189" s="107"/>
      <c r="M189" s="107"/>
      <c r="N189" s="107"/>
      <c r="O189" s="107"/>
      <c r="P189" s="107"/>
      <c r="Q189" s="107"/>
      <c r="R189" s="107"/>
      <c r="S189" s="107"/>
      <c r="T189" s="107"/>
      <c r="U189" s="107"/>
      <c r="V189" s="107"/>
      <c r="W189" s="107"/>
      <c r="X189" s="107"/>
    </row>
    <row r="190" spans="1:24" x14ac:dyDescent="0.2">
      <c r="A190" s="131" t="s">
        <v>3341</v>
      </c>
      <c r="B190" s="131">
        <v>468211</v>
      </c>
      <c r="C190" s="307">
        <v>500</v>
      </c>
      <c r="D190" s="145">
        <v>207544</v>
      </c>
      <c r="E190" s="145">
        <v>629</v>
      </c>
      <c r="F190" s="307"/>
      <c r="G190" s="107"/>
      <c r="H190" s="107"/>
      <c r="I190" s="107"/>
      <c r="J190" s="107"/>
      <c r="K190" s="107"/>
      <c r="L190" s="107"/>
      <c r="M190" s="107"/>
      <c r="N190" s="107"/>
      <c r="O190" s="107"/>
      <c r="P190" s="107"/>
      <c r="Q190" s="107"/>
      <c r="R190" s="107"/>
      <c r="S190" s="107"/>
      <c r="T190" s="107"/>
      <c r="U190" s="107"/>
      <c r="V190" s="107"/>
      <c r="W190" s="107"/>
      <c r="X190" s="107"/>
    </row>
    <row r="191" spans="1:24" x14ac:dyDescent="0.2">
      <c r="A191" s="131" t="s">
        <v>3342</v>
      </c>
      <c r="B191" s="131">
        <v>92971</v>
      </c>
      <c r="C191" s="307">
        <v>250</v>
      </c>
      <c r="D191" s="145">
        <v>33662</v>
      </c>
      <c r="E191" s="145">
        <v>750</v>
      </c>
      <c r="F191" s="307"/>
      <c r="G191" s="107"/>
      <c r="H191" s="107"/>
      <c r="I191" s="107"/>
      <c r="J191" s="107"/>
      <c r="K191" s="107"/>
      <c r="L191" s="107"/>
      <c r="M191" s="107"/>
      <c r="N191" s="107"/>
      <c r="O191" s="107"/>
      <c r="P191" s="107"/>
      <c r="Q191" s="107"/>
      <c r="R191" s="107"/>
      <c r="S191" s="107"/>
      <c r="T191" s="107"/>
      <c r="U191" s="107"/>
      <c r="V191" s="107"/>
      <c r="W191" s="107"/>
      <c r="X191" s="107"/>
    </row>
    <row r="192" spans="1:24" x14ac:dyDescent="0.2">
      <c r="A192" s="131" t="s">
        <v>3343</v>
      </c>
      <c r="B192" s="131">
        <v>17092</v>
      </c>
      <c r="C192" s="307">
        <v>750</v>
      </c>
      <c r="D192" s="145">
        <v>16947</v>
      </c>
      <c r="E192" s="145">
        <v>919</v>
      </c>
      <c r="F192" s="307"/>
      <c r="G192" s="107"/>
      <c r="H192" s="107"/>
      <c r="I192" s="107"/>
      <c r="J192" s="107"/>
      <c r="K192" s="107"/>
      <c r="L192" s="107"/>
      <c r="M192" s="107"/>
      <c r="N192" s="107"/>
      <c r="O192" s="107"/>
      <c r="P192" s="107"/>
      <c r="Q192" s="107"/>
      <c r="R192" s="107"/>
      <c r="S192" s="107"/>
      <c r="T192" s="107"/>
      <c r="U192" s="107"/>
      <c r="V192" s="107"/>
      <c r="W192" s="107"/>
      <c r="X192" s="107"/>
    </row>
    <row r="193" spans="1:24" x14ac:dyDescent="0.2">
      <c r="A193" s="131" t="s">
        <v>3344</v>
      </c>
      <c r="B193" s="131">
        <v>448965</v>
      </c>
      <c r="C193" s="307">
        <v>750</v>
      </c>
      <c r="D193" s="145">
        <v>163362</v>
      </c>
      <c r="E193" s="145">
        <v>277</v>
      </c>
      <c r="F193" s="307"/>
      <c r="G193" s="107"/>
      <c r="H193" s="107"/>
      <c r="I193" s="107"/>
      <c r="J193" s="107"/>
      <c r="K193" s="107"/>
      <c r="L193" s="107"/>
      <c r="M193" s="107"/>
      <c r="N193" s="107"/>
      <c r="O193" s="107"/>
      <c r="P193" s="107"/>
      <c r="Q193" s="107"/>
      <c r="R193" s="107"/>
      <c r="S193" s="107"/>
      <c r="T193" s="107"/>
      <c r="U193" s="107"/>
      <c r="V193" s="107"/>
      <c r="W193" s="107"/>
      <c r="X193" s="107"/>
    </row>
    <row r="194" spans="1:24" x14ac:dyDescent="0.2">
      <c r="A194" s="131" t="s">
        <v>3345</v>
      </c>
      <c r="B194" s="131">
        <v>210922</v>
      </c>
      <c r="C194" s="307">
        <v>500</v>
      </c>
      <c r="D194" s="145">
        <v>159238</v>
      </c>
      <c r="E194" s="145">
        <v>830</v>
      </c>
      <c r="F194" s="307"/>
      <c r="G194" s="107"/>
      <c r="H194" s="107"/>
      <c r="I194" s="107"/>
      <c r="J194" s="107"/>
      <c r="K194" s="107"/>
      <c r="L194" s="107"/>
      <c r="M194" s="107"/>
      <c r="N194" s="107"/>
      <c r="O194" s="107"/>
      <c r="P194" s="107"/>
      <c r="Q194" s="107"/>
      <c r="R194" s="107"/>
      <c r="S194" s="107"/>
      <c r="T194" s="107"/>
      <c r="U194" s="107"/>
      <c r="V194" s="107"/>
      <c r="W194" s="107"/>
      <c r="X194" s="107"/>
    </row>
    <row r="195" spans="1:24" x14ac:dyDescent="0.2">
      <c r="A195" s="131" t="s">
        <v>3346</v>
      </c>
      <c r="B195" s="131">
        <v>481305</v>
      </c>
      <c r="C195" s="307">
        <v>250</v>
      </c>
      <c r="D195" s="145">
        <v>103652</v>
      </c>
      <c r="E195" s="145">
        <v>487</v>
      </c>
      <c r="F195" s="307"/>
      <c r="G195" s="107"/>
      <c r="H195" s="107"/>
      <c r="I195" s="107"/>
      <c r="J195" s="107"/>
      <c r="K195" s="107"/>
      <c r="L195" s="107"/>
      <c r="M195" s="107"/>
      <c r="N195" s="107"/>
      <c r="O195" s="107"/>
      <c r="P195" s="107"/>
      <c r="Q195" s="107"/>
      <c r="R195" s="107"/>
      <c r="S195" s="107"/>
      <c r="T195" s="107"/>
      <c r="U195" s="107"/>
      <c r="V195" s="107"/>
      <c r="W195" s="107"/>
      <c r="X195" s="107"/>
    </row>
    <row r="196" spans="1:24" x14ac:dyDescent="0.2">
      <c r="A196" s="131" t="s">
        <v>3347</v>
      </c>
      <c r="B196" s="131">
        <v>665006</v>
      </c>
      <c r="C196" s="307">
        <v>450</v>
      </c>
      <c r="D196" s="145">
        <v>266571</v>
      </c>
      <c r="E196" s="145">
        <v>214</v>
      </c>
      <c r="F196" s="307"/>
      <c r="G196" s="107"/>
      <c r="H196" s="107"/>
      <c r="I196" s="107"/>
      <c r="J196" s="107"/>
      <c r="K196" s="107"/>
      <c r="L196" s="107"/>
      <c r="M196" s="107"/>
      <c r="N196" s="107"/>
      <c r="O196" s="107"/>
      <c r="P196" s="107"/>
      <c r="Q196" s="107"/>
      <c r="R196" s="107"/>
      <c r="S196" s="107"/>
      <c r="T196" s="107"/>
      <c r="U196" s="107"/>
      <c r="V196" s="107"/>
      <c r="W196" s="107"/>
      <c r="X196" s="107"/>
    </row>
    <row r="197" spans="1:24" x14ac:dyDescent="0.2">
      <c r="A197" s="131" t="s">
        <v>3348</v>
      </c>
      <c r="B197" s="131">
        <v>267476</v>
      </c>
      <c r="C197" s="307"/>
      <c r="D197" s="145">
        <v>79420</v>
      </c>
      <c r="E197" s="145">
        <v>980</v>
      </c>
      <c r="F197" s="307"/>
      <c r="G197" s="107"/>
      <c r="H197" s="107"/>
      <c r="I197" s="107"/>
      <c r="J197" s="107"/>
      <c r="K197" s="107"/>
      <c r="L197" s="107"/>
      <c r="M197" s="107"/>
      <c r="N197" s="107"/>
      <c r="O197" s="107"/>
      <c r="P197" s="107"/>
      <c r="Q197" s="107"/>
      <c r="R197" s="107"/>
      <c r="S197" s="107"/>
      <c r="T197" s="107"/>
      <c r="U197" s="107"/>
      <c r="V197" s="107"/>
      <c r="W197" s="107"/>
      <c r="X197" s="107"/>
    </row>
    <row r="198" spans="1:24" x14ac:dyDescent="0.2">
      <c r="A198" s="131" t="s">
        <v>3349</v>
      </c>
      <c r="B198" s="131">
        <v>44212</v>
      </c>
      <c r="C198" s="307">
        <v>500</v>
      </c>
      <c r="D198" s="145">
        <v>13929</v>
      </c>
      <c r="E198" s="145">
        <v>970</v>
      </c>
      <c r="F198" s="307"/>
      <c r="G198" s="107"/>
      <c r="H198" s="107"/>
      <c r="I198" s="107"/>
      <c r="J198" s="107"/>
      <c r="K198" s="107"/>
      <c r="L198" s="107"/>
      <c r="M198" s="107"/>
      <c r="N198" s="107"/>
      <c r="O198" s="107"/>
      <c r="P198" s="107"/>
      <c r="Q198" s="107"/>
      <c r="R198" s="107"/>
      <c r="S198" s="107"/>
      <c r="T198" s="107"/>
      <c r="U198" s="107"/>
      <c r="V198" s="107"/>
      <c r="W198" s="107"/>
      <c r="X198" s="107"/>
    </row>
    <row r="199" spans="1:24" x14ac:dyDescent="0.2">
      <c r="A199" s="131" t="s">
        <v>3350</v>
      </c>
      <c r="B199" s="131">
        <v>18945</v>
      </c>
      <c r="C199" s="307">
        <v>500</v>
      </c>
      <c r="D199" s="145">
        <v>27224</v>
      </c>
      <c r="E199" s="145"/>
      <c r="F199" s="307"/>
      <c r="G199" s="107"/>
      <c r="H199" s="107"/>
      <c r="I199" s="107"/>
      <c r="J199" s="107"/>
      <c r="K199" s="107"/>
      <c r="L199" s="107"/>
      <c r="M199" s="107"/>
      <c r="N199" s="107"/>
      <c r="O199" s="107"/>
      <c r="P199" s="107"/>
      <c r="Q199" s="107"/>
      <c r="R199" s="107"/>
      <c r="S199" s="107"/>
      <c r="T199" s="107"/>
      <c r="U199" s="107"/>
      <c r="V199" s="107"/>
      <c r="W199" s="107"/>
      <c r="X199" s="107"/>
    </row>
    <row r="200" spans="1:24" x14ac:dyDescent="0.2">
      <c r="A200" s="131" t="s">
        <v>3351</v>
      </c>
      <c r="B200" s="131">
        <v>357938</v>
      </c>
      <c r="C200" s="307">
        <v>750</v>
      </c>
      <c r="D200" s="145">
        <v>330938</v>
      </c>
      <c r="E200" s="145">
        <v>167</v>
      </c>
      <c r="F200" s="307"/>
      <c r="G200" s="107"/>
      <c r="H200" s="107"/>
      <c r="I200" s="107"/>
      <c r="J200" s="107"/>
      <c r="K200" s="107"/>
      <c r="L200" s="107"/>
      <c r="M200" s="107"/>
      <c r="N200" s="107"/>
      <c r="O200" s="107"/>
      <c r="P200" s="107"/>
      <c r="Q200" s="107"/>
      <c r="R200" s="107"/>
      <c r="S200" s="107"/>
      <c r="T200" s="107"/>
      <c r="U200" s="107"/>
      <c r="V200" s="107"/>
      <c r="W200" s="107"/>
      <c r="X200" s="107"/>
    </row>
    <row r="201" spans="1:24" x14ac:dyDescent="0.2">
      <c r="A201" s="131" t="s">
        <v>3352</v>
      </c>
      <c r="B201" s="131">
        <v>833244</v>
      </c>
      <c r="C201" s="307">
        <v>750</v>
      </c>
      <c r="D201" s="145">
        <v>191010</v>
      </c>
      <c r="E201" s="145">
        <v>607</v>
      </c>
      <c r="F201" s="307"/>
      <c r="G201" s="107"/>
      <c r="H201" s="107"/>
      <c r="I201" s="107"/>
      <c r="J201" s="107"/>
      <c r="K201" s="107"/>
      <c r="L201" s="107"/>
      <c r="M201" s="107"/>
      <c r="N201" s="107"/>
      <c r="O201" s="107"/>
      <c r="P201" s="107"/>
      <c r="Q201" s="107"/>
      <c r="R201" s="107"/>
      <c r="S201" s="107"/>
      <c r="T201" s="107"/>
      <c r="U201" s="107"/>
      <c r="V201" s="107"/>
      <c r="W201" s="107"/>
      <c r="X201" s="107"/>
    </row>
    <row r="202" spans="1:24" x14ac:dyDescent="0.2">
      <c r="A202" s="131" t="s">
        <v>3353</v>
      </c>
      <c r="B202" s="131">
        <v>523620</v>
      </c>
      <c r="C202" s="307">
        <v>500</v>
      </c>
      <c r="D202" s="145">
        <v>802355</v>
      </c>
      <c r="E202" s="145">
        <v>200</v>
      </c>
      <c r="F202" s="307"/>
      <c r="G202" s="107"/>
      <c r="H202" s="107"/>
      <c r="I202" s="107"/>
      <c r="J202" s="107"/>
      <c r="K202" s="107"/>
      <c r="L202" s="107"/>
      <c r="M202" s="107"/>
      <c r="N202" s="107"/>
      <c r="O202" s="107"/>
      <c r="P202" s="107"/>
      <c r="Q202" s="107"/>
      <c r="R202" s="107"/>
      <c r="S202" s="107"/>
      <c r="T202" s="107"/>
      <c r="U202" s="107"/>
      <c r="V202" s="107"/>
      <c r="W202" s="107"/>
      <c r="X202" s="107"/>
    </row>
    <row r="203" spans="1:24" x14ac:dyDescent="0.2">
      <c r="A203" s="131" t="s">
        <v>3354</v>
      </c>
      <c r="B203" s="131">
        <v>228994</v>
      </c>
      <c r="C203" s="307">
        <v>750</v>
      </c>
      <c r="D203" s="145">
        <v>176445</v>
      </c>
      <c r="E203" s="145">
        <v>245</v>
      </c>
      <c r="F203" s="307"/>
      <c r="G203" s="107"/>
      <c r="H203" s="107"/>
      <c r="I203" s="107"/>
      <c r="J203" s="107"/>
      <c r="K203" s="107"/>
      <c r="L203" s="107"/>
      <c r="M203" s="107"/>
      <c r="N203" s="107"/>
      <c r="O203" s="107"/>
      <c r="P203" s="107"/>
      <c r="Q203" s="107"/>
      <c r="R203" s="107"/>
      <c r="S203" s="107"/>
      <c r="T203" s="107"/>
      <c r="U203" s="107"/>
      <c r="V203" s="107"/>
      <c r="W203" s="107"/>
      <c r="X203" s="107"/>
    </row>
    <row r="204" spans="1:24" x14ac:dyDescent="0.2">
      <c r="A204" s="131" t="s">
        <v>3355</v>
      </c>
      <c r="B204" s="131">
        <v>130268</v>
      </c>
      <c r="C204" s="307">
        <v>750</v>
      </c>
      <c r="D204" s="145">
        <v>84188</v>
      </c>
      <c r="E204" s="145">
        <v>612</v>
      </c>
      <c r="F204" s="307"/>
      <c r="G204" s="107"/>
      <c r="H204" s="107"/>
      <c r="I204" s="107"/>
      <c r="J204" s="107"/>
      <c r="K204" s="107"/>
      <c r="L204" s="107"/>
      <c r="M204" s="107"/>
      <c r="N204" s="107"/>
      <c r="O204" s="107"/>
      <c r="P204" s="107"/>
      <c r="Q204" s="107"/>
      <c r="R204" s="107"/>
      <c r="S204" s="107"/>
      <c r="T204" s="107"/>
      <c r="U204" s="107"/>
      <c r="V204" s="107"/>
      <c r="W204" s="107"/>
      <c r="X204" s="107"/>
    </row>
    <row r="205" spans="1:24" x14ac:dyDescent="0.2">
      <c r="A205" s="131" t="s">
        <v>3356</v>
      </c>
      <c r="B205" s="131">
        <v>1272393</v>
      </c>
      <c r="C205" s="307">
        <v>650</v>
      </c>
      <c r="D205" s="145">
        <v>1135815</v>
      </c>
      <c r="E205" s="145">
        <v>300</v>
      </c>
      <c r="F205" s="307"/>
      <c r="G205" s="107"/>
      <c r="H205" s="107"/>
      <c r="I205" s="107"/>
      <c r="J205" s="107"/>
      <c r="K205" s="107"/>
      <c r="L205" s="107"/>
      <c r="M205" s="107"/>
      <c r="N205" s="107"/>
      <c r="O205" s="107"/>
      <c r="P205" s="107"/>
      <c r="Q205" s="107"/>
      <c r="R205" s="107"/>
      <c r="S205" s="107"/>
      <c r="T205" s="107"/>
      <c r="U205" s="107"/>
      <c r="V205" s="107"/>
      <c r="W205" s="107"/>
      <c r="X205" s="107"/>
    </row>
    <row r="206" spans="1:24" x14ac:dyDescent="0.2">
      <c r="A206" s="131" t="s">
        <v>3357</v>
      </c>
      <c r="B206" s="131">
        <v>528132</v>
      </c>
      <c r="C206" s="307"/>
      <c r="D206" s="145">
        <v>432182</v>
      </c>
      <c r="E206" s="145">
        <v>798</v>
      </c>
      <c r="F206" s="307"/>
      <c r="G206" s="107"/>
      <c r="H206" s="107"/>
      <c r="I206" s="107"/>
      <c r="J206" s="107"/>
      <c r="K206" s="107"/>
      <c r="L206" s="107"/>
      <c r="M206" s="107"/>
      <c r="N206" s="107"/>
      <c r="O206" s="107"/>
      <c r="P206" s="107"/>
      <c r="Q206" s="107"/>
      <c r="R206" s="107"/>
      <c r="S206" s="107"/>
      <c r="T206" s="107"/>
      <c r="U206" s="107"/>
      <c r="V206" s="107"/>
      <c r="W206" s="107"/>
      <c r="X206" s="107"/>
    </row>
    <row r="207" spans="1:24" x14ac:dyDescent="0.2">
      <c r="A207" s="131" t="s">
        <v>3358</v>
      </c>
      <c r="B207" s="131">
        <v>18924</v>
      </c>
      <c r="C207" s="307">
        <v>875</v>
      </c>
      <c r="D207" s="145">
        <v>4613</v>
      </c>
      <c r="E207" s="145">
        <v>399</v>
      </c>
      <c r="F207" s="307"/>
      <c r="G207" s="107"/>
      <c r="H207" s="107"/>
      <c r="I207" s="107"/>
      <c r="J207" s="107"/>
      <c r="K207" s="107"/>
      <c r="L207" s="107"/>
      <c r="M207" s="107"/>
      <c r="N207" s="107"/>
      <c r="O207" s="107"/>
      <c r="P207" s="107"/>
      <c r="Q207" s="107"/>
      <c r="R207" s="107"/>
      <c r="S207" s="107"/>
      <c r="T207" s="107"/>
      <c r="U207" s="107"/>
      <c r="V207" s="107"/>
      <c r="W207" s="107"/>
      <c r="X207" s="107"/>
    </row>
    <row r="208" spans="1:24" x14ac:dyDescent="0.2">
      <c r="A208" s="131" t="s">
        <v>3359</v>
      </c>
      <c r="B208" s="131">
        <v>65916</v>
      </c>
      <c r="C208" s="307">
        <v>500</v>
      </c>
      <c r="D208" s="145">
        <v>7774</v>
      </c>
      <c r="E208" s="145"/>
      <c r="F208" s="307"/>
      <c r="G208" s="107"/>
      <c r="H208" s="107"/>
      <c r="I208" s="107"/>
      <c r="J208" s="107"/>
      <c r="K208" s="107"/>
      <c r="L208" s="107"/>
      <c r="M208" s="107"/>
      <c r="N208" s="107"/>
      <c r="O208" s="107"/>
      <c r="P208" s="107"/>
      <c r="Q208" s="107"/>
      <c r="R208" s="107"/>
      <c r="S208" s="107"/>
      <c r="T208" s="107"/>
      <c r="U208" s="107"/>
      <c r="V208" s="107"/>
      <c r="W208" s="107"/>
      <c r="X208" s="107"/>
    </row>
    <row r="209" spans="1:24" x14ac:dyDescent="0.2">
      <c r="A209" s="131" t="s">
        <v>3360</v>
      </c>
      <c r="B209" s="131">
        <v>354912</v>
      </c>
      <c r="C209" s="307">
        <v>280</v>
      </c>
      <c r="D209" s="145">
        <v>393059</v>
      </c>
      <c r="E209" s="145">
        <v>375</v>
      </c>
      <c r="F209" s="307"/>
      <c r="G209" s="107"/>
      <c r="H209" s="107"/>
      <c r="I209" s="107"/>
      <c r="J209" s="107"/>
      <c r="K209" s="107"/>
      <c r="L209" s="107"/>
      <c r="M209" s="107"/>
      <c r="N209" s="107"/>
      <c r="O209" s="107"/>
      <c r="P209" s="107"/>
      <c r="Q209" s="107"/>
      <c r="R209" s="107"/>
      <c r="S209" s="107"/>
      <c r="T209" s="107"/>
      <c r="U209" s="107"/>
      <c r="V209" s="107"/>
      <c r="W209" s="107"/>
      <c r="X209" s="107"/>
    </row>
    <row r="210" spans="1:24" x14ac:dyDescent="0.2">
      <c r="A210" s="131" t="s">
        <v>3361</v>
      </c>
      <c r="B210" s="131">
        <v>33511</v>
      </c>
      <c r="C210" s="307"/>
      <c r="D210" s="145">
        <v>28046</v>
      </c>
      <c r="E210" s="145"/>
      <c r="F210" s="307"/>
      <c r="G210" s="107"/>
      <c r="H210" s="107"/>
      <c r="I210" s="107"/>
      <c r="J210" s="107"/>
      <c r="K210" s="107"/>
      <c r="L210" s="107"/>
      <c r="M210" s="107"/>
      <c r="N210" s="107"/>
      <c r="O210" s="107"/>
      <c r="P210" s="107"/>
      <c r="Q210" s="107"/>
      <c r="R210" s="107"/>
      <c r="S210" s="107"/>
      <c r="T210" s="107"/>
      <c r="U210" s="107"/>
      <c r="V210" s="107"/>
      <c r="W210" s="107"/>
      <c r="X210" s="107"/>
    </row>
    <row r="211" spans="1:24" x14ac:dyDescent="0.2">
      <c r="A211" s="131" t="s">
        <v>3362</v>
      </c>
      <c r="B211" s="131">
        <v>178961</v>
      </c>
      <c r="C211" s="307">
        <v>420</v>
      </c>
      <c r="D211" s="145">
        <v>116979</v>
      </c>
      <c r="E211" s="145">
        <v>505</v>
      </c>
      <c r="F211" s="307"/>
      <c r="G211" s="107"/>
      <c r="H211" s="107"/>
      <c r="I211" s="107"/>
      <c r="J211" s="107"/>
      <c r="K211" s="107"/>
      <c r="L211" s="107"/>
      <c r="M211" s="107"/>
      <c r="N211" s="107"/>
      <c r="O211" s="107"/>
      <c r="P211" s="107"/>
      <c r="Q211" s="107"/>
      <c r="R211" s="107"/>
      <c r="S211" s="107"/>
      <c r="T211" s="107"/>
      <c r="U211" s="107"/>
      <c r="V211" s="107"/>
      <c r="W211" s="107"/>
      <c r="X211" s="107"/>
    </row>
    <row r="212" spans="1:24" x14ac:dyDescent="0.2">
      <c r="A212" s="131" t="s">
        <v>3363</v>
      </c>
      <c r="B212" s="131">
        <v>5660</v>
      </c>
      <c r="C212" s="307"/>
      <c r="D212" s="145">
        <v>1332</v>
      </c>
      <c r="E212" s="145">
        <v>500</v>
      </c>
      <c r="F212" s="307"/>
      <c r="G212" s="107"/>
      <c r="H212" s="107"/>
      <c r="I212" s="107"/>
      <c r="J212" s="107"/>
      <c r="K212" s="107"/>
      <c r="L212" s="107"/>
      <c r="M212" s="107"/>
      <c r="N212" s="107"/>
      <c r="O212" s="107"/>
      <c r="P212" s="107"/>
      <c r="Q212" s="107"/>
      <c r="R212" s="107"/>
      <c r="S212" s="107"/>
      <c r="T212" s="107"/>
      <c r="U212" s="107"/>
      <c r="V212" s="107"/>
      <c r="W212" s="107"/>
      <c r="X212" s="107"/>
    </row>
    <row r="213" spans="1:24" x14ac:dyDescent="0.2">
      <c r="A213" s="131" t="s">
        <v>3364</v>
      </c>
      <c r="B213" s="131">
        <v>1212948</v>
      </c>
      <c r="C213" s="307">
        <v>500</v>
      </c>
      <c r="D213" s="145">
        <v>2345989</v>
      </c>
      <c r="E213" s="145"/>
      <c r="F213" s="307"/>
      <c r="G213" s="107"/>
      <c r="H213" s="107"/>
      <c r="I213" s="107"/>
      <c r="J213" s="107"/>
      <c r="K213" s="107"/>
      <c r="L213" s="107"/>
      <c r="M213" s="107"/>
      <c r="N213" s="107"/>
      <c r="O213" s="107"/>
      <c r="P213" s="107"/>
      <c r="Q213" s="107"/>
      <c r="R213" s="107"/>
      <c r="S213" s="107"/>
      <c r="T213" s="107"/>
      <c r="U213" s="107"/>
      <c r="V213" s="107"/>
      <c r="W213" s="107"/>
      <c r="X213" s="107"/>
    </row>
    <row r="214" spans="1:24" x14ac:dyDescent="0.2">
      <c r="A214" s="131" t="s">
        <v>3365</v>
      </c>
      <c r="B214" s="131">
        <v>4916417</v>
      </c>
      <c r="C214" s="307">
        <v>910</v>
      </c>
      <c r="D214" s="145">
        <v>3236362</v>
      </c>
      <c r="E214" s="145">
        <v>772</v>
      </c>
      <c r="F214" s="133">
        <v>0.5</v>
      </c>
      <c r="G214" s="107"/>
      <c r="H214" s="107"/>
      <c r="I214" s="107"/>
      <c r="J214" s="107"/>
      <c r="K214" s="107"/>
      <c r="L214" s="107"/>
      <c r="M214" s="107"/>
      <c r="N214" s="107"/>
      <c r="O214" s="107"/>
      <c r="P214" s="107"/>
      <c r="Q214" s="107"/>
      <c r="R214" s="107"/>
      <c r="S214" s="107"/>
      <c r="T214" s="107"/>
      <c r="U214" s="107"/>
      <c r="V214" s="107"/>
      <c r="W214" s="107"/>
      <c r="X214" s="107"/>
    </row>
    <row r="215" spans="1:24" x14ac:dyDescent="0.2">
      <c r="A215" s="131" t="s">
        <v>3366</v>
      </c>
      <c r="B215" s="131">
        <v>371754</v>
      </c>
      <c r="C215" s="307">
        <v>750</v>
      </c>
      <c r="D215" s="145">
        <v>67889</v>
      </c>
      <c r="E215" s="145">
        <v>850</v>
      </c>
      <c r="F215" s="307"/>
      <c r="G215" s="107"/>
      <c r="H215" s="107"/>
      <c r="I215" s="107"/>
      <c r="J215" s="107"/>
      <c r="K215" s="107"/>
      <c r="L215" s="107"/>
      <c r="M215" s="107"/>
      <c r="N215" s="107"/>
      <c r="O215" s="107"/>
      <c r="P215" s="107"/>
      <c r="Q215" s="107"/>
      <c r="R215" s="107"/>
      <c r="S215" s="107"/>
      <c r="T215" s="107"/>
      <c r="U215" s="107"/>
      <c r="V215" s="107"/>
      <c r="W215" s="107"/>
      <c r="X215" s="107"/>
    </row>
    <row r="216" spans="1:24" x14ac:dyDescent="0.2">
      <c r="A216" s="131" t="s">
        <v>3367</v>
      </c>
      <c r="B216" s="131">
        <v>1064992</v>
      </c>
      <c r="C216" s="307"/>
      <c r="D216" s="145">
        <v>351795</v>
      </c>
      <c r="E216" s="145">
        <v>410</v>
      </c>
      <c r="F216" s="307"/>
      <c r="G216" s="107"/>
      <c r="H216" s="107"/>
      <c r="I216" s="107"/>
      <c r="J216" s="107"/>
      <c r="K216" s="107"/>
      <c r="L216" s="107"/>
      <c r="M216" s="107"/>
      <c r="N216" s="107"/>
      <c r="O216" s="107"/>
      <c r="P216" s="107"/>
      <c r="Q216" s="107"/>
      <c r="R216" s="107"/>
      <c r="S216" s="107"/>
      <c r="T216" s="107"/>
      <c r="U216" s="107"/>
      <c r="V216" s="107"/>
      <c r="W216" s="107"/>
      <c r="X216" s="107"/>
    </row>
    <row r="217" spans="1:24" x14ac:dyDescent="0.2">
      <c r="A217" s="230" t="s">
        <v>3368</v>
      </c>
      <c r="B217" s="230">
        <v>3582061</v>
      </c>
      <c r="C217" s="364">
        <v>910</v>
      </c>
      <c r="D217" s="309">
        <v>3156172</v>
      </c>
      <c r="E217" s="309">
        <v>26</v>
      </c>
      <c r="F217" s="364"/>
      <c r="G217" s="107"/>
      <c r="J217" s="107"/>
      <c r="K217" s="107"/>
      <c r="L217" s="107"/>
      <c r="M217" s="107"/>
      <c r="N217" s="107"/>
      <c r="O217" s="107"/>
      <c r="P217" s="107"/>
      <c r="Q217" s="107"/>
      <c r="R217" s="107"/>
      <c r="S217" s="107"/>
      <c r="T217" s="107"/>
      <c r="U217" s="107"/>
      <c r="V217" s="107"/>
      <c r="W217" s="107"/>
      <c r="X217" s="107"/>
    </row>
    <row r="218" spans="1:24" x14ac:dyDescent="0.2">
      <c r="A218" s="107"/>
      <c r="B218" s="107">
        <f>SUM(B185:B217)</f>
        <v>23232340</v>
      </c>
      <c r="C218" s="107"/>
      <c r="D218" s="107">
        <f>SUM(D185:D217)</f>
        <v>15986615</v>
      </c>
      <c r="E218" s="107"/>
      <c r="F218" s="107"/>
      <c r="G218" s="107"/>
      <c r="J218" s="107"/>
      <c r="K218" s="107"/>
      <c r="L218" s="107"/>
      <c r="M218" s="107"/>
      <c r="N218" s="107"/>
      <c r="O218" s="107"/>
      <c r="P218" s="107"/>
      <c r="Q218" s="107"/>
      <c r="R218" s="107"/>
      <c r="S218" s="107"/>
      <c r="T218" s="107"/>
      <c r="U218" s="107"/>
      <c r="V218" s="107"/>
      <c r="W218" s="107"/>
      <c r="X218" s="107"/>
    </row>
    <row r="219" spans="1:24" x14ac:dyDescent="0.2">
      <c r="A219" s="107"/>
      <c r="C219" s="107"/>
      <c r="E219" s="107"/>
      <c r="F219" s="107"/>
      <c r="G219" s="107"/>
      <c r="H219" s="107"/>
      <c r="I219" s="107"/>
      <c r="J219" s="107"/>
      <c r="K219" s="107"/>
      <c r="L219" s="107"/>
      <c r="M219" s="107"/>
      <c r="N219" s="107"/>
      <c r="O219" s="107"/>
      <c r="P219" s="107"/>
      <c r="Q219" s="107"/>
      <c r="R219" s="107"/>
      <c r="S219" s="107"/>
      <c r="T219" s="107"/>
      <c r="U219" s="107"/>
      <c r="V219" s="107"/>
      <c r="W219" s="107"/>
      <c r="X219" s="107"/>
    </row>
    <row r="220" spans="1:24" x14ac:dyDescent="0.2">
      <c r="A220" s="107"/>
      <c r="B220" s="107">
        <f>L135</f>
        <v>24001481</v>
      </c>
      <c r="C220" s="107"/>
      <c r="D220" s="107"/>
      <c r="E220" s="107"/>
      <c r="F220" s="107"/>
      <c r="G220" s="107"/>
      <c r="H220" s="107"/>
      <c r="I220" s="107"/>
      <c r="J220" s="107"/>
      <c r="K220" s="107"/>
      <c r="L220" s="107"/>
      <c r="M220" s="107"/>
      <c r="N220" s="107"/>
      <c r="O220" s="107"/>
      <c r="P220" s="107"/>
      <c r="Q220" s="107"/>
      <c r="R220" s="107"/>
      <c r="S220" s="107"/>
      <c r="T220" s="107"/>
      <c r="U220" s="107"/>
      <c r="V220" s="107"/>
      <c r="W220" s="107"/>
      <c r="X220" s="107"/>
    </row>
    <row r="221" spans="1:24" x14ac:dyDescent="0.2">
      <c r="A221" s="526" t="s">
        <v>1957</v>
      </c>
      <c r="B221" s="107"/>
      <c r="C221" s="107"/>
      <c r="D221" s="107"/>
      <c r="E221" s="107"/>
      <c r="F221" s="107"/>
      <c r="G221" s="107"/>
      <c r="H221" s="107"/>
      <c r="I221" s="107"/>
      <c r="J221" s="107"/>
      <c r="K221" s="107"/>
      <c r="L221" s="107"/>
      <c r="M221" s="107"/>
      <c r="N221" s="107"/>
      <c r="O221" s="107"/>
      <c r="P221" s="107"/>
      <c r="Q221" s="107"/>
      <c r="R221" s="107"/>
      <c r="S221" s="107"/>
      <c r="T221" s="107"/>
      <c r="U221" s="107"/>
      <c r="V221" s="107"/>
      <c r="W221" s="107"/>
      <c r="X221" s="107"/>
    </row>
    <row r="222" spans="1:24" ht="28.25" customHeight="1" x14ac:dyDescent="0.2">
      <c r="A222" s="953" t="s">
        <v>3369</v>
      </c>
      <c r="B222" s="954"/>
      <c r="C222" s="954"/>
      <c r="D222" s="954"/>
      <c r="E222" s="954"/>
      <c r="F222" s="954"/>
      <c r="G222" s="954"/>
      <c r="H222" s="954"/>
      <c r="I222" s="954"/>
      <c r="J222" s="954"/>
      <c r="K222" s="954"/>
      <c r="L222" s="954"/>
      <c r="M222" s="954"/>
      <c r="N222" s="954"/>
      <c r="O222" s="955"/>
      <c r="P222" s="107"/>
      <c r="Q222" s="107"/>
      <c r="R222" s="107"/>
      <c r="S222" s="107"/>
      <c r="T222" s="107"/>
      <c r="U222" s="107"/>
      <c r="V222" s="107"/>
      <c r="W222" s="107"/>
      <c r="X222" s="107"/>
    </row>
    <row r="223" spans="1:24" ht="21" customHeight="1" x14ac:dyDescent="0.2">
      <c r="A223" s="967" t="s">
        <v>3254</v>
      </c>
      <c r="B223" s="602" t="s">
        <v>3370</v>
      </c>
      <c r="C223" s="631"/>
      <c r="D223" s="631"/>
      <c r="E223" s="631"/>
      <c r="F223" s="603"/>
      <c r="G223" s="608" t="s">
        <v>3371</v>
      </c>
      <c r="H223" s="778"/>
      <c r="I223" s="778"/>
      <c r="J223" s="778"/>
      <c r="K223" s="778"/>
      <c r="L223" s="778"/>
      <c r="M223" s="778"/>
      <c r="N223" s="778"/>
      <c r="O223" s="609"/>
      <c r="P223" s="107"/>
      <c r="Q223" s="107"/>
      <c r="R223" s="107"/>
      <c r="S223" s="107"/>
      <c r="T223" s="107"/>
      <c r="U223" s="107"/>
      <c r="V223" s="107"/>
      <c r="W223" s="107"/>
      <c r="X223" s="107"/>
    </row>
    <row r="224" spans="1:24" ht="14.5" customHeight="1" x14ac:dyDescent="0.2">
      <c r="A224" s="967"/>
      <c r="B224" s="606"/>
      <c r="C224" s="644"/>
      <c r="D224" s="644"/>
      <c r="E224" s="644"/>
      <c r="F224" s="607"/>
      <c r="G224" s="967" t="s">
        <v>2520</v>
      </c>
      <c r="H224" s="967"/>
      <c r="I224" s="967"/>
      <c r="J224" s="967"/>
      <c r="K224" s="608" t="s">
        <v>2521</v>
      </c>
      <c r="L224" s="778"/>
      <c r="M224" s="778"/>
      <c r="N224" s="778"/>
      <c r="O224" s="609"/>
      <c r="P224" s="107"/>
      <c r="Q224" s="107"/>
      <c r="R224" s="107"/>
      <c r="S224" s="107"/>
      <c r="T224" s="107"/>
      <c r="U224" s="107"/>
      <c r="V224" s="107"/>
      <c r="W224" s="107"/>
      <c r="X224" s="107"/>
    </row>
    <row r="225" spans="1:24" x14ac:dyDescent="0.2">
      <c r="A225" s="967"/>
      <c r="B225" s="967" t="s">
        <v>3224</v>
      </c>
      <c r="C225" s="967"/>
      <c r="D225" s="608" t="s">
        <v>3372</v>
      </c>
      <c r="E225" s="778"/>
      <c r="F225" s="1001"/>
      <c r="G225" s="967" t="s">
        <v>3224</v>
      </c>
      <c r="H225" s="967"/>
      <c r="I225" s="609" t="s">
        <v>3372</v>
      </c>
      <c r="J225" s="967"/>
      <c r="K225" s="967" t="s">
        <v>3224</v>
      </c>
      <c r="L225" s="967"/>
      <c r="M225" s="608" t="s">
        <v>3372</v>
      </c>
      <c r="N225" s="778"/>
      <c r="O225" s="609"/>
      <c r="P225" s="107"/>
      <c r="Q225" s="107"/>
      <c r="R225" s="107"/>
      <c r="S225" s="107"/>
      <c r="T225" s="107"/>
      <c r="U225" s="107"/>
      <c r="V225" s="107"/>
      <c r="W225" s="107"/>
      <c r="X225" s="107"/>
    </row>
    <row r="226" spans="1:24" x14ac:dyDescent="0.2">
      <c r="A226" s="967"/>
      <c r="B226" s="808" t="s">
        <v>3327</v>
      </c>
      <c r="C226" s="808" t="s">
        <v>3282</v>
      </c>
      <c r="D226" s="885" t="s">
        <v>3373</v>
      </c>
      <c r="E226" s="617" t="s">
        <v>3374</v>
      </c>
      <c r="F226" s="618"/>
      <c r="G226" s="808" t="s">
        <v>3327</v>
      </c>
      <c r="H226" s="808" t="s">
        <v>3282</v>
      </c>
      <c r="I226" s="513" t="s">
        <v>3373</v>
      </c>
      <c r="J226" s="808" t="s">
        <v>3374</v>
      </c>
      <c r="K226" s="808" t="s">
        <v>3327</v>
      </c>
      <c r="L226" s="808" t="s">
        <v>3282</v>
      </c>
      <c r="M226" s="513" t="s">
        <v>3373</v>
      </c>
      <c r="N226" s="616" t="s">
        <v>3374</v>
      </c>
      <c r="O226" s="618"/>
      <c r="P226" s="107"/>
      <c r="Q226" s="107"/>
      <c r="R226" s="107"/>
      <c r="S226" s="107"/>
      <c r="T226" s="107"/>
      <c r="U226" s="107"/>
      <c r="V226" s="107"/>
      <c r="W226" s="107"/>
      <c r="X226" s="107"/>
    </row>
    <row r="227" spans="1:24" x14ac:dyDescent="0.2">
      <c r="A227" s="533" t="s">
        <v>1526</v>
      </c>
      <c r="B227" s="131">
        <v>3899836</v>
      </c>
      <c r="C227" s="307"/>
      <c r="D227" s="131">
        <v>239226</v>
      </c>
      <c r="E227" s="145">
        <v>40</v>
      </c>
      <c r="F227" s="307"/>
      <c r="G227" s="131"/>
      <c r="H227" s="307"/>
      <c r="I227" s="145">
        <v>20940</v>
      </c>
      <c r="J227" s="307">
        <v>35</v>
      </c>
      <c r="K227" s="131">
        <v>1911866</v>
      </c>
      <c r="L227" s="307"/>
      <c r="M227" s="145"/>
      <c r="N227" s="145"/>
      <c r="O227" s="307"/>
      <c r="P227" s="107"/>
      <c r="Q227" s="107"/>
      <c r="R227" s="107"/>
      <c r="S227" s="107"/>
      <c r="T227" s="107"/>
      <c r="U227" s="107"/>
      <c r="V227" s="107"/>
      <c r="W227" s="107"/>
      <c r="X227" s="107"/>
    </row>
    <row r="228" spans="1:24" x14ac:dyDescent="0.2">
      <c r="A228" s="533" t="s">
        <v>1373</v>
      </c>
      <c r="B228" s="131">
        <v>3460863</v>
      </c>
      <c r="C228" s="307">
        <v>263</v>
      </c>
      <c r="D228" s="131">
        <v>823902</v>
      </c>
      <c r="E228" s="145">
        <v>53</v>
      </c>
      <c r="F228" s="307"/>
      <c r="G228" s="131"/>
      <c r="H228" s="307"/>
      <c r="I228" s="145"/>
      <c r="J228" s="307"/>
      <c r="K228" s="131">
        <v>1325731</v>
      </c>
      <c r="L228" s="307">
        <v>655</v>
      </c>
      <c r="M228" s="145">
        <v>1996507</v>
      </c>
      <c r="N228" s="145">
        <v>8</v>
      </c>
      <c r="O228" s="307"/>
      <c r="P228" s="107"/>
      <c r="Q228" s="107"/>
      <c r="R228" s="107"/>
      <c r="S228" s="107"/>
      <c r="T228" s="107"/>
      <c r="U228" s="107"/>
      <c r="V228" s="107"/>
      <c r="W228" s="107"/>
      <c r="X228" s="107"/>
    </row>
    <row r="229" spans="1:24" x14ac:dyDescent="0.2">
      <c r="A229" s="533" t="s">
        <v>3264</v>
      </c>
      <c r="B229" s="131">
        <v>16335581</v>
      </c>
      <c r="C229" s="307"/>
      <c r="D229" s="131">
        <v>7104859</v>
      </c>
      <c r="E229" s="145">
        <v>72</v>
      </c>
      <c r="F229" s="307"/>
      <c r="G229" s="131">
        <v>4648087</v>
      </c>
      <c r="H229" s="307"/>
      <c r="I229" s="145">
        <v>4251863</v>
      </c>
      <c r="J229" s="307">
        <v>72</v>
      </c>
      <c r="K229" s="131"/>
      <c r="L229" s="307"/>
      <c r="M229" s="145"/>
      <c r="N229" s="145"/>
      <c r="O229" s="307"/>
      <c r="P229" s="107"/>
      <c r="Q229" s="107"/>
      <c r="R229" s="107"/>
      <c r="S229" s="107"/>
      <c r="T229" s="107"/>
      <c r="U229" s="107"/>
      <c r="V229" s="107"/>
      <c r="W229" s="107"/>
      <c r="X229" s="107"/>
    </row>
    <row r="230" spans="1:24" x14ac:dyDescent="0.2">
      <c r="A230" s="533" t="s">
        <v>1369</v>
      </c>
      <c r="B230" s="131">
        <v>3199770</v>
      </c>
      <c r="C230" s="307"/>
      <c r="D230" s="131">
        <v>482976</v>
      </c>
      <c r="E230" s="145">
        <v>60</v>
      </c>
      <c r="F230" s="307"/>
      <c r="G230" s="131"/>
      <c r="H230" s="307"/>
      <c r="I230" s="145"/>
      <c r="J230" s="307"/>
      <c r="K230" s="131">
        <v>1553029</v>
      </c>
      <c r="L230" s="307"/>
      <c r="M230" s="145">
        <v>57335</v>
      </c>
      <c r="N230" s="145"/>
      <c r="O230" s="307"/>
      <c r="P230" s="107"/>
      <c r="Q230" s="107"/>
      <c r="R230" s="107"/>
      <c r="S230" s="107"/>
      <c r="T230" s="107"/>
      <c r="U230" s="107"/>
      <c r="V230" s="107"/>
      <c r="W230" s="107"/>
      <c r="X230" s="107"/>
    </row>
    <row r="231" spans="1:24" x14ac:dyDescent="0.2">
      <c r="A231" s="533" t="s">
        <v>3265</v>
      </c>
      <c r="B231" s="131"/>
      <c r="C231" s="307"/>
      <c r="D231" s="131"/>
      <c r="E231" s="145"/>
      <c r="F231" s="307"/>
      <c r="G231" s="131"/>
      <c r="H231" s="307"/>
      <c r="I231" s="145"/>
      <c r="J231" s="307"/>
      <c r="K231" s="131"/>
      <c r="L231" s="307"/>
      <c r="M231" s="145"/>
      <c r="N231" s="145"/>
      <c r="O231" s="307"/>
      <c r="P231" s="107"/>
      <c r="Q231" s="107"/>
      <c r="R231" s="107"/>
      <c r="S231" s="107"/>
      <c r="T231" s="107"/>
      <c r="U231" s="107"/>
      <c r="V231" s="107"/>
      <c r="W231" s="107"/>
      <c r="X231" s="107"/>
    </row>
    <row r="232" spans="1:24" x14ac:dyDescent="0.2">
      <c r="A232" s="533" t="s">
        <v>3267</v>
      </c>
      <c r="B232" s="131"/>
      <c r="C232" s="307"/>
      <c r="D232" s="131"/>
      <c r="E232" s="145"/>
      <c r="F232" s="307"/>
      <c r="G232" s="131"/>
      <c r="H232" s="307"/>
      <c r="I232" s="145"/>
      <c r="J232" s="307"/>
      <c r="K232" s="131"/>
      <c r="L232" s="307"/>
      <c r="M232" s="145"/>
      <c r="N232" s="145"/>
      <c r="O232" s="307"/>
      <c r="P232" s="107"/>
      <c r="Q232" s="107"/>
      <c r="R232" s="107"/>
      <c r="S232" s="107"/>
      <c r="T232" s="107"/>
      <c r="U232" s="107"/>
      <c r="V232" s="107"/>
      <c r="W232" s="107"/>
      <c r="X232" s="107"/>
    </row>
    <row r="233" spans="1:24" x14ac:dyDescent="0.2">
      <c r="A233" s="533" t="s">
        <v>1517</v>
      </c>
      <c r="B233" s="131">
        <v>1361169</v>
      </c>
      <c r="C233" s="307"/>
      <c r="D233" s="131">
        <v>728377</v>
      </c>
      <c r="E233" s="145"/>
      <c r="F233" s="307"/>
      <c r="G233" s="131">
        <v>106860</v>
      </c>
      <c r="H233" s="307">
        <v>500</v>
      </c>
      <c r="I233" s="145">
        <v>126359</v>
      </c>
      <c r="J233" s="307">
        <v>20</v>
      </c>
      <c r="K233" s="131"/>
      <c r="L233" s="307"/>
      <c r="M233" s="145"/>
      <c r="N233" s="145"/>
      <c r="O233" s="307"/>
      <c r="P233" s="107"/>
      <c r="Q233" s="107"/>
      <c r="R233" s="107"/>
      <c r="S233" s="107"/>
      <c r="T233" s="107"/>
      <c r="U233" s="107"/>
      <c r="V233" s="107"/>
      <c r="W233" s="107"/>
      <c r="X233" s="107"/>
    </row>
    <row r="234" spans="1:24" x14ac:dyDescent="0.2">
      <c r="A234" s="533" t="s">
        <v>1527</v>
      </c>
      <c r="B234" s="131">
        <v>1309995</v>
      </c>
      <c r="C234" s="307">
        <v>451</v>
      </c>
      <c r="D234" s="131">
        <v>260289</v>
      </c>
      <c r="E234" s="145">
        <v>71</v>
      </c>
      <c r="F234" s="307">
        <v>0.5</v>
      </c>
      <c r="G234" s="131">
        <v>206450</v>
      </c>
      <c r="H234" s="307">
        <v>313</v>
      </c>
      <c r="I234" s="145"/>
      <c r="J234" s="307"/>
      <c r="K234" s="131"/>
      <c r="L234" s="307"/>
      <c r="M234" s="145">
        <v>80858</v>
      </c>
      <c r="N234" s="145">
        <v>58</v>
      </c>
      <c r="O234" s="133">
        <v>0.5</v>
      </c>
      <c r="P234" s="107"/>
      <c r="Q234" s="107"/>
      <c r="R234" s="107"/>
      <c r="S234" s="107"/>
      <c r="T234" s="107"/>
      <c r="U234" s="107"/>
      <c r="V234" s="107"/>
      <c r="W234" s="107"/>
      <c r="X234" s="107"/>
    </row>
    <row r="235" spans="1:24" x14ac:dyDescent="0.2">
      <c r="A235" s="533" t="s">
        <v>3266</v>
      </c>
      <c r="B235" s="131">
        <v>194480</v>
      </c>
      <c r="C235" s="307"/>
      <c r="D235" s="131">
        <v>37235</v>
      </c>
      <c r="E235" s="145">
        <v>40</v>
      </c>
      <c r="F235" s="307"/>
      <c r="G235" s="131">
        <v>118280</v>
      </c>
      <c r="H235" s="307"/>
      <c r="I235" s="145">
        <v>26592</v>
      </c>
      <c r="J235" s="307">
        <v>90</v>
      </c>
      <c r="K235" s="131"/>
      <c r="L235" s="307"/>
      <c r="M235" s="145"/>
      <c r="N235" s="145"/>
      <c r="O235" s="133"/>
      <c r="P235" s="107"/>
      <c r="Q235" s="107"/>
      <c r="R235" s="107"/>
      <c r="S235" s="107"/>
      <c r="T235" s="107"/>
      <c r="U235" s="107"/>
      <c r="V235" s="107"/>
      <c r="W235" s="107"/>
      <c r="X235" s="107"/>
    </row>
    <row r="236" spans="1:24" x14ac:dyDescent="0.2">
      <c r="A236" s="533" t="s">
        <v>1514</v>
      </c>
      <c r="B236" s="131"/>
      <c r="C236" s="307"/>
      <c r="D236" s="131"/>
      <c r="E236" s="145"/>
      <c r="F236" s="307"/>
      <c r="G236" s="131"/>
      <c r="H236" s="307"/>
      <c r="I236" s="145"/>
      <c r="J236" s="307"/>
      <c r="K236" s="131"/>
      <c r="L236" s="307"/>
      <c r="M236" s="145"/>
      <c r="N236" s="145"/>
      <c r="O236" s="133"/>
      <c r="P236" s="107"/>
      <c r="Q236" s="107"/>
      <c r="R236" s="107"/>
      <c r="S236" s="107"/>
      <c r="T236" s="107"/>
      <c r="U236" s="107"/>
      <c r="V236" s="107"/>
      <c r="W236" s="107"/>
      <c r="X236" s="107"/>
    </row>
    <row r="237" spans="1:24" x14ac:dyDescent="0.2">
      <c r="A237" s="533" t="s">
        <v>1519</v>
      </c>
      <c r="B237" s="131">
        <v>4191830</v>
      </c>
      <c r="C237" s="307">
        <v>250</v>
      </c>
      <c r="D237" s="131">
        <v>1283740</v>
      </c>
      <c r="E237" s="145">
        <v>75</v>
      </c>
      <c r="F237" s="307"/>
      <c r="G237" s="131"/>
      <c r="H237" s="307"/>
      <c r="I237" s="145">
        <v>417155</v>
      </c>
      <c r="J237" s="307">
        <v>75</v>
      </c>
      <c r="K237" s="131">
        <v>1277309</v>
      </c>
      <c r="L237" s="307">
        <v>750</v>
      </c>
      <c r="M237" s="145"/>
      <c r="N237" s="145"/>
      <c r="O237" s="133"/>
      <c r="P237" s="107"/>
      <c r="Q237" s="107"/>
      <c r="R237" s="107"/>
      <c r="S237" s="107"/>
      <c r="T237" s="107"/>
      <c r="U237" s="107"/>
      <c r="V237" s="107"/>
      <c r="W237" s="107"/>
      <c r="X237" s="107"/>
    </row>
    <row r="238" spans="1:24" x14ac:dyDescent="0.2">
      <c r="A238" s="535"/>
      <c r="B238" s="240">
        <v>34953524</v>
      </c>
      <c r="C238" s="513">
        <v>964</v>
      </c>
      <c r="D238" s="240">
        <v>10960608</v>
      </c>
      <c r="E238" s="318">
        <v>11</v>
      </c>
      <c r="F238" s="513">
        <v>0.5</v>
      </c>
      <c r="G238" s="240">
        <v>5079677</v>
      </c>
      <c r="H238" s="513">
        <v>813</v>
      </c>
      <c r="I238" s="318">
        <v>4842911</v>
      </c>
      <c r="J238" s="513">
        <v>92</v>
      </c>
      <c r="K238" s="240">
        <v>6067936</v>
      </c>
      <c r="L238" s="513">
        <v>405</v>
      </c>
      <c r="M238" s="318">
        <v>2134700</v>
      </c>
      <c r="N238" s="318">
        <v>66</v>
      </c>
      <c r="O238" s="241">
        <v>0.5</v>
      </c>
      <c r="P238" s="107"/>
      <c r="Q238" s="107"/>
      <c r="R238" s="107"/>
      <c r="S238" s="107"/>
      <c r="T238" s="107"/>
      <c r="U238" s="107"/>
      <c r="V238" s="107"/>
      <c r="W238" s="107"/>
      <c r="X238" s="107"/>
    </row>
    <row r="239" spans="1:24" x14ac:dyDescent="0.2">
      <c r="A239" s="107"/>
      <c r="B239" s="321">
        <f>+SUM(B227:B237)</f>
        <v>33953524</v>
      </c>
      <c r="C239" s="321">
        <f t="shared" ref="C239:O239" si="9">+SUM(C227:C237)</f>
        <v>964</v>
      </c>
      <c r="D239" s="321">
        <f t="shared" si="9"/>
        <v>10960604</v>
      </c>
      <c r="E239" s="321">
        <f t="shared" si="9"/>
        <v>411</v>
      </c>
      <c r="F239" s="321">
        <f t="shared" si="9"/>
        <v>0.5</v>
      </c>
      <c r="G239" s="321">
        <f t="shared" si="9"/>
        <v>5079677</v>
      </c>
      <c r="H239" s="321">
        <f t="shared" si="9"/>
        <v>813</v>
      </c>
      <c r="I239" s="321">
        <f t="shared" si="9"/>
        <v>4842909</v>
      </c>
      <c r="J239" s="321">
        <f t="shared" si="9"/>
        <v>292</v>
      </c>
      <c r="K239" s="321">
        <f t="shared" si="9"/>
        <v>6067935</v>
      </c>
      <c r="L239" s="321">
        <f t="shared" si="9"/>
        <v>1405</v>
      </c>
      <c r="M239" s="321">
        <f t="shared" si="9"/>
        <v>2134700</v>
      </c>
      <c r="N239" s="321">
        <f t="shared" si="9"/>
        <v>66</v>
      </c>
      <c r="O239" s="321">
        <f t="shared" si="9"/>
        <v>0.5</v>
      </c>
      <c r="P239" s="107"/>
      <c r="Q239" s="107"/>
      <c r="R239" s="107"/>
      <c r="S239" s="107"/>
      <c r="T239" s="107"/>
      <c r="U239" s="107"/>
      <c r="V239" s="107"/>
      <c r="W239" s="107"/>
      <c r="X239" s="107"/>
    </row>
    <row r="240" spans="1:24" x14ac:dyDescent="0.2">
      <c r="A240" s="107"/>
      <c r="B240" s="107"/>
      <c r="C240" s="107"/>
      <c r="D240" s="107"/>
      <c r="E240" s="107"/>
      <c r="F240" s="107"/>
      <c r="G240" s="107"/>
      <c r="H240" s="107"/>
      <c r="I240" s="107"/>
      <c r="J240" s="107"/>
      <c r="K240" s="107"/>
      <c r="L240" s="107"/>
      <c r="M240" s="107"/>
      <c r="N240" s="107"/>
      <c r="O240" s="107"/>
      <c r="P240" s="107"/>
      <c r="Q240" s="107"/>
      <c r="R240" s="107"/>
      <c r="S240" s="107"/>
      <c r="T240" s="107"/>
      <c r="U240" s="107"/>
      <c r="V240" s="107"/>
      <c r="W240" s="107"/>
      <c r="X240" s="107"/>
    </row>
    <row r="241" spans="1:24" ht="30" x14ac:dyDescent="0.2">
      <c r="A241" s="1002" t="s">
        <v>3375</v>
      </c>
      <c r="B241" s="318">
        <v>8022</v>
      </c>
      <c r="C241" s="513">
        <v>70</v>
      </c>
      <c r="D241" s="107"/>
      <c r="E241" s="107"/>
      <c r="F241" s="107"/>
      <c r="G241" s="107"/>
      <c r="H241" s="107"/>
      <c r="I241" s="107"/>
      <c r="J241" s="107"/>
      <c r="K241" s="107"/>
      <c r="L241" s="107"/>
      <c r="M241" s="107"/>
      <c r="N241" s="107"/>
      <c r="O241" s="107"/>
      <c r="P241" s="107"/>
      <c r="Q241" s="107"/>
      <c r="R241" s="107"/>
      <c r="S241" s="107"/>
      <c r="T241" s="107"/>
      <c r="U241" s="107"/>
      <c r="V241" s="107"/>
      <c r="W241" s="107"/>
      <c r="X241" s="107"/>
    </row>
    <row r="242" spans="1:24" x14ac:dyDescent="0.2">
      <c r="A242" s="107"/>
      <c r="B242" s="107"/>
      <c r="C242" s="107"/>
      <c r="D242" s="107"/>
      <c r="E242" s="107"/>
      <c r="F242" s="107"/>
      <c r="G242" s="107"/>
      <c r="H242" s="107"/>
      <c r="I242" s="107"/>
      <c r="J242" s="107"/>
      <c r="K242" s="107"/>
      <c r="L242" s="107"/>
      <c r="M242" s="107"/>
      <c r="N242" s="107"/>
      <c r="O242" s="107"/>
      <c r="P242" s="107"/>
      <c r="Q242" s="107"/>
      <c r="R242" s="107"/>
      <c r="S242" s="107"/>
      <c r="T242" s="107"/>
      <c r="U242" s="107"/>
      <c r="V242" s="107"/>
      <c r="W242" s="107"/>
      <c r="X242" s="107"/>
    </row>
    <row r="243" spans="1:24" x14ac:dyDescent="0.2">
      <c r="A243" s="107"/>
      <c r="B243" s="107"/>
      <c r="C243" s="107"/>
      <c r="D243" s="107"/>
      <c r="E243" s="107"/>
      <c r="F243" s="107"/>
      <c r="G243" s="107"/>
      <c r="H243" s="107"/>
      <c r="I243" s="107"/>
      <c r="J243" s="107"/>
      <c r="K243" s="107"/>
      <c r="L243" s="107"/>
      <c r="M243" s="107"/>
      <c r="N243" s="107"/>
      <c r="O243" s="107"/>
      <c r="P243" s="107"/>
      <c r="Q243" s="107"/>
      <c r="R243" s="107"/>
      <c r="S243" s="107"/>
      <c r="T243" s="107"/>
      <c r="U243" s="107"/>
      <c r="V243" s="107"/>
      <c r="W243" s="107"/>
      <c r="X243" s="107"/>
    </row>
    <row r="244" spans="1:24" x14ac:dyDescent="0.2">
      <c r="A244" s="107"/>
      <c r="B244" s="107"/>
      <c r="C244" s="107"/>
      <c r="D244" s="107"/>
      <c r="E244" s="107"/>
      <c r="F244" s="107"/>
      <c r="G244" s="107"/>
      <c r="H244" s="107"/>
      <c r="I244" s="107"/>
      <c r="J244" s="107"/>
      <c r="K244" s="107"/>
      <c r="L244" s="107"/>
      <c r="M244" s="107"/>
      <c r="N244" s="107"/>
      <c r="O244" s="107"/>
      <c r="P244" s="107"/>
      <c r="Q244" s="107"/>
      <c r="R244" s="107"/>
      <c r="S244" s="107"/>
      <c r="T244" s="107"/>
      <c r="U244" s="107"/>
      <c r="V244" s="107"/>
      <c r="W244" s="107"/>
      <c r="X244" s="107"/>
    </row>
    <row r="245" spans="1:24" x14ac:dyDescent="0.2">
      <c r="A245" s="526" t="s">
        <v>1988</v>
      </c>
      <c r="B245" s="107"/>
      <c r="C245" s="107"/>
      <c r="D245" s="107"/>
      <c r="E245" s="107"/>
      <c r="F245" s="107"/>
      <c r="G245" s="107"/>
      <c r="H245" s="107"/>
      <c r="I245" s="107"/>
      <c r="J245" s="107"/>
      <c r="K245" s="107"/>
      <c r="L245" s="107"/>
      <c r="M245" s="107"/>
      <c r="N245" s="107"/>
      <c r="O245" s="107"/>
      <c r="P245" s="107"/>
      <c r="Q245" s="107"/>
      <c r="R245" s="107"/>
      <c r="S245" s="107"/>
      <c r="T245" s="107"/>
      <c r="U245" s="107"/>
      <c r="V245" s="107"/>
      <c r="W245" s="107"/>
      <c r="X245" s="107"/>
    </row>
    <row r="246" spans="1:24" ht="30.5" customHeight="1" x14ac:dyDescent="0.2">
      <c r="A246" s="967" t="s">
        <v>3376</v>
      </c>
      <c r="B246" s="967" t="s">
        <v>3377</v>
      </c>
      <c r="C246" s="967"/>
      <c r="D246" s="967"/>
      <c r="E246" s="107"/>
      <c r="F246" s="107"/>
      <c r="G246" s="107"/>
      <c r="H246" s="107"/>
      <c r="I246" s="107"/>
      <c r="J246" s="107"/>
      <c r="K246" s="107"/>
      <c r="L246" s="107"/>
      <c r="M246" s="107"/>
      <c r="N246" s="107"/>
      <c r="O246" s="107"/>
      <c r="P246" s="107"/>
      <c r="Q246" s="107"/>
      <c r="R246" s="107"/>
      <c r="S246" s="107"/>
      <c r="T246" s="107"/>
      <c r="U246" s="107"/>
      <c r="V246" s="107"/>
      <c r="W246" s="107"/>
      <c r="X246" s="107"/>
    </row>
    <row r="247" spans="1:24" ht="24" customHeight="1" x14ac:dyDescent="0.2">
      <c r="A247" s="608"/>
      <c r="B247" s="751" t="s">
        <v>3378</v>
      </c>
      <c r="C247" s="486" t="s">
        <v>3379</v>
      </c>
      <c r="D247" s="838"/>
      <c r="E247" s="107"/>
      <c r="F247" s="107"/>
      <c r="G247" s="107"/>
      <c r="H247" s="107"/>
      <c r="I247" s="107"/>
      <c r="J247" s="107"/>
      <c r="K247" s="107"/>
      <c r="L247" s="107"/>
      <c r="M247" s="107"/>
      <c r="N247" s="107"/>
      <c r="O247" s="107"/>
      <c r="P247" s="107"/>
      <c r="Q247" s="107"/>
      <c r="R247" s="107"/>
      <c r="S247" s="107"/>
      <c r="T247" s="107"/>
      <c r="U247" s="107"/>
      <c r="V247" s="107"/>
      <c r="W247" s="107"/>
      <c r="X247" s="107"/>
    </row>
    <row r="248" spans="1:24" x14ac:dyDescent="0.2">
      <c r="A248" s="1003">
        <v>1827</v>
      </c>
      <c r="B248" s="533">
        <v>2710</v>
      </c>
      <c r="C248" s="145">
        <v>2400</v>
      </c>
      <c r="D248" s="307"/>
      <c r="E248" s="107"/>
      <c r="F248" s="107"/>
      <c r="G248" s="107"/>
      <c r="H248" s="107"/>
      <c r="I248" s="107"/>
      <c r="J248" s="107"/>
      <c r="K248" s="107"/>
      <c r="L248" s="107"/>
      <c r="M248" s="107"/>
      <c r="N248" s="107"/>
      <c r="O248" s="107"/>
      <c r="P248" s="107"/>
      <c r="Q248" s="107"/>
      <c r="R248" s="107"/>
      <c r="S248" s="107"/>
      <c r="T248" s="107"/>
      <c r="U248" s="107"/>
      <c r="V248" s="107"/>
      <c r="W248" s="107"/>
      <c r="X248" s="107"/>
    </row>
    <row r="249" spans="1:24" x14ac:dyDescent="0.2">
      <c r="A249" s="1003">
        <v>1833</v>
      </c>
      <c r="B249" s="533">
        <v>25344</v>
      </c>
      <c r="C249" s="145"/>
      <c r="D249" s="307"/>
      <c r="E249" s="107"/>
      <c r="F249" s="107"/>
      <c r="G249" s="107"/>
      <c r="H249" s="107"/>
      <c r="I249" s="107"/>
      <c r="J249" s="107"/>
      <c r="K249" s="107"/>
      <c r="L249" s="107"/>
      <c r="M249" s="107"/>
      <c r="N249" s="107"/>
      <c r="O249" s="107"/>
      <c r="P249" s="107"/>
      <c r="Q249" s="107"/>
      <c r="R249" s="107"/>
      <c r="S249" s="107"/>
      <c r="T249" s="107"/>
      <c r="U249" s="107"/>
      <c r="V249" s="107"/>
      <c r="W249" s="107"/>
      <c r="X249" s="107"/>
    </row>
    <row r="250" spans="1:24" x14ac:dyDescent="0.2">
      <c r="A250" s="1003">
        <v>1834</v>
      </c>
      <c r="B250" s="533">
        <v>608</v>
      </c>
      <c r="C250" s="145"/>
      <c r="D250" s="307"/>
      <c r="E250" s="107"/>
      <c r="F250" s="107"/>
      <c r="G250" s="107"/>
      <c r="H250" s="107"/>
      <c r="I250" s="107"/>
      <c r="J250" s="107"/>
      <c r="K250" s="107"/>
      <c r="L250" s="107"/>
      <c r="M250" s="107"/>
      <c r="N250" s="107"/>
      <c r="O250" s="107"/>
      <c r="P250" s="107"/>
      <c r="Q250" s="107"/>
      <c r="R250" s="107"/>
      <c r="S250" s="107"/>
      <c r="T250" s="107"/>
      <c r="U250" s="107"/>
      <c r="V250" s="107"/>
      <c r="W250" s="107"/>
      <c r="X250" s="107"/>
    </row>
    <row r="251" spans="1:24" x14ac:dyDescent="0.2">
      <c r="A251" s="1003">
        <v>1835</v>
      </c>
      <c r="B251" s="533">
        <v>6400</v>
      </c>
      <c r="C251" s="145">
        <v>6400</v>
      </c>
      <c r="D251" s="307"/>
      <c r="E251" s="107"/>
      <c r="F251" s="107"/>
      <c r="G251" s="107"/>
      <c r="H251" s="107"/>
      <c r="I251" s="107"/>
      <c r="J251" s="107"/>
      <c r="K251" s="107"/>
      <c r="L251" s="107"/>
      <c r="M251" s="107"/>
      <c r="N251" s="107"/>
      <c r="O251" s="107"/>
      <c r="P251" s="107"/>
      <c r="Q251" s="107"/>
      <c r="R251" s="107"/>
      <c r="S251" s="107"/>
      <c r="T251" s="107"/>
      <c r="U251" s="107"/>
      <c r="V251" s="107"/>
      <c r="W251" s="107"/>
      <c r="X251" s="107"/>
    </row>
    <row r="252" spans="1:24" x14ac:dyDescent="0.2">
      <c r="A252" s="1003">
        <v>1837</v>
      </c>
      <c r="B252" s="533">
        <v>16640</v>
      </c>
      <c r="C252" s="145"/>
      <c r="D252" s="307"/>
      <c r="E252" s="107"/>
      <c r="F252" s="107"/>
      <c r="G252" s="107"/>
      <c r="H252" s="107"/>
      <c r="I252" s="107"/>
      <c r="J252" s="107"/>
      <c r="K252" s="107"/>
      <c r="L252" s="107"/>
      <c r="M252" s="107"/>
      <c r="N252" s="107"/>
      <c r="O252" s="107"/>
      <c r="P252" s="107"/>
      <c r="Q252" s="107"/>
      <c r="R252" s="107"/>
      <c r="S252" s="107"/>
      <c r="T252" s="107"/>
      <c r="U252" s="107"/>
      <c r="V252" s="107"/>
      <c r="W252" s="107"/>
      <c r="X252" s="107"/>
    </row>
    <row r="253" spans="1:24" x14ac:dyDescent="0.2">
      <c r="A253" s="1003">
        <v>1852</v>
      </c>
      <c r="B253" s="533"/>
      <c r="C253" s="145"/>
      <c r="D253" s="307"/>
      <c r="E253" s="107"/>
      <c r="F253" s="107"/>
      <c r="G253" s="107"/>
      <c r="H253" s="107"/>
      <c r="I253" s="107"/>
      <c r="J253" s="107"/>
      <c r="K253" s="107"/>
      <c r="L253" s="107"/>
      <c r="M253" s="107"/>
      <c r="N253" s="107"/>
      <c r="O253" s="107"/>
      <c r="P253" s="107"/>
      <c r="Q253" s="107"/>
      <c r="R253" s="107"/>
      <c r="S253" s="107"/>
      <c r="T253" s="107"/>
      <c r="U253" s="107"/>
      <c r="V253" s="107"/>
      <c r="W253" s="107"/>
      <c r="X253" s="107"/>
    </row>
    <row r="254" spans="1:24" x14ac:dyDescent="0.2">
      <c r="A254" s="1003">
        <v>1853</v>
      </c>
      <c r="B254" s="533">
        <v>6064</v>
      </c>
      <c r="C254" s="145">
        <v>6400</v>
      </c>
      <c r="D254" s="307"/>
      <c r="E254" s="107"/>
      <c r="F254" s="107"/>
      <c r="G254" s="107"/>
      <c r="H254" s="107"/>
      <c r="I254" s="107"/>
      <c r="J254" s="107"/>
      <c r="K254" s="107"/>
      <c r="L254" s="107"/>
      <c r="M254" s="107"/>
      <c r="N254" s="107"/>
      <c r="O254" s="107"/>
      <c r="P254" s="107"/>
      <c r="Q254" s="107"/>
      <c r="R254" s="107"/>
      <c r="S254" s="107"/>
      <c r="T254" s="107"/>
      <c r="U254" s="107"/>
      <c r="V254" s="107"/>
      <c r="W254" s="107"/>
      <c r="X254" s="107"/>
    </row>
    <row r="255" spans="1:24" x14ac:dyDescent="0.2">
      <c r="A255" s="1003">
        <v>1854</v>
      </c>
      <c r="B255" s="533">
        <v>9687</v>
      </c>
      <c r="C255" s="145">
        <v>400</v>
      </c>
      <c r="D255" s="307"/>
      <c r="E255" s="107"/>
      <c r="F255" s="107"/>
      <c r="G255" s="107"/>
      <c r="H255" s="107"/>
      <c r="I255" s="107"/>
      <c r="J255" s="107"/>
      <c r="K255" s="107"/>
      <c r="L255" s="107"/>
      <c r="M255" s="107"/>
      <c r="N255" s="107"/>
      <c r="O255" s="107"/>
      <c r="P255" s="107"/>
      <c r="Q255" s="107"/>
      <c r="R255" s="107"/>
      <c r="S255" s="107"/>
      <c r="T255" s="107"/>
      <c r="U255" s="107"/>
      <c r="V255" s="107"/>
      <c r="W255" s="107"/>
      <c r="X255" s="107"/>
    </row>
    <row r="256" spans="1:24" x14ac:dyDescent="0.2">
      <c r="A256" s="1003">
        <v>1855</v>
      </c>
      <c r="B256" s="533">
        <v>46670</v>
      </c>
      <c r="C256" s="145">
        <v>719</v>
      </c>
      <c r="D256" s="307"/>
      <c r="E256" s="107"/>
      <c r="F256" s="107"/>
      <c r="G256" s="107"/>
      <c r="H256" s="107"/>
      <c r="I256" s="107"/>
      <c r="J256" s="107"/>
      <c r="K256" s="107"/>
      <c r="L256" s="107"/>
      <c r="M256" s="107"/>
      <c r="N256" s="107"/>
      <c r="O256" s="107"/>
      <c r="P256" s="107"/>
      <c r="Q256" s="107"/>
      <c r="R256" s="107"/>
      <c r="S256" s="107"/>
      <c r="T256" s="107"/>
      <c r="U256" s="107"/>
      <c r="V256" s="107"/>
      <c r="W256" s="107"/>
      <c r="X256" s="107"/>
    </row>
    <row r="257" spans="1:24" x14ac:dyDescent="0.2">
      <c r="A257" s="1003">
        <v>1856</v>
      </c>
      <c r="B257" s="533">
        <v>13598</v>
      </c>
      <c r="C257" s="145">
        <v>8230</v>
      </c>
      <c r="D257" s="307"/>
      <c r="E257" s="107"/>
      <c r="F257" s="107"/>
      <c r="G257" s="107"/>
      <c r="H257" s="107"/>
      <c r="I257" s="107"/>
      <c r="J257" s="107"/>
      <c r="K257" s="107"/>
      <c r="L257" s="107"/>
      <c r="M257" s="107"/>
      <c r="N257" s="107"/>
      <c r="O257" s="107"/>
      <c r="P257" s="107"/>
      <c r="Q257" s="107"/>
      <c r="R257" s="107"/>
      <c r="S257" s="107"/>
      <c r="T257" s="107"/>
      <c r="U257" s="107"/>
      <c r="V257" s="107"/>
      <c r="W257" s="107"/>
      <c r="X257" s="107"/>
    </row>
    <row r="258" spans="1:24" x14ac:dyDescent="0.2">
      <c r="A258" s="1003">
        <v>1857</v>
      </c>
      <c r="B258" s="533">
        <v>33836</v>
      </c>
      <c r="C258" s="145">
        <v>5850</v>
      </c>
      <c r="D258" s="307"/>
      <c r="E258" s="107"/>
      <c r="F258" s="107"/>
      <c r="G258" s="107"/>
      <c r="H258" s="107"/>
      <c r="I258" s="107"/>
      <c r="J258" s="107"/>
      <c r="K258" s="107"/>
      <c r="L258" s="107"/>
      <c r="M258" s="107"/>
      <c r="N258" s="107"/>
      <c r="O258" s="107"/>
      <c r="P258" s="107"/>
      <c r="Q258" s="107"/>
      <c r="R258" s="107"/>
      <c r="S258" s="107"/>
      <c r="T258" s="107"/>
      <c r="U258" s="107"/>
      <c r="V258" s="107"/>
      <c r="W258" s="107"/>
      <c r="X258" s="107"/>
    </row>
    <row r="259" spans="1:24" x14ac:dyDescent="0.2">
      <c r="A259" s="1003">
        <v>1858</v>
      </c>
      <c r="B259" s="533">
        <v>1012</v>
      </c>
      <c r="C259" s="145">
        <v>9320</v>
      </c>
      <c r="D259" s="307"/>
      <c r="E259" s="107"/>
      <c r="F259" s="107"/>
      <c r="G259" s="107"/>
      <c r="H259" s="107"/>
      <c r="I259" s="107"/>
      <c r="J259" s="107"/>
      <c r="K259" s="107"/>
      <c r="L259" s="107"/>
      <c r="M259" s="107"/>
      <c r="N259" s="107"/>
      <c r="O259" s="107"/>
      <c r="P259" s="107"/>
      <c r="Q259" s="107"/>
      <c r="R259" s="107"/>
      <c r="S259" s="107"/>
      <c r="T259" s="107"/>
      <c r="U259" s="107"/>
      <c r="V259" s="107"/>
      <c r="W259" s="107"/>
      <c r="X259" s="107"/>
    </row>
    <row r="260" spans="1:24" x14ac:dyDescent="0.2">
      <c r="A260" s="1003">
        <v>1860</v>
      </c>
      <c r="B260" s="533">
        <v>23645</v>
      </c>
      <c r="C260" s="145">
        <v>3595</v>
      </c>
      <c r="D260" s="307"/>
      <c r="E260" s="107"/>
      <c r="F260" s="107"/>
      <c r="G260" s="107"/>
      <c r="H260" s="107"/>
      <c r="I260" s="107"/>
      <c r="J260" s="107"/>
      <c r="K260" s="107"/>
      <c r="L260" s="107"/>
      <c r="M260" s="107"/>
      <c r="N260" s="107"/>
      <c r="O260" s="107"/>
      <c r="P260" s="107"/>
      <c r="Q260" s="107"/>
      <c r="R260" s="107"/>
      <c r="S260" s="107"/>
      <c r="T260" s="107"/>
      <c r="U260" s="107"/>
      <c r="V260" s="107"/>
      <c r="W260" s="107"/>
      <c r="X260" s="107"/>
    </row>
    <row r="261" spans="1:24" x14ac:dyDescent="0.2">
      <c r="A261" s="1003">
        <v>1864</v>
      </c>
      <c r="B261" s="533">
        <v>13089</v>
      </c>
      <c r="C261" s="145">
        <v>4600</v>
      </c>
      <c r="D261" s="307"/>
      <c r="E261" s="107"/>
      <c r="F261" s="107"/>
      <c r="G261" s="107"/>
      <c r="H261" s="107"/>
      <c r="I261" s="107"/>
      <c r="J261" s="107"/>
      <c r="K261" s="107"/>
      <c r="L261" s="107"/>
      <c r="M261" s="107"/>
      <c r="N261" s="107"/>
      <c r="O261" s="107"/>
      <c r="P261" s="107"/>
      <c r="Q261" s="107"/>
      <c r="R261" s="107"/>
      <c r="S261" s="107"/>
      <c r="T261" s="107"/>
      <c r="U261" s="107"/>
      <c r="V261" s="107"/>
      <c r="W261" s="107"/>
      <c r="X261" s="107"/>
    </row>
    <row r="262" spans="1:24" x14ac:dyDescent="0.2">
      <c r="A262" s="1003">
        <v>1865</v>
      </c>
      <c r="B262" s="533">
        <v>44884</v>
      </c>
      <c r="C262" s="145">
        <v>5812</v>
      </c>
      <c r="D262" s="307"/>
      <c r="E262" s="107"/>
      <c r="F262" s="107"/>
      <c r="G262" s="107"/>
      <c r="H262" s="107"/>
      <c r="I262" s="107"/>
      <c r="J262" s="107"/>
      <c r="K262" s="107"/>
      <c r="L262" s="107"/>
      <c r="M262" s="107"/>
      <c r="N262" s="107"/>
      <c r="O262" s="107"/>
      <c r="P262" s="107"/>
      <c r="Q262" s="107"/>
      <c r="R262" s="107"/>
      <c r="S262" s="107"/>
      <c r="T262" s="107"/>
      <c r="U262" s="107"/>
      <c r="V262" s="107"/>
      <c r="W262" s="107"/>
      <c r="X262" s="107"/>
    </row>
    <row r="263" spans="1:24" x14ac:dyDescent="0.2">
      <c r="A263" s="1003">
        <v>1866</v>
      </c>
      <c r="B263" s="533">
        <v>72336</v>
      </c>
      <c r="C263" s="145"/>
      <c r="D263" s="307"/>
      <c r="E263" s="107"/>
      <c r="F263" s="107"/>
      <c r="G263" s="107"/>
      <c r="H263" s="107"/>
      <c r="I263" s="107"/>
      <c r="J263" s="107"/>
      <c r="K263" s="107"/>
      <c r="L263" s="107"/>
      <c r="M263" s="107"/>
      <c r="N263" s="107"/>
      <c r="O263" s="107"/>
      <c r="P263" s="107"/>
      <c r="Q263" s="107"/>
      <c r="R263" s="107"/>
      <c r="S263" s="107"/>
      <c r="T263" s="107"/>
      <c r="U263" s="107"/>
      <c r="V263" s="107"/>
      <c r="W263" s="107"/>
      <c r="X263" s="107"/>
    </row>
    <row r="264" spans="1:24" x14ac:dyDescent="0.2">
      <c r="A264" s="1003">
        <v>1867</v>
      </c>
      <c r="B264" s="533">
        <v>8366</v>
      </c>
      <c r="C264" s="145">
        <v>2335</v>
      </c>
      <c r="D264" s="307"/>
      <c r="E264" s="107"/>
      <c r="F264" s="107"/>
      <c r="G264" s="107"/>
      <c r="H264" s="107"/>
      <c r="I264" s="107"/>
      <c r="J264" s="107"/>
      <c r="K264" s="107"/>
      <c r="L264" s="107"/>
      <c r="M264" s="107"/>
      <c r="N264" s="107"/>
      <c r="O264" s="107"/>
      <c r="P264" s="107"/>
      <c r="Q264" s="107"/>
      <c r="R264" s="107"/>
      <c r="S264" s="107"/>
      <c r="T264" s="107"/>
      <c r="U264" s="107"/>
      <c r="V264" s="107"/>
      <c r="W264" s="107"/>
      <c r="X264" s="107"/>
    </row>
    <row r="265" spans="1:24" x14ac:dyDescent="0.2">
      <c r="A265" s="1003">
        <v>1868</v>
      </c>
      <c r="B265" s="533">
        <v>25350</v>
      </c>
      <c r="C265" s="145">
        <v>7960</v>
      </c>
      <c r="D265" s="307"/>
      <c r="E265" s="107"/>
      <c r="F265" s="107"/>
      <c r="G265" s="107"/>
      <c r="H265" s="107"/>
      <c r="I265" s="107"/>
      <c r="J265" s="107"/>
      <c r="K265" s="107"/>
      <c r="L265" s="107"/>
      <c r="M265" s="107"/>
      <c r="N265" s="107"/>
      <c r="O265" s="107"/>
      <c r="P265" s="107"/>
      <c r="Q265" s="107"/>
      <c r="R265" s="107"/>
      <c r="S265" s="107"/>
      <c r="T265" s="107"/>
      <c r="U265" s="107"/>
      <c r="V265" s="107"/>
      <c r="W265" s="107"/>
      <c r="X265" s="107"/>
    </row>
    <row r="266" spans="1:24" x14ac:dyDescent="0.2">
      <c r="A266" s="1003">
        <v>1869</v>
      </c>
      <c r="B266" s="533">
        <v>58861</v>
      </c>
      <c r="C266" s="145">
        <v>4473</v>
      </c>
      <c r="D266" s="307"/>
      <c r="E266" s="107"/>
      <c r="F266" s="107"/>
      <c r="G266" s="107"/>
      <c r="H266" s="107"/>
      <c r="I266" s="107"/>
      <c r="J266" s="107"/>
      <c r="K266" s="107"/>
      <c r="L266" s="107"/>
      <c r="M266" s="107"/>
      <c r="N266" s="107"/>
      <c r="O266" s="107"/>
      <c r="P266" s="107"/>
      <c r="Q266" s="107"/>
      <c r="R266" s="107"/>
      <c r="S266" s="107"/>
      <c r="T266" s="107"/>
      <c r="U266" s="107"/>
      <c r="V266" s="107"/>
      <c r="W266" s="107"/>
      <c r="X266" s="107"/>
    </row>
    <row r="267" spans="1:24" x14ac:dyDescent="0.2">
      <c r="A267" s="1003">
        <v>1870</v>
      </c>
      <c r="B267" s="533">
        <v>17399</v>
      </c>
      <c r="C267" s="145">
        <v>3431</v>
      </c>
      <c r="D267" s="307"/>
      <c r="E267" s="107"/>
      <c r="F267" s="107"/>
      <c r="G267" s="107"/>
      <c r="H267" s="107"/>
      <c r="I267" s="107"/>
      <c r="J267" s="107"/>
      <c r="K267" s="107"/>
      <c r="L267" s="107"/>
      <c r="M267" s="107"/>
      <c r="N267" s="107"/>
      <c r="O267" s="107"/>
      <c r="P267" s="107"/>
      <c r="Q267" s="107"/>
      <c r="R267" s="107"/>
      <c r="S267" s="107"/>
      <c r="T267" s="107"/>
      <c r="U267" s="107"/>
      <c r="V267" s="107"/>
      <c r="W267" s="107"/>
      <c r="X267" s="107"/>
    </row>
    <row r="268" spans="1:24" x14ac:dyDescent="0.2">
      <c r="A268" s="1003">
        <v>1871</v>
      </c>
      <c r="B268" s="533">
        <v>36913</v>
      </c>
      <c r="C268" s="145">
        <v>7557</v>
      </c>
      <c r="D268" s="307"/>
      <c r="E268" s="107"/>
      <c r="F268" s="107"/>
      <c r="G268" s="107"/>
      <c r="H268" s="107"/>
      <c r="I268" s="107"/>
      <c r="J268" s="107"/>
      <c r="K268" s="107"/>
      <c r="L268" s="107"/>
      <c r="M268" s="107"/>
      <c r="N268" s="107"/>
      <c r="O268" s="107"/>
      <c r="P268" s="107"/>
      <c r="Q268" s="107"/>
      <c r="R268" s="107"/>
      <c r="S268" s="107"/>
      <c r="T268" s="107"/>
      <c r="U268" s="107"/>
      <c r="V268" s="107"/>
      <c r="W268" s="107"/>
      <c r="X268" s="107"/>
    </row>
    <row r="269" spans="1:24" x14ac:dyDescent="0.2">
      <c r="A269" s="1003">
        <v>1872</v>
      </c>
      <c r="B269" s="533">
        <v>107224</v>
      </c>
      <c r="C269" s="145">
        <v>73</v>
      </c>
      <c r="D269" s="307"/>
      <c r="E269" s="107"/>
      <c r="F269" s="107"/>
      <c r="G269" s="107"/>
      <c r="H269" s="107"/>
      <c r="I269" s="107"/>
      <c r="J269" s="107"/>
      <c r="K269" s="107"/>
      <c r="L269" s="107"/>
      <c r="M269" s="107"/>
      <c r="N269" s="107"/>
      <c r="O269" s="107"/>
      <c r="P269" s="107"/>
      <c r="Q269" s="107"/>
      <c r="R269" s="107"/>
      <c r="S269" s="107"/>
      <c r="T269" s="107"/>
      <c r="U269" s="107"/>
      <c r="V269" s="107"/>
      <c r="W269" s="107"/>
      <c r="X269" s="107"/>
    </row>
    <row r="270" spans="1:24" x14ac:dyDescent="0.2">
      <c r="A270" s="1003">
        <v>1873</v>
      </c>
      <c r="B270" s="533">
        <v>267821</v>
      </c>
      <c r="C270" s="145">
        <v>9982</v>
      </c>
      <c r="D270" s="133">
        <v>0.5</v>
      </c>
      <c r="E270" s="107"/>
      <c r="F270" s="107"/>
      <c r="G270" s="107"/>
      <c r="H270" s="107"/>
      <c r="I270" s="107"/>
      <c r="J270" s="107"/>
      <c r="K270" s="107"/>
      <c r="L270" s="107"/>
      <c r="M270" s="107"/>
      <c r="N270" s="107"/>
      <c r="O270" s="107"/>
      <c r="P270" s="107"/>
      <c r="Q270" s="107"/>
      <c r="R270" s="107"/>
      <c r="S270" s="107"/>
      <c r="T270" s="107"/>
      <c r="U270" s="107"/>
      <c r="V270" s="107"/>
      <c r="W270" s="107"/>
      <c r="X270" s="107"/>
    </row>
    <row r="271" spans="1:24" x14ac:dyDescent="0.2">
      <c r="A271" s="794" t="s">
        <v>1341</v>
      </c>
      <c r="B271" s="808">
        <v>838468</v>
      </c>
      <c r="C271" s="318">
        <v>9537</v>
      </c>
      <c r="D271" s="241">
        <v>0.5</v>
      </c>
      <c r="E271" s="107"/>
      <c r="F271" s="107"/>
      <c r="G271" s="107"/>
      <c r="H271" s="107"/>
      <c r="I271" s="107"/>
      <c r="J271" s="107"/>
      <c r="K271" s="107"/>
      <c r="L271" s="107"/>
      <c r="M271" s="107"/>
      <c r="N271" s="107"/>
      <c r="O271" s="107"/>
      <c r="P271" s="107"/>
      <c r="Q271" s="107"/>
      <c r="R271" s="107"/>
      <c r="S271" s="107"/>
      <c r="T271" s="107"/>
      <c r="U271" s="107"/>
      <c r="V271" s="107"/>
      <c r="W271" s="107"/>
      <c r="X271" s="107"/>
    </row>
    <row r="272" spans="1:24" x14ac:dyDescent="0.2">
      <c r="A272" s="107"/>
      <c r="B272" s="477">
        <f>+SUM(B248:B270)</f>
        <v>838457</v>
      </c>
      <c r="C272" s="321">
        <f>+SUM(C248:C270)</f>
        <v>89537</v>
      </c>
      <c r="D272" s="322">
        <f>+SUM(D248:D270)</f>
        <v>0.5</v>
      </c>
      <c r="E272" s="107"/>
      <c r="F272" s="107"/>
      <c r="G272" s="107"/>
      <c r="H272" s="107"/>
      <c r="I272" s="107"/>
      <c r="J272" s="107"/>
      <c r="K272" s="107"/>
      <c r="L272" s="107"/>
      <c r="M272" s="107"/>
      <c r="N272" s="107"/>
      <c r="O272" s="107"/>
      <c r="P272" s="107"/>
      <c r="Q272" s="107"/>
      <c r="R272" s="107"/>
      <c r="S272" s="107"/>
      <c r="T272" s="107"/>
      <c r="U272" s="107"/>
      <c r="V272" s="107"/>
      <c r="W272" s="107"/>
      <c r="X272" s="107"/>
    </row>
    <row r="273" spans="1:24" x14ac:dyDescent="0.2">
      <c r="A273" s="107"/>
      <c r="B273" s="107"/>
      <c r="C273" s="107"/>
      <c r="D273" s="107"/>
      <c r="E273" s="107"/>
      <c r="F273" s="107"/>
      <c r="G273" s="107"/>
      <c r="H273" s="107"/>
      <c r="I273" s="107"/>
      <c r="J273" s="107"/>
      <c r="K273" s="107"/>
      <c r="L273" s="107"/>
      <c r="M273" s="107"/>
      <c r="N273" s="107"/>
      <c r="O273" s="107"/>
      <c r="P273" s="107"/>
      <c r="Q273" s="107"/>
      <c r="R273" s="107"/>
      <c r="S273" s="107"/>
      <c r="T273" s="107"/>
      <c r="U273" s="107"/>
      <c r="V273" s="107"/>
      <c r="W273" s="107"/>
      <c r="X273" s="107"/>
    </row>
    <row r="274" spans="1:24" x14ac:dyDescent="0.2">
      <c r="A274" s="107"/>
      <c r="B274" s="107"/>
      <c r="C274" s="107"/>
      <c r="D274" s="107"/>
      <c r="E274" s="107"/>
      <c r="F274" s="107"/>
      <c r="G274" s="107"/>
      <c r="H274" s="107"/>
      <c r="I274" s="107"/>
      <c r="J274" s="107"/>
      <c r="K274" s="107"/>
      <c r="L274" s="107"/>
      <c r="M274" s="107"/>
      <c r="N274" s="107"/>
      <c r="O274" s="107"/>
      <c r="P274" s="107"/>
      <c r="Q274" s="107"/>
      <c r="R274" s="107"/>
      <c r="S274" s="107"/>
      <c r="T274" s="107"/>
      <c r="U274" s="107"/>
      <c r="V274" s="107"/>
      <c r="W274" s="107"/>
      <c r="X274" s="107"/>
    </row>
    <row r="275" spans="1:24" x14ac:dyDescent="0.2">
      <c r="A275" s="107"/>
      <c r="B275" s="107"/>
      <c r="C275" s="107"/>
      <c r="D275" s="107"/>
      <c r="E275" s="107"/>
      <c r="F275" s="107"/>
      <c r="G275" s="107"/>
      <c r="H275" s="107"/>
      <c r="I275" s="107"/>
      <c r="J275" s="107"/>
      <c r="K275" s="107"/>
      <c r="L275" s="107"/>
      <c r="M275" s="107"/>
      <c r="N275" s="107"/>
      <c r="O275" s="107"/>
      <c r="P275" s="107"/>
      <c r="Q275" s="107"/>
      <c r="R275" s="107"/>
      <c r="S275" s="107"/>
      <c r="T275" s="107"/>
      <c r="U275" s="107"/>
      <c r="V275" s="107"/>
      <c r="W275" s="107"/>
      <c r="X275" s="107"/>
    </row>
    <row r="276" spans="1:24" x14ac:dyDescent="0.2">
      <c r="A276" s="107"/>
      <c r="B276" s="107"/>
      <c r="C276" s="107"/>
      <c r="D276" s="107"/>
      <c r="E276" s="107"/>
      <c r="F276" s="107"/>
      <c r="G276" s="107"/>
      <c r="H276" s="107"/>
      <c r="I276" s="107"/>
      <c r="J276" s="107"/>
      <c r="K276" s="107"/>
      <c r="L276" s="107"/>
      <c r="M276" s="107"/>
      <c r="N276" s="107"/>
      <c r="O276" s="107"/>
      <c r="P276" s="107"/>
      <c r="Q276" s="107"/>
      <c r="R276" s="107"/>
      <c r="S276" s="107"/>
      <c r="T276" s="107"/>
      <c r="U276" s="107"/>
      <c r="V276" s="107"/>
      <c r="W276" s="107"/>
      <c r="X276" s="107"/>
    </row>
    <row r="277" spans="1:24" x14ac:dyDescent="0.2">
      <c r="A277" s="107"/>
      <c r="B277" s="107"/>
      <c r="C277" s="107"/>
      <c r="D277" s="107"/>
      <c r="E277" s="107"/>
      <c r="F277" s="107"/>
      <c r="G277" s="107"/>
      <c r="H277" s="107"/>
      <c r="I277" s="107"/>
      <c r="J277" s="107"/>
      <c r="K277" s="107"/>
      <c r="L277" s="107"/>
      <c r="M277" s="107"/>
      <c r="N277" s="107"/>
      <c r="O277" s="107"/>
      <c r="P277" s="107"/>
      <c r="Q277" s="107"/>
      <c r="R277" s="107"/>
      <c r="S277" s="107"/>
      <c r="T277" s="107"/>
      <c r="U277" s="107"/>
      <c r="V277" s="107"/>
      <c r="W277" s="107"/>
      <c r="X277" s="107"/>
    </row>
    <row r="278" spans="1:24" x14ac:dyDescent="0.2">
      <c r="A278" s="107"/>
      <c r="B278" s="107"/>
      <c r="C278" s="107"/>
      <c r="D278" s="107"/>
      <c r="E278" s="107"/>
      <c r="F278" s="107"/>
      <c r="G278" s="107"/>
      <c r="H278" s="107"/>
      <c r="I278" s="107"/>
      <c r="J278" s="107"/>
      <c r="K278" s="107"/>
      <c r="L278" s="107"/>
      <c r="M278" s="107"/>
      <c r="N278" s="107"/>
      <c r="O278" s="107"/>
      <c r="P278" s="107"/>
      <c r="Q278" s="107"/>
      <c r="R278" s="107"/>
      <c r="S278" s="107"/>
      <c r="T278" s="107"/>
      <c r="U278" s="107"/>
      <c r="V278" s="107"/>
      <c r="W278" s="107"/>
      <c r="X278" s="107"/>
    </row>
    <row r="279" spans="1:24" x14ac:dyDescent="0.2">
      <c r="A279" s="107"/>
      <c r="B279" s="107"/>
      <c r="C279" s="107"/>
      <c r="D279" s="107"/>
      <c r="E279" s="107"/>
      <c r="F279" s="107"/>
      <c r="G279" s="107"/>
      <c r="H279" s="107"/>
      <c r="I279" s="107"/>
      <c r="J279" s="107"/>
      <c r="K279" s="107"/>
      <c r="L279" s="107"/>
      <c r="M279" s="107"/>
      <c r="N279" s="107"/>
      <c r="O279" s="107"/>
      <c r="P279" s="107"/>
      <c r="Q279" s="107"/>
      <c r="R279" s="107"/>
      <c r="S279" s="107"/>
      <c r="T279" s="107"/>
      <c r="U279" s="107"/>
      <c r="V279" s="107"/>
      <c r="W279" s="107"/>
      <c r="X279" s="107"/>
    </row>
  </sheetData>
  <mergeCells count="151">
    <mergeCell ref="K225:L225"/>
    <mergeCell ref="M225:O225"/>
    <mergeCell ref="E226:F226"/>
    <mergeCell ref="N226:O226"/>
    <mergeCell ref="A246:A247"/>
    <mergeCell ref="B246:D246"/>
    <mergeCell ref="C247:D247"/>
    <mergeCell ref="A222:O222"/>
    <mergeCell ref="A223:A226"/>
    <mergeCell ref="B223:F224"/>
    <mergeCell ref="G223:O223"/>
    <mergeCell ref="G224:J224"/>
    <mergeCell ref="K224:O224"/>
    <mergeCell ref="B225:C225"/>
    <mergeCell ref="D225:E225"/>
    <mergeCell ref="G225:H225"/>
    <mergeCell ref="I225:J225"/>
    <mergeCell ref="D177:E177"/>
    <mergeCell ref="F177:G177"/>
    <mergeCell ref="A182:F182"/>
    <mergeCell ref="A183:A184"/>
    <mergeCell ref="B183:C183"/>
    <mergeCell ref="D183:F183"/>
    <mergeCell ref="E184:F184"/>
    <mergeCell ref="A163:G163"/>
    <mergeCell ref="A164:A165"/>
    <mergeCell ref="B164:C165"/>
    <mergeCell ref="D164:G164"/>
    <mergeCell ref="D165:E165"/>
    <mergeCell ref="F165:G165"/>
    <mergeCell ref="Q142:R142"/>
    <mergeCell ref="S142:T142"/>
    <mergeCell ref="U142:V142"/>
    <mergeCell ref="W142:X142"/>
    <mergeCell ref="E158:F158"/>
    <mergeCell ref="I158:J158"/>
    <mergeCell ref="M158:N158"/>
    <mergeCell ref="Q158:R158"/>
    <mergeCell ref="U158:V158"/>
    <mergeCell ref="I141:L141"/>
    <mergeCell ref="M141:P141"/>
    <mergeCell ref="Q141:T141"/>
    <mergeCell ref="B142:C142"/>
    <mergeCell ref="E142:F142"/>
    <mergeCell ref="G142:H142"/>
    <mergeCell ref="I142:J142"/>
    <mergeCell ref="K142:L142"/>
    <mergeCell ref="M142:N142"/>
    <mergeCell ref="O142:P142"/>
    <mergeCell ref="A139:X139"/>
    <mergeCell ref="A140:A143"/>
    <mergeCell ref="B140:D140"/>
    <mergeCell ref="E140:H140"/>
    <mergeCell ref="I140:L140"/>
    <mergeCell ref="M140:P140"/>
    <mergeCell ref="Q140:T140"/>
    <mergeCell ref="U140:X141"/>
    <mergeCell ref="B141:D141"/>
    <mergeCell ref="E141:H141"/>
    <mergeCell ref="J119:K120"/>
    <mergeCell ref="L119:M120"/>
    <mergeCell ref="B120:C120"/>
    <mergeCell ref="D120:E120"/>
    <mergeCell ref="F120:G120"/>
    <mergeCell ref="H120:I120"/>
    <mergeCell ref="I98:J98"/>
    <mergeCell ref="B113:C113"/>
    <mergeCell ref="F113:G113"/>
    <mergeCell ref="H113:I113"/>
    <mergeCell ref="A118:M118"/>
    <mergeCell ref="A119:A121"/>
    <mergeCell ref="B119:C119"/>
    <mergeCell ref="D119:E119"/>
    <mergeCell ref="F119:G119"/>
    <mergeCell ref="H119:I119"/>
    <mergeCell ref="V91:W91"/>
    <mergeCell ref="Z91:AB91"/>
    <mergeCell ref="AE91:AF91"/>
    <mergeCell ref="A96:J96"/>
    <mergeCell ref="A97:A98"/>
    <mergeCell ref="B97:E97"/>
    <mergeCell ref="F97:J97"/>
    <mergeCell ref="B98:C98"/>
    <mergeCell ref="D98:E98"/>
    <mergeCell ref="F98:H98"/>
    <mergeCell ref="AE78:AF78"/>
    <mergeCell ref="AG78:AH78"/>
    <mergeCell ref="B91:C91"/>
    <mergeCell ref="E91:F91"/>
    <mergeCell ref="G91:H91"/>
    <mergeCell ref="I91:J91"/>
    <mergeCell ref="L91:M91"/>
    <mergeCell ref="O91:P91"/>
    <mergeCell ref="Q91:R91"/>
    <mergeCell ref="S91:T91"/>
    <mergeCell ref="Q78:S78"/>
    <mergeCell ref="T78:U78"/>
    <mergeCell ref="V78:W78"/>
    <mergeCell ref="X78:Y78"/>
    <mergeCell ref="Z78:AB78"/>
    <mergeCell ref="AC78:AD78"/>
    <mergeCell ref="B78:D78"/>
    <mergeCell ref="E78:F78"/>
    <mergeCell ref="G78:I78"/>
    <mergeCell ref="J78:K78"/>
    <mergeCell ref="L78:N78"/>
    <mergeCell ref="O78:P78"/>
    <mergeCell ref="A76:A78"/>
    <mergeCell ref="B76:K76"/>
    <mergeCell ref="L76:U76"/>
    <mergeCell ref="V76:Y77"/>
    <mergeCell ref="Z76:AD77"/>
    <mergeCell ref="AE76:AH77"/>
    <mergeCell ref="B77:F77"/>
    <mergeCell ref="G77:K77"/>
    <mergeCell ref="L77:P77"/>
    <mergeCell ref="Q77:U77"/>
    <mergeCell ref="U59:V60"/>
    <mergeCell ref="B60:D60"/>
    <mergeCell ref="E60:G60"/>
    <mergeCell ref="H60:J60"/>
    <mergeCell ref="K60:M60"/>
    <mergeCell ref="A75:AF75"/>
    <mergeCell ref="A53:F53"/>
    <mergeCell ref="G53:H53"/>
    <mergeCell ref="I53:J53"/>
    <mergeCell ref="A58:V58"/>
    <mergeCell ref="A59:A60"/>
    <mergeCell ref="B59:G59"/>
    <mergeCell ref="H59:M59"/>
    <mergeCell ref="N59:O60"/>
    <mergeCell ref="P59:Q60"/>
    <mergeCell ref="R59:T60"/>
    <mergeCell ref="G32:I32"/>
    <mergeCell ref="J32:K32"/>
    <mergeCell ref="L32:N32"/>
    <mergeCell ref="A50:K50"/>
    <mergeCell ref="B51:C51"/>
    <mergeCell ref="D51:F51"/>
    <mergeCell ref="G51:I51"/>
    <mergeCell ref="J51:K51"/>
    <mergeCell ref="A4:B4"/>
    <mergeCell ref="A15:B15"/>
    <mergeCell ref="A30:V30"/>
    <mergeCell ref="A31:A32"/>
    <mergeCell ref="B31:N31"/>
    <mergeCell ref="O31:Q32"/>
    <mergeCell ref="R31:S32"/>
    <mergeCell ref="T31:V32"/>
    <mergeCell ref="B32:C32"/>
    <mergeCell ref="D32:F32"/>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63"/>
  <sheetViews>
    <sheetView workbookViewId="0">
      <selection activeCell="B1" sqref="B1"/>
    </sheetView>
  </sheetViews>
  <sheetFormatPr baseColWidth="10" defaultRowHeight="15" x14ac:dyDescent="0.2"/>
  <cols>
    <col min="1" max="1" width="45.1640625" style="106" customWidth="1"/>
    <col min="2" max="2" width="10.83203125" style="106"/>
    <col min="3" max="3" width="9.83203125" style="106" customWidth="1"/>
    <col min="4" max="4" width="8.83203125" style="106" customWidth="1"/>
    <col min="5" max="5" width="7.1640625" style="106" customWidth="1"/>
    <col min="6" max="6" width="10.83203125" style="106"/>
    <col min="7" max="7" width="5.83203125" style="106" customWidth="1"/>
    <col min="8" max="8" width="10.83203125" style="106"/>
    <col min="9" max="9" width="4.1640625" style="106" customWidth="1"/>
    <col min="10" max="10" width="10.83203125" style="106"/>
    <col min="11" max="11" width="4.1640625" style="106" customWidth="1"/>
    <col min="12" max="12" width="10.83203125" style="106"/>
    <col min="13" max="13" width="5.83203125" style="106" customWidth="1"/>
    <col min="14" max="14" width="4.83203125" style="106" customWidth="1"/>
    <col min="15" max="15" width="11.6640625" style="106" customWidth="1"/>
    <col min="16" max="16" width="6.33203125" style="106" customWidth="1"/>
    <col min="17" max="17" width="4.83203125" style="106" customWidth="1"/>
    <col min="18" max="18" width="11.6640625" style="106" customWidth="1"/>
    <col min="19" max="19" width="5" style="106" customWidth="1"/>
    <col min="20" max="20" width="4.83203125" style="106" customWidth="1"/>
    <col min="21" max="21" width="11.6640625" style="106" customWidth="1"/>
    <col min="22" max="22" width="5" style="106" customWidth="1"/>
    <col min="23" max="23" width="4.83203125" style="106" customWidth="1"/>
    <col min="24" max="24" width="11.6640625" style="106" customWidth="1"/>
    <col min="25" max="25" width="5" style="106" customWidth="1"/>
    <col min="26" max="26" width="7" style="106" customWidth="1"/>
    <col min="27" max="27" width="11.6640625" style="106" customWidth="1"/>
    <col min="28" max="28" width="5" style="106" customWidth="1"/>
    <col min="29" max="29" width="4.83203125" style="106" customWidth="1"/>
    <col min="30" max="30" width="11.6640625" style="106" customWidth="1"/>
    <col min="31" max="31" width="5" style="106" customWidth="1"/>
    <col min="32" max="32" width="6.33203125" style="106" customWidth="1"/>
    <col min="33" max="16384" width="10.83203125" style="106"/>
  </cols>
  <sheetData>
    <row r="1" spans="1:32" x14ac:dyDescent="0.2">
      <c r="A1" s="458" t="s">
        <v>3380</v>
      </c>
    </row>
    <row r="3" spans="1:32" x14ac:dyDescent="0.2">
      <c r="A3" s="526" t="s">
        <v>1111</v>
      </c>
      <c r="B3" s="107"/>
      <c r="C3" s="107"/>
      <c r="D3" s="107"/>
      <c r="E3" s="107"/>
      <c r="F3" s="107"/>
      <c r="G3" s="107"/>
      <c r="H3" s="107"/>
      <c r="I3" s="107"/>
      <c r="J3" s="107"/>
      <c r="K3" s="107"/>
      <c r="L3" s="107"/>
      <c r="M3" s="107"/>
      <c r="N3" s="107"/>
      <c r="O3" s="107"/>
      <c r="P3" s="107"/>
      <c r="Q3" s="107"/>
      <c r="R3" s="107"/>
      <c r="S3" s="107"/>
      <c r="T3" s="107"/>
      <c r="U3" s="107"/>
      <c r="V3" s="107"/>
      <c r="W3" s="107"/>
      <c r="X3" s="107"/>
      <c r="Y3" s="107"/>
      <c r="Z3" s="107"/>
      <c r="AA3" s="107"/>
      <c r="AB3" s="107"/>
      <c r="AC3" s="107"/>
      <c r="AD3" s="107"/>
      <c r="AE3" s="107"/>
      <c r="AF3" s="107"/>
    </row>
    <row r="4" spans="1:32" ht="38" customHeight="1" x14ac:dyDescent="0.2">
      <c r="A4" s="1004" t="s">
        <v>3381</v>
      </c>
      <c r="B4" s="1005"/>
      <c r="C4" s="1006"/>
      <c r="D4" s="107"/>
      <c r="E4" s="107"/>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row>
    <row r="5" spans="1:32" ht="42.5" customHeight="1" x14ac:dyDescent="0.2">
      <c r="A5" s="1007" t="s">
        <v>3382</v>
      </c>
      <c r="B5" s="1008">
        <v>1177600</v>
      </c>
      <c r="C5" s="1009"/>
      <c r="D5" s="107"/>
      <c r="E5" s="107"/>
      <c r="F5" s="107"/>
      <c r="G5" s="107"/>
      <c r="H5" s="107"/>
      <c r="I5" s="107"/>
      <c r="J5" s="107"/>
      <c r="K5" s="107"/>
      <c r="L5" s="107"/>
      <c r="M5" s="107"/>
      <c r="N5" s="107"/>
      <c r="O5" s="107"/>
      <c r="P5" s="107"/>
      <c r="Q5" s="107"/>
      <c r="R5" s="107"/>
      <c r="S5" s="107"/>
      <c r="T5" s="107"/>
      <c r="U5" s="107"/>
      <c r="V5" s="107"/>
      <c r="W5" s="107"/>
      <c r="X5" s="107"/>
      <c r="Y5" s="107"/>
      <c r="Z5" s="107"/>
      <c r="AA5" s="107"/>
      <c r="AB5" s="107"/>
      <c r="AC5" s="107"/>
      <c r="AD5" s="107"/>
      <c r="AE5" s="107"/>
      <c r="AF5" s="107"/>
    </row>
    <row r="6" spans="1:32" ht="30" x14ac:dyDescent="0.2">
      <c r="A6" s="539" t="s">
        <v>3383</v>
      </c>
      <c r="B6" s="145">
        <v>3921000</v>
      </c>
      <c r="C6" s="307"/>
      <c r="D6" s="107"/>
      <c r="E6" s="107"/>
      <c r="F6" s="107"/>
      <c r="G6" s="107"/>
      <c r="H6" s="107"/>
      <c r="I6" s="107"/>
      <c r="J6" s="107"/>
      <c r="K6" s="107"/>
      <c r="L6" s="107"/>
      <c r="M6" s="107"/>
      <c r="N6" s="107"/>
      <c r="O6" s="107"/>
      <c r="P6" s="107"/>
      <c r="Q6" s="107"/>
      <c r="R6" s="107"/>
      <c r="S6" s="107"/>
      <c r="T6" s="107"/>
      <c r="U6" s="107"/>
      <c r="V6" s="107"/>
      <c r="W6" s="107"/>
      <c r="X6" s="107"/>
      <c r="Y6" s="107"/>
      <c r="Z6" s="107"/>
      <c r="AA6" s="107"/>
      <c r="AB6" s="107"/>
      <c r="AC6" s="107"/>
      <c r="AD6" s="107"/>
      <c r="AE6" s="107"/>
      <c r="AF6" s="107"/>
    </row>
    <row r="7" spans="1:32" ht="16" thickBot="1" x14ac:dyDescent="0.25">
      <c r="A7" s="622" t="s">
        <v>3384</v>
      </c>
      <c r="B7" s="362">
        <v>5098600</v>
      </c>
      <c r="C7" s="363"/>
      <c r="D7" s="107"/>
      <c r="E7" s="107"/>
      <c r="F7" s="107"/>
      <c r="G7" s="107"/>
      <c r="H7" s="107"/>
      <c r="I7" s="107"/>
      <c r="J7" s="107"/>
      <c r="K7" s="107"/>
      <c r="L7" s="107"/>
      <c r="M7" s="107"/>
      <c r="N7" s="107"/>
      <c r="O7" s="107"/>
      <c r="P7" s="107"/>
      <c r="Q7" s="107"/>
      <c r="R7" s="107"/>
      <c r="S7" s="107"/>
      <c r="T7" s="107"/>
      <c r="U7" s="107"/>
      <c r="V7" s="107"/>
      <c r="W7" s="107"/>
      <c r="X7" s="107"/>
      <c r="Y7" s="107"/>
      <c r="Z7" s="107"/>
      <c r="AA7" s="107"/>
      <c r="AB7" s="107"/>
      <c r="AC7" s="107"/>
      <c r="AD7" s="107"/>
      <c r="AE7" s="107"/>
      <c r="AF7" s="107"/>
    </row>
    <row r="8" spans="1:32" ht="16" thickTop="1" x14ac:dyDescent="0.2">
      <c r="A8" s="131" t="s">
        <v>3385</v>
      </c>
      <c r="B8" s="145"/>
      <c r="C8" s="307"/>
      <c r="D8" s="107"/>
      <c r="E8" s="107"/>
      <c r="F8" s="107"/>
      <c r="G8" s="107"/>
      <c r="H8" s="107"/>
      <c r="I8" s="107"/>
      <c r="J8" s="107"/>
      <c r="K8" s="107"/>
      <c r="L8" s="107"/>
      <c r="M8" s="107"/>
      <c r="N8" s="107"/>
      <c r="O8" s="107"/>
      <c r="P8" s="107"/>
      <c r="Q8" s="107"/>
      <c r="R8" s="107"/>
      <c r="S8" s="107"/>
      <c r="T8" s="107"/>
      <c r="U8" s="107"/>
      <c r="V8" s="107"/>
      <c r="W8" s="107"/>
      <c r="X8" s="107"/>
      <c r="Y8" s="107"/>
      <c r="Z8" s="107"/>
      <c r="AA8" s="107"/>
      <c r="AB8" s="107"/>
      <c r="AC8" s="107"/>
      <c r="AD8" s="107"/>
      <c r="AE8" s="107"/>
      <c r="AF8" s="107"/>
    </row>
    <row r="9" spans="1:32" x14ac:dyDescent="0.2">
      <c r="A9" s="131" t="s">
        <v>1174</v>
      </c>
      <c r="B9" s="145">
        <v>2811000</v>
      </c>
      <c r="C9" s="307"/>
      <c r="D9" s="107"/>
      <c r="E9" s="107"/>
      <c r="F9" s="107"/>
      <c r="G9" s="107"/>
      <c r="H9" s="107"/>
      <c r="I9" s="107"/>
      <c r="J9" s="107"/>
      <c r="K9" s="107"/>
      <c r="L9" s="107"/>
      <c r="M9" s="107"/>
      <c r="N9" s="107"/>
      <c r="O9" s="107"/>
      <c r="P9" s="107"/>
      <c r="Q9" s="107"/>
      <c r="R9" s="107"/>
      <c r="S9" s="107"/>
      <c r="T9" s="107"/>
      <c r="U9" s="107"/>
      <c r="V9" s="107"/>
      <c r="W9" s="107"/>
      <c r="X9" s="107"/>
      <c r="Y9" s="107"/>
      <c r="Z9" s="107"/>
      <c r="AA9" s="107"/>
      <c r="AB9" s="107"/>
      <c r="AC9" s="107"/>
      <c r="AD9" s="107"/>
      <c r="AE9" s="107"/>
      <c r="AF9" s="107"/>
    </row>
    <row r="10" spans="1:32" x14ac:dyDescent="0.2">
      <c r="A10" s="131" t="s">
        <v>1569</v>
      </c>
      <c r="B10" s="145">
        <v>656000</v>
      </c>
      <c r="C10" s="307"/>
      <c r="D10" s="107"/>
      <c r="E10" s="107"/>
      <c r="F10" s="107"/>
      <c r="G10" s="107"/>
      <c r="H10" s="107"/>
      <c r="I10" s="107"/>
      <c r="J10" s="107"/>
      <c r="K10" s="107"/>
      <c r="L10" s="107"/>
      <c r="M10" s="107"/>
      <c r="N10" s="107"/>
      <c r="O10" s="107"/>
      <c r="P10" s="107"/>
      <c r="Q10" s="107"/>
      <c r="R10" s="107"/>
      <c r="S10" s="107"/>
      <c r="T10" s="107"/>
      <c r="U10" s="107"/>
      <c r="V10" s="107"/>
      <c r="W10" s="107"/>
      <c r="X10" s="107"/>
      <c r="Y10" s="107"/>
      <c r="Z10" s="107"/>
      <c r="AA10" s="107"/>
      <c r="AB10" s="107"/>
      <c r="AC10" s="107"/>
      <c r="AD10" s="107"/>
      <c r="AE10" s="107"/>
      <c r="AF10" s="107"/>
    </row>
    <row r="11" spans="1:32" x14ac:dyDescent="0.2">
      <c r="A11" s="131" t="s">
        <v>1991</v>
      </c>
      <c r="B11" s="145">
        <v>250000</v>
      </c>
      <c r="C11" s="307"/>
      <c r="D11" s="107"/>
      <c r="E11" s="107"/>
      <c r="F11" s="107"/>
      <c r="G11" s="107"/>
      <c r="H11" s="107"/>
      <c r="I11" s="107"/>
      <c r="J11" s="107"/>
      <c r="K11" s="107"/>
      <c r="L11" s="107"/>
      <c r="M11" s="107"/>
      <c r="N11" s="107"/>
      <c r="O11" s="107"/>
      <c r="P11" s="107"/>
      <c r="Q11" s="107"/>
      <c r="R11" s="107"/>
      <c r="S11" s="107"/>
      <c r="T11" s="107"/>
      <c r="U11" s="107"/>
      <c r="V11" s="107"/>
      <c r="W11" s="107"/>
      <c r="X11" s="107"/>
      <c r="Y11" s="107"/>
      <c r="Z11" s="107"/>
      <c r="AA11" s="107"/>
      <c r="AB11" s="107"/>
      <c r="AC11" s="107"/>
      <c r="AD11" s="107"/>
      <c r="AE11" s="107"/>
      <c r="AF11" s="107"/>
    </row>
    <row r="12" spans="1:32" x14ac:dyDescent="0.2">
      <c r="A12" s="131" t="s">
        <v>1175</v>
      </c>
      <c r="B12" s="145">
        <v>63000</v>
      </c>
      <c r="C12" s="307"/>
      <c r="D12" s="107"/>
      <c r="E12" s="107"/>
      <c r="F12" s="107"/>
      <c r="G12" s="107"/>
      <c r="H12" s="107"/>
      <c r="I12" s="107"/>
      <c r="J12" s="107"/>
      <c r="K12" s="107"/>
      <c r="L12" s="107"/>
      <c r="M12" s="107"/>
      <c r="N12" s="107"/>
      <c r="O12" s="107"/>
      <c r="P12" s="107"/>
      <c r="Q12" s="107"/>
      <c r="R12" s="107"/>
      <c r="S12" s="107"/>
      <c r="T12" s="107"/>
      <c r="U12" s="107"/>
      <c r="V12" s="107"/>
      <c r="W12" s="107"/>
      <c r="X12" s="107"/>
      <c r="Y12" s="107"/>
      <c r="Z12" s="107"/>
      <c r="AA12" s="107"/>
      <c r="AB12" s="107"/>
      <c r="AC12" s="107"/>
      <c r="AD12" s="107"/>
      <c r="AE12" s="107"/>
      <c r="AF12" s="107"/>
    </row>
    <row r="13" spans="1:32" x14ac:dyDescent="0.2">
      <c r="A13" s="131" t="s">
        <v>3287</v>
      </c>
      <c r="B13" s="145">
        <v>20000</v>
      </c>
      <c r="C13" s="307"/>
      <c r="D13" s="107"/>
      <c r="E13" s="107"/>
      <c r="F13" s="107"/>
      <c r="G13" s="107"/>
      <c r="H13" s="107"/>
      <c r="I13" s="107"/>
      <c r="J13" s="107"/>
      <c r="K13" s="107"/>
      <c r="L13" s="107"/>
      <c r="M13" s="107"/>
      <c r="N13" s="107"/>
      <c r="O13" s="107"/>
      <c r="P13" s="107"/>
      <c r="Q13" s="107"/>
      <c r="R13" s="107"/>
      <c r="S13" s="107"/>
      <c r="T13" s="107"/>
      <c r="U13" s="107"/>
      <c r="V13" s="107"/>
      <c r="W13" s="107"/>
      <c r="X13" s="107"/>
      <c r="Y13" s="107"/>
      <c r="Z13" s="107"/>
      <c r="AA13" s="107"/>
      <c r="AB13" s="107"/>
      <c r="AC13" s="107"/>
      <c r="AD13" s="107"/>
      <c r="AE13" s="107"/>
      <c r="AF13" s="107"/>
    </row>
    <row r="14" spans="1:32" x14ac:dyDescent="0.2">
      <c r="A14" s="131" t="s">
        <v>3386</v>
      </c>
      <c r="B14" s="145">
        <v>19000</v>
      </c>
      <c r="C14" s="307"/>
      <c r="D14" s="107"/>
      <c r="E14" s="107"/>
      <c r="F14" s="107"/>
      <c r="G14" s="107"/>
      <c r="H14" s="107"/>
      <c r="I14" s="107"/>
      <c r="J14" s="107"/>
      <c r="K14" s="107"/>
      <c r="L14" s="107"/>
      <c r="M14" s="107"/>
      <c r="N14" s="107"/>
      <c r="O14" s="107"/>
      <c r="P14" s="107"/>
      <c r="Q14" s="107"/>
      <c r="R14" s="107"/>
      <c r="S14" s="107"/>
      <c r="T14" s="107"/>
      <c r="U14" s="107"/>
      <c r="V14" s="107"/>
      <c r="W14" s="107"/>
      <c r="X14" s="107"/>
      <c r="Y14" s="107"/>
      <c r="Z14" s="107"/>
      <c r="AA14" s="107"/>
      <c r="AB14" s="107"/>
      <c r="AC14" s="107"/>
      <c r="AD14" s="107"/>
      <c r="AE14" s="107"/>
      <c r="AF14" s="107"/>
    </row>
    <row r="15" spans="1:32" x14ac:dyDescent="0.2">
      <c r="A15" s="131" t="s">
        <v>1808</v>
      </c>
      <c r="B15" s="145">
        <v>80000</v>
      </c>
      <c r="C15" s="307"/>
      <c r="D15" s="107"/>
      <c r="E15" s="107"/>
      <c r="F15" s="107"/>
      <c r="G15" s="107"/>
      <c r="H15" s="107"/>
      <c r="I15" s="107"/>
      <c r="J15" s="107"/>
      <c r="K15" s="107"/>
      <c r="L15" s="107"/>
      <c r="M15" s="107"/>
      <c r="N15" s="107"/>
      <c r="O15" s="107"/>
      <c r="P15" s="107"/>
      <c r="Q15" s="107"/>
      <c r="R15" s="107"/>
      <c r="S15" s="107"/>
      <c r="T15" s="107"/>
      <c r="U15" s="107"/>
      <c r="V15" s="107"/>
      <c r="W15" s="107"/>
      <c r="X15" s="107"/>
      <c r="Y15" s="107"/>
      <c r="Z15" s="107"/>
      <c r="AA15" s="107"/>
      <c r="AB15" s="107"/>
      <c r="AC15" s="107"/>
      <c r="AD15" s="107"/>
      <c r="AE15" s="107"/>
      <c r="AF15" s="107"/>
    </row>
    <row r="16" spans="1:32" x14ac:dyDescent="0.2">
      <c r="A16" s="131" t="s">
        <v>1992</v>
      </c>
      <c r="B16" s="145">
        <v>14000</v>
      </c>
      <c r="C16" s="307"/>
      <c r="D16" s="107"/>
      <c r="E16" s="107"/>
      <c r="F16" s="107"/>
      <c r="G16" s="107"/>
      <c r="H16" s="107"/>
      <c r="I16" s="107"/>
      <c r="J16" s="107"/>
      <c r="K16" s="107"/>
      <c r="L16" s="107"/>
      <c r="M16" s="107"/>
      <c r="N16" s="107"/>
      <c r="O16" s="107"/>
      <c r="P16" s="107"/>
      <c r="Q16" s="107"/>
      <c r="R16" s="107"/>
      <c r="S16" s="107"/>
      <c r="T16" s="107"/>
      <c r="U16" s="107"/>
      <c r="V16" s="107"/>
      <c r="W16" s="107"/>
      <c r="X16" s="107"/>
      <c r="Y16" s="107"/>
      <c r="Z16" s="107"/>
      <c r="AA16" s="107"/>
      <c r="AB16" s="107"/>
      <c r="AC16" s="107"/>
      <c r="AD16" s="107"/>
      <c r="AE16" s="107"/>
      <c r="AF16" s="107"/>
    </row>
    <row r="17" spans="1:33" x14ac:dyDescent="0.2">
      <c r="A17" s="131" t="s">
        <v>3387</v>
      </c>
      <c r="B17" s="145">
        <v>8000</v>
      </c>
      <c r="C17" s="307"/>
      <c r="D17" s="107"/>
      <c r="E17" s="107"/>
      <c r="F17" s="107"/>
      <c r="G17" s="107"/>
      <c r="H17" s="107"/>
      <c r="I17" s="107"/>
      <c r="J17" s="107"/>
      <c r="K17" s="107"/>
      <c r="L17" s="107"/>
      <c r="M17" s="107"/>
      <c r="N17" s="107"/>
      <c r="O17" s="107"/>
      <c r="P17" s="107"/>
      <c r="Q17" s="107"/>
      <c r="R17" s="107"/>
      <c r="S17" s="107"/>
      <c r="T17" s="107"/>
      <c r="U17" s="107"/>
      <c r="V17" s="107"/>
      <c r="W17" s="107"/>
      <c r="X17" s="107"/>
      <c r="Y17" s="107"/>
      <c r="Z17" s="107"/>
      <c r="AA17" s="107"/>
      <c r="AB17" s="107"/>
      <c r="AC17" s="107"/>
      <c r="AD17" s="107"/>
      <c r="AE17" s="107"/>
      <c r="AF17" s="107"/>
    </row>
    <row r="18" spans="1:33" ht="16" thickBot="1" x14ac:dyDescent="0.25">
      <c r="A18" s="622" t="s">
        <v>3388</v>
      </c>
      <c r="B18" s="362">
        <v>3921000</v>
      </c>
      <c r="C18" s="363"/>
      <c r="D18" s="107"/>
      <c r="E18" s="107"/>
      <c r="F18" s="107"/>
      <c r="G18" s="107"/>
      <c r="H18" s="107"/>
      <c r="I18" s="107"/>
      <c r="J18" s="107"/>
      <c r="K18" s="107"/>
      <c r="L18" s="107"/>
      <c r="M18" s="107"/>
      <c r="N18" s="107"/>
      <c r="O18" s="107"/>
      <c r="P18" s="107"/>
      <c r="Q18" s="107"/>
      <c r="R18" s="107"/>
      <c r="S18" s="107"/>
      <c r="T18" s="107"/>
      <c r="U18" s="107"/>
      <c r="V18" s="107"/>
      <c r="W18" s="107"/>
      <c r="X18" s="107"/>
      <c r="Y18" s="107"/>
      <c r="Z18" s="107"/>
      <c r="AA18" s="107"/>
      <c r="AB18" s="107"/>
      <c r="AC18" s="107"/>
      <c r="AD18" s="107"/>
      <c r="AE18" s="107"/>
      <c r="AF18" s="107"/>
    </row>
    <row r="19" spans="1:33" ht="16" thickTop="1" x14ac:dyDescent="0.2">
      <c r="A19" s="622"/>
      <c r="B19" s="138">
        <f>+SUM(B9:B17)</f>
        <v>3921000</v>
      </c>
      <c r="C19" s="138">
        <f>+SUM(C9:C17)</f>
        <v>0</v>
      </c>
      <c r="D19" s="107"/>
      <c r="E19" s="107"/>
      <c r="F19" s="107"/>
      <c r="G19" s="107"/>
      <c r="H19" s="107"/>
      <c r="I19" s="107"/>
      <c r="J19" s="107"/>
      <c r="K19" s="107"/>
      <c r="L19" s="107"/>
      <c r="M19" s="107"/>
      <c r="N19" s="107"/>
      <c r="O19" s="107"/>
      <c r="P19" s="107"/>
      <c r="Q19" s="107"/>
      <c r="R19" s="107"/>
      <c r="S19" s="107"/>
      <c r="T19" s="107"/>
      <c r="U19" s="107"/>
      <c r="V19" s="107"/>
      <c r="W19" s="107"/>
      <c r="X19" s="107"/>
      <c r="Y19" s="107"/>
      <c r="Z19" s="107"/>
      <c r="AA19" s="107"/>
      <c r="AB19" s="107"/>
      <c r="AC19" s="107"/>
      <c r="AD19" s="107"/>
      <c r="AE19" s="107"/>
      <c r="AF19" s="107"/>
    </row>
    <row r="20" spans="1:33" ht="45" x14ac:dyDescent="0.2">
      <c r="A20" s="539" t="s">
        <v>3389</v>
      </c>
      <c r="B20" s="145">
        <v>3729000</v>
      </c>
      <c r="C20" s="307"/>
      <c r="D20" s="107"/>
      <c r="E20" s="107"/>
      <c r="F20" s="107"/>
      <c r="G20" s="107"/>
      <c r="H20" s="107"/>
      <c r="I20" s="107"/>
      <c r="J20" s="107"/>
      <c r="K20" s="107"/>
      <c r="L20" s="107"/>
      <c r="M20" s="107"/>
      <c r="N20" s="107"/>
      <c r="O20" s="107"/>
      <c r="P20" s="107"/>
      <c r="Q20" s="107"/>
      <c r="R20" s="107"/>
      <c r="S20" s="107"/>
      <c r="T20" s="107"/>
      <c r="U20" s="107"/>
      <c r="V20" s="107"/>
      <c r="W20" s="107"/>
      <c r="X20" s="107"/>
      <c r="Y20" s="107"/>
      <c r="Z20" s="107"/>
      <c r="AA20" s="107"/>
      <c r="AB20" s="107"/>
      <c r="AC20" s="107"/>
      <c r="AD20" s="107"/>
      <c r="AE20" s="107"/>
      <c r="AF20" s="107"/>
    </row>
    <row r="21" spans="1:33" x14ac:dyDescent="0.2">
      <c r="A21" s="131" t="s">
        <v>3390</v>
      </c>
      <c r="B21" s="145">
        <v>5098600</v>
      </c>
      <c r="C21" s="307"/>
      <c r="D21" s="107"/>
      <c r="E21" s="107"/>
      <c r="F21" s="107"/>
      <c r="G21" s="107"/>
      <c r="H21" s="107"/>
      <c r="I21" s="107"/>
      <c r="J21" s="107"/>
      <c r="K21" s="107"/>
      <c r="L21" s="107"/>
      <c r="M21" s="107"/>
      <c r="N21" s="107"/>
      <c r="O21" s="107"/>
      <c r="P21" s="107"/>
      <c r="Q21" s="107"/>
      <c r="R21" s="107"/>
      <c r="S21" s="107"/>
      <c r="T21" s="107"/>
      <c r="U21" s="107"/>
      <c r="V21" s="107"/>
      <c r="W21" s="107"/>
      <c r="X21" s="107"/>
      <c r="Y21" s="107"/>
      <c r="Z21" s="107"/>
      <c r="AA21" s="107"/>
      <c r="AB21" s="107"/>
      <c r="AC21" s="107"/>
      <c r="AD21" s="107"/>
      <c r="AE21" s="107"/>
      <c r="AF21" s="107"/>
    </row>
    <row r="22" spans="1:33" ht="16" thickBot="1" x14ac:dyDescent="0.25">
      <c r="A22" s="794" t="s">
        <v>3391</v>
      </c>
      <c r="B22" s="362">
        <v>1369600</v>
      </c>
      <c r="C22" s="363"/>
      <c r="D22" s="107"/>
      <c r="E22" s="107"/>
      <c r="F22" s="107"/>
      <c r="G22" s="107"/>
      <c r="H22" s="107"/>
      <c r="I22" s="107"/>
      <c r="J22" s="107"/>
      <c r="K22" s="107"/>
      <c r="L22" s="107"/>
      <c r="M22" s="107"/>
      <c r="N22" s="107"/>
      <c r="O22" s="107"/>
      <c r="P22" s="107"/>
      <c r="Q22" s="107"/>
      <c r="R22" s="107"/>
      <c r="S22" s="107"/>
      <c r="T22" s="107"/>
      <c r="U22" s="107"/>
      <c r="V22" s="107"/>
      <c r="W22" s="107"/>
      <c r="X22" s="107"/>
      <c r="Y22" s="107"/>
      <c r="Z22" s="107"/>
      <c r="AA22" s="107"/>
      <c r="AB22" s="107"/>
      <c r="AC22" s="107"/>
      <c r="AD22" s="107"/>
      <c r="AE22" s="107"/>
      <c r="AF22" s="107"/>
    </row>
    <row r="23" spans="1:33" ht="16" thickTop="1" x14ac:dyDescent="0.2">
      <c r="A23" s="107"/>
      <c r="B23" s="321">
        <f>+B21-B20</f>
        <v>1369600</v>
      </c>
      <c r="C23" s="321"/>
      <c r="D23" s="107"/>
      <c r="E23" s="107"/>
      <c r="F23" s="107"/>
      <c r="G23" s="107"/>
      <c r="H23" s="107"/>
      <c r="I23" s="107"/>
      <c r="J23" s="107"/>
      <c r="K23" s="107"/>
      <c r="L23" s="107"/>
      <c r="M23" s="107"/>
      <c r="N23" s="107"/>
      <c r="O23" s="107"/>
      <c r="P23" s="107"/>
      <c r="Q23" s="107"/>
      <c r="R23" s="107"/>
      <c r="S23" s="107"/>
      <c r="T23" s="107"/>
      <c r="U23" s="107"/>
      <c r="V23" s="107"/>
      <c r="W23" s="107"/>
      <c r="X23" s="107"/>
      <c r="Y23" s="107"/>
      <c r="Z23" s="107"/>
      <c r="AA23" s="107"/>
      <c r="AB23" s="107"/>
      <c r="AC23" s="107"/>
      <c r="AD23" s="107"/>
      <c r="AE23" s="107"/>
      <c r="AF23" s="107"/>
    </row>
    <row r="24" spans="1:33" x14ac:dyDescent="0.2">
      <c r="A24" s="107"/>
      <c r="B24" s="107"/>
      <c r="C24" s="107"/>
      <c r="D24" s="107"/>
      <c r="E24" s="107"/>
      <c r="F24" s="107"/>
      <c r="G24" s="107"/>
      <c r="H24" s="107"/>
      <c r="I24" s="107"/>
      <c r="J24" s="107"/>
      <c r="K24" s="107"/>
      <c r="L24" s="107"/>
      <c r="M24" s="107"/>
      <c r="N24" s="107"/>
      <c r="O24" s="107"/>
      <c r="P24" s="107"/>
      <c r="Q24" s="107"/>
      <c r="R24" s="107"/>
      <c r="S24" s="107"/>
      <c r="T24" s="107"/>
      <c r="U24" s="107"/>
      <c r="V24" s="107"/>
      <c r="W24" s="107"/>
      <c r="X24" s="107"/>
      <c r="Y24" s="107"/>
      <c r="Z24" s="107"/>
      <c r="AA24" s="107"/>
      <c r="AB24" s="107"/>
      <c r="AC24" s="107"/>
      <c r="AD24" s="107"/>
      <c r="AE24" s="107"/>
      <c r="AF24" s="107"/>
    </row>
    <row r="25" spans="1:33" x14ac:dyDescent="0.2">
      <c r="A25" s="107"/>
      <c r="B25" s="107"/>
      <c r="C25" s="107"/>
      <c r="D25" s="107"/>
      <c r="E25" s="107"/>
      <c r="F25" s="107"/>
      <c r="G25" s="107"/>
      <c r="H25" s="107"/>
      <c r="I25" s="107"/>
      <c r="J25" s="107"/>
      <c r="K25" s="107"/>
      <c r="M25" s="107"/>
      <c r="N25" s="107"/>
      <c r="O25" s="107"/>
      <c r="P25" s="107"/>
      <c r="Q25" s="107"/>
      <c r="R25" s="107"/>
      <c r="S25" s="107"/>
      <c r="T25" s="107"/>
      <c r="U25" s="107"/>
      <c r="V25" s="107"/>
      <c r="W25" s="107"/>
      <c r="X25" s="107"/>
      <c r="Y25" s="107"/>
      <c r="Z25" s="107"/>
      <c r="AA25" s="107"/>
      <c r="AB25" s="107"/>
      <c r="AC25" s="107"/>
      <c r="AD25" s="107"/>
      <c r="AE25" s="107"/>
      <c r="AF25" s="107"/>
    </row>
    <row r="26" spans="1:33" x14ac:dyDescent="0.2">
      <c r="A26" s="526" t="s">
        <v>1171</v>
      </c>
      <c r="B26" s="107"/>
      <c r="C26" s="107"/>
      <c r="D26" s="107"/>
      <c r="E26" s="107"/>
      <c r="F26" s="107"/>
      <c r="G26" s="107"/>
      <c r="H26" s="107"/>
      <c r="I26" s="107"/>
      <c r="J26" s="107"/>
      <c r="K26" s="107"/>
      <c r="L26" s="107"/>
      <c r="M26" s="107"/>
      <c r="N26" s="107"/>
      <c r="O26" s="107"/>
      <c r="P26" s="107"/>
      <c r="Q26" s="107"/>
      <c r="R26" s="107"/>
      <c r="S26" s="107"/>
      <c r="T26" s="107"/>
      <c r="U26" s="107"/>
      <c r="V26" s="107"/>
      <c r="W26" s="107"/>
      <c r="X26" s="107"/>
      <c r="Y26" s="107"/>
      <c r="Z26" s="107"/>
      <c r="AA26" s="107"/>
      <c r="AB26" s="107"/>
      <c r="AC26" s="107"/>
      <c r="AD26" s="107"/>
      <c r="AE26" s="107"/>
      <c r="AF26" s="107"/>
    </row>
    <row r="27" spans="1:33" ht="29" customHeight="1" x14ac:dyDescent="0.2">
      <c r="A27" s="875" t="s">
        <v>3392</v>
      </c>
      <c r="B27" s="876"/>
      <c r="C27" s="876"/>
      <c r="D27" s="876"/>
      <c r="E27" s="876"/>
      <c r="F27" s="876"/>
      <c r="G27" s="876"/>
      <c r="H27" s="876"/>
      <c r="I27" s="876"/>
      <c r="J27" s="876"/>
      <c r="K27" s="876"/>
      <c r="L27" s="876"/>
      <c r="M27" s="876"/>
      <c r="N27" s="876"/>
      <c r="O27" s="876"/>
      <c r="P27" s="876"/>
      <c r="Q27" s="876"/>
      <c r="R27" s="876"/>
      <c r="S27" s="876"/>
      <c r="T27" s="876"/>
      <c r="U27" s="876"/>
      <c r="V27" s="876"/>
      <c r="W27" s="876"/>
      <c r="X27" s="876"/>
      <c r="Y27" s="876"/>
      <c r="Z27" s="876"/>
      <c r="AA27" s="876"/>
      <c r="AB27" s="876"/>
      <c r="AC27" s="876"/>
      <c r="AD27" s="876"/>
      <c r="AE27" s="876"/>
      <c r="AF27" s="876"/>
      <c r="AG27" s="877"/>
    </row>
    <row r="28" spans="1:33" ht="14.5" customHeight="1" x14ac:dyDescent="0.2">
      <c r="A28" s="967" t="s">
        <v>3254</v>
      </c>
      <c r="B28" s="486" t="s">
        <v>3393</v>
      </c>
      <c r="C28" s="838"/>
      <c r="D28" s="838"/>
      <c r="E28" s="838"/>
      <c r="F28" s="838"/>
      <c r="G28" s="838"/>
      <c r="H28" s="967" t="s">
        <v>3394</v>
      </c>
      <c r="I28" s="967"/>
      <c r="J28" s="967"/>
      <c r="K28" s="967"/>
      <c r="L28" s="838" t="s">
        <v>3395</v>
      </c>
      <c r="M28" s="838"/>
      <c r="N28" s="838"/>
      <c r="O28" s="838"/>
      <c r="P28" s="838"/>
      <c r="Q28" s="838"/>
      <c r="R28" s="793" t="s">
        <v>3396</v>
      </c>
      <c r="S28" s="793"/>
      <c r="T28" s="793"/>
      <c r="U28" s="793"/>
      <c r="V28" s="793"/>
      <c r="W28" s="793"/>
      <c r="X28" s="608" t="s">
        <v>3397</v>
      </c>
      <c r="Y28" s="778"/>
      <c r="Z28" s="778"/>
      <c r="AA28" s="778"/>
      <c r="AB28" s="778"/>
      <c r="AC28" s="778"/>
      <c r="AD28" s="778"/>
      <c r="AE28" s="778"/>
      <c r="AF28" s="778"/>
      <c r="AG28" s="609"/>
    </row>
    <row r="29" spans="1:33" ht="14.5" customHeight="1" x14ac:dyDescent="0.2">
      <c r="A29" s="967"/>
      <c r="B29" s="609" t="s">
        <v>3398</v>
      </c>
      <c r="C29" s="967"/>
      <c r="D29" s="967"/>
      <c r="E29" s="967" t="s">
        <v>3399</v>
      </c>
      <c r="F29" s="967"/>
      <c r="G29" s="967"/>
      <c r="H29" s="967" t="s">
        <v>3400</v>
      </c>
      <c r="I29" s="967"/>
      <c r="J29" s="967" t="s">
        <v>3401</v>
      </c>
      <c r="K29" s="967"/>
      <c r="L29" s="967" t="s">
        <v>3402</v>
      </c>
      <c r="M29" s="967"/>
      <c r="N29" s="967"/>
      <c r="O29" s="967" t="s">
        <v>3403</v>
      </c>
      <c r="P29" s="967"/>
      <c r="Q29" s="967"/>
      <c r="R29" s="967" t="s">
        <v>3400</v>
      </c>
      <c r="S29" s="967"/>
      <c r="T29" s="967"/>
      <c r="U29" s="967" t="s">
        <v>3401</v>
      </c>
      <c r="V29" s="967"/>
      <c r="W29" s="967"/>
      <c r="X29" s="967" t="s">
        <v>2505</v>
      </c>
      <c r="Y29" s="967"/>
      <c r="Z29" s="967"/>
      <c r="AA29" s="967" t="s">
        <v>2506</v>
      </c>
      <c r="AB29" s="967"/>
      <c r="AC29" s="967"/>
      <c r="AD29" s="608" t="s">
        <v>3404</v>
      </c>
      <c r="AE29" s="778"/>
      <c r="AF29" s="778"/>
      <c r="AG29" s="609"/>
    </row>
    <row r="30" spans="1:33" ht="17.5" customHeight="1" x14ac:dyDescent="0.2">
      <c r="A30" s="967"/>
      <c r="B30" s="810" t="s">
        <v>3405</v>
      </c>
      <c r="C30" s="967" t="s">
        <v>3406</v>
      </c>
      <c r="D30" s="967"/>
      <c r="E30" s="810" t="s">
        <v>3405</v>
      </c>
      <c r="F30" s="967" t="s">
        <v>3406</v>
      </c>
      <c r="G30" s="967"/>
      <c r="H30" s="967" t="s">
        <v>3407</v>
      </c>
      <c r="I30" s="608"/>
      <c r="J30" s="967" t="s">
        <v>3407</v>
      </c>
      <c r="K30" s="967"/>
      <c r="L30" s="609" t="s">
        <v>3281</v>
      </c>
      <c r="M30" s="967"/>
      <c r="N30" s="967"/>
      <c r="O30" s="967" t="s">
        <v>3281</v>
      </c>
      <c r="P30" s="967"/>
      <c r="Q30" s="967"/>
      <c r="R30" s="967" t="s">
        <v>3373</v>
      </c>
      <c r="S30" s="967"/>
      <c r="T30" s="967"/>
      <c r="U30" s="967" t="s">
        <v>3373</v>
      </c>
      <c r="V30" s="967"/>
      <c r="W30" s="967"/>
      <c r="X30" s="967" t="s">
        <v>3373</v>
      </c>
      <c r="Y30" s="967"/>
      <c r="Z30" s="967"/>
      <c r="AA30" s="967" t="s">
        <v>3373</v>
      </c>
      <c r="AB30" s="967"/>
      <c r="AC30" s="967"/>
      <c r="AD30" s="602" t="s">
        <v>3373</v>
      </c>
      <c r="AE30" s="631"/>
      <c r="AF30" s="631"/>
      <c r="AG30" s="603"/>
    </row>
    <row r="31" spans="1:33" x14ac:dyDescent="0.2">
      <c r="A31" s="533" t="s">
        <v>1517</v>
      </c>
      <c r="B31" s="131">
        <v>96</v>
      </c>
      <c r="C31" s="349">
        <v>46786</v>
      </c>
      <c r="D31" s="352"/>
      <c r="E31" s="307">
        <v>109</v>
      </c>
      <c r="F31" s="349">
        <v>48187</v>
      </c>
      <c r="G31" s="352"/>
      <c r="H31" s="131">
        <v>625615</v>
      </c>
      <c r="I31" s="145"/>
      <c r="J31" s="131">
        <v>29283</v>
      </c>
      <c r="K31" s="307"/>
      <c r="L31" s="145">
        <v>2455207</v>
      </c>
      <c r="M31" s="145"/>
      <c r="N31" s="307"/>
      <c r="O31" s="131">
        <v>1704165</v>
      </c>
      <c r="P31" s="145"/>
      <c r="Q31" s="307"/>
      <c r="R31" s="131">
        <v>1054549</v>
      </c>
      <c r="S31" s="145">
        <v>10</v>
      </c>
      <c r="T31" s="307"/>
      <c r="U31" s="131">
        <v>912635</v>
      </c>
      <c r="V31" s="145"/>
      <c r="W31" s="307"/>
      <c r="X31" s="131">
        <v>242972</v>
      </c>
      <c r="Y31" s="145">
        <v>45</v>
      </c>
      <c r="Z31" s="352"/>
      <c r="AA31" s="131">
        <v>37859</v>
      </c>
      <c r="AB31" s="145">
        <v>57</v>
      </c>
      <c r="AC31" s="145"/>
      <c r="AD31" s="349">
        <v>205112</v>
      </c>
      <c r="AE31" s="350">
        <v>88</v>
      </c>
      <c r="AF31" s="352"/>
      <c r="AG31" s="717"/>
    </row>
    <row r="32" spans="1:33" x14ac:dyDescent="0.2">
      <c r="A32" s="533" t="s">
        <v>3266</v>
      </c>
      <c r="B32" s="131"/>
      <c r="C32" s="131"/>
      <c r="D32" s="133"/>
      <c r="E32" s="307"/>
      <c r="F32" s="131"/>
      <c r="G32" s="133"/>
      <c r="H32" s="131">
        <v>2992</v>
      </c>
      <c r="I32" s="145"/>
      <c r="J32" s="131">
        <v>6521</v>
      </c>
      <c r="K32" s="307" t="s">
        <v>3408</v>
      </c>
      <c r="L32" s="145">
        <v>174853</v>
      </c>
      <c r="M32" s="145"/>
      <c r="N32" s="307"/>
      <c r="O32" s="131">
        <v>340600</v>
      </c>
      <c r="P32" s="145"/>
      <c r="Q32" s="307" t="s">
        <v>3408</v>
      </c>
      <c r="R32" s="131">
        <v>172943</v>
      </c>
      <c r="S32" s="145">
        <v>26</v>
      </c>
      <c r="T32" s="307"/>
      <c r="U32" s="131">
        <v>54042</v>
      </c>
      <c r="V32" s="145"/>
      <c r="W32" s="307" t="s">
        <v>3408</v>
      </c>
      <c r="X32" s="131">
        <v>1465</v>
      </c>
      <c r="Y32" s="145">
        <v>87</v>
      </c>
      <c r="Z32" s="133">
        <v>0.5</v>
      </c>
      <c r="AA32" s="131">
        <v>5202</v>
      </c>
      <c r="AB32" s="145">
        <v>95</v>
      </c>
      <c r="AC32" s="145"/>
      <c r="AD32" s="131">
        <v>3737</v>
      </c>
      <c r="AE32" s="145">
        <v>7</v>
      </c>
      <c r="AF32" s="133">
        <v>0.5</v>
      </c>
      <c r="AG32" s="307" t="s">
        <v>2364</v>
      </c>
    </row>
    <row r="33" spans="1:33" x14ac:dyDescent="0.2">
      <c r="A33" s="533" t="s">
        <v>1369</v>
      </c>
      <c r="B33" s="131">
        <v>90</v>
      </c>
      <c r="C33" s="131">
        <v>56287</v>
      </c>
      <c r="D33" s="133"/>
      <c r="E33" s="307">
        <v>90</v>
      </c>
      <c r="F33" s="131">
        <v>56236</v>
      </c>
      <c r="G33" s="133"/>
      <c r="H33" s="131">
        <v>71972</v>
      </c>
      <c r="I33" s="145" t="s">
        <v>3408</v>
      </c>
      <c r="J33" s="131">
        <v>150897</v>
      </c>
      <c r="K33" s="307"/>
      <c r="L33" s="145">
        <v>2296065</v>
      </c>
      <c r="M33" s="145">
        <v>130</v>
      </c>
      <c r="N33" s="307" t="s">
        <v>3408</v>
      </c>
      <c r="O33" s="131">
        <v>2594909</v>
      </c>
      <c r="P33" s="145">
        <v>500</v>
      </c>
      <c r="Q33" s="307"/>
      <c r="R33" s="131">
        <v>651095</v>
      </c>
      <c r="S33" s="145">
        <v>91</v>
      </c>
      <c r="T33" s="307" t="s">
        <v>3408</v>
      </c>
      <c r="U33" s="131">
        <v>409880</v>
      </c>
      <c r="V33" s="145">
        <v>20</v>
      </c>
      <c r="W33" s="307"/>
      <c r="X33" s="131">
        <v>182710</v>
      </c>
      <c r="Y33" s="145">
        <v>56</v>
      </c>
      <c r="Z33" s="133">
        <v>0.75</v>
      </c>
      <c r="AA33" s="131">
        <v>33781</v>
      </c>
      <c r="AB33" s="145">
        <v>89</v>
      </c>
      <c r="AC33" s="145"/>
      <c r="AD33" s="131">
        <v>148918</v>
      </c>
      <c r="AE33" s="145">
        <v>67</v>
      </c>
      <c r="AF33" s="133">
        <v>0.75</v>
      </c>
      <c r="AG33" s="307"/>
    </row>
    <row r="34" spans="1:33" x14ac:dyDescent="0.2">
      <c r="A34" s="533" t="s">
        <v>1519</v>
      </c>
      <c r="B34" s="131">
        <v>302</v>
      </c>
      <c r="C34" s="131">
        <v>8950</v>
      </c>
      <c r="D34" s="142">
        <v>0.25</v>
      </c>
      <c r="E34" s="307">
        <v>309</v>
      </c>
      <c r="F34" s="131">
        <v>9246</v>
      </c>
      <c r="G34" s="133"/>
      <c r="H34" s="131">
        <v>30213</v>
      </c>
      <c r="I34" s="145" t="s">
        <v>3409</v>
      </c>
      <c r="J34" s="131">
        <v>116965</v>
      </c>
      <c r="K34" s="307" t="s">
        <v>3409</v>
      </c>
      <c r="L34" s="145">
        <v>1383008</v>
      </c>
      <c r="M34" s="145">
        <v>250</v>
      </c>
      <c r="N34" s="307" t="s">
        <v>3409</v>
      </c>
      <c r="O34" s="131">
        <v>6808001</v>
      </c>
      <c r="P34" s="145"/>
      <c r="Q34" s="307" t="s">
        <v>3409</v>
      </c>
      <c r="R34" s="131">
        <v>858918</v>
      </c>
      <c r="S34" s="145">
        <v>60</v>
      </c>
      <c r="T34" s="307" t="s">
        <v>3409</v>
      </c>
      <c r="U34" s="131">
        <v>433915</v>
      </c>
      <c r="V34" s="145"/>
      <c r="W34" s="307" t="s">
        <v>3409</v>
      </c>
      <c r="X34" s="131">
        <v>160832</v>
      </c>
      <c r="Y34" s="145">
        <v>87</v>
      </c>
      <c r="Z34" s="133">
        <v>0.5</v>
      </c>
      <c r="AA34" s="131">
        <v>24588</v>
      </c>
      <c r="AB34" s="145">
        <v>55</v>
      </c>
      <c r="AC34" s="145"/>
      <c r="AD34" s="131">
        <v>136244</v>
      </c>
      <c r="AE34" s="145">
        <v>32</v>
      </c>
      <c r="AF34" s="133">
        <v>0.5</v>
      </c>
      <c r="AG34" s="307"/>
    </row>
    <row r="35" spans="1:33" x14ac:dyDescent="0.2">
      <c r="A35" s="533" t="s">
        <v>1526</v>
      </c>
      <c r="B35" s="131">
        <v>154</v>
      </c>
      <c r="C35" s="131">
        <v>12001</v>
      </c>
      <c r="D35" s="133">
        <v>0.5</v>
      </c>
      <c r="E35" s="307">
        <v>142</v>
      </c>
      <c r="F35" s="131">
        <v>10508</v>
      </c>
      <c r="G35" s="133">
        <v>0.5</v>
      </c>
      <c r="H35" s="131">
        <v>46975</v>
      </c>
      <c r="I35" s="145"/>
      <c r="J35" s="131">
        <v>68954</v>
      </c>
      <c r="K35" s="307"/>
      <c r="L35" s="145">
        <v>477129</v>
      </c>
      <c r="M35" s="145">
        <v>500</v>
      </c>
      <c r="N35" s="307"/>
      <c r="O35" s="131">
        <v>3186958</v>
      </c>
      <c r="P35" s="145"/>
      <c r="Q35" s="307"/>
      <c r="R35" s="131">
        <v>90565</v>
      </c>
      <c r="S35" s="145">
        <v>67</v>
      </c>
      <c r="T35" s="307"/>
      <c r="U35" s="131">
        <v>171993</v>
      </c>
      <c r="V35" s="145">
        <v>52</v>
      </c>
      <c r="W35" s="307"/>
      <c r="X35" s="131">
        <v>23708</v>
      </c>
      <c r="Y35" s="145">
        <v>31</v>
      </c>
      <c r="Z35" s="133">
        <v>0.75</v>
      </c>
      <c r="AA35" s="131">
        <v>10670</v>
      </c>
      <c r="AB35" s="145">
        <v>55</v>
      </c>
      <c r="AC35" s="145"/>
      <c r="AD35" s="131">
        <v>13038</v>
      </c>
      <c r="AE35" s="145">
        <v>35</v>
      </c>
      <c r="AF35" s="133"/>
      <c r="AG35" s="307"/>
    </row>
    <row r="36" spans="1:33" x14ac:dyDescent="0.2">
      <c r="A36" s="533" t="s">
        <v>3264</v>
      </c>
      <c r="B36" s="131">
        <v>193</v>
      </c>
      <c r="C36" s="131">
        <v>190633</v>
      </c>
      <c r="D36" s="133" t="s">
        <v>3408</v>
      </c>
      <c r="E36" s="307">
        <v>189</v>
      </c>
      <c r="F36" s="131">
        <v>185643</v>
      </c>
      <c r="G36" s="133" t="s">
        <v>3408</v>
      </c>
      <c r="H36" s="131">
        <v>297319</v>
      </c>
      <c r="I36" s="145" t="s">
        <v>3408</v>
      </c>
      <c r="J36" s="131">
        <v>367532</v>
      </c>
      <c r="K36" s="307" t="s">
        <v>3408</v>
      </c>
      <c r="L36" s="145">
        <v>11619998</v>
      </c>
      <c r="M36" s="145">
        <v>712</v>
      </c>
      <c r="N36" s="307" t="s">
        <v>3408</v>
      </c>
      <c r="O36" s="131">
        <v>17315191</v>
      </c>
      <c r="P36" s="145">
        <v>500</v>
      </c>
      <c r="Q36" s="307" t="s">
        <v>3408</v>
      </c>
      <c r="R36" s="131">
        <v>7136822</v>
      </c>
      <c r="S36" s="145">
        <v>95</v>
      </c>
      <c r="T36" s="307" t="s">
        <v>3408</v>
      </c>
      <c r="U36" s="131">
        <v>8168344</v>
      </c>
      <c r="V36" s="145">
        <v>10</v>
      </c>
      <c r="W36" s="307" t="s">
        <v>3408</v>
      </c>
      <c r="X36" s="131">
        <v>1877100</v>
      </c>
      <c r="Y36" s="145"/>
      <c r="Z36" s="133"/>
      <c r="AA36" s="131">
        <v>31546</v>
      </c>
      <c r="AB36" s="145">
        <v>95</v>
      </c>
      <c r="AC36" s="145"/>
      <c r="AD36" s="131">
        <v>1845553</v>
      </c>
      <c r="AE36" s="145">
        <v>5</v>
      </c>
      <c r="AF36" s="133"/>
      <c r="AG36" s="307"/>
    </row>
    <row r="37" spans="1:33" x14ac:dyDescent="0.2">
      <c r="A37" s="533" t="s">
        <v>1373</v>
      </c>
      <c r="B37" s="131">
        <v>123</v>
      </c>
      <c r="C37" s="131">
        <v>65077</v>
      </c>
      <c r="D37" s="133">
        <v>0.5</v>
      </c>
      <c r="E37" s="307">
        <v>119</v>
      </c>
      <c r="F37" s="131">
        <v>61058</v>
      </c>
      <c r="G37" s="133">
        <v>0.5</v>
      </c>
      <c r="H37" s="131">
        <v>52778</v>
      </c>
      <c r="I37" s="145"/>
      <c r="J37" s="131">
        <v>35689</v>
      </c>
      <c r="K37" s="307"/>
      <c r="L37" s="145">
        <v>2383841</v>
      </c>
      <c r="M37" s="145">
        <v>700</v>
      </c>
      <c r="N37" s="307"/>
      <c r="O37" s="131">
        <v>2240848</v>
      </c>
      <c r="P37" s="145"/>
      <c r="Q37" s="307"/>
      <c r="R37" s="131">
        <v>1028259</v>
      </c>
      <c r="S37" s="145">
        <v>25</v>
      </c>
      <c r="T37" s="307"/>
      <c r="U37" s="131">
        <v>228779</v>
      </c>
      <c r="V37" s="145">
        <v>50</v>
      </c>
      <c r="W37" s="307"/>
      <c r="X37" s="131">
        <v>294435</v>
      </c>
      <c r="Y37" s="145">
        <v>60</v>
      </c>
      <c r="Z37" s="133"/>
      <c r="AA37" s="131">
        <v>27361</v>
      </c>
      <c r="AB37" s="145">
        <v>85</v>
      </c>
      <c r="AC37" s="145"/>
      <c r="AD37" s="131">
        <v>267073</v>
      </c>
      <c r="AE37" s="145">
        <v>75</v>
      </c>
      <c r="AF37" s="133"/>
      <c r="AG37" s="307"/>
    </row>
    <row r="38" spans="1:33" x14ac:dyDescent="0.2">
      <c r="A38" s="533" t="s">
        <v>1527</v>
      </c>
      <c r="B38" s="131">
        <v>118</v>
      </c>
      <c r="C38" s="131">
        <v>35878</v>
      </c>
      <c r="D38" s="133">
        <v>0.5</v>
      </c>
      <c r="E38" s="307">
        <v>92</v>
      </c>
      <c r="F38" s="131">
        <v>28832</v>
      </c>
      <c r="G38" s="133">
        <v>0.5</v>
      </c>
      <c r="H38" s="131">
        <v>496945</v>
      </c>
      <c r="I38" s="145"/>
      <c r="J38" s="131">
        <v>78085</v>
      </c>
      <c r="K38" s="307"/>
      <c r="L38" s="145">
        <v>839500</v>
      </c>
      <c r="M38" s="145">
        <v>500</v>
      </c>
      <c r="N38" s="307"/>
      <c r="O38" s="131">
        <v>1204678</v>
      </c>
      <c r="P38" s="145">
        <v>500</v>
      </c>
      <c r="Q38" s="307"/>
      <c r="R38" s="131">
        <v>172536</v>
      </c>
      <c r="S38" s="145">
        <v>98</v>
      </c>
      <c r="T38" s="307"/>
      <c r="U38" s="131">
        <v>107693</v>
      </c>
      <c r="V38" s="145">
        <v>20</v>
      </c>
      <c r="W38" s="307"/>
      <c r="X38" s="131">
        <v>27933</v>
      </c>
      <c r="Y38" s="145">
        <v>24</v>
      </c>
      <c r="Z38" s="133"/>
      <c r="AA38" s="131">
        <v>13726</v>
      </c>
      <c r="AB38" s="145">
        <v>18</v>
      </c>
      <c r="AC38" s="133">
        <v>0.5</v>
      </c>
      <c r="AD38" s="131">
        <v>14207</v>
      </c>
      <c r="AE38" s="145">
        <v>5</v>
      </c>
      <c r="AF38" s="133">
        <v>0.5</v>
      </c>
      <c r="AG38" s="307"/>
    </row>
    <row r="39" spans="1:33" x14ac:dyDescent="0.2">
      <c r="A39" s="535"/>
      <c r="B39" s="240">
        <v>1076</v>
      </c>
      <c r="C39" s="240">
        <v>415613</v>
      </c>
      <c r="D39" s="241">
        <v>0.75</v>
      </c>
      <c r="E39" s="513">
        <v>1050</v>
      </c>
      <c r="F39" s="240">
        <v>399711</v>
      </c>
      <c r="G39" s="241">
        <v>0.5</v>
      </c>
      <c r="H39" s="240">
        <v>1624809</v>
      </c>
      <c r="I39" s="318"/>
      <c r="J39" s="240">
        <v>853926</v>
      </c>
      <c r="K39" s="513"/>
      <c r="L39" s="318">
        <v>21629603</v>
      </c>
      <c r="M39" s="318">
        <v>792</v>
      </c>
      <c r="N39" s="513"/>
      <c r="O39" s="240">
        <v>35395351</v>
      </c>
      <c r="P39" s="318">
        <v>500</v>
      </c>
      <c r="Q39" s="513"/>
      <c r="R39" s="240">
        <v>11165691</v>
      </c>
      <c r="S39" s="318">
        <v>72</v>
      </c>
      <c r="T39" s="513"/>
      <c r="U39" s="240">
        <v>10487282</v>
      </c>
      <c r="V39" s="318">
        <v>52</v>
      </c>
      <c r="W39" s="513"/>
      <c r="X39" s="240">
        <v>2811158</v>
      </c>
      <c r="Y39" s="318">
        <v>92</v>
      </c>
      <c r="Z39" s="241">
        <v>0.5</v>
      </c>
      <c r="AA39" s="240">
        <v>183707</v>
      </c>
      <c r="AB39" s="318">
        <v>31</v>
      </c>
      <c r="AC39" s="241">
        <v>0.5</v>
      </c>
      <c r="AD39" s="240">
        <v>2626411</v>
      </c>
      <c r="AE39" s="318">
        <v>1</v>
      </c>
      <c r="AF39" s="241">
        <v>0.5</v>
      </c>
      <c r="AG39" s="513" t="s">
        <v>3410</v>
      </c>
    </row>
    <row r="40" spans="1:33" x14ac:dyDescent="0.2">
      <c r="A40" s="131"/>
      <c r="B40" s="345">
        <f>+SUM(B31:B38)</f>
        <v>1076</v>
      </c>
      <c r="C40" s="243">
        <f t="shared" ref="C40:AG40" si="0">+SUM(C31:C38)</f>
        <v>415612</v>
      </c>
      <c r="D40" s="245">
        <f t="shared" si="0"/>
        <v>1.75</v>
      </c>
      <c r="E40" s="345">
        <f t="shared" si="0"/>
        <v>1050</v>
      </c>
      <c r="F40" s="243">
        <f t="shared" si="0"/>
        <v>399710</v>
      </c>
      <c r="G40" s="245">
        <f t="shared" si="0"/>
        <v>1.5</v>
      </c>
      <c r="H40" s="345">
        <f t="shared" si="0"/>
        <v>1624809</v>
      </c>
      <c r="I40" s="345">
        <f t="shared" si="0"/>
        <v>0</v>
      </c>
      <c r="J40" s="345">
        <f t="shared" si="0"/>
        <v>853926</v>
      </c>
      <c r="K40" s="345">
        <f t="shared" si="0"/>
        <v>0</v>
      </c>
      <c r="L40" s="345">
        <f t="shared" si="0"/>
        <v>21629601</v>
      </c>
      <c r="M40" s="345">
        <f t="shared" si="0"/>
        <v>2792</v>
      </c>
      <c r="N40" s="345">
        <f t="shared" si="0"/>
        <v>0</v>
      </c>
      <c r="O40" s="345">
        <f t="shared" si="0"/>
        <v>35395350</v>
      </c>
      <c r="P40" s="345">
        <f t="shared" si="0"/>
        <v>1500</v>
      </c>
      <c r="Q40" s="345">
        <f t="shared" si="0"/>
        <v>0</v>
      </c>
      <c r="R40" s="345">
        <f t="shared" si="0"/>
        <v>11165687</v>
      </c>
      <c r="S40" s="345">
        <f t="shared" si="0"/>
        <v>472</v>
      </c>
      <c r="T40" s="345">
        <f t="shared" si="0"/>
        <v>0</v>
      </c>
      <c r="U40" s="345">
        <f t="shared" si="0"/>
        <v>10487281</v>
      </c>
      <c r="V40" s="345">
        <f t="shared" si="0"/>
        <v>152</v>
      </c>
      <c r="W40" s="345">
        <f t="shared" si="0"/>
        <v>0</v>
      </c>
      <c r="X40" s="345">
        <f t="shared" si="0"/>
        <v>2811155</v>
      </c>
      <c r="Y40" s="345">
        <f t="shared" si="0"/>
        <v>390</v>
      </c>
      <c r="Z40" s="245">
        <f t="shared" si="0"/>
        <v>2.5</v>
      </c>
      <c r="AA40" s="813">
        <f t="shared" si="0"/>
        <v>184733</v>
      </c>
      <c r="AB40" s="813">
        <f t="shared" si="0"/>
        <v>549</v>
      </c>
      <c r="AC40" s="1010">
        <f t="shared" si="0"/>
        <v>0.5</v>
      </c>
      <c r="AD40" s="813">
        <f>+AD31+AD33+AD34+AD35+AD36+AD37+AD38</f>
        <v>2630145</v>
      </c>
      <c r="AE40" s="813">
        <f>+AE31+AE33+AE34+AE35+AE36+AE37+AE38</f>
        <v>307</v>
      </c>
      <c r="AF40" s="1010">
        <f>+AF31+AF33+AF34+AF35+AF36+AF37+AF38</f>
        <v>1.75</v>
      </c>
      <c r="AG40" s="345">
        <f t="shared" si="0"/>
        <v>0</v>
      </c>
    </row>
    <row r="41" spans="1:33" ht="15" customHeight="1" x14ac:dyDescent="0.2">
      <c r="A41" s="1011" t="s">
        <v>3411</v>
      </c>
      <c r="B41" s="1012"/>
      <c r="C41" s="1012"/>
      <c r="D41" s="1012"/>
      <c r="E41" s="1012"/>
      <c r="F41" s="1012"/>
      <c r="G41" s="1012"/>
      <c r="H41" s="1012"/>
      <c r="I41" s="1012"/>
      <c r="J41" s="1012"/>
      <c r="K41" s="1012"/>
      <c r="L41" s="1012"/>
      <c r="M41" s="1012"/>
      <c r="N41" s="1012"/>
      <c r="O41" s="1012"/>
      <c r="P41" s="1012"/>
      <c r="Q41" s="1012"/>
      <c r="R41" s="1012"/>
      <c r="S41" s="1012"/>
      <c r="T41" s="1012"/>
      <c r="U41" s="1012"/>
      <c r="V41" s="1012"/>
      <c r="W41" s="1012"/>
      <c r="X41" s="1012"/>
      <c r="Y41" s="1012"/>
      <c r="Z41" s="1012"/>
      <c r="AA41" s="1012"/>
      <c r="AB41" s="1012"/>
      <c r="AC41" s="1012"/>
      <c r="AD41" s="586"/>
      <c r="AE41" s="586"/>
      <c r="AF41" s="586"/>
      <c r="AG41" s="587"/>
    </row>
    <row r="42" spans="1:33" ht="14.5" customHeight="1" x14ac:dyDescent="0.2">
      <c r="A42" s="830" t="s">
        <v>3412</v>
      </c>
      <c r="B42" s="831"/>
      <c r="C42" s="831"/>
      <c r="D42" s="831"/>
      <c r="E42" s="831"/>
      <c r="F42" s="831"/>
      <c r="G42" s="831"/>
      <c r="H42" s="831"/>
      <c r="I42" s="831"/>
      <c r="J42" s="831"/>
      <c r="K42" s="831"/>
      <c r="L42" s="831"/>
      <c r="M42" s="831"/>
      <c r="N42" s="831"/>
      <c r="O42" s="831"/>
      <c r="P42" s="831"/>
      <c r="Q42" s="831"/>
      <c r="R42" s="831"/>
      <c r="S42" s="831"/>
      <c r="T42" s="831"/>
      <c r="U42" s="831"/>
      <c r="V42" s="831"/>
      <c r="W42" s="831"/>
      <c r="X42" s="831"/>
      <c r="Y42" s="831"/>
      <c r="Z42" s="831"/>
      <c r="AA42" s="831"/>
      <c r="AB42" s="831"/>
      <c r="AC42" s="831"/>
      <c r="AD42" s="831"/>
      <c r="AE42" s="831"/>
      <c r="AF42" s="831"/>
      <c r="AG42" s="832"/>
    </row>
    <row r="43" spans="1:33" x14ac:dyDescent="0.2">
      <c r="A43" s="833" t="s">
        <v>3413</v>
      </c>
      <c r="B43" s="834"/>
      <c r="C43" s="834"/>
      <c r="D43" s="834"/>
      <c r="E43" s="834"/>
      <c r="F43" s="834"/>
      <c r="G43" s="834"/>
      <c r="H43" s="834"/>
      <c r="I43" s="834"/>
      <c r="J43" s="834"/>
      <c r="K43" s="834"/>
      <c r="L43" s="834"/>
      <c r="M43" s="834"/>
      <c r="N43" s="834"/>
      <c r="O43" s="834"/>
      <c r="P43" s="834"/>
      <c r="Q43" s="834"/>
      <c r="R43" s="834"/>
      <c r="S43" s="834"/>
      <c r="T43" s="834"/>
      <c r="U43" s="834"/>
      <c r="V43" s="834"/>
      <c r="W43" s="834"/>
      <c r="X43" s="834"/>
      <c r="Y43" s="834"/>
      <c r="Z43" s="834"/>
      <c r="AA43" s="834"/>
      <c r="AB43" s="834"/>
      <c r="AC43" s="834"/>
      <c r="AD43" s="834"/>
      <c r="AE43" s="834"/>
      <c r="AF43" s="834"/>
      <c r="AG43" s="835"/>
    </row>
    <row r="44" spans="1:33" ht="14.5" customHeight="1" x14ac:dyDescent="0.2">
      <c r="A44" s="830" t="s">
        <v>3414</v>
      </c>
      <c r="B44" s="831"/>
      <c r="C44" s="831"/>
      <c r="D44" s="831"/>
      <c r="E44" s="831"/>
      <c r="F44" s="831"/>
      <c r="G44" s="831"/>
      <c r="H44" s="831"/>
      <c r="I44" s="831"/>
      <c r="J44" s="831"/>
      <c r="K44" s="831"/>
      <c r="L44" s="831"/>
      <c r="M44" s="831"/>
      <c r="N44" s="831"/>
      <c r="O44" s="831"/>
      <c r="P44" s="831"/>
      <c r="Q44" s="831"/>
      <c r="R44" s="831"/>
      <c r="S44" s="831"/>
      <c r="T44" s="831"/>
      <c r="U44" s="831"/>
      <c r="V44" s="831"/>
      <c r="W44" s="831"/>
      <c r="X44" s="831"/>
      <c r="Y44" s="831"/>
      <c r="Z44" s="831"/>
      <c r="AA44" s="831"/>
      <c r="AB44" s="831"/>
      <c r="AC44" s="831"/>
      <c r="AD44" s="831"/>
      <c r="AE44" s="831"/>
      <c r="AF44" s="831"/>
      <c r="AG44" s="831"/>
    </row>
    <row r="45" spans="1:33" x14ac:dyDescent="0.2">
      <c r="A45" s="107"/>
      <c r="B45" s="107"/>
      <c r="C45" s="107"/>
      <c r="D45" s="107"/>
      <c r="E45" s="107"/>
      <c r="F45" s="107"/>
      <c r="G45" s="107"/>
      <c r="H45" s="107"/>
      <c r="I45" s="107"/>
      <c r="J45" s="107"/>
      <c r="K45" s="107"/>
      <c r="L45" s="107"/>
      <c r="M45" s="107"/>
      <c r="N45" s="107"/>
      <c r="O45" s="107"/>
      <c r="P45" s="107"/>
      <c r="Q45" s="107"/>
      <c r="R45" s="107"/>
      <c r="S45" s="107"/>
      <c r="T45" s="107"/>
      <c r="U45" s="107"/>
      <c r="V45" s="107"/>
      <c r="W45" s="107"/>
      <c r="X45" s="107"/>
      <c r="Y45" s="107"/>
      <c r="Z45" s="107"/>
      <c r="AA45" s="107"/>
      <c r="AB45" s="107"/>
      <c r="AC45" s="107"/>
      <c r="AD45" s="107"/>
      <c r="AE45" s="107"/>
      <c r="AF45" s="107"/>
    </row>
    <row r="46" spans="1:33" x14ac:dyDescent="0.2">
      <c r="A46" s="107"/>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row>
    <row r="47" spans="1:33" x14ac:dyDescent="0.2">
      <c r="A47" s="107"/>
      <c r="B47" s="107"/>
      <c r="C47" s="107"/>
      <c r="D47" s="107"/>
      <c r="E47" s="107"/>
      <c r="F47" s="107"/>
      <c r="G47" s="107"/>
      <c r="H47" s="107"/>
      <c r="I47" s="107"/>
      <c r="J47" s="107"/>
      <c r="K47" s="107"/>
      <c r="L47" s="107"/>
      <c r="M47" s="107"/>
      <c r="N47" s="107"/>
      <c r="O47" s="107"/>
      <c r="P47" s="107"/>
      <c r="Q47" s="107"/>
      <c r="R47" s="107"/>
      <c r="S47" s="107"/>
      <c r="T47" s="107"/>
      <c r="U47" s="107"/>
      <c r="V47" s="107"/>
      <c r="W47" s="107"/>
      <c r="X47" s="107"/>
      <c r="Y47" s="107"/>
      <c r="Z47" s="107"/>
      <c r="AA47" s="107"/>
      <c r="AB47" s="107"/>
      <c r="AC47" s="107"/>
      <c r="AD47" s="107"/>
      <c r="AE47" s="107"/>
      <c r="AF47" s="107"/>
    </row>
    <row r="48" spans="1:33" x14ac:dyDescent="0.2">
      <c r="A48" s="526" t="s">
        <v>1182</v>
      </c>
      <c r="B48" s="107"/>
      <c r="C48" s="107"/>
      <c r="D48" s="107"/>
      <c r="E48" s="107"/>
      <c r="F48" s="107"/>
      <c r="G48" s="107"/>
      <c r="H48" s="107"/>
      <c r="I48" s="107"/>
      <c r="J48" s="107"/>
      <c r="K48" s="107"/>
      <c r="L48" s="107"/>
      <c r="M48" s="107"/>
      <c r="N48" s="107"/>
      <c r="O48" s="107"/>
      <c r="P48" s="107"/>
      <c r="Q48" s="107"/>
      <c r="R48" s="107"/>
      <c r="S48" s="107"/>
      <c r="T48" s="107"/>
      <c r="U48" s="107"/>
      <c r="V48" s="107"/>
      <c r="W48" s="107"/>
      <c r="X48" s="107"/>
      <c r="Y48" s="107"/>
      <c r="Z48" s="107"/>
      <c r="AA48" s="107"/>
      <c r="AB48" s="107"/>
      <c r="AC48" s="107"/>
      <c r="AD48" s="107"/>
      <c r="AE48" s="107"/>
      <c r="AF48" s="107"/>
    </row>
    <row r="49" spans="1:32" ht="19" x14ac:dyDescent="0.2">
      <c r="A49" s="875" t="s">
        <v>1569</v>
      </c>
      <c r="B49" s="876"/>
      <c r="C49" s="876"/>
      <c r="D49" s="876"/>
      <c r="E49" s="876"/>
      <c r="F49" s="876"/>
      <c r="G49" s="876"/>
      <c r="H49" s="877"/>
      <c r="I49" s="107"/>
      <c r="J49" s="107"/>
      <c r="K49" s="107"/>
      <c r="L49" s="107"/>
      <c r="M49" s="107"/>
      <c r="N49" s="107"/>
      <c r="O49" s="107"/>
      <c r="P49" s="107"/>
      <c r="Q49" s="107"/>
      <c r="R49" s="107"/>
      <c r="S49" s="107"/>
      <c r="T49" s="107"/>
      <c r="U49" s="107"/>
      <c r="V49" s="107"/>
      <c r="W49" s="107"/>
      <c r="X49" s="107"/>
      <c r="Y49" s="107"/>
      <c r="Z49" s="107"/>
      <c r="AA49" s="107"/>
      <c r="AB49" s="107"/>
      <c r="AC49" s="107"/>
      <c r="AD49" s="107"/>
      <c r="AE49" s="107"/>
      <c r="AF49" s="107"/>
    </row>
    <row r="50" spans="1:32" ht="22.25" customHeight="1" x14ac:dyDescent="0.2">
      <c r="A50" s="494"/>
      <c r="B50" s="1000" t="s">
        <v>2505</v>
      </c>
      <c r="C50" s="780"/>
      <c r="D50" s="1000" t="s">
        <v>2506</v>
      </c>
      <c r="E50" s="780"/>
      <c r="F50" s="1000" t="s">
        <v>2507</v>
      </c>
      <c r="G50" s="779"/>
      <c r="H50" s="780"/>
      <c r="I50" s="107"/>
      <c r="J50" s="107"/>
      <c r="K50" s="107"/>
      <c r="L50" s="107"/>
      <c r="M50" s="107"/>
      <c r="N50" s="107"/>
      <c r="O50" s="107"/>
      <c r="P50" s="107"/>
      <c r="Q50" s="107"/>
      <c r="R50" s="107"/>
      <c r="S50" s="107"/>
      <c r="T50" s="107"/>
      <c r="U50" s="107"/>
      <c r="V50" s="107"/>
      <c r="W50" s="107"/>
      <c r="X50" s="107"/>
      <c r="Y50" s="107"/>
      <c r="Z50" s="107"/>
      <c r="AA50" s="107"/>
      <c r="AB50" s="107"/>
      <c r="AC50" s="107"/>
      <c r="AD50" s="107"/>
      <c r="AE50" s="107"/>
      <c r="AF50" s="107"/>
    </row>
    <row r="51" spans="1:32" x14ac:dyDescent="0.2">
      <c r="A51" s="494"/>
      <c r="B51" s="1013" t="s">
        <v>3373</v>
      </c>
      <c r="C51" s="1014" t="s">
        <v>3415</v>
      </c>
      <c r="D51" s="1013" t="s">
        <v>3373</v>
      </c>
      <c r="E51" s="1014" t="s">
        <v>3374</v>
      </c>
      <c r="F51" s="1013" t="s">
        <v>3416</v>
      </c>
      <c r="G51" s="862" t="s">
        <v>3374</v>
      </c>
      <c r="H51" s="863"/>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c r="AF51" s="107"/>
    </row>
    <row r="52" spans="1:32" ht="23" customHeight="1" x14ac:dyDescent="0.2">
      <c r="A52" s="794" t="s">
        <v>3417</v>
      </c>
      <c r="B52" s="240">
        <v>660980</v>
      </c>
      <c r="C52" s="513">
        <v>35</v>
      </c>
      <c r="D52" s="240">
        <v>248716</v>
      </c>
      <c r="E52" s="513">
        <v>60</v>
      </c>
      <c r="F52" s="240">
        <v>413574</v>
      </c>
      <c r="G52" s="318">
        <v>77</v>
      </c>
      <c r="H52" s="241">
        <f>1/2</f>
        <v>0.5</v>
      </c>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row>
    <row r="53" spans="1:32" x14ac:dyDescent="0.2">
      <c r="A53" s="107"/>
      <c r="B53" s="107"/>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7"/>
      <c r="AE53" s="107"/>
      <c r="AF53" s="107"/>
    </row>
    <row r="54" spans="1:32" x14ac:dyDescent="0.2">
      <c r="A54" s="107"/>
      <c r="B54" s="107"/>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c r="AB54" s="107"/>
      <c r="AC54" s="107"/>
      <c r="AD54" s="107"/>
      <c r="AE54" s="107"/>
      <c r="AF54" s="107"/>
    </row>
    <row r="55" spans="1:32" x14ac:dyDescent="0.2">
      <c r="A55" s="107"/>
      <c r="B55" s="107"/>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row>
    <row r="56" spans="1:32" x14ac:dyDescent="0.2">
      <c r="A56" s="107"/>
      <c r="B56" s="107"/>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row>
    <row r="57" spans="1:32" x14ac:dyDescent="0.2">
      <c r="A57" s="107"/>
      <c r="B57" s="107"/>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row>
    <row r="58" spans="1:32" x14ac:dyDescent="0.2">
      <c r="A58" s="107"/>
      <c r="B58" s="107"/>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row>
    <row r="59" spans="1:32" x14ac:dyDescent="0.2">
      <c r="A59" s="107"/>
      <c r="B59" s="107"/>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row>
    <row r="60" spans="1:32" x14ac:dyDescent="0.2">
      <c r="A60" s="107"/>
      <c r="B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row>
    <row r="61" spans="1:32" x14ac:dyDescent="0.2">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row>
    <row r="62" spans="1:32" x14ac:dyDescent="0.2">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row>
    <row r="63" spans="1:32" x14ac:dyDescent="0.2">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row>
  </sheetData>
  <mergeCells count="40">
    <mergeCell ref="A43:AG43"/>
    <mergeCell ref="A44:AG44"/>
    <mergeCell ref="A49:H49"/>
    <mergeCell ref="A50:A51"/>
    <mergeCell ref="B50:C50"/>
    <mergeCell ref="D50:E50"/>
    <mergeCell ref="F50:H50"/>
    <mergeCell ref="G51:H51"/>
    <mergeCell ref="U30:W30"/>
    <mergeCell ref="X30:Z30"/>
    <mergeCell ref="AA30:AC30"/>
    <mergeCell ref="AD30:AG30"/>
    <mergeCell ref="A41:AG41"/>
    <mergeCell ref="A42:AG42"/>
    <mergeCell ref="X29:Z29"/>
    <mergeCell ref="AA29:AC29"/>
    <mergeCell ref="AD29:AG29"/>
    <mergeCell ref="C30:D30"/>
    <mergeCell ref="F30:G30"/>
    <mergeCell ref="H30:I30"/>
    <mergeCell ref="J30:K30"/>
    <mergeCell ref="L30:N30"/>
    <mergeCell ref="O30:Q30"/>
    <mergeCell ref="R30:T30"/>
    <mergeCell ref="H29:I29"/>
    <mergeCell ref="J29:K29"/>
    <mergeCell ref="L29:N29"/>
    <mergeCell ref="O29:Q29"/>
    <mergeCell ref="R29:T29"/>
    <mergeCell ref="U29:W29"/>
    <mergeCell ref="A4:C4"/>
    <mergeCell ref="A27:AG27"/>
    <mergeCell ref="A28:A30"/>
    <mergeCell ref="B28:G28"/>
    <mergeCell ref="H28:K28"/>
    <mergeCell ref="L28:Q28"/>
    <mergeCell ref="R28:W28"/>
    <mergeCell ref="X28:AG28"/>
    <mergeCell ref="B29:D29"/>
    <mergeCell ref="E29:G29"/>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8"/>
  <sheetViews>
    <sheetView workbookViewId="0">
      <selection activeCell="B1" sqref="B1"/>
    </sheetView>
  </sheetViews>
  <sheetFormatPr baseColWidth="10" defaultRowHeight="15" x14ac:dyDescent="0.2"/>
  <cols>
    <col min="1" max="1" width="50.83203125" style="106" customWidth="1"/>
    <col min="2" max="2" width="10.83203125" style="106"/>
    <col min="3" max="3" width="5.83203125" style="106" customWidth="1"/>
    <col min="4" max="4" width="5.1640625" style="106" customWidth="1"/>
    <col min="5" max="5" width="10.83203125" style="106"/>
    <col min="6" max="6" width="6.6640625" style="106" customWidth="1"/>
    <col min="7" max="7" width="5.1640625" style="106" customWidth="1"/>
    <col min="8" max="16384" width="10.83203125" style="106"/>
  </cols>
  <sheetData>
    <row r="1" spans="1:7" x14ac:dyDescent="0.2">
      <c r="A1" s="458" t="s">
        <v>3418</v>
      </c>
    </row>
    <row r="2" spans="1:7" x14ac:dyDescent="0.2">
      <c r="A2" s="107"/>
      <c r="B2" s="107"/>
      <c r="C2" s="107"/>
      <c r="D2" s="107"/>
      <c r="E2" s="107"/>
      <c r="F2" s="107"/>
      <c r="G2" s="107"/>
    </row>
    <row r="3" spans="1:7" x14ac:dyDescent="0.2">
      <c r="A3" s="526" t="s">
        <v>1111</v>
      </c>
      <c r="B3" s="107"/>
      <c r="C3" s="107"/>
      <c r="D3" s="107"/>
      <c r="E3" s="107"/>
      <c r="F3" s="107"/>
      <c r="G3" s="107"/>
    </row>
    <row r="4" spans="1:7" ht="29.5" customHeight="1" x14ac:dyDescent="0.2">
      <c r="A4" s="528" t="s">
        <v>3419</v>
      </c>
      <c r="B4" s="643"/>
      <c r="C4" s="643"/>
      <c r="D4" s="529"/>
      <c r="E4" s="107"/>
      <c r="F4" s="107"/>
      <c r="G4" s="107"/>
    </row>
    <row r="5" spans="1:7" x14ac:dyDescent="0.2">
      <c r="A5" s="131" t="s">
        <v>3420</v>
      </c>
      <c r="B5" s="145">
        <v>571600</v>
      </c>
      <c r="C5" s="145">
        <v>17</v>
      </c>
      <c r="D5" s="133">
        <v>0.5</v>
      </c>
      <c r="E5" s="107"/>
      <c r="F5" s="107"/>
      <c r="G5" s="107"/>
    </row>
    <row r="6" spans="1:7" x14ac:dyDescent="0.2">
      <c r="A6" s="131" t="s">
        <v>2886</v>
      </c>
      <c r="B6" s="145">
        <v>168288</v>
      </c>
      <c r="C6" s="145">
        <v>97</v>
      </c>
      <c r="D6" s="133">
        <v>0.5</v>
      </c>
      <c r="E6" s="107"/>
      <c r="F6" s="107"/>
      <c r="G6" s="107"/>
    </row>
    <row r="7" spans="1:7" x14ac:dyDescent="0.2">
      <c r="A7" s="131" t="s">
        <v>1175</v>
      </c>
      <c r="B7" s="145">
        <v>252263</v>
      </c>
      <c r="C7" s="145">
        <v>39</v>
      </c>
      <c r="D7" s="133">
        <v>0.5</v>
      </c>
      <c r="E7" s="107"/>
      <c r="F7" s="107"/>
      <c r="G7" s="107"/>
    </row>
    <row r="8" spans="1:7" x14ac:dyDescent="0.2">
      <c r="A8" s="131" t="s">
        <v>2043</v>
      </c>
      <c r="B8" s="145">
        <v>250181</v>
      </c>
      <c r="C8" s="145">
        <v>80</v>
      </c>
      <c r="D8" s="133"/>
      <c r="E8" s="107"/>
      <c r="F8" s="107"/>
      <c r="G8" s="107"/>
    </row>
    <row r="9" spans="1:7" x14ac:dyDescent="0.2">
      <c r="A9" s="131" t="s">
        <v>2044</v>
      </c>
      <c r="B9" s="145">
        <v>31096</v>
      </c>
      <c r="C9" s="145">
        <v>67</v>
      </c>
      <c r="D9" s="133">
        <v>0.5</v>
      </c>
      <c r="E9" s="107"/>
      <c r="F9" s="107"/>
      <c r="G9" s="107"/>
    </row>
    <row r="10" spans="1:7" x14ac:dyDescent="0.2">
      <c r="A10" s="131" t="s">
        <v>2042</v>
      </c>
      <c r="B10" s="145">
        <v>79556</v>
      </c>
      <c r="C10" s="145">
        <v>5</v>
      </c>
      <c r="D10" s="133"/>
      <c r="E10" s="107"/>
      <c r="F10" s="107"/>
      <c r="G10" s="107"/>
    </row>
    <row r="11" spans="1:7" x14ac:dyDescent="0.2">
      <c r="A11" s="131" t="s">
        <v>2047</v>
      </c>
      <c r="B11" s="145">
        <v>115776</v>
      </c>
      <c r="C11" s="145">
        <v>87</v>
      </c>
      <c r="D11" s="133">
        <v>0.5</v>
      </c>
      <c r="E11" s="107"/>
      <c r="F11" s="107"/>
      <c r="G11" s="107"/>
    </row>
    <row r="12" spans="1:7" x14ac:dyDescent="0.2">
      <c r="A12" s="131" t="s">
        <v>2464</v>
      </c>
      <c r="B12" s="145">
        <v>49862</v>
      </c>
      <c r="C12" s="145">
        <v>20</v>
      </c>
      <c r="D12" s="133"/>
      <c r="E12" s="107"/>
      <c r="F12" s="107"/>
      <c r="G12" s="107"/>
    </row>
    <row r="13" spans="1:7" x14ac:dyDescent="0.2">
      <c r="A13" s="131" t="s">
        <v>2045</v>
      </c>
      <c r="B13" s="145">
        <v>512706</v>
      </c>
      <c r="C13" s="145">
        <v>68</v>
      </c>
      <c r="D13" s="133"/>
      <c r="E13" s="107"/>
      <c r="F13" s="107"/>
      <c r="G13" s="107"/>
    </row>
    <row r="14" spans="1:7" x14ac:dyDescent="0.2">
      <c r="A14" s="131" t="s">
        <v>2869</v>
      </c>
      <c r="B14" s="145">
        <v>54742</v>
      </c>
      <c r="C14" s="145">
        <v>95</v>
      </c>
      <c r="D14" s="133"/>
      <c r="E14" s="107"/>
      <c r="F14" s="107"/>
      <c r="G14" s="107"/>
    </row>
    <row r="15" spans="1:7" x14ac:dyDescent="0.2">
      <c r="A15" s="131" t="s">
        <v>2761</v>
      </c>
      <c r="B15" s="145">
        <v>9027</v>
      </c>
      <c r="C15" s="145"/>
      <c r="D15" s="133"/>
      <c r="E15" s="107"/>
      <c r="F15" s="107"/>
      <c r="G15" s="107"/>
    </row>
    <row r="16" spans="1:7" x14ac:dyDescent="0.2">
      <c r="A16" s="131" t="s">
        <v>2046</v>
      </c>
      <c r="B16" s="145">
        <v>77648</v>
      </c>
      <c r="C16" s="145">
        <v>25</v>
      </c>
      <c r="D16" s="133"/>
      <c r="E16" s="107"/>
      <c r="F16" s="107"/>
      <c r="G16" s="107"/>
    </row>
    <row r="17" spans="1:7" x14ac:dyDescent="0.2">
      <c r="A17" s="131" t="s">
        <v>2040</v>
      </c>
      <c r="B17" s="145">
        <v>1553210</v>
      </c>
      <c r="C17" s="145">
        <v>43</v>
      </c>
      <c r="D17" s="133"/>
      <c r="E17" s="107"/>
      <c r="F17" s="107"/>
      <c r="G17" s="107"/>
    </row>
    <row r="18" spans="1:7" x14ac:dyDescent="0.2">
      <c r="A18" s="131" t="s">
        <v>3015</v>
      </c>
      <c r="B18" s="145">
        <v>668</v>
      </c>
      <c r="C18" s="145">
        <v>75</v>
      </c>
      <c r="D18" s="133">
        <v>0.5</v>
      </c>
      <c r="E18" s="107"/>
      <c r="F18" s="107"/>
      <c r="G18" s="107"/>
    </row>
    <row r="19" spans="1:7" x14ac:dyDescent="0.2">
      <c r="A19" s="131" t="s">
        <v>3421</v>
      </c>
      <c r="B19" s="145">
        <v>202659</v>
      </c>
      <c r="C19" s="145">
        <v>7</v>
      </c>
      <c r="D19" s="133">
        <v>0.5</v>
      </c>
      <c r="E19" s="107"/>
      <c r="F19" s="107"/>
      <c r="G19" s="107"/>
    </row>
    <row r="20" spans="1:7" ht="16" thickBot="1" x14ac:dyDescent="0.25">
      <c r="A20" s="794" t="s">
        <v>3422</v>
      </c>
      <c r="B20" s="362">
        <v>3523971</v>
      </c>
      <c r="C20" s="362">
        <v>13</v>
      </c>
      <c r="D20" s="373">
        <v>0.5</v>
      </c>
      <c r="E20" s="107"/>
      <c r="F20" s="107"/>
      <c r="G20" s="107"/>
    </row>
    <row r="21" spans="1:7" ht="16" thickTop="1" x14ac:dyDescent="0.2">
      <c r="A21" s="107"/>
      <c r="B21" s="825">
        <f>+SUM(B5:B18)-B19</f>
        <v>3523964</v>
      </c>
      <c r="C21" s="825">
        <f>+SUM(C5:C18)-C19</f>
        <v>711</v>
      </c>
      <c r="D21" s="1015">
        <f>+SUM(D5:D18)-D19</f>
        <v>2.5</v>
      </c>
      <c r="E21" s="107"/>
      <c r="F21" s="107"/>
      <c r="G21" s="107"/>
    </row>
    <row r="22" spans="1:7" x14ac:dyDescent="0.2">
      <c r="A22" s="107"/>
      <c r="B22" s="107"/>
      <c r="C22" s="107"/>
      <c r="D22" s="107"/>
      <c r="E22" s="107"/>
      <c r="F22" s="107"/>
      <c r="G22" s="107"/>
    </row>
    <row r="23" spans="1:7" x14ac:dyDescent="0.2">
      <c r="A23" s="107"/>
      <c r="B23" s="107"/>
      <c r="C23" s="107"/>
      <c r="D23" s="107"/>
      <c r="E23" s="107"/>
      <c r="F23" s="107"/>
      <c r="G23" s="107"/>
    </row>
    <row r="24" spans="1:7" x14ac:dyDescent="0.2">
      <c r="A24" s="526" t="s">
        <v>1171</v>
      </c>
      <c r="B24" s="107"/>
      <c r="C24" s="107"/>
      <c r="D24" s="107"/>
      <c r="E24" s="107"/>
      <c r="F24" s="107"/>
      <c r="G24" s="107"/>
    </row>
    <row r="25" spans="1:7" ht="34.25" customHeight="1" x14ac:dyDescent="0.2">
      <c r="A25" s="528" t="s">
        <v>3423</v>
      </c>
      <c r="B25" s="643"/>
      <c r="C25" s="643"/>
      <c r="D25" s="529"/>
      <c r="E25" s="107"/>
      <c r="F25" s="107"/>
      <c r="G25" s="107"/>
    </row>
    <row r="26" spans="1:7" x14ac:dyDescent="0.2">
      <c r="A26" s="131" t="s">
        <v>3420</v>
      </c>
      <c r="B26" s="145">
        <v>260469</v>
      </c>
      <c r="C26" s="145">
        <v>54</v>
      </c>
      <c r="D26" s="133">
        <v>0.5</v>
      </c>
      <c r="E26" s="107"/>
      <c r="F26" s="107"/>
      <c r="G26" s="107"/>
    </row>
    <row r="27" spans="1:7" x14ac:dyDescent="0.2">
      <c r="A27" s="131" t="s">
        <v>2886</v>
      </c>
      <c r="B27" s="145">
        <v>53176</v>
      </c>
      <c r="C27" s="145">
        <v>97</v>
      </c>
      <c r="D27" s="133">
        <v>0.5</v>
      </c>
      <c r="E27" s="107"/>
      <c r="F27" s="107"/>
      <c r="G27" s="107"/>
    </row>
    <row r="28" spans="1:7" x14ac:dyDescent="0.2">
      <c r="A28" s="131" t="s">
        <v>2043</v>
      </c>
      <c r="B28" s="145">
        <v>220844</v>
      </c>
      <c r="C28" s="145">
        <v>87</v>
      </c>
      <c r="D28" s="133">
        <v>0.5</v>
      </c>
      <c r="E28" s="107"/>
      <c r="F28" s="107"/>
      <c r="G28" s="107"/>
    </row>
    <row r="29" spans="1:7" x14ac:dyDescent="0.2">
      <c r="A29" s="131" t="s">
        <v>2044</v>
      </c>
      <c r="B29" s="145">
        <v>29402</v>
      </c>
      <c r="C29" s="145"/>
      <c r="D29" s="133"/>
      <c r="E29" s="107"/>
      <c r="F29" s="107"/>
      <c r="G29" s="107"/>
    </row>
    <row r="30" spans="1:7" x14ac:dyDescent="0.2">
      <c r="A30" s="131" t="s">
        <v>2042</v>
      </c>
      <c r="B30" s="145">
        <v>84253</v>
      </c>
      <c r="C30" s="145">
        <v>67</v>
      </c>
      <c r="D30" s="133">
        <v>0.5</v>
      </c>
      <c r="E30" s="107"/>
      <c r="F30" s="107"/>
      <c r="G30" s="107"/>
    </row>
    <row r="31" spans="1:7" x14ac:dyDescent="0.2">
      <c r="A31" s="131" t="s">
        <v>2047</v>
      </c>
      <c r="B31" s="145">
        <v>86820</v>
      </c>
      <c r="C31" s="145">
        <v>80</v>
      </c>
      <c r="D31" s="133"/>
      <c r="E31" s="107"/>
      <c r="F31" s="107"/>
      <c r="G31" s="107"/>
    </row>
    <row r="32" spans="1:7" x14ac:dyDescent="0.2">
      <c r="A32" s="131" t="s">
        <v>2464</v>
      </c>
      <c r="B32" s="145">
        <v>48181</v>
      </c>
      <c r="C32" s="145">
        <v>15</v>
      </c>
      <c r="D32" s="133"/>
      <c r="E32" s="107"/>
      <c r="F32" s="107"/>
      <c r="G32" s="107"/>
    </row>
    <row r="33" spans="1:7" x14ac:dyDescent="0.2">
      <c r="A33" s="131" t="s">
        <v>2045</v>
      </c>
      <c r="B33" s="145">
        <v>162145</v>
      </c>
      <c r="C33" s="145">
        <v>92</v>
      </c>
      <c r="D33" s="133">
        <v>0.5</v>
      </c>
      <c r="E33" s="107"/>
      <c r="F33" s="107"/>
      <c r="G33" s="107"/>
    </row>
    <row r="34" spans="1:7" x14ac:dyDescent="0.2">
      <c r="A34" s="140" t="s">
        <v>1175</v>
      </c>
      <c r="B34" s="145">
        <v>128750</v>
      </c>
      <c r="C34" s="145">
        <v>72</v>
      </c>
      <c r="D34" s="133">
        <v>0.5</v>
      </c>
      <c r="E34" s="107"/>
      <c r="F34" s="107"/>
      <c r="G34" s="107"/>
    </row>
    <row r="35" spans="1:7" x14ac:dyDescent="0.2">
      <c r="A35" s="131" t="s">
        <v>2869</v>
      </c>
      <c r="B35" s="145">
        <v>45725</v>
      </c>
      <c r="C35" s="145">
        <v>75</v>
      </c>
      <c r="D35" s="133"/>
      <c r="E35" s="107"/>
      <c r="F35" s="107"/>
      <c r="G35" s="107"/>
    </row>
    <row r="36" spans="1:7" x14ac:dyDescent="0.2">
      <c r="A36" s="131" t="s">
        <v>2761</v>
      </c>
      <c r="B36" s="145">
        <v>6748</v>
      </c>
      <c r="C36" s="145">
        <v>25</v>
      </c>
      <c r="D36" s="133"/>
      <c r="E36" s="107"/>
      <c r="F36" s="107"/>
      <c r="G36" s="107"/>
    </row>
    <row r="37" spans="1:7" x14ac:dyDescent="0.2">
      <c r="A37" s="131" t="s">
        <v>2046</v>
      </c>
      <c r="B37" s="145">
        <v>93882</v>
      </c>
      <c r="C37" s="145">
        <v>20</v>
      </c>
      <c r="D37" s="133"/>
      <c r="E37" s="107"/>
      <c r="F37" s="107"/>
      <c r="G37" s="107"/>
    </row>
    <row r="38" spans="1:7" x14ac:dyDescent="0.2">
      <c r="A38" s="131" t="s">
        <v>2040</v>
      </c>
      <c r="B38" s="145">
        <v>1479203</v>
      </c>
      <c r="C38" s="145">
        <v>63</v>
      </c>
      <c r="D38" s="133">
        <v>0.5</v>
      </c>
      <c r="E38" s="107"/>
      <c r="F38" s="107"/>
      <c r="G38" s="107"/>
    </row>
    <row r="39" spans="1:7" x14ac:dyDescent="0.2">
      <c r="A39" s="897" t="s">
        <v>3424</v>
      </c>
      <c r="B39" s="350">
        <v>2699605</v>
      </c>
      <c r="C39" s="350">
        <v>50</v>
      </c>
      <c r="D39" s="352">
        <v>0.5</v>
      </c>
      <c r="E39" s="107"/>
      <c r="F39" s="107"/>
      <c r="G39" s="107"/>
    </row>
    <row r="40" spans="1:7" x14ac:dyDescent="0.2">
      <c r="A40" s="897"/>
      <c r="B40" s="138">
        <f>+SUM(B26:B38)</f>
        <v>2699598</v>
      </c>
      <c r="C40" s="138">
        <f>+SUM(C26:C38)</f>
        <v>747</v>
      </c>
      <c r="D40" s="312">
        <f>+SUM(D26:D38)</f>
        <v>3.5</v>
      </c>
      <c r="E40" s="107"/>
      <c r="F40" s="107"/>
      <c r="G40" s="107"/>
    </row>
    <row r="41" spans="1:7" ht="48" customHeight="1" x14ac:dyDescent="0.2">
      <c r="A41" s="576" t="s">
        <v>3425</v>
      </c>
      <c r="B41" s="145">
        <v>279328</v>
      </c>
      <c r="C41" s="145">
        <v>30</v>
      </c>
      <c r="D41" s="133"/>
      <c r="E41" s="107"/>
      <c r="F41" s="107"/>
      <c r="G41" s="107"/>
    </row>
    <row r="42" spans="1:7" ht="21" customHeight="1" x14ac:dyDescent="0.2">
      <c r="A42" s="140" t="s">
        <v>3426</v>
      </c>
      <c r="B42" s="145">
        <v>750000</v>
      </c>
      <c r="C42" s="145"/>
      <c r="D42" s="133"/>
      <c r="E42" s="107"/>
      <c r="F42" s="107"/>
      <c r="G42" s="107"/>
    </row>
    <row r="43" spans="1:7" ht="16" thickBot="1" x14ac:dyDescent="0.25">
      <c r="A43" s="801" t="s">
        <v>3427</v>
      </c>
      <c r="B43" s="362">
        <v>3728933</v>
      </c>
      <c r="C43" s="362">
        <v>80</v>
      </c>
      <c r="D43" s="373">
        <v>0.5</v>
      </c>
      <c r="E43" s="107"/>
      <c r="F43" s="107"/>
      <c r="G43" s="107"/>
    </row>
    <row r="44" spans="1:7" ht="16" thickTop="1" x14ac:dyDescent="0.2">
      <c r="A44" s="107"/>
      <c r="B44" s="321">
        <f>+B39+B41+B42</f>
        <v>3728933</v>
      </c>
      <c r="C44" s="321">
        <f>+C39+C41+C42</f>
        <v>80</v>
      </c>
      <c r="D44" s="322">
        <f>+D39+D41+D42</f>
        <v>0.5</v>
      </c>
      <c r="E44" s="107"/>
      <c r="F44" s="107"/>
      <c r="G44" s="107"/>
    </row>
    <row r="45" spans="1:7" x14ac:dyDescent="0.2">
      <c r="A45" s="107"/>
      <c r="B45" s="107"/>
      <c r="C45" s="107"/>
      <c r="D45" s="107"/>
      <c r="E45" s="107"/>
      <c r="F45" s="107"/>
      <c r="G45" s="107"/>
    </row>
    <row r="46" spans="1:7" x14ac:dyDescent="0.2">
      <c r="A46" s="107"/>
      <c r="B46" s="107"/>
      <c r="C46" s="107"/>
      <c r="D46" s="107"/>
      <c r="E46" s="107"/>
      <c r="F46" s="107"/>
      <c r="G46" s="107"/>
    </row>
    <row r="47" spans="1:7" x14ac:dyDescent="0.2">
      <c r="A47" s="526" t="s">
        <v>1853</v>
      </c>
      <c r="B47" s="107"/>
      <c r="C47" s="107"/>
      <c r="D47" s="107"/>
      <c r="E47" s="107"/>
      <c r="F47" s="107"/>
      <c r="G47" s="107"/>
    </row>
    <row r="48" spans="1:7" ht="28.25" customHeight="1" x14ac:dyDescent="0.2">
      <c r="A48" s="664" t="s">
        <v>3428</v>
      </c>
      <c r="B48" s="665"/>
      <c r="C48" s="665"/>
      <c r="D48" s="665"/>
      <c r="E48" s="665"/>
      <c r="F48" s="665"/>
      <c r="G48" s="666"/>
    </row>
    <row r="49" spans="1:7" x14ac:dyDescent="0.2">
      <c r="A49" s="480" t="s">
        <v>1174</v>
      </c>
      <c r="B49" s="481"/>
      <c r="C49" s="481"/>
      <c r="D49" s="481"/>
      <c r="E49" s="145">
        <v>2568622</v>
      </c>
      <c r="F49" s="145">
        <v>97</v>
      </c>
      <c r="G49" s="133">
        <v>0.5</v>
      </c>
    </row>
    <row r="50" spans="1:7" x14ac:dyDescent="0.2">
      <c r="A50" s="480" t="s">
        <v>1573</v>
      </c>
      <c r="B50" s="481"/>
      <c r="C50" s="481"/>
      <c r="D50" s="481"/>
      <c r="E50" s="145">
        <v>6859</v>
      </c>
      <c r="F50" s="145">
        <v>797</v>
      </c>
      <c r="G50" s="133"/>
    </row>
    <row r="51" spans="1:7" x14ac:dyDescent="0.2">
      <c r="A51" s="480" t="s">
        <v>1175</v>
      </c>
      <c r="B51" s="481"/>
      <c r="C51" s="481"/>
      <c r="D51" s="481"/>
      <c r="E51" s="145">
        <v>58903</v>
      </c>
      <c r="F51" s="145">
        <v>385</v>
      </c>
      <c r="G51" s="133"/>
    </row>
    <row r="52" spans="1:7" x14ac:dyDescent="0.2">
      <c r="A52" s="480" t="s">
        <v>3195</v>
      </c>
      <c r="B52" s="481"/>
      <c r="C52" s="481"/>
      <c r="D52" s="481"/>
      <c r="E52" s="145">
        <v>11636</v>
      </c>
      <c r="F52" s="145">
        <v>825</v>
      </c>
      <c r="G52" s="133"/>
    </row>
    <row r="53" spans="1:7" x14ac:dyDescent="0.2">
      <c r="A53" s="480" t="s">
        <v>1808</v>
      </c>
      <c r="B53" s="481"/>
      <c r="C53" s="481"/>
      <c r="D53" s="481"/>
      <c r="E53" s="145">
        <v>76363</v>
      </c>
      <c r="F53" s="145">
        <v>200</v>
      </c>
      <c r="G53" s="133"/>
    </row>
    <row r="54" spans="1:7" x14ac:dyDescent="0.2">
      <c r="A54" s="480" t="s">
        <v>3429</v>
      </c>
      <c r="B54" s="481"/>
      <c r="C54" s="481"/>
      <c r="D54" s="481"/>
      <c r="E54" s="145">
        <v>225000</v>
      </c>
      <c r="F54" s="145"/>
      <c r="G54" s="133"/>
    </row>
    <row r="55" spans="1:7" x14ac:dyDescent="0.2">
      <c r="A55" s="480" t="s">
        <v>1569</v>
      </c>
      <c r="B55" s="481"/>
      <c r="C55" s="481"/>
      <c r="D55" s="481"/>
      <c r="E55" s="145">
        <v>774724</v>
      </c>
      <c r="F55" s="145">
        <v>200</v>
      </c>
      <c r="G55" s="133"/>
    </row>
    <row r="56" spans="1:7" x14ac:dyDescent="0.2">
      <c r="A56" s="480" t="s">
        <v>3100</v>
      </c>
      <c r="B56" s="481"/>
      <c r="C56" s="481"/>
      <c r="D56" s="481"/>
      <c r="E56" s="145">
        <v>31648</v>
      </c>
      <c r="F56" s="145">
        <v>720</v>
      </c>
      <c r="G56" s="133"/>
    </row>
    <row r="57" spans="1:7" x14ac:dyDescent="0.2">
      <c r="A57" s="480" t="s">
        <v>3430</v>
      </c>
      <c r="B57" s="481"/>
      <c r="C57" s="481"/>
      <c r="D57" s="481"/>
      <c r="E57" s="145">
        <v>890</v>
      </c>
      <c r="F57" s="145">
        <v>900</v>
      </c>
      <c r="G57" s="133"/>
    </row>
    <row r="58" spans="1:7" x14ac:dyDescent="0.2">
      <c r="A58" s="480" t="s">
        <v>3431</v>
      </c>
      <c r="B58" s="481"/>
      <c r="C58" s="481"/>
      <c r="D58" s="481"/>
      <c r="E58" s="145">
        <v>392233</v>
      </c>
      <c r="F58" s="145">
        <v>855</v>
      </c>
      <c r="G58" s="133"/>
    </row>
    <row r="59" spans="1:7" x14ac:dyDescent="0.2">
      <c r="A59" s="480" t="s">
        <v>2763</v>
      </c>
      <c r="B59" s="481"/>
      <c r="C59" s="481"/>
      <c r="D59" s="481"/>
      <c r="E59" s="145">
        <v>50</v>
      </c>
      <c r="F59" s="145"/>
      <c r="G59" s="133"/>
    </row>
    <row r="60" spans="1:7" ht="16" thickBot="1" x14ac:dyDescent="0.25">
      <c r="A60" s="480" t="s">
        <v>1992</v>
      </c>
      <c r="B60" s="481"/>
      <c r="C60" s="481"/>
      <c r="D60" s="481"/>
      <c r="E60" s="187">
        <v>708626</v>
      </c>
      <c r="F60" s="187">
        <v>249</v>
      </c>
      <c r="G60" s="189">
        <v>0.5</v>
      </c>
    </row>
    <row r="61" spans="1:7" x14ac:dyDescent="0.2">
      <c r="A61" s="489" t="s">
        <v>3432</v>
      </c>
      <c r="B61" s="493"/>
      <c r="C61" s="493"/>
      <c r="D61" s="493"/>
      <c r="E61" s="145">
        <v>4855559</v>
      </c>
      <c r="F61" s="145">
        <v>229</v>
      </c>
      <c r="G61" s="133"/>
    </row>
    <row r="62" spans="1:7" x14ac:dyDescent="0.2">
      <c r="A62" s="622"/>
      <c r="B62" s="623"/>
      <c r="C62" s="623"/>
      <c r="D62" s="623"/>
      <c r="E62" s="138">
        <f>+SUM(E49:E60)</f>
        <v>4855554</v>
      </c>
      <c r="F62" s="138">
        <f>+SUM(F49:F60)</f>
        <v>5228</v>
      </c>
      <c r="G62" s="312">
        <f>+SUM(G49:G60)</f>
        <v>1</v>
      </c>
    </row>
    <row r="63" spans="1:7" ht="31.25" customHeight="1" x14ac:dyDescent="0.2">
      <c r="A63" s="516" t="s">
        <v>3433</v>
      </c>
      <c r="B63" s="517"/>
      <c r="C63" s="517"/>
      <c r="D63" s="517"/>
      <c r="E63" s="145"/>
      <c r="F63" s="145"/>
      <c r="G63" s="133"/>
    </row>
    <row r="64" spans="1:7" x14ac:dyDescent="0.2">
      <c r="A64" s="131" t="s">
        <v>1174</v>
      </c>
      <c r="B64" s="145">
        <v>176435</v>
      </c>
      <c r="C64" s="145">
        <v>500</v>
      </c>
      <c r="D64" s="145"/>
      <c r="E64" s="145"/>
      <c r="F64" s="145"/>
      <c r="G64" s="133"/>
    </row>
    <row r="65" spans="1:7" x14ac:dyDescent="0.2">
      <c r="A65" s="131" t="s">
        <v>1175</v>
      </c>
      <c r="B65" s="145">
        <v>1049</v>
      </c>
      <c r="C65" s="145">
        <v>100</v>
      </c>
      <c r="D65" s="145"/>
      <c r="E65" s="145"/>
      <c r="F65" s="145"/>
      <c r="G65" s="133"/>
    </row>
    <row r="66" spans="1:7" x14ac:dyDescent="0.2">
      <c r="A66" s="131" t="s">
        <v>3195</v>
      </c>
      <c r="B66" s="145">
        <v>1315</v>
      </c>
      <c r="C66" s="145">
        <v>575</v>
      </c>
      <c r="D66" s="145"/>
      <c r="E66" s="145"/>
      <c r="F66" s="145"/>
      <c r="G66" s="133"/>
    </row>
    <row r="67" spans="1:7" x14ac:dyDescent="0.2">
      <c r="A67" s="131" t="s">
        <v>1808</v>
      </c>
      <c r="B67" s="145">
        <v>18067</v>
      </c>
      <c r="C67" s="145">
        <v>900</v>
      </c>
      <c r="D67" s="145"/>
      <c r="E67" s="145"/>
      <c r="F67" s="145"/>
      <c r="G67" s="133"/>
    </row>
    <row r="68" spans="1:7" x14ac:dyDescent="0.2">
      <c r="A68" s="131" t="s">
        <v>3100</v>
      </c>
      <c r="B68" s="145">
        <v>1748</v>
      </c>
      <c r="C68" s="145">
        <v>100</v>
      </c>
      <c r="D68" s="145"/>
      <c r="E68" s="145"/>
      <c r="F68" s="145"/>
      <c r="G68" s="133"/>
    </row>
    <row r="69" spans="1:7" x14ac:dyDescent="0.2">
      <c r="A69" s="131" t="s">
        <v>2763</v>
      </c>
      <c r="B69" s="145">
        <v>340</v>
      </c>
      <c r="C69" s="145">
        <v>375</v>
      </c>
      <c r="D69" s="145"/>
      <c r="E69" s="145"/>
      <c r="F69" s="145"/>
      <c r="G69" s="133"/>
    </row>
    <row r="70" spans="1:7" ht="16" thickBot="1" x14ac:dyDescent="0.25">
      <c r="A70" s="131" t="s">
        <v>1992</v>
      </c>
      <c r="B70" s="187">
        <v>14777</v>
      </c>
      <c r="C70" s="187">
        <v>200</v>
      </c>
      <c r="D70" s="187"/>
      <c r="E70" s="187">
        <v>213733</v>
      </c>
      <c r="F70" s="187">
        <v>750</v>
      </c>
      <c r="G70" s="189"/>
    </row>
    <row r="71" spans="1:7" x14ac:dyDescent="0.2">
      <c r="A71" s="131"/>
      <c r="B71" s="145"/>
      <c r="C71" s="145"/>
      <c r="D71" s="145"/>
      <c r="E71" s="138">
        <f>+SUM(B64:B70)</f>
        <v>213731</v>
      </c>
      <c r="F71" s="138">
        <f>+SUM(C64:C70)</f>
        <v>2750</v>
      </c>
      <c r="G71" s="312">
        <f>+SUM(D64:D70)</f>
        <v>0</v>
      </c>
    </row>
    <row r="72" spans="1:7" x14ac:dyDescent="0.2">
      <c r="A72" s="489" t="s">
        <v>3434</v>
      </c>
      <c r="B72" s="493"/>
      <c r="C72" s="493"/>
      <c r="D72" s="493"/>
      <c r="E72" s="145">
        <v>5069292</v>
      </c>
      <c r="F72" s="145">
        <v>979</v>
      </c>
      <c r="G72" s="133"/>
    </row>
    <row r="73" spans="1:7" x14ac:dyDescent="0.2">
      <c r="A73" s="622"/>
      <c r="B73" s="623"/>
      <c r="C73" s="623"/>
      <c r="D73" s="623"/>
      <c r="E73" s="138">
        <f>+E61+E70</f>
        <v>5069292</v>
      </c>
      <c r="F73" s="138">
        <f>+F61+F70</f>
        <v>979</v>
      </c>
      <c r="G73" s="312">
        <f>+G61+G70</f>
        <v>0</v>
      </c>
    </row>
    <row r="74" spans="1:7" ht="29.5" customHeight="1" x14ac:dyDescent="0.2">
      <c r="A74" s="585" t="s">
        <v>3435</v>
      </c>
      <c r="B74" s="586"/>
      <c r="C74" s="586"/>
      <c r="D74" s="586"/>
      <c r="E74" s="145"/>
      <c r="F74" s="145"/>
      <c r="G74" s="133"/>
    </row>
    <row r="75" spans="1:7" x14ac:dyDescent="0.2">
      <c r="A75" s="140" t="s">
        <v>3431</v>
      </c>
      <c r="B75" s="145">
        <v>392233</v>
      </c>
      <c r="C75" s="145">
        <v>855</v>
      </c>
      <c r="D75" s="145"/>
      <c r="E75" s="145"/>
      <c r="F75" s="145"/>
      <c r="G75" s="133"/>
    </row>
    <row r="76" spans="1:7" x14ac:dyDescent="0.2">
      <c r="A76" s="140" t="s">
        <v>3100</v>
      </c>
      <c r="B76" s="145">
        <v>33396</v>
      </c>
      <c r="C76" s="145">
        <v>820</v>
      </c>
      <c r="D76" s="145"/>
      <c r="E76" s="145"/>
      <c r="F76" s="145"/>
      <c r="G76" s="133"/>
    </row>
    <row r="77" spans="1:7" ht="16" thickBot="1" x14ac:dyDescent="0.25">
      <c r="A77" s="140" t="s">
        <v>1992</v>
      </c>
      <c r="B77" s="187">
        <v>678229</v>
      </c>
      <c r="C77" s="187">
        <v>50</v>
      </c>
      <c r="D77" s="187"/>
      <c r="E77" s="187">
        <v>1103859</v>
      </c>
      <c r="F77" s="187">
        <v>725</v>
      </c>
      <c r="G77" s="189"/>
    </row>
    <row r="78" spans="1:7" x14ac:dyDescent="0.2">
      <c r="A78" s="140"/>
      <c r="B78" s="145"/>
      <c r="C78" s="145"/>
      <c r="D78" s="145"/>
      <c r="E78" s="138">
        <f>+SUM(B75:B77)</f>
        <v>1103858</v>
      </c>
      <c r="F78" s="138">
        <f>+SUM(C75:C77)</f>
        <v>1725</v>
      </c>
      <c r="G78" s="312">
        <f>+SUM(D75:D77)</f>
        <v>0</v>
      </c>
    </row>
    <row r="79" spans="1:7" x14ac:dyDescent="0.2">
      <c r="A79" s="797" t="s">
        <v>3436</v>
      </c>
      <c r="B79" s="798"/>
      <c r="C79" s="798"/>
      <c r="D79" s="798"/>
      <c r="E79" s="145">
        <v>3965433</v>
      </c>
      <c r="F79" s="145">
        <v>254</v>
      </c>
      <c r="G79" s="133"/>
    </row>
    <row r="80" spans="1:7" x14ac:dyDescent="0.2">
      <c r="A80" s="897"/>
      <c r="B80" s="657"/>
      <c r="C80" s="657"/>
      <c r="D80" s="657"/>
      <c r="E80" s="138">
        <f>+E72-E77</f>
        <v>3965433</v>
      </c>
      <c r="F80" s="138">
        <f>+F72-F77</f>
        <v>254</v>
      </c>
      <c r="G80" s="312">
        <f>+G72-G77</f>
        <v>0</v>
      </c>
    </row>
    <row r="81" spans="1:7" x14ac:dyDescent="0.2">
      <c r="A81" s="140" t="s">
        <v>3437</v>
      </c>
      <c r="B81" s="145"/>
      <c r="C81" s="145"/>
      <c r="D81" s="145"/>
      <c r="E81" s="145"/>
      <c r="F81" s="145"/>
      <c r="G81" s="133"/>
    </row>
    <row r="82" spans="1:7" x14ac:dyDescent="0.2">
      <c r="A82" s="140" t="s">
        <v>3438</v>
      </c>
      <c r="B82" s="145">
        <v>476979</v>
      </c>
      <c r="C82" s="145">
        <v>402</v>
      </c>
      <c r="D82" s="145">
        <v>0.5</v>
      </c>
      <c r="E82" s="145"/>
      <c r="F82" s="145"/>
      <c r="G82" s="133"/>
    </row>
    <row r="83" spans="1:7" ht="16" thickBot="1" x14ac:dyDescent="0.25">
      <c r="A83" s="140" t="s">
        <v>3439</v>
      </c>
      <c r="B83" s="187">
        <v>259183</v>
      </c>
      <c r="C83" s="187">
        <v>432</v>
      </c>
      <c r="D83" s="187"/>
      <c r="E83" s="145">
        <v>736162</v>
      </c>
      <c r="F83" s="145">
        <v>834</v>
      </c>
      <c r="G83" s="133">
        <v>0.5</v>
      </c>
    </row>
    <row r="84" spans="1:7" x14ac:dyDescent="0.2">
      <c r="A84" s="140"/>
      <c r="B84" s="145"/>
      <c r="C84" s="145"/>
      <c r="D84" s="145"/>
      <c r="E84" s="138">
        <f>+B82+B83</f>
        <v>736162</v>
      </c>
      <c r="F84" s="138">
        <f>+C82+C83</f>
        <v>834</v>
      </c>
      <c r="G84" s="312">
        <f>+D82+D83</f>
        <v>0.5</v>
      </c>
    </row>
    <row r="85" spans="1:7" ht="16" thickBot="1" x14ac:dyDescent="0.25">
      <c r="A85" s="772" t="s">
        <v>3440</v>
      </c>
      <c r="B85" s="773"/>
      <c r="C85" s="773"/>
      <c r="D85" s="773"/>
      <c r="E85" s="362">
        <v>4701596</v>
      </c>
      <c r="F85" s="362">
        <v>88</v>
      </c>
      <c r="G85" s="373">
        <v>0.5</v>
      </c>
    </row>
    <row r="86" spans="1:7" ht="16" thickTop="1" x14ac:dyDescent="0.2">
      <c r="A86" s="107"/>
      <c r="B86" s="107"/>
      <c r="C86" s="107"/>
      <c r="D86" s="107"/>
      <c r="E86" s="321">
        <f>+E79+E83</f>
        <v>4701595</v>
      </c>
      <c r="F86" s="321">
        <f>+F79+F83</f>
        <v>1088</v>
      </c>
      <c r="G86" s="322">
        <f>+G79+G83</f>
        <v>0.5</v>
      </c>
    </row>
    <row r="87" spans="1:7" x14ac:dyDescent="0.2">
      <c r="A87" s="107"/>
      <c r="B87" s="107"/>
      <c r="C87" s="107"/>
      <c r="D87" s="107"/>
      <c r="E87" s="107"/>
      <c r="F87" s="107"/>
      <c r="G87" s="107"/>
    </row>
    <row r="88" spans="1:7" x14ac:dyDescent="0.2">
      <c r="A88" s="107"/>
      <c r="B88" s="107"/>
      <c r="C88" s="107"/>
      <c r="D88" s="107"/>
      <c r="E88" s="107"/>
      <c r="F88" s="107"/>
      <c r="G88" s="107"/>
    </row>
    <row r="89" spans="1:7" x14ac:dyDescent="0.2">
      <c r="A89" s="107"/>
      <c r="B89" s="107"/>
      <c r="C89" s="107"/>
      <c r="D89" s="107"/>
      <c r="E89" s="107"/>
      <c r="F89" s="107"/>
      <c r="G89" s="107"/>
    </row>
    <row r="90" spans="1:7" x14ac:dyDescent="0.2">
      <c r="A90" s="526" t="s">
        <v>1226</v>
      </c>
      <c r="B90" s="107"/>
      <c r="C90" s="107"/>
      <c r="D90" s="107"/>
      <c r="E90" s="107"/>
      <c r="F90" s="107"/>
      <c r="G90" s="107"/>
    </row>
    <row r="91" spans="1:7" ht="32.5" customHeight="1" x14ac:dyDescent="0.2">
      <c r="A91" s="664" t="s">
        <v>3441</v>
      </c>
      <c r="B91" s="665"/>
      <c r="C91" s="665"/>
      <c r="D91" s="665"/>
      <c r="E91" s="665"/>
      <c r="F91" s="665"/>
      <c r="G91" s="666"/>
    </row>
    <row r="92" spans="1:7" x14ac:dyDescent="0.2">
      <c r="A92" s="480" t="s">
        <v>1174</v>
      </c>
      <c r="B92" s="481"/>
      <c r="C92" s="481"/>
      <c r="D92" s="481"/>
      <c r="E92" s="145">
        <v>2406725</v>
      </c>
      <c r="F92" s="145">
        <v>710</v>
      </c>
      <c r="G92" s="307"/>
    </row>
    <row r="93" spans="1:7" x14ac:dyDescent="0.2">
      <c r="A93" s="480" t="s">
        <v>1573</v>
      </c>
      <c r="B93" s="481"/>
      <c r="C93" s="481"/>
      <c r="D93" s="481"/>
      <c r="E93" s="145">
        <v>5134</v>
      </c>
      <c r="F93" s="145">
        <v>795</v>
      </c>
      <c r="G93" s="307"/>
    </row>
    <row r="94" spans="1:7" x14ac:dyDescent="0.2">
      <c r="A94" s="480" t="s">
        <v>1175</v>
      </c>
      <c r="B94" s="481"/>
      <c r="C94" s="481"/>
      <c r="D94" s="481"/>
      <c r="E94" s="145">
        <v>43416</v>
      </c>
      <c r="F94" s="145">
        <v>150</v>
      </c>
      <c r="G94" s="307"/>
    </row>
    <row r="95" spans="1:7" x14ac:dyDescent="0.2">
      <c r="A95" s="480" t="s">
        <v>3195</v>
      </c>
      <c r="B95" s="481"/>
      <c r="C95" s="481"/>
      <c r="D95" s="481"/>
      <c r="E95" s="145">
        <v>14717</v>
      </c>
      <c r="F95" s="145">
        <v>200</v>
      </c>
      <c r="G95" s="307"/>
    </row>
    <row r="96" spans="1:7" x14ac:dyDescent="0.2">
      <c r="A96" s="480" t="s">
        <v>1808</v>
      </c>
      <c r="B96" s="481"/>
      <c r="C96" s="481"/>
      <c r="D96" s="481"/>
      <c r="E96" s="145">
        <v>48381</v>
      </c>
      <c r="F96" s="145">
        <v>600</v>
      </c>
      <c r="G96" s="307"/>
    </row>
    <row r="97" spans="1:7" x14ac:dyDescent="0.2">
      <c r="A97" s="480" t="s">
        <v>3429</v>
      </c>
      <c r="B97" s="481"/>
      <c r="C97" s="481"/>
      <c r="D97" s="481"/>
      <c r="E97" s="145">
        <v>112500</v>
      </c>
      <c r="F97" s="145"/>
      <c r="G97" s="307"/>
    </row>
    <row r="98" spans="1:7" x14ac:dyDescent="0.2">
      <c r="A98" s="480" t="s">
        <v>1569</v>
      </c>
      <c r="B98" s="481"/>
      <c r="C98" s="481"/>
      <c r="D98" s="481"/>
      <c r="E98" s="145">
        <v>656926</v>
      </c>
      <c r="F98" s="145">
        <v>575</v>
      </c>
      <c r="G98" s="307"/>
    </row>
    <row r="99" spans="1:7" x14ac:dyDescent="0.2">
      <c r="A99" s="480" t="s">
        <v>3100</v>
      </c>
      <c r="B99" s="1016"/>
      <c r="C99" s="1016"/>
      <c r="D99" s="1016"/>
      <c r="E99" s="145">
        <v>145994</v>
      </c>
      <c r="F99" s="145">
        <v>475</v>
      </c>
      <c r="G99" s="307"/>
    </row>
    <row r="100" spans="1:7" x14ac:dyDescent="0.2">
      <c r="A100" s="480" t="s">
        <v>2763</v>
      </c>
      <c r="B100" s="481"/>
      <c r="C100" s="481"/>
      <c r="D100" s="481"/>
      <c r="E100" s="145">
        <v>7910</v>
      </c>
      <c r="F100" s="145">
        <v>225</v>
      </c>
      <c r="G100" s="307"/>
    </row>
    <row r="101" spans="1:7" ht="16" thickBot="1" x14ac:dyDescent="0.25">
      <c r="A101" s="480" t="s">
        <v>1992</v>
      </c>
      <c r="B101" s="481"/>
      <c r="C101" s="481"/>
      <c r="D101" s="481"/>
      <c r="E101" s="187">
        <v>810822</v>
      </c>
      <c r="F101" s="187">
        <v>12</v>
      </c>
      <c r="G101" s="444"/>
    </row>
    <row r="102" spans="1:7" x14ac:dyDescent="0.2">
      <c r="A102" s="489" t="s">
        <v>3432</v>
      </c>
      <c r="B102" s="493"/>
      <c r="C102" s="493"/>
      <c r="D102" s="493"/>
      <c r="E102" s="145">
        <v>4252528</v>
      </c>
      <c r="F102" s="145">
        <v>742</v>
      </c>
      <c r="G102" s="307"/>
    </row>
    <row r="103" spans="1:7" x14ac:dyDescent="0.2">
      <c r="A103" s="622"/>
      <c r="B103" s="623"/>
      <c r="C103" s="623"/>
      <c r="D103" s="623"/>
      <c r="E103" s="138">
        <f>+SUM(E92:E101)</f>
        <v>4252525</v>
      </c>
      <c r="F103" s="138">
        <f>+SUM(F92:F101)</f>
        <v>3742</v>
      </c>
      <c r="G103" s="138">
        <f>+SUM(G92:G101)</f>
        <v>0</v>
      </c>
    </row>
    <row r="104" spans="1:7" ht="45" customHeight="1" thickBot="1" x14ac:dyDescent="0.25">
      <c r="A104" s="516" t="s">
        <v>3442</v>
      </c>
      <c r="B104" s="517"/>
      <c r="C104" s="517"/>
      <c r="D104" s="517"/>
      <c r="E104" s="187">
        <v>200000</v>
      </c>
      <c r="F104" s="187"/>
      <c r="G104" s="444"/>
    </row>
    <row r="105" spans="1:7" x14ac:dyDescent="0.2">
      <c r="A105" s="489" t="s">
        <v>3432</v>
      </c>
      <c r="B105" s="493"/>
      <c r="C105" s="493"/>
      <c r="D105" s="493"/>
      <c r="E105" s="145">
        <v>4452528</v>
      </c>
      <c r="F105" s="145">
        <v>742</v>
      </c>
      <c r="G105" s="307"/>
    </row>
    <row r="106" spans="1:7" x14ac:dyDescent="0.2">
      <c r="A106" s="131" t="s">
        <v>3443</v>
      </c>
      <c r="B106" s="145"/>
      <c r="C106" s="145"/>
      <c r="D106" s="145"/>
      <c r="E106" s="145"/>
      <c r="F106" s="145"/>
      <c r="G106" s="307"/>
    </row>
    <row r="107" spans="1:7" x14ac:dyDescent="0.2">
      <c r="A107" s="131" t="s">
        <v>1174</v>
      </c>
      <c r="B107" s="145">
        <v>60517</v>
      </c>
      <c r="C107" s="145">
        <v>300</v>
      </c>
      <c r="D107" s="145"/>
      <c r="E107" s="145"/>
      <c r="F107" s="145"/>
      <c r="G107" s="307"/>
    </row>
    <row r="108" spans="1:7" x14ac:dyDescent="0.2">
      <c r="A108" s="131" t="s">
        <v>1175</v>
      </c>
      <c r="B108" s="145">
        <v>120</v>
      </c>
      <c r="C108" s="145">
        <v>25</v>
      </c>
      <c r="D108" s="145"/>
      <c r="E108" s="145"/>
      <c r="F108" s="145"/>
      <c r="G108" s="307"/>
    </row>
    <row r="109" spans="1:7" x14ac:dyDescent="0.2">
      <c r="A109" s="131" t="s">
        <v>3195</v>
      </c>
      <c r="B109" s="145">
        <v>75</v>
      </c>
      <c r="C109" s="145">
        <v>225</v>
      </c>
      <c r="D109" s="145"/>
      <c r="E109" s="145"/>
      <c r="F109" s="145"/>
      <c r="G109" s="307"/>
    </row>
    <row r="110" spans="1:7" x14ac:dyDescent="0.2">
      <c r="A110" s="131" t="s">
        <v>1808</v>
      </c>
      <c r="B110" s="145">
        <v>31970</v>
      </c>
      <c r="C110" s="145">
        <v>425</v>
      </c>
      <c r="D110" s="145"/>
      <c r="E110" s="145"/>
      <c r="F110" s="145"/>
      <c r="G110" s="307"/>
    </row>
    <row r="111" spans="1:7" x14ac:dyDescent="0.2">
      <c r="A111" s="131" t="s">
        <v>3429</v>
      </c>
      <c r="B111" s="145">
        <v>112500</v>
      </c>
      <c r="C111" s="145"/>
      <c r="D111" s="145"/>
      <c r="E111" s="145"/>
      <c r="F111" s="145"/>
      <c r="G111" s="307"/>
    </row>
    <row r="112" spans="1:7" x14ac:dyDescent="0.2">
      <c r="A112" s="131" t="s">
        <v>3100</v>
      </c>
      <c r="B112" s="145">
        <v>271</v>
      </c>
      <c r="C112" s="145">
        <v>500</v>
      </c>
      <c r="D112" s="145"/>
      <c r="E112" s="145"/>
      <c r="F112" s="145"/>
      <c r="G112" s="307"/>
    </row>
    <row r="113" spans="1:7" ht="16" thickBot="1" x14ac:dyDescent="0.25">
      <c r="A113" s="131" t="s">
        <v>1992</v>
      </c>
      <c r="B113" s="187">
        <v>67</v>
      </c>
      <c r="C113" s="187"/>
      <c r="D113" s="187"/>
      <c r="E113" s="145">
        <v>205521</v>
      </c>
      <c r="F113" s="145">
        <v>475</v>
      </c>
      <c r="G113" s="307"/>
    </row>
    <row r="114" spans="1:7" x14ac:dyDescent="0.2">
      <c r="A114" s="131"/>
      <c r="B114" s="145"/>
      <c r="C114" s="145"/>
      <c r="D114" s="145"/>
      <c r="E114" s="138">
        <f>+SUM(B107:B113)</f>
        <v>205520</v>
      </c>
      <c r="F114" s="138">
        <f>+SUM(C107:C113)</f>
        <v>1475</v>
      </c>
      <c r="G114" s="138">
        <f>+SUM(D107:D113)</f>
        <v>0</v>
      </c>
    </row>
    <row r="115" spans="1:7" x14ac:dyDescent="0.2">
      <c r="A115" s="480" t="s">
        <v>3444</v>
      </c>
      <c r="B115" s="481"/>
      <c r="C115" s="481"/>
      <c r="D115" s="481"/>
      <c r="E115" s="145">
        <v>200000</v>
      </c>
      <c r="F115" s="145"/>
      <c r="G115" s="307"/>
    </row>
    <row r="116" spans="1:7" ht="16" thickBot="1" x14ac:dyDescent="0.25">
      <c r="A116" s="797" t="s">
        <v>3445</v>
      </c>
      <c r="B116" s="798"/>
      <c r="C116" s="798"/>
      <c r="D116" s="798"/>
      <c r="E116" s="187">
        <v>4858050</v>
      </c>
      <c r="F116" s="187">
        <v>217</v>
      </c>
      <c r="G116" s="444"/>
    </row>
    <row r="117" spans="1:7" x14ac:dyDescent="0.2">
      <c r="A117" s="897"/>
      <c r="B117" s="657"/>
      <c r="C117" s="657"/>
      <c r="D117" s="657"/>
      <c r="E117" s="138">
        <f>+E113+E105+E115</f>
        <v>4858049</v>
      </c>
      <c r="F117" s="138">
        <f>+F113+F105+F115</f>
        <v>1217</v>
      </c>
      <c r="G117" s="138">
        <f>+G113+G105+G115</f>
        <v>0</v>
      </c>
    </row>
    <row r="118" spans="1:7" ht="29.5" customHeight="1" x14ac:dyDescent="0.2">
      <c r="A118" s="585" t="s">
        <v>3446</v>
      </c>
      <c r="B118" s="586"/>
      <c r="C118" s="586"/>
      <c r="D118" s="586"/>
      <c r="E118" s="145"/>
      <c r="F118" s="145"/>
      <c r="G118" s="307"/>
    </row>
    <row r="119" spans="1:7" x14ac:dyDescent="0.2">
      <c r="A119" s="140" t="s">
        <v>3100</v>
      </c>
      <c r="B119" s="145">
        <v>146265</v>
      </c>
      <c r="C119" s="145">
        <v>975</v>
      </c>
      <c r="D119" s="145"/>
      <c r="E119" s="145"/>
      <c r="F119" s="145"/>
      <c r="G119" s="307"/>
    </row>
    <row r="120" spans="1:7" ht="16" thickBot="1" x14ac:dyDescent="0.25">
      <c r="A120" s="140" t="s">
        <v>1992</v>
      </c>
      <c r="B120" s="187">
        <v>797802</v>
      </c>
      <c r="C120" s="187">
        <v>840</v>
      </c>
      <c r="D120" s="187"/>
      <c r="E120" s="145">
        <v>944068</v>
      </c>
      <c r="F120" s="145">
        <v>815</v>
      </c>
      <c r="G120" s="307"/>
    </row>
    <row r="121" spans="1:7" x14ac:dyDescent="0.2">
      <c r="A121" s="140"/>
      <c r="B121" s="145"/>
      <c r="C121" s="145"/>
      <c r="D121" s="145"/>
      <c r="E121" s="138">
        <f>+B119+B120</f>
        <v>944067</v>
      </c>
      <c r="F121" s="138">
        <f>+C119+C120</f>
        <v>1815</v>
      </c>
      <c r="G121" s="138">
        <f>+D119+D120</f>
        <v>0</v>
      </c>
    </row>
    <row r="122" spans="1:7" ht="24.5" customHeight="1" thickBot="1" x14ac:dyDescent="0.25">
      <c r="A122" s="790" t="s">
        <v>3447</v>
      </c>
      <c r="B122" s="791"/>
      <c r="C122" s="791"/>
      <c r="D122" s="791"/>
      <c r="E122" s="362">
        <v>3913981</v>
      </c>
      <c r="F122" s="362">
        <v>402</v>
      </c>
      <c r="G122" s="363"/>
    </row>
    <row r="123" spans="1:7" ht="16" thickTop="1" x14ac:dyDescent="0.2">
      <c r="A123" s="107"/>
      <c r="B123" s="107"/>
      <c r="C123" s="107"/>
      <c r="D123" s="107"/>
      <c r="E123" s="321">
        <f>+E116-E120</f>
        <v>3913982</v>
      </c>
      <c r="F123" s="321">
        <f>+F116-F120</f>
        <v>-598</v>
      </c>
      <c r="G123" s="321">
        <f>+G116-G120</f>
        <v>0</v>
      </c>
    </row>
    <row r="124" spans="1:7" x14ac:dyDescent="0.2">
      <c r="A124" s="107"/>
      <c r="B124" s="107"/>
      <c r="C124" s="107"/>
      <c r="D124" s="107"/>
      <c r="E124" s="107"/>
      <c r="F124" s="107"/>
      <c r="G124" s="107"/>
    </row>
    <row r="125" spans="1:7" x14ac:dyDescent="0.2">
      <c r="A125" s="107"/>
      <c r="B125" s="107"/>
      <c r="C125" s="107"/>
      <c r="D125" s="107"/>
      <c r="E125" s="107"/>
      <c r="F125" s="107"/>
      <c r="G125" s="107"/>
    </row>
    <row r="126" spans="1:7" x14ac:dyDescent="0.2">
      <c r="A126" s="526" t="s">
        <v>1272</v>
      </c>
      <c r="B126" s="107"/>
      <c r="C126" s="107"/>
      <c r="D126" s="107"/>
      <c r="E126" s="107"/>
      <c r="F126" s="107"/>
      <c r="G126" s="107"/>
    </row>
    <row r="127" spans="1:7" ht="23" customHeight="1" x14ac:dyDescent="0.2">
      <c r="A127" s="664" t="s">
        <v>3448</v>
      </c>
      <c r="B127" s="665"/>
      <c r="C127" s="665"/>
      <c r="D127" s="665"/>
      <c r="E127" s="665"/>
      <c r="F127" s="665"/>
      <c r="G127" s="666"/>
    </row>
    <row r="128" spans="1:7" x14ac:dyDescent="0.2">
      <c r="A128" s="131" t="s">
        <v>3449</v>
      </c>
      <c r="B128" s="145">
        <v>736162</v>
      </c>
      <c r="C128" s="145">
        <v>834</v>
      </c>
      <c r="D128" s="180">
        <v>0.5</v>
      </c>
      <c r="E128" s="145"/>
      <c r="F128" s="145"/>
      <c r="G128" s="307"/>
    </row>
    <row r="129" spans="1:7" ht="31" thickBot="1" x14ac:dyDescent="0.25">
      <c r="A129" s="539" t="s">
        <v>3450</v>
      </c>
      <c r="B129" s="187">
        <v>3965433</v>
      </c>
      <c r="C129" s="187">
        <v>254</v>
      </c>
      <c r="D129" s="187"/>
      <c r="E129" s="145">
        <v>4701596</v>
      </c>
      <c r="F129" s="145">
        <v>88</v>
      </c>
      <c r="G129" s="133">
        <v>0.5</v>
      </c>
    </row>
    <row r="130" spans="1:7" x14ac:dyDescent="0.2">
      <c r="A130" s="539"/>
      <c r="B130" s="145"/>
      <c r="C130" s="145"/>
      <c r="D130" s="145"/>
      <c r="E130" s="138">
        <f>+B128+B129</f>
        <v>4701595</v>
      </c>
      <c r="F130" s="138">
        <f>+C128+C129</f>
        <v>1088</v>
      </c>
      <c r="G130" s="312">
        <f>+D128+D129</f>
        <v>0.5</v>
      </c>
    </row>
    <row r="131" spans="1:7" x14ac:dyDescent="0.2">
      <c r="A131" s="131" t="s">
        <v>3451</v>
      </c>
      <c r="B131" s="145"/>
      <c r="C131" s="145"/>
      <c r="D131" s="145"/>
      <c r="E131" s="145">
        <v>3523971</v>
      </c>
      <c r="F131" s="145">
        <v>135</v>
      </c>
      <c r="G131" s="133"/>
    </row>
    <row r="132" spans="1:7" ht="16" thickBot="1" x14ac:dyDescent="0.25">
      <c r="A132" s="131" t="s">
        <v>3452</v>
      </c>
      <c r="B132" s="145"/>
      <c r="C132" s="145"/>
      <c r="D132" s="145"/>
      <c r="E132" s="362">
        <v>1177624</v>
      </c>
      <c r="F132" s="362">
        <v>953</v>
      </c>
      <c r="G132" s="373">
        <v>0.5</v>
      </c>
    </row>
    <row r="133" spans="1:7" ht="16" thickTop="1" x14ac:dyDescent="0.2">
      <c r="A133" s="131"/>
      <c r="B133" s="145"/>
      <c r="C133" s="145"/>
      <c r="D133" s="145"/>
      <c r="E133" s="138">
        <f>+E129-E131</f>
        <v>1177625</v>
      </c>
      <c r="F133" s="138">
        <f>+F129-F131</f>
        <v>-47</v>
      </c>
      <c r="G133" s="312">
        <f>+G129-G131</f>
        <v>0.5</v>
      </c>
    </row>
    <row r="134" spans="1:7" x14ac:dyDescent="0.2">
      <c r="A134" s="131" t="s">
        <v>3453</v>
      </c>
      <c r="B134" s="145"/>
      <c r="C134" s="145"/>
      <c r="D134" s="145"/>
      <c r="E134" s="145"/>
      <c r="F134" s="145"/>
      <c r="G134" s="307"/>
    </row>
    <row r="135" spans="1:7" x14ac:dyDescent="0.2">
      <c r="A135" s="131" t="s">
        <v>3454</v>
      </c>
      <c r="B135" s="145">
        <v>236700</v>
      </c>
      <c r="C135" s="145">
        <v>560</v>
      </c>
      <c r="D135" s="145"/>
      <c r="E135" s="145"/>
      <c r="F135" s="145"/>
      <c r="G135" s="307"/>
    </row>
    <row r="136" spans="1:7" x14ac:dyDescent="0.2">
      <c r="A136" s="131" t="s">
        <v>3455</v>
      </c>
      <c r="B136" s="145">
        <v>592442</v>
      </c>
      <c r="C136" s="145">
        <v>620</v>
      </c>
      <c r="D136" s="145"/>
      <c r="E136" s="145"/>
      <c r="F136" s="145"/>
      <c r="G136" s="307"/>
    </row>
    <row r="137" spans="1:7" x14ac:dyDescent="0.2">
      <c r="A137" s="131" t="s">
        <v>3456</v>
      </c>
      <c r="B137" s="145">
        <v>557</v>
      </c>
      <c r="C137" s="145">
        <v>300</v>
      </c>
      <c r="D137" s="145"/>
      <c r="E137" s="145"/>
      <c r="F137" s="145"/>
      <c r="G137" s="307"/>
    </row>
    <row r="138" spans="1:7" ht="16" thickBot="1" x14ac:dyDescent="0.25">
      <c r="A138" s="794" t="s">
        <v>3457</v>
      </c>
      <c r="B138" s="362">
        <v>829700</v>
      </c>
      <c r="C138" s="362">
        <v>480</v>
      </c>
      <c r="D138" s="362"/>
      <c r="E138" s="309"/>
      <c r="F138" s="309"/>
      <c r="G138" s="364"/>
    </row>
    <row r="139" spans="1:7" ht="16" thickTop="1" x14ac:dyDescent="0.2">
      <c r="A139" s="107"/>
      <c r="B139" s="321">
        <f>+B135+B136+B137</f>
        <v>829699</v>
      </c>
      <c r="C139" s="321">
        <f>+C135+C136+C137</f>
        <v>1480</v>
      </c>
      <c r="D139" s="321">
        <f>+D135+D136+D137</f>
        <v>0</v>
      </c>
      <c r="E139" s="107"/>
      <c r="F139" s="107"/>
      <c r="G139" s="107"/>
    </row>
    <row r="140" spans="1:7" x14ac:dyDescent="0.2">
      <c r="A140" s="107"/>
      <c r="B140" s="107"/>
      <c r="C140" s="107"/>
      <c r="D140" s="107"/>
      <c r="E140" s="107"/>
      <c r="F140" s="107"/>
      <c r="G140" s="107"/>
    </row>
    <row r="141" spans="1:7" x14ac:dyDescent="0.2">
      <c r="A141" s="107"/>
      <c r="B141" s="107"/>
      <c r="C141" s="107"/>
      <c r="D141" s="107"/>
      <c r="E141" s="107"/>
      <c r="F141" s="107"/>
      <c r="G141" s="107"/>
    </row>
    <row r="142" spans="1:7" x14ac:dyDescent="0.2">
      <c r="A142" s="526" t="s">
        <v>1342</v>
      </c>
      <c r="B142" s="107"/>
      <c r="C142" s="107"/>
      <c r="D142" s="107"/>
      <c r="E142" s="107"/>
      <c r="F142" s="107"/>
      <c r="G142" s="107"/>
    </row>
    <row r="143" spans="1:7" x14ac:dyDescent="0.2">
      <c r="A143" s="664" t="s">
        <v>3458</v>
      </c>
      <c r="B143" s="665"/>
      <c r="C143" s="665"/>
      <c r="D143" s="665"/>
      <c r="E143" s="665"/>
      <c r="F143" s="665"/>
      <c r="G143" s="666"/>
    </row>
    <row r="144" spans="1:7" x14ac:dyDescent="0.2">
      <c r="A144" s="131" t="s">
        <v>3459</v>
      </c>
      <c r="B144" s="145">
        <v>1177624</v>
      </c>
      <c r="C144" s="145">
        <v>953</v>
      </c>
      <c r="D144" s="180">
        <v>0.5</v>
      </c>
      <c r="E144" s="145"/>
      <c r="F144" s="145"/>
      <c r="G144" s="133"/>
    </row>
    <row r="145" spans="1:7" ht="31" thickBot="1" x14ac:dyDescent="0.25">
      <c r="A145" s="539" t="s">
        <v>3460</v>
      </c>
      <c r="B145" s="187">
        <v>3913981</v>
      </c>
      <c r="C145" s="187">
        <v>402</v>
      </c>
      <c r="D145" s="187"/>
      <c r="E145" s="145">
        <v>5091606</v>
      </c>
      <c r="F145" s="145">
        <v>355</v>
      </c>
      <c r="G145" s="133">
        <v>0.5</v>
      </c>
    </row>
    <row r="146" spans="1:7" x14ac:dyDescent="0.2">
      <c r="A146" s="539"/>
      <c r="B146" s="145"/>
      <c r="C146" s="145"/>
      <c r="D146" s="145"/>
      <c r="E146" s="138">
        <f>+B144+B145</f>
        <v>5091605</v>
      </c>
      <c r="F146" s="138">
        <f>+C144+C145</f>
        <v>1355</v>
      </c>
      <c r="G146" s="312">
        <f>+D144+D145</f>
        <v>0.5</v>
      </c>
    </row>
    <row r="147" spans="1:7" x14ac:dyDescent="0.2">
      <c r="A147" s="131" t="s">
        <v>3461</v>
      </c>
      <c r="B147" s="145"/>
      <c r="C147" s="145"/>
      <c r="D147" s="145"/>
      <c r="E147" s="145">
        <v>3728933</v>
      </c>
      <c r="F147" s="145">
        <v>800</v>
      </c>
      <c r="G147" s="133">
        <v>0.5</v>
      </c>
    </row>
    <row r="148" spans="1:7" ht="16" thickBot="1" x14ac:dyDescent="0.25">
      <c r="A148" s="489" t="s">
        <v>3462</v>
      </c>
      <c r="B148" s="493"/>
      <c r="C148" s="493"/>
      <c r="D148" s="493"/>
      <c r="E148" s="362">
        <v>1362672</v>
      </c>
      <c r="F148" s="362">
        <v>555</v>
      </c>
      <c r="G148" s="363"/>
    </row>
    <row r="149" spans="1:7" ht="16" thickTop="1" x14ac:dyDescent="0.2">
      <c r="A149" s="622"/>
      <c r="B149" s="623"/>
      <c r="C149" s="623"/>
      <c r="D149" s="623"/>
      <c r="E149" s="138">
        <f>+E145-E147</f>
        <v>1362673</v>
      </c>
      <c r="F149" s="138">
        <f>+F145-F147</f>
        <v>-445</v>
      </c>
      <c r="G149" s="312">
        <f>+G145-G147</f>
        <v>0</v>
      </c>
    </row>
    <row r="150" spans="1:7" ht="30.5" customHeight="1" x14ac:dyDescent="0.2">
      <c r="A150" s="516" t="s">
        <v>3463</v>
      </c>
      <c r="B150" s="517"/>
      <c r="C150" s="517"/>
      <c r="D150" s="517"/>
      <c r="E150" s="517"/>
      <c r="F150" s="517"/>
      <c r="G150" s="540"/>
    </row>
    <row r="151" spans="1:7" x14ac:dyDescent="0.2">
      <c r="A151" s="1017" t="s">
        <v>3464</v>
      </c>
      <c r="B151" s="1018"/>
      <c r="C151" s="1018"/>
      <c r="D151" s="1018"/>
      <c r="E151" s="145">
        <v>1177624</v>
      </c>
      <c r="F151" s="145">
        <v>953</v>
      </c>
      <c r="G151" s="133">
        <v>0.5</v>
      </c>
    </row>
    <row r="152" spans="1:7" x14ac:dyDescent="0.2">
      <c r="A152" s="1017" t="s">
        <v>3465</v>
      </c>
      <c r="B152" s="1018"/>
      <c r="C152" s="1018"/>
      <c r="D152" s="1018"/>
      <c r="E152" s="145">
        <v>185047</v>
      </c>
      <c r="F152" s="145">
        <v>601</v>
      </c>
      <c r="G152" s="133">
        <v>0.5</v>
      </c>
    </row>
    <row r="153" spans="1:7" ht="16" thickBot="1" x14ac:dyDescent="0.25">
      <c r="A153" s="489" t="s">
        <v>3466</v>
      </c>
      <c r="B153" s="493"/>
      <c r="C153" s="493"/>
      <c r="D153" s="493"/>
      <c r="E153" s="362">
        <v>1362672</v>
      </c>
      <c r="F153" s="362">
        <v>555</v>
      </c>
      <c r="G153" s="373"/>
    </row>
    <row r="154" spans="1:7" ht="16" thickTop="1" x14ac:dyDescent="0.2">
      <c r="A154" s="622"/>
      <c r="B154" s="623"/>
      <c r="C154" s="623"/>
      <c r="D154" s="623"/>
      <c r="E154" s="138">
        <f>+E151+E152</f>
        <v>1362671</v>
      </c>
      <c r="F154" s="138">
        <f>+F151+F152</f>
        <v>1554</v>
      </c>
      <c r="G154" s="312">
        <f>+G151+G152</f>
        <v>1</v>
      </c>
    </row>
    <row r="155" spans="1:7" x14ac:dyDescent="0.2">
      <c r="A155" s="480" t="s">
        <v>3467</v>
      </c>
      <c r="B155" s="481"/>
      <c r="C155" s="481"/>
      <c r="D155" s="481"/>
      <c r="E155" s="145"/>
      <c r="F155" s="145"/>
      <c r="G155" s="133"/>
    </row>
    <row r="156" spans="1:7" x14ac:dyDescent="0.2">
      <c r="A156" s="480" t="s">
        <v>3468</v>
      </c>
      <c r="B156" s="481"/>
      <c r="C156" s="481"/>
      <c r="D156" s="481"/>
      <c r="E156" s="145"/>
      <c r="F156" s="145"/>
      <c r="G156" s="133"/>
    </row>
    <row r="157" spans="1:7" x14ac:dyDescent="0.2">
      <c r="A157" s="480" t="s">
        <v>3469</v>
      </c>
      <c r="B157" s="481"/>
      <c r="C157" s="481"/>
      <c r="D157" s="481"/>
      <c r="E157" s="145">
        <v>251693</v>
      </c>
      <c r="F157" s="145">
        <v>285</v>
      </c>
      <c r="G157" s="133"/>
    </row>
    <row r="158" spans="1:7" x14ac:dyDescent="0.2">
      <c r="A158" s="480" t="s">
        <v>3438</v>
      </c>
      <c r="B158" s="481"/>
      <c r="C158" s="481"/>
      <c r="D158" s="481"/>
      <c r="E158" s="145">
        <v>236138</v>
      </c>
      <c r="F158" s="145">
        <v>187</v>
      </c>
      <c r="G158" s="133">
        <v>0.5</v>
      </c>
    </row>
    <row r="159" spans="1:7" x14ac:dyDescent="0.2">
      <c r="A159" s="480" t="s">
        <v>3470</v>
      </c>
      <c r="B159" s="481"/>
      <c r="C159" s="481"/>
      <c r="D159" s="481"/>
      <c r="E159" s="145"/>
      <c r="F159" s="145"/>
      <c r="G159" s="133"/>
    </row>
    <row r="160" spans="1:7" x14ac:dyDescent="0.2">
      <c r="A160" s="480" t="s">
        <v>3469</v>
      </c>
      <c r="B160" s="481"/>
      <c r="C160" s="481"/>
      <c r="D160" s="481"/>
      <c r="E160" s="145">
        <v>105048</v>
      </c>
      <c r="F160" s="145">
        <v>473</v>
      </c>
      <c r="G160" s="133"/>
    </row>
    <row r="161" spans="1:7" x14ac:dyDescent="0.2">
      <c r="A161" s="480" t="s">
        <v>3471</v>
      </c>
      <c r="B161" s="481"/>
      <c r="C161" s="481"/>
      <c r="D161" s="481"/>
      <c r="E161" s="145">
        <v>85741</v>
      </c>
      <c r="F161" s="145">
        <v>880</v>
      </c>
      <c r="G161" s="133"/>
    </row>
    <row r="162" spans="1:7" x14ac:dyDescent="0.2">
      <c r="A162" s="480" t="s">
        <v>3472</v>
      </c>
      <c r="B162" s="481"/>
      <c r="C162" s="481"/>
      <c r="D162" s="481"/>
      <c r="E162" s="145">
        <v>112500</v>
      </c>
      <c r="F162" s="145"/>
      <c r="G162" s="133"/>
    </row>
    <row r="163" spans="1:7" ht="28.25" customHeight="1" x14ac:dyDescent="0.2">
      <c r="A163" s="516" t="s">
        <v>3473</v>
      </c>
      <c r="B163" s="517"/>
      <c r="C163" s="517"/>
      <c r="D163" s="517"/>
      <c r="E163" s="145">
        <v>30000</v>
      </c>
      <c r="F163" s="145"/>
      <c r="G163" s="133"/>
    </row>
    <row r="164" spans="1:7" ht="58.25" customHeight="1" x14ac:dyDescent="0.2">
      <c r="A164" s="516" t="s">
        <v>3474</v>
      </c>
      <c r="B164" s="517"/>
      <c r="C164" s="517"/>
      <c r="D164" s="517"/>
      <c r="E164" s="145">
        <v>152637</v>
      </c>
      <c r="F164" s="145">
        <v>700</v>
      </c>
      <c r="G164" s="133"/>
    </row>
    <row r="165" spans="1:7" ht="23" customHeight="1" thickBot="1" x14ac:dyDescent="0.25">
      <c r="A165" s="790" t="s">
        <v>3466</v>
      </c>
      <c r="B165" s="791"/>
      <c r="C165" s="791"/>
      <c r="D165" s="791"/>
      <c r="E165" s="362">
        <v>973759</v>
      </c>
      <c r="F165" s="362">
        <v>525</v>
      </c>
      <c r="G165" s="373">
        <v>0.5</v>
      </c>
    </row>
    <row r="166" spans="1:7" ht="16" thickTop="1" x14ac:dyDescent="0.2">
      <c r="A166" s="107"/>
      <c r="B166" s="107"/>
      <c r="C166" s="107"/>
      <c r="D166" s="107"/>
      <c r="E166" s="321">
        <f>+SUM(E157:E164)</f>
        <v>973757</v>
      </c>
      <c r="F166" s="321">
        <f>+SUM(F157:F164)</f>
        <v>2525</v>
      </c>
      <c r="G166" s="322">
        <f>+SUM(G157:G164)</f>
        <v>0.5</v>
      </c>
    </row>
    <row r="167" spans="1:7" x14ac:dyDescent="0.2">
      <c r="A167" s="107"/>
      <c r="B167" s="107"/>
      <c r="C167" s="107"/>
      <c r="D167" s="107"/>
      <c r="E167" s="107"/>
      <c r="F167" s="107"/>
      <c r="G167" s="107"/>
    </row>
    <row r="168" spans="1:7" x14ac:dyDescent="0.2">
      <c r="A168" s="107"/>
      <c r="B168" s="107"/>
      <c r="C168" s="107"/>
      <c r="D168" s="107"/>
      <c r="E168" s="107"/>
      <c r="F168" s="107"/>
      <c r="G168" s="107"/>
    </row>
    <row r="169" spans="1:7" x14ac:dyDescent="0.2">
      <c r="A169" s="107"/>
      <c r="B169" s="107"/>
      <c r="C169" s="107"/>
      <c r="D169" s="107"/>
      <c r="E169" s="107"/>
      <c r="F169" s="107"/>
      <c r="G169" s="107"/>
    </row>
    <row r="170" spans="1:7" x14ac:dyDescent="0.2">
      <c r="A170" s="107"/>
      <c r="B170" s="107"/>
      <c r="C170" s="107"/>
      <c r="D170" s="107"/>
      <c r="E170" s="107"/>
      <c r="F170" s="107"/>
      <c r="G170" s="107"/>
    </row>
    <row r="171" spans="1:7" x14ac:dyDescent="0.2">
      <c r="A171" s="107"/>
      <c r="B171" s="107"/>
      <c r="C171" s="107"/>
      <c r="D171" s="107"/>
      <c r="E171" s="107"/>
      <c r="F171" s="107"/>
      <c r="G171" s="107"/>
    </row>
    <row r="172" spans="1:7" x14ac:dyDescent="0.2">
      <c r="A172" s="107"/>
      <c r="B172" s="107"/>
      <c r="C172" s="107"/>
      <c r="D172" s="107"/>
      <c r="E172" s="107"/>
      <c r="F172" s="107"/>
      <c r="G172" s="107"/>
    </row>
    <row r="173" spans="1:7" x14ac:dyDescent="0.2">
      <c r="A173" s="107"/>
      <c r="B173" s="107"/>
      <c r="C173" s="107"/>
      <c r="D173" s="107"/>
      <c r="E173" s="107"/>
      <c r="F173" s="107"/>
      <c r="G173" s="107"/>
    </row>
    <row r="174" spans="1:7" x14ac:dyDescent="0.2">
      <c r="A174" s="107"/>
      <c r="B174" s="107"/>
      <c r="C174" s="107"/>
      <c r="D174" s="107"/>
      <c r="E174" s="107"/>
      <c r="F174" s="107"/>
      <c r="G174" s="107"/>
    </row>
    <row r="175" spans="1:7" x14ac:dyDescent="0.2">
      <c r="A175" s="107"/>
      <c r="B175" s="107"/>
      <c r="C175" s="107"/>
      <c r="D175" s="107"/>
      <c r="E175" s="107"/>
      <c r="F175" s="107"/>
      <c r="G175" s="107"/>
    </row>
    <row r="176" spans="1:7" x14ac:dyDescent="0.2">
      <c r="A176" s="107"/>
      <c r="B176" s="107"/>
      <c r="C176" s="107"/>
      <c r="D176" s="107"/>
      <c r="E176" s="107"/>
      <c r="F176" s="107"/>
      <c r="G176" s="107"/>
    </row>
    <row r="177" spans="1:7" x14ac:dyDescent="0.2">
      <c r="A177" s="107"/>
      <c r="B177" s="107"/>
      <c r="C177" s="107"/>
      <c r="D177" s="107"/>
      <c r="E177" s="107"/>
      <c r="F177" s="107"/>
      <c r="G177" s="107"/>
    </row>
    <row r="178" spans="1:7" x14ac:dyDescent="0.2">
      <c r="A178" s="107"/>
      <c r="B178" s="107"/>
      <c r="C178" s="107"/>
      <c r="D178" s="107"/>
      <c r="E178" s="107"/>
      <c r="F178" s="107"/>
      <c r="G178" s="107"/>
    </row>
    <row r="179" spans="1:7" x14ac:dyDescent="0.2">
      <c r="A179" s="107"/>
      <c r="B179" s="107"/>
      <c r="C179" s="107"/>
      <c r="D179" s="107"/>
      <c r="E179" s="107"/>
      <c r="F179" s="107"/>
      <c r="G179" s="107"/>
    </row>
    <row r="180" spans="1:7" x14ac:dyDescent="0.2">
      <c r="A180" s="107"/>
      <c r="B180" s="107"/>
      <c r="C180" s="107"/>
      <c r="D180" s="107"/>
      <c r="E180" s="107"/>
      <c r="F180" s="107"/>
      <c r="G180" s="107"/>
    </row>
    <row r="181" spans="1:7" x14ac:dyDescent="0.2">
      <c r="A181" s="107"/>
      <c r="B181" s="107"/>
      <c r="C181" s="107"/>
      <c r="D181" s="107"/>
      <c r="E181" s="107"/>
      <c r="F181" s="107"/>
      <c r="G181" s="107"/>
    </row>
    <row r="182" spans="1:7" x14ac:dyDescent="0.2">
      <c r="A182" s="107"/>
      <c r="B182" s="107"/>
      <c r="C182" s="107"/>
      <c r="D182" s="107"/>
      <c r="E182" s="107"/>
      <c r="F182" s="107"/>
      <c r="G182" s="107"/>
    </row>
    <row r="183" spans="1:7" x14ac:dyDescent="0.2">
      <c r="A183" s="107"/>
      <c r="B183" s="107"/>
      <c r="C183" s="107"/>
      <c r="D183" s="107"/>
      <c r="E183" s="107"/>
      <c r="F183" s="107"/>
      <c r="G183" s="107"/>
    </row>
    <row r="184" spans="1:7" x14ac:dyDescent="0.2">
      <c r="A184" s="107"/>
      <c r="B184" s="107"/>
      <c r="C184" s="107"/>
      <c r="D184" s="107"/>
      <c r="E184" s="107"/>
      <c r="F184" s="107"/>
      <c r="G184" s="107"/>
    </row>
    <row r="185" spans="1:7" x14ac:dyDescent="0.2">
      <c r="A185" s="107"/>
      <c r="B185" s="107"/>
      <c r="C185" s="107"/>
      <c r="D185" s="107"/>
      <c r="E185" s="107"/>
      <c r="F185" s="107"/>
      <c r="G185" s="107"/>
    </row>
    <row r="186" spans="1:7" x14ac:dyDescent="0.2">
      <c r="A186" s="107"/>
      <c r="B186" s="107"/>
      <c r="C186" s="107"/>
      <c r="D186" s="107"/>
      <c r="E186" s="107"/>
      <c r="F186" s="107"/>
      <c r="G186" s="107"/>
    </row>
    <row r="187" spans="1:7" x14ac:dyDescent="0.2">
      <c r="A187" s="107"/>
      <c r="B187" s="107"/>
      <c r="C187" s="107"/>
      <c r="D187" s="107"/>
      <c r="E187" s="107"/>
      <c r="F187" s="107"/>
      <c r="G187" s="107"/>
    </row>
    <row r="188" spans="1:7" x14ac:dyDescent="0.2">
      <c r="A188" s="107"/>
      <c r="B188" s="107"/>
      <c r="C188" s="107"/>
      <c r="D188" s="107"/>
      <c r="E188" s="107"/>
      <c r="F188" s="107"/>
      <c r="G188" s="107"/>
    </row>
  </sheetData>
  <mergeCells count="57">
    <mergeCell ref="A163:D163"/>
    <mergeCell ref="A164:D164"/>
    <mergeCell ref="A165:D165"/>
    <mergeCell ref="A157:D157"/>
    <mergeCell ref="A158:D158"/>
    <mergeCell ref="A159:D159"/>
    <mergeCell ref="A160:D160"/>
    <mergeCell ref="A161:D161"/>
    <mergeCell ref="A162:D162"/>
    <mergeCell ref="A150:G150"/>
    <mergeCell ref="A151:D151"/>
    <mergeCell ref="A152:D152"/>
    <mergeCell ref="A153:D153"/>
    <mergeCell ref="A155:D155"/>
    <mergeCell ref="A156:D156"/>
    <mergeCell ref="A116:D116"/>
    <mergeCell ref="A118:D118"/>
    <mergeCell ref="A122:D122"/>
    <mergeCell ref="A127:G127"/>
    <mergeCell ref="A143:G143"/>
    <mergeCell ref="A148:D148"/>
    <mergeCell ref="A100:D100"/>
    <mergeCell ref="A101:D101"/>
    <mergeCell ref="A102:D102"/>
    <mergeCell ref="A104:D104"/>
    <mergeCell ref="A105:D105"/>
    <mergeCell ref="A115:D115"/>
    <mergeCell ref="A94:D94"/>
    <mergeCell ref="A95:D95"/>
    <mergeCell ref="A96:D96"/>
    <mergeCell ref="A97:D97"/>
    <mergeCell ref="A98:D98"/>
    <mergeCell ref="A99:D99"/>
    <mergeCell ref="A74:D74"/>
    <mergeCell ref="A79:D79"/>
    <mergeCell ref="A85:D85"/>
    <mergeCell ref="A91:G91"/>
    <mergeCell ref="A92:D92"/>
    <mergeCell ref="A93:D93"/>
    <mergeCell ref="A58:D58"/>
    <mergeCell ref="A59:D59"/>
    <mergeCell ref="A60:D60"/>
    <mergeCell ref="A61:D61"/>
    <mergeCell ref="A63:D63"/>
    <mergeCell ref="A72:D72"/>
    <mergeCell ref="A52:D52"/>
    <mergeCell ref="A53:D53"/>
    <mergeCell ref="A54:D54"/>
    <mergeCell ref="A55:D55"/>
    <mergeCell ref="A56:D56"/>
    <mergeCell ref="A57:D57"/>
    <mergeCell ref="A4:D4"/>
    <mergeCell ref="A25:D25"/>
    <mergeCell ref="A48:G48"/>
    <mergeCell ref="A49:D49"/>
    <mergeCell ref="A50:D50"/>
    <mergeCell ref="A51:D5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59"/>
  <sheetViews>
    <sheetView workbookViewId="0">
      <selection activeCell="B1" sqref="B1"/>
    </sheetView>
  </sheetViews>
  <sheetFormatPr baseColWidth="10" defaultRowHeight="15" x14ac:dyDescent="0.2"/>
  <cols>
    <col min="1" max="1" width="42.1640625" style="106" customWidth="1"/>
    <col min="2" max="2" width="10.83203125" style="106" customWidth="1"/>
    <col min="3" max="3" width="7.1640625" style="106" customWidth="1"/>
    <col min="4" max="4" width="10.83203125" style="106"/>
    <col min="5" max="5" width="9" style="106" customWidth="1"/>
    <col min="6" max="6" width="9.6640625" style="106" customWidth="1"/>
    <col min="7" max="7" width="8.83203125" style="106" customWidth="1"/>
    <col min="8" max="8" width="10" style="106" customWidth="1"/>
    <col min="9" max="9" width="10.33203125" style="106" customWidth="1"/>
    <col min="10" max="10" width="10.83203125" style="106" customWidth="1"/>
    <col min="11" max="11" width="10.83203125" style="106"/>
    <col min="12" max="12" width="5.83203125" style="106" customWidth="1"/>
    <col min="13" max="13" width="6.83203125" style="106" customWidth="1"/>
    <col min="14" max="14" width="10.83203125" style="106"/>
    <col min="15" max="15" width="6.1640625" style="106" customWidth="1"/>
    <col min="16" max="16" width="11.33203125" style="106" customWidth="1"/>
    <col min="17" max="17" width="10.83203125" style="106"/>
    <col min="18" max="18" width="11.83203125" style="106" customWidth="1"/>
    <col min="19" max="19" width="9.83203125" style="106" customWidth="1"/>
    <col min="20" max="20" width="8.1640625" style="106" customWidth="1"/>
    <col min="21" max="21" width="13.1640625" style="106" customWidth="1"/>
    <col min="22" max="22" width="10.83203125" style="106"/>
    <col min="23" max="23" width="6.1640625" style="106" customWidth="1"/>
    <col min="24" max="24" width="10.83203125" style="106"/>
    <col min="25" max="25" width="6.83203125" style="106" customWidth="1"/>
    <col min="26" max="28" width="10.83203125" style="106"/>
    <col min="29" max="29" width="7.1640625" style="106" customWidth="1"/>
    <col min="30" max="16384" width="10.83203125" style="106"/>
  </cols>
  <sheetData>
    <row r="1" spans="1:29" x14ac:dyDescent="0.2">
      <c r="A1" s="458" t="s">
        <v>3475</v>
      </c>
    </row>
    <row r="3" spans="1:29" x14ac:dyDescent="0.2">
      <c r="A3" s="113" t="s">
        <v>1111</v>
      </c>
    </row>
    <row r="4" spans="1:29" ht="28.25" customHeight="1" x14ac:dyDescent="0.2">
      <c r="A4" s="1019" t="s">
        <v>3476</v>
      </c>
      <c r="B4" s="1020"/>
      <c r="C4" s="1021"/>
      <c r="D4" s="107"/>
      <c r="E4" s="107"/>
      <c r="F4" s="107"/>
      <c r="G4" s="107"/>
      <c r="H4" s="107"/>
      <c r="I4" s="107"/>
      <c r="J4" s="107"/>
      <c r="K4" s="107"/>
      <c r="L4" s="107"/>
      <c r="M4" s="107"/>
      <c r="N4" s="107"/>
      <c r="O4" s="107"/>
      <c r="P4" s="107"/>
      <c r="Q4" s="107"/>
      <c r="R4" s="107"/>
      <c r="S4" s="107"/>
      <c r="T4" s="107"/>
      <c r="U4" s="107"/>
      <c r="V4" s="107"/>
      <c r="W4" s="107"/>
      <c r="X4" s="107"/>
      <c r="Y4" s="107"/>
      <c r="Z4" s="107"/>
      <c r="AA4" s="107"/>
      <c r="AB4" s="107"/>
      <c r="AC4" s="107"/>
    </row>
    <row r="5" spans="1:29" x14ac:dyDescent="0.2">
      <c r="A5" s="349" t="s">
        <v>3477</v>
      </c>
      <c r="B5" s="349">
        <v>660980</v>
      </c>
      <c r="C5" s="717">
        <v>35</v>
      </c>
      <c r="D5" s="107"/>
      <c r="E5" s="107"/>
      <c r="F5" s="107"/>
      <c r="G5" s="107"/>
      <c r="H5" s="107"/>
      <c r="I5" s="107"/>
      <c r="J5" s="107"/>
      <c r="K5" s="107"/>
      <c r="L5" s="107"/>
      <c r="M5" s="107"/>
      <c r="N5" s="107"/>
      <c r="O5" s="107"/>
      <c r="P5" s="107"/>
      <c r="Q5" s="107"/>
      <c r="R5" s="107"/>
      <c r="S5" s="107"/>
      <c r="T5" s="107"/>
      <c r="U5" s="107"/>
      <c r="V5" s="107"/>
      <c r="W5" s="107"/>
      <c r="X5" s="107"/>
      <c r="Y5" s="107"/>
      <c r="Z5" s="107"/>
      <c r="AA5" s="107"/>
      <c r="AB5" s="107"/>
      <c r="AC5" s="107"/>
    </row>
    <row r="6" spans="1:29" x14ac:dyDescent="0.2">
      <c r="A6" s="131" t="s">
        <v>3478</v>
      </c>
      <c r="B6" s="131">
        <v>754293</v>
      </c>
      <c r="C6" s="307">
        <v>15</v>
      </c>
      <c r="D6" s="107"/>
      <c r="E6" s="107"/>
      <c r="F6" s="107"/>
      <c r="G6" s="107"/>
      <c r="H6" s="107"/>
      <c r="I6" s="107"/>
      <c r="J6" s="107"/>
      <c r="K6" s="107"/>
      <c r="L6" s="107"/>
      <c r="M6" s="107"/>
      <c r="N6" s="107"/>
      <c r="O6" s="107"/>
      <c r="P6" s="107"/>
      <c r="Q6" s="107"/>
      <c r="R6" s="107"/>
      <c r="S6" s="107"/>
      <c r="T6" s="107"/>
      <c r="U6" s="107"/>
      <c r="V6" s="107"/>
      <c r="W6" s="107"/>
      <c r="X6" s="107"/>
      <c r="Y6" s="107"/>
      <c r="Z6" s="107"/>
      <c r="AA6" s="107"/>
      <c r="AB6" s="107"/>
      <c r="AC6" s="107"/>
    </row>
    <row r="7" spans="1:29" x14ac:dyDescent="0.2">
      <c r="A7" s="131" t="s">
        <v>3479</v>
      </c>
      <c r="B7" s="131">
        <v>16543739</v>
      </c>
      <c r="C7" s="307">
        <v>600</v>
      </c>
      <c r="D7" s="107"/>
      <c r="E7" s="107"/>
      <c r="F7" s="107"/>
      <c r="G7" s="107"/>
      <c r="H7" s="107"/>
      <c r="I7" s="107"/>
      <c r="J7" s="107"/>
      <c r="K7" s="107"/>
      <c r="L7" s="107"/>
      <c r="M7" s="107"/>
      <c r="N7" s="107"/>
      <c r="O7" s="107"/>
      <c r="P7" s="107"/>
      <c r="Q7" s="107"/>
      <c r="R7" s="107"/>
      <c r="S7" s="107"/>
      <c r="T7" s="107"/>
      <c r="U7" s="107"/>
      <c r="V7" s="107"/>
      <c r="W7" s="107"/>
      <c r="X7" s="107"/>
      <c r="Y7" s="107"/>
      <c r="Z7" s="107"/>
      <c r="AA7" s="107"/>
      <c r="AB7" s="107"/>
      <c r="AC7" s="107"/>
    </row>
    <row r="8" spans="1:29" x14ac:dyDescent="0.2">
      <c r="A8" s="230" t="s">
        <v>3480</v>
      </c>
      <c r="B8" s="230">
        <v>14742834</v>
      </c>
      <c r="C8" s="364"/>
      <c r="D8" s="107"/>
      <c r="E8" s="107"/>
      <c r="F8" s="107"/>
      <c r="G8" s="107"/>
      <c r="H8" s="107"/>
      <c r="I8" s="107"/>
      <c r="J8" s="107"/>
      <c r="K8" s="107"/>
      <c r="L8" s="107"/>
      <c r="M8" s="107"/>
      <c r="N8" s="107"/>
      <c r="O8" s="107"/>
      <c r="P8" s="107"/>
      <c r="Q8" s="107"/>
      <c r="R8" s="107"/>
      <c r="S8" s="107"/>
      <c r="T8" s="107"/>
      <c r="U8" s="107"/>
      <c r="V8" s="107"/>
      <c r="W8" s="107"/>
      <c r="X8" s="107"/>
      <c r="Y8" s="107"/>
      <c r="Z8" s="107"/>
      <c r="AA8" s="107"/>
      <c r="AB8" s="107"/>
      <c r="AC8" s="107"/>
    </row>
    <row r="9" spans="1:29" x14ac:dyDescent="0.2">
      <c r="A9" s="107"/>
      <c r="B9" s="107"/>
      <c r="C9" s="107"/>
      <c r="D9" s="107"/>
      <c r="E9" s="107"/>
      <c r="F9" s="107"/>
      <c r="G9" s="107"/>
      <c r="H9" s="107"/>
      <c r="I9" s="107"/>
      <c r="J9" s="107"/>
      <c r="K9" s="107"/>
      <c r="L9" s="107"/>
      <c r="M9" s="107"/>
      <c r="N9" s="107"/>
      <c r="O9" s="107"/>
      <c r="P9" s="107"/>
      <c r="Q9" s="107"/>
      <c r="R9" s="107"/>
      <c r="S9" s="107"/>
      <c r="T9" s="107"/>
      <c r="U9" s="107"/>
      <c r="V9" s="107"/>
      <c r="W9" s="107"/>
      <c r="X9" s="107"/>
      <c r="Y9" s="107"/>
      <c r="Z9" s="107"/>
      <c r="AA9" s="107"/>
      <c r="AB9" s="107"/>
      <c r="AC9" s="107"/>
    </row>
    <row r="10" spans="1:29" x14ac:dyDescent="0.2">
      <c r="A10" s="107"/>
      <c r="B10" s="107"/>
      <c r="C10" s="107"/>
      <c r="D10" s="107"/>
      <c r="E10" s="107"/>
      <c r="F10" s="107"/>
      <c r="G10" s="107"/>
      <c r="H10" s="107"/>
      <c r="I10" s="107"/>
      <c r="J10" s="107"/>
      <c r="K10" s="107"/>
      <c r="L10" s="107"/>
      <c r="M10" s="107"/>
      <c r="N10" s="107"/>
      <c r="O10" s="107"/>
      <c r="P10" s="107"/>
      <c r="Q10" s="107"/>
      <c r="R10" s="107"/>
      <c r="S10" s="107"/>
      <c r="T10" s="107"/>
      <c r="U10" s="107"/>
      <c r="V10" s="107"/>
      <c r="W10" s="107"/>
      <c r="X10" s="107"/>
      <c r="Y10" s="107"/>
      <c r="Z10" s="107"/>
      <c r="AA10" s="107"/>
      <c r="AB10" s="107"/>
      <c r="AC10" s="107"/>
    </row>
    <row r="11" spans="1:29" x14ac:dyDescent="0.2">
      <c r="A11" s="107"/>
      <c r="B11" s="107"/>
      <c r="C11" s="107"/>
      <c r="D11" s="107"/>
      <c r="E11" s="107"/>
      <c r="F11" s="107"/>
      <c r="G11" s="107"/>
      <c r="H11" s="107"/>
      <c r="I11" s="107"/>
      <c r="J11" s="107"/>
      <c r="K11" s="107"/>
      <c r="L11" s="107"/>
      <c r="M11" s="107"/>
      <c r="N11" s="107"/>
      <c r="O11" s="107"/>
      <c r="P11" s="107"/>
      <c r="Q11" s="107"/>
      <c r="R11" s="107"/>
      <c r="S11" s="107"/>
      <c r="T11" s="107"/>
      <c r="U11" s="107"/>
      <c r="V11" s="107"/>
      <c r="W11" s="107"/>
      <c r="X11" s="107"/>
      <c r="Y11" s="107"/>
      <c r="Z11" s="107"/>
      <c r="AA11" s="107"/>
      <c r="AB11" s="107"/>
      <c r="AC11" s="107"/>
    </row>
    <row r="12" spans="1:29" x14ac:dyDescent="0.2">
      <c r="A12" s="526" t="s">
        <v>1428</v>
      </c>
      <c r="B12" s="107"/>
      <c r="C12" s="107"/>
      <c r="D12" s="107"/>
      <c r="E12" s="107"/>
      <c r="F12" s="107"/>
      <c r="G12" s="107"/>
      <c r="H12" s="107"/>
      <c r="I12" s="107"/>
      <c r="J12" s="107"/>
      <c r="K12" s="107"/>
      <c r="L12" s="107"/>
      <c r="M12" s="107"/>
      <c r="N12" s="107"/>
      <c r="O12" s="107"/>
      <c r="P12" s="107"/>
      <c r="Q12" s="107"/>
      <c r="R12" s="107"/>
      <c r="S12" s="107"/>
      <c r="T12" s="107"/>
      <c r="U12" s="107"/>
      <c r="V12" s="107"/>
      <c r="W12" s="107"/>
      <c r="X12" s="107"/>
      <c r="Y12" s="107"/>
      <c r="Z12" s="107"/>
      <c r="AA12" s="107"/>
      <c r="AB12" s="107"/>
      <c r="AC12" s="107"/>
    </row>
    <row r="13" spans="1:29" ht="30" customHeight="1" x14ac:dyDescent="0.2">
      <c r="A13" s="998" t="s">
        <v>3481</v>
      </c>
      <c r="B13" s="998"/>
      <c r="C13" s="998"/>
      <c r="D13" s="998"/>
      <c r="E13" s="998"/>
      <c r="F13" s="998"/>
      <c r="G13" s="998"/>
      <c r="H13" s="998"/>
      <c r="I13" s="998"/>
      <c r="J13" s="998"/>
      <c r="K13" s="107"/>
      <c r="L13" s="107"/>
      <c r="M13" s="107"/>
      <c r="N13" s="107"/>
      <c r="O13" s="107"/>
      <c r="P13" s="107"/>
      <c r="Q13" s="107"/>
      <c r="R13" s="107"/>
      <c r="S13" s="107"/>
      <c r="T13" s="107"/>
      <c r="U13" s="107"/>
      <c r="V13" s="107"/>
      <c r="W13" s="107"/>
      <c r="X13" s="107"/>
      <c r="Y13" s="107"/>
      <c r="Z13" s="107"/>
      <c r="AA13" s="107"/>
      <c r="AB13" s="107"/>
      <c r="AC13" s="107"/>
    </row>
    <row r="14" spans="1:29" s="1024" customFormat="1" ht="27" customHeight="1" x14ac:dyDescent="0.2">
      <c r="A14" s="1022"/>
      <c r="B14" s="977" t="s">
        <v>3482</v>
      </c>
      <c r="C14" s="977"/>
      <c r="D14" s="980" t="s">
        <v>3483</v>
      </c>
      <c r="E14" s="977"/>
      <c r="F14" s="977" t="s">
        <v>3484</v>
      </c>
      <c r="G14" s="977"/>
      <c r="H14" s="977"/>
      <c r="I14" s="977" t="s">
        <v>3485</v>
      </c>
      <c r="J14" s="977"/>
      <c r="K14" s="1023"/>
      <c r="L14" s="1023"/>
      <c r="M14" s="1023"/>
      <c r="N14" s="1023"/>
      <c r="O14" s="1023"/>
      <c r="P14" s="1023"/>
      <c r="Q14" s="1023"/>
      <c r="R14" s="1023"/>
      <c r="S14" s="1023"/>
      <c r="T14" s="1023"/>
      <c r="U14" s="1023"/>
      <c r="V14" s="1023"/>
      <c r="W14" s="1023"/>
      <c r="X14" s="1023"/>
      <c r="Y14" s="1023"/>
      <c r="Z14" s="1023"/>
      <c r="AA14" s="1023"/>
      <c r="AB14" s="1023"/>
      <c r="AC14" s="1023"/>
    </row>
    <row r="15" spans="1:29" x14ac:dyDescent="0.2">
      <c r="A15" s="1025"/>
      <c r="B15" s="751" t="s">
        <v>3486</v>
      </c>
      <c r="C15" s="751" t="s">
        <v>3282</v>
      </c>
      <c r="D15" s="807" t="s">
        <v>3486</v>
      </c>
      <c r="E15" s="751" t="s">
        <v>3282</v>
      </c>
      <c r="F15" s="751" t="s">
        <v>3487</v>
      </c>
      <c r="G15" s="967" t="s">
        <v>3374</v>
      </c>
      <c r="H15" s="967"/>
      <c r="I15" s="751" t="s">
        <v>3488</v>
      </c>
      <c r="J15" s="751" t="s">
        <v>3374</v>
      </c>
      <c r="K15" s="107"/>
      <c r="L15" s="107"/>
      <c r="M15" s="107"/>
      <c r="N15" s="107"/>
      <c r="O15" s="107"/>
      <c r="P15" s="107"/>
      <c r="Q15" s="107"/>
      <c r="R15" s="107"/>
      <c r="S15" s="107"/>
      <c r="T15" s="107"/>
      <c r="U15" s="107"/>
      <c r="V15" s="107"/>
      <c r="W15" s="107"/>
      <c r="X15" s="107"/>
      <c r="Y15" s="107"/>
      <c r="Z15" s="107"/>
      <c r="AA15" s="107"/>
      <c r="AB15" s="107"/>
      <c r="AC15" s="107"/>
    </row>
    <row r="16" spans="1:29" ht="25.25" customHeight="1" x14ac:dyDescent="0.2">
      <c r="A16" s="751" t="s">
        <v>3489</v>
      </c>
      <c r="B16" s="230">
        <v>16543739</v>
      </c>
      <c r="C16" s="364">
        <v>600</v>
      </c>
      <c r="D16" s="230">
        <v>14742834</v>
      </c>
      <c r="E16" s="364"/>
      <c r="F16" s="240">
        <v>660980</v>
      </c>
      <c r="G16" s="318">
        <v>35</v>
      </c>
      <c r="H16" s="513"/>
      <c r="I16" s="230">
        <v>754293</v>
      </c>
      <c r="J16" s="364">
        <v>15</v>
      </c>
      <c r="K16" s="107"/>
      <c r="L16" s="107"/>
      <c r="M16" s="107"/>
      <c r="N16" s="107"/>
      <c r="O16" s="107"/>
      <c r="P16" s="107"/>
      <c r="Q16" s="107"/>
      <c r="R16" s="107"/>
      <c r="S16" s="107"/>
      <c r="T16" s="107"/>
      <c r="U16" s="107"/>
      <c r="V16" s="107"/>
      <c r="W16" s="107"/>
      <c r="X16" s="107"/>
      <c r="Y16" s="107"/>
      <c r="Z16" s="107"/>
      <c r="AA16" s="107"/>
      <c r="AB16" s="107"/>
      <c r="AC16" s="107"/>
    </row>
    <row r="17" spans="1:29" x14ac:dyDescent="0.2">
      <c r="A17" s="107"/>
      <c r="B17" s="107"/>
      <c r="C17" s="107"/>
      <c r="D17" s="107"/>
      <c r="E17" s="107"/>
      <c r="F17" s="107"/>
      <c r="G17" s="107"/>
      <c r="H17" s="107"/>
      <c r="I17" s="107"/>
      <c r="J17" s="107"/>
      <c r="K17" s="107"/>
      <c r="L17" s="107"/>
      <c r="M17" s="107"/>
      <c r="N17" s="107"/>
      <c r="O17" s="107"/>
      <c r="P17" s="107"/>
      <c r="Q17" s="107"/>
      <c r="R17" s="107"/>
      <c r="S17" s="107"/>
      <c r="T17" s="107"/>
      <c r="U17" s="107"/>
      <c r="V17" s="107"/>
      <c r="W17" s="107"/>
      <c r="X17" s="107"/>
      <c r="Y17" s="107"/>
      <c r="Z17" s="107"/>
      <c r="AA17" s="107"/>
      <c r="AB17" s="107"/>
      <c r="AC17" s="107"/>
    </row>
    <row r="18" spans="1:29" x14ac:dyDescent="0.2">
      <c r="A18" s="107"/>
      <c r="B18" s="107"/>
      <c r="C18" s="107"/>
      <c r="D18" s="107"/>
      <c r="E18" s="107"/>
      <c r="F18" s="107"/>
      <c r="G18" s="107"/>
      <c r="H18" s="107"/>
      <c r="I18" s="107"/>
      <c r="J18" s="107"/>
      <c r="K18" s="107"/>
      <c r="L18" s="107"/>
      <c r="M18" s="107"/>
      <c r="N18" s="107"/>
      <c r="O18" s="107"/>
      <c r="P18" s="107"/>
      <c r="Q18" s="107"/>
      <c r="R18" s="107"/>
      <c r="S18" s="107"/>
      <c r="T18" s="107"/>
      <c r="U18" s="107"/>
      <c r="V18" s="107"/>
      <c r="W18" s="107"/>
      <c r="X18" s="107"/>
      <c r="Y18" s="107"/>
      <c r="Z18" s="107"/>
      <c r="AA18" s="107"/>
      <c r="AB18" s="107"/>
      <c r="AC18" s="107"/>
    </row>
    <row r="19" spans="1:29" x14ac:dyDescent="0.2">
      <c r="A19" s="107"/>
      <c r="B19" s="107"/>
      <c r="C19" s="107"/>
      <c r="D19" s="107"/>
      <c r="E19" s="107"/>
      <c r="F19" s="107"/>
      <c r="G19" s="107"/>
      <c r="H19" s="107"/>
      <c r="I19" s="107"/>
      <c r="J19" s="107"/>
      <c r="K19" s="107"/>
      <c r="L19" s="107"/>
      <c r="M19" s="107"/>
      <c r="N19" s="107"/>
      <c r="O19" s="107"/>
      <c r="P19" s="107"/>
      <c r="Q19" s="107"/>
      <c r="R19" s="107"/>
      <c r="S19" s="107"/>
      <c r="T19" s="107"/>
      <c r="U19" s="107"/>
      <c r="V19" s="107"/>
      <c r="W19" s="107"/>
      <c r="X19" s="107"/>
      <c r="Y19" s="107"/>
      <c r="Z19" s="107"/>
      <c r="AA19" s="107"/>
      <c r="AB19" s="107"/>
      <c r="AC19" s="107"/>
    </row>
    <row r="20" spans="1:29" x14ac:dyDescent="0.2">
      <c r="A20" s="526" t="s">
        <v>1182</v>
      </c>
      <c r="B20" s="107"/>
      <c r="C20" s="107"/>
      <c r="D20" s="107"/>
      <c r="E20" s="107"/>
      <c r="F20" s="107"/>
      <c r="G20" s="107"/>
      <c r="H20" s="107"/>
      <c r="I20" s="107"/>
      <c r="J20" s="107"/>
      <c r="K20" s="107"/>
      <c r="L20" s="107"/>
      <c r="M20" s="107"/>
      <c r="N20" s="107"/>
      <c r="O20" s="107"/>
      <c r="P20" s="107"/>
      <c r="Q20" s="107"/>
      <c r="R20" s="107"/>
      <c r="S20" s="107"/>
      <c r="T20" s="107"/>
      <c r="U20" s="107"/>
      <c r="V20" s="107"/>
      <c r="W20" s="107"/>
      <c r="X20" s="107"/>
      <c r="Y20" s="107"/>
      <c r="Z20" s="107"/>
      <c r="AA20" s="107"/>
      <c r="AB20" s="107"/>
      <c r="AC20" s="107"/>
    </row>
    <row r="21" spans="1:29" ht="24" customHeight="1" x14ac:dyDescent="0.2">
      <c r="A21" s="998" t="s">
        <v>3490</v>
      </c>
      <c r="B21" s="998"/>
      <c r="C21" s="998"/>
      <c r="D21" s="998"/>
      <c r="E21" s="998"/>
      <c r="F21" s="998"/>
      <c r="G21" s="998"/>
      <c r="H21" s="998"/>
      <c r="I21" s="998"/>
      <c r="J21" s="107"/>
      <c r="K21" s="107"/>
      <c r="L21" s="107"/>
      <c r="M21" s="107"/>
      <c r="N21" s="107"/>
      <c r="O21" s="107"/>
      <c r="P21" s="107"/>
      <c r="Q21" s="107"/>
      <c r="R21" s="107"/>
      <c r="S21" s="107"/>
      <c r="T21" s="107"/>
      <c r="U21" s="107"/>
      <c r="V21" s="107"/>
      <c r="W21" s="107"/>
      <c r="X21" s="107"/>
      <c r="Y21" s="107"/>
      <c r="Z21" s="107"/>
      <c r="AA21" s="107"/>
      <c r="AB21" s="107"/>
      <c r="AC21" s="107"/>
    </row>
    <row r="22" spans="1:29" ht="18.5" customHeight="1" x14ac:dyDescent="0.2">
      <c r="A22" s="838" t="s">
        <v>3476</v>
      </c>
      <c r="B22" s="967" t="s">
        <v>2505</v>
      </c>
      <c r="C22" s="967"/>
      <c r="D22" s="967" t="s">
        <v>2506</v>
      </c>
      <c r="E22" s="967"/>
      <c r="F22" s="967"/>
      <c r="G22" s="967" t="s">
        <v>2507</v>
      </c>
      <c r="H22" s="967"/>
      <c r="I22" s="967"/>
      <c r="J22" s="107"/>
      <c r="K22" s="107"/>
      <c r="L22" s="107"/>
      <c r="M22" s="107"/>
      <c r="N22" s="107"/>
      <c r="O22" s="107"/>
      <c r="P22" s="107"/>
      <c r="Q22" s="107"/>
      <c r="R22" s="107"/>
      <c r="S22" s="107"/>
      <c r="T22" s="107"/>
      <c r="U22" s="107"/>
      <c r="V22" s="107"/>
      <c r="W22" s="107"/>
      <c r="X22" s="107"/>
      <c r="Y22" s="107"/>
      <c r="Z22" s="107"/>
      <c r="AA22" s="107"/>
      <c r="AB22" s="107"/>
      <c r="AC22" s="107"/>
    </row>
    <row r="23" spans="1:29" ht="24.5" customHeight="1" x14ac:dyDescent="0.2">
      <c r="A23" s="838"/>
      <c r="B23" s="810" t="s">
        <v>3373</v>
      </c>
      <c r="C23" s="810" t="s">
        <v>3374</v>
      </c>
      <c r="D23" s="810" t="s">
        <v>3373</v>
      </c>
      <c r="E23" s="967" t="s">
        <v>3374</v>
      </c>
      <c r="F23" s="967"/>
      <c r="G23" s="810" t="s">
        <v>3373</v>
      </c>
      <c r="H23" s="967" t="s">
        <v>3374</v>
      </c>
      <c r="I23" s="967"/>
      <c r="J23" s="107"/>
      <c r="K23" s="107"/>
      <c r="L23" s="107"/>
      <c r="M23" s="107"/>
      <c r="N23" s="107"/>
      <c r="O23" s="107"/>
      <c r="P23" s="107"/>
      <c r="Q23" s="107"/>
      <c r="R23" s="107"/>
      <c r="S23" s="107"/>
      <c r="T23" s="107"/>
      <c r="U23" s="107"/>
      <c r="V23" s="107"/>
      <c r="W23" s="107"/>
      <c r="X23" s="107"/>
      <c r="Y23" s="107"/>
      <c r="Z23" s="107"/>
      <c r="AA23" s="107"/>
      <c r="AB23" s="107"/>
      <c r="AC23" s="107"/>
    </row>
    <row r="24" spans="1:29" ht="23" customHeight="1" x14ac:dyDescent="0.2">
      <c r="A24" s="230" t="s">
        <v>1341</v>
      </c>
      <c r="B24" s="240">
        <v>754293</v>
      </c>
      <c r="C24" s="513">
        <v>15</v>
      </c>
      <c r="D24" s="309">
        <v>238793</v>
      </c>
      <c r="E24" s="309">
        <v>2</v>
      </c>
      <c r="F24" s="310">
        <v>0.5</v>
      </c>
      <c r="G24" s="240">
        <v>518947</v>
      </c>
      <c r="H24" s="318">
        <v>90</v>
      </c>
      <c r="I24" s="513"/>
      <c r="J24" s="107"/>
      <c r="K24" s="107"/>
      <c r="L24" s="107"/>
      <c r="M24" s="107"/>
      <c r="N24" s="107"/>
      <c r="O24" s="107"/>
      <c r="P24" s="107"/>
      <c r="Q24" s="107"/>
      <c r="R24" s="107"/>
      <c r="S24" s="107"/>
      <c r="T24" s="107"/>
      <c r="U24" s="107"/>
      <c r="V24" s="107"/>
      <c r="W24" s="107"/>
      <c r="X24" s="107"/>
      <c r="Y24" s="107"/>
      <c r="Z24" s="107"/>
      <c r="AA24" s="107"/>
      <c r="AB24" s="107"/>
      <c r="AC24" s="107"/>
    </row>
    <row r="25" spans="1:29" x14ac:dyDescent="0.2">
      <c r="A25" s="107"/>
      <c r="B25" s="107"/>
      <c r="C25" s="107"/>
      <c r="D25" s="107"/>
      <c r="E25" s="107"/>
      <c r="F25" s="107"/>
      <c r="G25" s="107"/>
      <c r="H25" s="107"/>
      <c r="I25" s="107"/>
      <c r="J25" s="107"/>
      <c r="K25" s="107"/>
      <c r="L25" s="107"/>
      <c r="M25" s="107"/>
      <c r="N25" s="107"/>
      <c r="O25" s="107"/>
      <c r="P25" s="107"/>
      <c r="Q25" s="107"/>
      <c r="R25" s="107"/>
      <c r="S25" s="107"/>
      <c r="T25" s="107"/>
      <c r="U25" s="107"/>
      <c r="V25" s="107"/>
      <c r="W25" s="107"/>
      <c r="X25" s="107"/>
      <c r="Y25" s="107"/>
      <c r="Z25" s="107"/>
      <c r="AA25" s="107"/>
      <c r="AB25" s="107"/>
      <c r="AC25" s="107"/>
    </row>
    <row r="26" spans="1:29" x14ac:dyDescent="0.2">
      <c r="A26" s="240" t="s">
        <v>3491</v>
      </c>
      <c r="B26" s="240">
        <v>248716</v>
      </c>
      <c r="C26" s="513">
        <v>60</v>
      </c>
      <c r="D26" s="107"/>
      <c r="E26" s="107"/>
      <c r="F26" s="107"/>
      <c r="G26" s="107"/>
      <c r="H26" s="107"/>
      <c r="I26" s="107"/>
      <c r="J26" s="107"/>
      <c r="K26" s="107"/>
      <c r="L26" s="107"/>
      <c r="M26" s="107"/>
      <c r="N26" s="107"/>
      <c r="O26" s="107"/>
      <c r="P26" s="107"/>
      <c r="Q26" s="107"/>
      <c r="R26" s="107"/>
      <c r="S26" s="107"/>
      <c r="T26" s="107"/>
      <c r="U26" s="107"/>
      <c r="V26" s="107"/>
      <c r="W26" s="107"/>
      <c r="X26" s="107"/>
      <c r="Y26" s="107"/>
      <c r="Z26" s="107"/>
      <c r="AA26" s="107"/>
      <c r="AB26" s="107"/>
      <c r="AC26" s="107"/>
    </row>
    <row r="27" spans="1:29" x14ac:dyDescent="0.2">
      <c r="A27" s="107"/>
      <c r="B27" s="107"/>
      <c r="C27" s="107"/>
      <c r="D27" s="107"/>
      <c r="E27" s="107"/>
      <c r="F27" s="107"/>
      <c r="G27" s="107"/>
      <c r="H27" s="107"/>
      <c r="I27" s="107"/>
      <c r="J27" s="107"/>
      <c r="K27" s="107"/>
      <c r="L27" s="107"/>
      <c r="M27" s="107"/>
      <c r="N27" s="107"/>
      <c r="O27" s="107"/>
      <c r="P27" s="107"/>
      <c r="Q27" s="107"/>
      <c r="R27" s="107"/>
      <c r="S27" s="107"/>
      <c r="T27" s="107"/>
      <c r="U27" s="107"/>
      <c r="V27" s="107"/>
      <c r="W27" s="107"/>
      <c r="X27" s="107"/>
      <c r="Y27" s="107"/>
      <c r="Z27" s="107"/>
      <c r="AA27" s="107"/>
      <c r="AB27" s="107"/>
      <c r="AC27" s="107"/>
    </row>
    <row r="28" spans="1:29" x14ac:dyDescent="0.2">
      <c r="A28" s="107"/>
      <c r="B28" s="107"/>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row>
    <row r="29" spans="1:29" x14ac:dyDescent="0.2">
      <c r="A29" s="107"/>
      <c r="B29" s="10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107"/>
      <c r="AB29" s="107"/>
      <c r="AC29" s="107"/>
    </row>
    <row r="30" spans="1:29" x14ac:dyDescent="0.2">
      <c r="A30" s="526" t="s">
        <v>1226</v>
      </c>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row>
    <row r="31" spans="1:29" ht="33" customHeight="1" x14ac:dyDescent="0.2">
      <c r="A31" s="1026" t="s">
        <v>3492</v>
      </c>
      <c r="B31" s="1026"/>
      <c r="C31" s="1026"/>
      <c r="D31" s="1026"/>
      <c r="E31" s="1026"/>
      <c r="F31" s="1026"/>
      <c r="G31" s="1026"/>
      <c r="H31" s="1026"/>
      <c r="I31" s="1026"/>
      <c r="J31" s="1026"/>
      <c r="K31" s="107"/>
      <c r="L31" s="107"/>
      <c r="M31" s="107"/>
      <c r="N31" s="107"/>
      <c r="O31" s="107"/>
      <c r="P31" s="107"/>
      <c r="Q31" s="107"/>
      <c r="R31" s="107"/>
      <c r="S31" s="107"/>
      <c r="T31" s="107"/>
      <c r="U31" s="107"/>
      <c r="V31" s="107"/>
      <c r="W31" s="107"/>
      <c r="X31" s="107"/>
      <c r="Y31" s="107"/>
      <c r="Z31" s="107"/>
      <c r="AA31" s="107"/>
      <c r="AB31" s="107"/>
      <c r="AC31" s="107"/>
    </row>
    <row r="32" spans="1:29" x14ac:dyDescent="0.2">
      <c r="A32" s="967" t="s">
        <v>1227</v>
      </c>
      <c r="B32" s="609" t="s">
        <v>3255</v>
      </c>
      <c r="C32" s="967"/>
      <c r="D32" s="967"/>
      <c r="E32" s="967"/>
      <c r="F32" s="967"/>
      <c r="G32" s="967"/>
      <c r="H32" s="967"/>
      <c r="I32" s="967"/>
      <c r="J32" s="967"/>
      <c r="K32" s="107"/>
      <c r="L32" s="107"/>
      <c r="M32" s="107"/>
      <c r="N32" s="107"/>
      <c r="O32" s="107"/>
      <c r="P32" s="107"/>
      <c r="Q32" s="107"/>
      <c r="R32" s="107"/>
      <c r="S32" s="107"/>
      <c r="T32" s="107"/>
      <c r="U32" s="107"/>
      <c r="V32" s="107"/>
      <c r="W32" s="107"/>
      <c r="X32" s="107"/>
      <c r="Y32" s="107"/>
      <c r="Z32" s="107"/>
      <c r="AA32" s="107"/>
      <c r="AB32" s="107"/>
      <c r="AC32" s="107"/>
    </row>
    <row r="33" spans="1:29" x14ac:dyDescent="0.2">
      <c r="A33" s="967"/>
      <c r="B33" s="486" t="s">
        <v>3493</v>
      </c>
      <c r="C33" s="838"/>
      <c r="D33" s="485"/>
      <c r="E33" s="838" t="s">
        <v>3494</v>
      </c>
      <c r="F33" s="838"/>
      <c r="G33" s="838"/>
      <c r="H33" s="838" t="s">
        <v>2519</v>
      </c>
      <c r="I33" s="838"/>
      <c r="J33" s="838"/>
      <c r="K33" s="107"/>
      <c r="L33" s="107"/>
      <c r="M33" s="107"/>
      <c r="N33" s="107"/>
      <c r="O33" s="107"/>
      <c r="P33" s="107"/>
      <c r="Q33" s="107"/>
      <c r="R33" s="107"/>
      <c r="S33" s="107"/>
      <c r="T33" s="107"/>
      <c r="U33" s="107"/>
      <c r="V33" s="107"/>
      <c r="W33" s="107"/>
      <c r="X33" s="107"/>
      <c r="Y33" s="107"/>
      <c r="Z33" s="107"/>
      <c r="AA33" s="107"/>
      <c r="AB33" s="107"/>
      <c r="AC33" s="107"/>
    </row>
    <row r="34" spans="1:29" x14ac:dyDescent="0.2">
      <c r="A34" s="131" t="s">
        <v>1517</v>
      </c>
      <c r="B34" s="349">
        <v>104787</v>
      </c>
      <c r="C34" s="350">
        <v>50</v>
      </c>
      <c r="D34" s="352"/>
      <c r="E34" s="349">
        <v>34929</v>
      </c>
      <c r="F34" s="350">
        <v>20</v>
      </c>
      <c r="G34" s="352"/>
      <c r="H34" s="349">
        <v>139716</v>
      </c>
      <c r="I34" s="350">
        <v>70</v>
      </c>
      <c r="J34" s="352"/>
      <c r="K34" s="107"/>
      <c r="L34" s="107"/>
      <c r="M34" s="107"/>
      <c r="N34" s="107"/>
      <c r="O34" s="107"/>
      <c r="P34" s="107"/>
      <c r="Q34" s="107"/>
      <c r="R34" s="107"/>
      <c r="S34" s="107"/>
      <c r="T34" s="107"/>
      <c r="U34" s="107"/>
      <c r="V34" s="107"/>
      <c r="W34" s="107"/>
      <c r="X34" s="107"/>
      <c r="Y34" s="107"/>
      <c r="Z34" s="107"/>
      <c r="AA34" s="107"/>
      <c r="AB34" s="107"/>
      <c r="AC34" s="107"/>
    </row>
    <row r="35" spans="1:29" x14ac:dyDescent="0.2">
      <c r="A35" s="131" t="s">
        <v>1369</v>
      </c>
      <c r="B35" s="131">
        <v>107943</v>
      </c>
      <c r="C35" s="145">
        <v>31</v>
      </c>
      <c r="D35" s="133">
        <v>0.5</v>
      </c>
      <c r="E35" s="131">
        <v>35981</v>
      </c>
      <c r="F35" s="145">
        <v>40</v>
      </c>
      <c r="G35" s="133"/>
      <c r="H35" s="131">
        <v>143924</v>
      </c>
      <c r="I35" s="145">
        <v>71</v>
      </c>
      <c r="J35" s="133">
        <v>0.5</v>
      </c>
      <c r="K35" s="107"/>
      <c r="L35" s="107"/>
      <c r="M35" s="107"/>
      <c r="N35" s="107"/>
      <c r="O35" s="107"/>
      <c r="P35" s="107"/>
      <c r="Q35" s="107"/>
      <c r="R35" s="107"/>
      <c r="S35" s="107"/>
      <c r="T35" s="107"/>
      <c r="U35" s="107"/>
      <c r="V35" s="107"/>
      <c r="W35" s="107"/>
      <c r="X35" s="107"/>
      <c r="Y35" s="107"/>
      <c r="Z35" s="107"/>
      <c r="AA35" s="107"/>
      <c r="AB35" s="107"/>
      <c r="AC35" s="107"/>
    </row>
    <row r="36" spans="1:29" x14ac:dyDescent="0.2">
      <c r="A36" s="131" t="s">
        <v>3266</v>
      </c>
      <c r="B36" s="131">
        <v>1210</v>
      </c>
      <c r="C36" s="145">
        <v>24</v>
      </c>
      <c r="D36" s="133"/>
      <c r="E36" s="131">
        <v>435</v>
      </c>
      <c r="F36" s="145">
        <v>43</v>
      </c>
      <c r="G36" s="133">
        <v>0.5</v>
      </c>
      <c r="H36" s="131">
        <v>1645</v>
      </c>
      <c r="I36" s="145">
        <v>67</v>
      </c>
      <c r="J36" s="133">
        <v>0.5</v>
      </c>
      <c r="K36" s="107"/>
      <c r="L36" s="107"/>
      <c r="M36" s="107"/>
      <c r="N36" s="107"/>
      <c r="O36" s="107"/>
      <c r="P36" s="107"/>
      <c r="Q36" s="107"/>
      <c r="R36" s="107"/>
      <c r="S36" s="107"/>
      <c r="T36" s="107"/>
      <c r="U36" s="107"/>
      <c r="V36" s="107"/>
      <c r="W36" s="107"/>
      <c r="X36" s="107"/>
      <c r="Y36" s="107"/>
      <c r="Z36" s="107"/>
      <c r="AA36" s="107"/>
      <c r="AB36" s="107"/>
      <c r="AC36" s="107"/>
    </row>
    <row r="37" spans="1:29" x14ac:dyDescent="0.2">
      <c r="A37" s="131" t="s">
        <v>1519</v>
      </c>
      <c r="B37" s="131">
        <v>114096</v>
      </c>
      <c r="C37" s="145">
        <v>5</v>
      </c>
      <c r="D37" s="133"/>
      <c r="E37" s="131">
        <v>15977</v>
      </c>
      <c r="F37" s="145">
        <v>90</v>
      </c>
      <c r="G37" s="133"/>
      <c r="H37" s="131">
        <v>130073</v>
      </c>
      <c r="I37" s="145">
        <v>95</v>
      </c>
      <c r="J37" s="133"/>
      <c r="K37" s="107"/>
      <c r="L37" s="107"/>
      <c r="M37" s="107"/>
      <c r="N37" s="107"/>
      <c r="O37" s="107"/>
      <c r="P37" s="107"/>
      <c r="Q37" s="107"/>
      <c r="R37" s="107"/>
      <c r="S37" s="107"/>
      <c r="T37" s="107"/>
      <c r="U37" s="107"/>
      <c r="V37" s="107"/>
      <c r="W37" s="107"/>
      <c r="X37" s="107"/>
      <c r="Y37" s="107"/>
      <c r="Z37" s="107"/>
      <c r="AA37" s="107"/>
      <c r="AB37" s="107"/>
      <c r="AC37" s="107"/>
    </row>
    <row r="38" spans="1:29" x14ac:dyDescent="0.2">
      <c r="A38" s="131" t="s">
        <v>1526</v>
      </c>
      <c r="B38" s="131">
        <v>29793</v>
      </c>
      <c r="C38" s="145">
        <v>53</v>
      </c>
      <c r="D38" s="133">
        <v>0.5</v>
      </c>
      <c r="E38" s="131">
        <v>6918</v>
      </c>
      <c r="F38" s="145">
        <v>86</v>
      </c>
      <c r="G38" s="133">
        <v>0.5</v>
      </c>
      <c r="H38" s="131">
        <v>36712</v>
      </c>
      <c r="I38" s="145">
        <v>40</v>
      </c>
      <c r="J38" s="133"/>
      <c r="K38" s="107"/>
      <c r="L38" s="107"/>
      <c r="M38" s="107"/>
      <c r="N38" s="107"/>
      <c r="O38" s="107"/>
      <c r="P38" s="107"/>
      <c r="Q38" s="107"/>
      <c r="R38" s="107"/>
      <c r="S38" s="107"/>
      <c r="T38" s="107"/>
      <c r="U38" s="107"/>
      <c r="V38" s="107"/>
      <c r="W38" s="107"/>
      <c r="X38" s="107"/>
      <c r="Y38" s="107"/>
      <c r="Z38" s="107"/>
      <c r="AA38" s="107"/>
      <c r="AB38" s="107"/>
      <c r="AC38" s="107"/>
    </row>
    <row r="39" spans="1:29" x14ac:dyDescent="0.2">
      <c r="A39" s="131" t="s">
        <v>3264</v>
      </c>
      <c r="B39" s="131">
        <v>1518297</v>
      </c>
      <c r="C39" s="145">
        <v>70</v>
      </c>
      <c r="D39" s="133"/>
      <c r="E39" s="131">
        <v>379561</v>
      </c>
      <c r="F39" s="145">
        <v>95</v>
      </c>
      <c r="G39" s="133"/>
      <c r="H39" s="131">
        <v>1897859</v>
      </c>
      <c r="I39" s="145">
        <v>65</v>
      </c>
      <c r="J39" s="133"/>
      <c r="K39" s="107"/>
      <c r="L39" s="107"/>
      <c r="M39" s="107"/>
      <c r="N39" s="107"/>
      <c r="O39" s="107"/>
      <c r="P39" s="107"/>
      <c r="Q39" s="107"/>
      <c r="R39" s="107"/>
      <c r="S39" s="107"/>
      <c r="T39" s="107"/>
      <c r="U39" s="107"/>
      <c r="V39" s="107"/>
      <c r="W39" s="107"/>
      <c r="X39" s="107"/>
      <c r="Y39" s="107"/>
      <c r="Z39" s="107"/>
      <c r="AA39" s="107"/>
      <c r="AB39" s="107"/>
      <c r="AC39" s="107"/>
    </row>
    <row r="40" spans="1:29" x14ac:dyDescent="0.2">
      <c r="A40" s="131" t="s">
        <v>1373</v>
      </c>
      <c r="B40" s="131">
        <v>139486</v>
      </c>
      <c r="C40" s="145"/>
      <c r="D40" s="133"/>
      <c r="E40" s="131">
        <v>30142</v>
      </c>
      <c r="F40" s="145">
        <v>65</v>
      </c>
      <c r="G40" s="133"/>
      <c r="H40" s="131">
        <v>169628</v>
      </c>
      <c r="I40" s="145">
        <v>65</v>
      </c>
      <c r="J40" s="133"/>
      <c r="K40" s="107"/>
      <c r="L40" s="107"/>
      <c r="M40" s="107"/>
      <c r="N40" s="107"/>
      <c r="O40" s="107"/>
      <c r="P40" s="107"/>
      <c r="Q40" s="107"/>
      <c r="R40" s="107"/>
      <c r="S40" s="107"/>
      <c r="T40" s="107"/>
      <c r="U40" s="107"/>
      <c r="V40" s="107"/>
      <c r="W40" s="107"/>
      <c r="X40" s="107"/>
      <c r="Y40" s="107"/>
      <c r="Z40" s="107"/>
      <c r="AA40" s="107"/>
      <c r="AB40" s="107"/>
      <c r="AC40" s="107"/>
    </row>
    <row r="41" spans="1:29" x14ac:dyDescent="0.2">
      <c r="A41" s="131" t="s">
        <v>1527</v>
      </c>
      <c r="B41" s="131">
        <v>18329</v>
      </c>
      <c r="C41" s="145">
        <v>61</v>
      </c>
      <c r="D41" s="133"/>
      <c r="E41" s="131">
        <v>5528</v>
      </c>
      <c r="F41" s="145">
        <v>60</v>
      </c>
      <c r="G41" s="133"/>
      <c r="H41" s="131">
        <v>23858</v>
      </c>
      <c r="I41" s="145">
        <v>21</v>
      </c>
      <c r="J41" s="133"/>
      <c r="K41" s="107"/>
      <c r="L41" s="107"/>
      <c r="M41" s="107"/>
      <c r="N41" s="107"/>
      <c r="O41" s="107"/>
      <c r="P41" s="107"/>
      <c r="Q41" s="107"/>
      <c r="R41" s="107"/>
      <c r="S41" s="107"/>
      <c r="T41" s="107"/>
      <c r="U41" s="107"/>
      <c r="V41" s="107"/>
      <c r="W41" s="107"/>
      <c r="X41" s="107"/>
      <c r="Y41" s="107"/>
      <c r="Z41" s="107"/>
      <c r="AA41" s="107"/>
      <c r="AB41" s="107"/>
      <c r="AC41" s="107"/>
    </row>
    <row r="42" spans="1:29" x14ac:dyDescent="0.2">
      <c r="A42" s="794" t="s">
        <v>3495</v>
      </c>
      <c r="B42" s="240">
        <v>2033943</v>
      </c>
      <c r="C42" s="318">
        <v>95</v>
      </c>
      <c r="D42" s="241"/>
      <c r="E42" s="240">
        <v>509476</v>
      </c>
      <c r="F42" s="318"/>
      <c r="G42" s="241"/>
      <c r="H42" s="240">
        <v>2543419</v>
      </c>
      <c r="I42" s="318">
        <v>95</v>
      </c>
      <c r="J42" s="241"/>
      <c r="K42" s="107"/>
      <c r="L42" s="107"/>
      <c r="M42" s="107"/>
      <c r="N42" s="107"/>
      <c r="O42" s="107"/>
      <c r="P42" s="107"/>
      <c r="Q42" s="107"/>
      <c r="R42" s="107"/>
      <c r="S42" s="107"/>
      <c r="T42" s="107"/>
      <c r="U42" s="107"/>
      <c r="V42" s="107"/>
      <c r="W42" s="107"/>
      <c r="X42" s="107"/>
      <c r="Y42" s="107"/>
      <c r="Z42" s="107"/>
      <c r="AA42" s="107"/>
      <c r="AB42" s="107"/>
      <c r="AC42" s="107"/>
    </row>
    <row r="43" spans="1:29" x14ac:dyDescent="0.2">
      <c r="A43" s="107"/>
      <c r="B43" s="299">
        <f>+SUM(B34:B41)</f>
        <v>2033941</v>
      </c>
      <c r="C43" s="152">
        <f t="shared" ref="C43:J43" si="0">+SUM(C34:C41)</f>
        <v>294</v>
      </c>
      <c r="D43" s="154">
        <f t="shared" si="0"/>
        <v>1</v>
      </c>
      <c r="E43" s="299">
        <f t="shared" si="0"/>
        <v>509471</v>
      </c>
      <c r="F43" s="152">
        <f t="shared" si="0"/>
        <v>499</v>
      </c>
      <c r="G43" s="154">
        <f t="shared" si="0"/>
        <v>1</v>
      </c>
      <c r="H43" s="299">
        <f t="shared" si="0"/>
        <v>2543415</v>
      </c>
      <c r="I43" s="152">
        <f t="shared" si="0"/>
        <v>494</v>
      </c>
      <c r="J43" s="154">
        <f t="shared" si="0"/>
        <v>1</v>
      </c>
      <c r="K43" s="107"/>
      <c r="L43" s="107"/>
      <c r="M43" s="107"/>
      <c r="N43" s="107"/>
      <c r="O43" s="107"/>
      <c r="P43" s="107"/>
      <c r="Q43" s="107"/>
      <c r="R43" s="107"/>
      <c r="S43" s="107"/>
      <c r="T43" s="107"/>
      <c r="U43" s="107"/>
      <c r="V43" s="107"/>
      <c r="W43" s="107"/>
      <c r="X43" s="107"/>
      <c r="Y43" s="107"/>
      <c r="Z43" s="107"/>
      <c r="AA43" s="107"/>
      <c r="AB43" s="107"/>
      <c r="AC43" s="107"/>
    </row>
    <row r="44" spans="1:29" x14ac:dyDescent="0.2">
      <c r="A44" s="107"/>
      <c r="B44" s="107"/>
      <c r="C44" s="107"/>
      <c r="D44" s="107"/>
      <c r="E44" s="107"/>
      <c r="F44" s="107"/>
      <c r="G44" s="107"/>
      <c r="H44" s="107"/>
      <c r="I44" s="107"/>
      <c r="J44" s="107"/>
      <c r="K44" s="107"/>
      <c r="L44" s="107"/>
      <c r="M44" s="107"/>
      <c r="N44" s="107"/>
      <c r="O44" s="107"/>
      <c r="P44" s="107"/>
      <c r="Q44" s="107"/>
      <c r="R44" s="107"/>
      <c r="S44" s="107"/>
      <c r="T44" s="107"/>
      <c r="U44" s="107"/>
      <c r="V44" s="107"/>
      <c r="W44" s="107"/>
      <c r="X44" s="107"/>
      <c r="Y44" s="107"/>
      <c r="Z44" s="107"/>
      <c r="AA44" s="107"/>
      <c r="AB44" s="107"/>
      <c r="AC44" s="107"/>
    </row>
    <row r="45" spans="1:29" x14ac:dyDescent="0.2">
      <c r="A45" s="107"/>
      <c r="B45" s="107"/>
      <c r="C45" s="107"/>
      <c r="D45" s="107"/>
      <c r="E45" s="107"/>
      <c r="F45" s="107"/>
      <c r="G45" s="107"/>
      <c r="H45" s="107"/>
      <c r="I45" s="107"/>
      <c r="J45" s="107"/>
      <c r="K45" s="107"/>
      <c r="L45" s="107"/>
      <c r="M45" s="107"/>
      <c r="N45" s="107"/>
      <c r="O45" s="107"/>
      <c r="P45" s="107"/>
      <c r="Q45" s="107"/>
      <c r="R45" s="107"/>
      <c r="S45" s="107"/>
      <c r="T45" s="107"/>
      <c r="U45" s="107"/>
      <c r="V45" s="107"/>
      <c r="W45" s="107"/>
      <c r="X45" s="107"/>
      <c r="Y45" s="107"/>
      <c r="Z45" s="107"/>
      <c r="AA45" s="107"/>
      <c r="AB45" s="107"/>
      <c r="AC45" s="107"/>
    </row>
    <row r="46" spans="1:29" x14ac:dyDescent="0.2">
      <c r="A46" s="526" t="s">
        <v>1272</v>
      </c>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row>
    <row r="47" spans="1:29" ht="26" customHeight="1" x14ac:dyDescent="0.2">
      <c r="A47" s="1026" t="s">
        <v>3496</v>
      </c>
      <c r="B47" s="1026"/>
      <c r="C47" s="1026"/>
      <c r="D47" s="1026"/>
      <c r="E47" s="1026"/>
      <c r="F47" s="1026"/>
      <c r="G47" s="1026"/>
      <c r="H47" s="1026"/>
      <c r="I47" s="1026"/>
      <c r="J47" s="1026"/>
      <c r="K47" s="1026"/>
      <c r="L47" s="1026"/>
      <c r="M47" s="1026"/>
      <c r="N47" s="1026"/>
      <c r="O47" s="1026"/>
      <c r="P47" s="1026"/>
      <c r="Q47" s="1026"/>
      <c r="R47" s="1026"/>
      <c r="S47" s="1026"/>
      <c r="T47" s="1026"/>
      <c r="U47" s="1026"/>
      <c r="V47" s="107"/>
      <c r="W47" s="107"/>
      <c r="X47" s="107"/>
      <c r="Y47" s="107"/>
      <c r="Z47" s="107"/>
      <c r="AA47" s="107"/>
      <c r="AB47" s="107"/>
      <c r="AC47" s="107"/>
    </row>
    <row r="48" spans="1:29" ht="14.5" customHeight="1" x14ac:dyDescent="0.2">
      <c r="A48" s="967" t="s">
        <v>3254</v>
      </c>
      <c r="B48" s="609" t="s">
        <v>3497</v>
      </c>
      <c r="C48" s="967"/>
      <c r="D48" s="608"/>
      <c r="E48" s="967" t="s">
        <v>3498</v>
      </c>
      <c r="F48" s="967"/>
      <c r="G48" s="967"/>
      <c r="H48" s="609" t="s">
        <v>3499</v>
      </c>
      <c r="I48" s="967"/>
      <c r="J48" s="967"/>
      <c r="K48" s="967" t="s">
        <v>1635</v>
      </c>
      <c r="L48" s="967"/>
      <c r="M48" s="967"/>
      <c r="N48" s="967"/>
      <c r="O48" s="967"/>
      <c r="P48" s="967"/>
      <c r="Q48" s="967"/>
      <c r="R48" s="967"/>
      <c r="S48" s="967"/>
      <c r="T48" s="967"/>
      <c r="U48" s="967"/>
      <c r="V48" s="107"/>
      <c r="W48" s="107"/>
      <c r="X48" s="107"/>
      <c r="Y48" s="107"/>
      <c r="Z48" s="107"/>
      <c r="AA48" s="107"/>
      <c r="AB48" s="107"/>
      <c r="AC48" s="107"/>
    </row>
    <row r="49" spans="1:29" x14ac:dyDescent="0.2">
      <c r="A49" s="967"/>
      <c r="B49" s="609"/>
      <c r="C49" s="967"/>
      <c r="D49" s="608"/>
      <c r="E49" s="967"/>
      <c r="F49" s="967"/>
      <c r="G49" s="967"/>
      <c r="H49" s="609"/>
      <c r="I49" s="967"/>
      <c r="J49" s="967"/>
      <c r="K49" s="977" t="s">
        <v>3500</v>
      </c>
      <c r="L49" s="977"/>
      <c r="M49" s="977"/>
      <c r="N49" s="977"/>
      <c r="O49" s="977"/>
      <c r="P49" s="977"/>
      <c r="Q49" s="977" t="s">
        <v>3501</v>
      </c>
      <c r="R49" s="977"/>
      <c r="S49" s="977"/>
      <c r="T49" s="977"/>
      <c r="U49" s="977"/>
      <c r="V49" s="107"/>
      <c r="W49" s="107"/>
      <c r="X49" s="107"/>
      <c r="Y49" s="107"/>
      <c r="Z49" s="107"/>
      <c r="AA49" s="107"/>
      <c r="AB49" s="107"/>
      <c r="AC49" s="107"/>
    </row>
    <row r="50" spans="1:29" x14ac:dyDescent="0.2">
      <c r="A50" s="967"/>
      <c r="B50" s="609"/>
      <c r="C50" s="967"/>
      <c r="D50" s="608"/>
      <c r="E50" s="967"/>
      <c r="F50" s="967"/>
      <c r="G50" s="967"/>
      <c r="H50" s="609"/>
      <c r="I50" s="967"/>
      <c r="J50" s="608"/>
      <c r="K50" s="977" t="s">
        <v>3502</v>
      </c>
      <c r="L50" s="977"/>
      <c r="M50" s="977"/>
      <c r="N50" s="980" t="s">
        <v>3503</v>
      </c>
      <c r="O50" s="977"/>
      <c r="P50" s="977"/>
      <c r="Q50" s="1027" t="s">
        <v>3504</v>
      </c>
      <c r="R50" s="1027"/>
      <c r="S50" s="1027" t="s">
        <v>3505</v>
      </c>
      <c r="T50" s="1027"/>
      <c r="U50" s="1027"/>
      <c r="V50" s="107"/>
      <c r="W50" s="107"/>
      <c r="X50" s="107"/>
      <c r="Y50" s="107"/>
      <c r="Z50" s="107"/>
      <c r="AA50" s="107"/>
      <c r="AB50" s="107"/>
      <c r="AC50" s="107"/>
    </row>
    <row r="51" spans="1:29" x14ac:dyDescent="0.2">
      <c r="A51" s="131" t="s">
        <v>1517</v>
      </c>
      <c r="B51" s="349">
        <v>242972</v>
      </c>
      <c r="C51" s="350">
        <v>45</v>
      </c>
      <c r="D51" s="352"/>
      <c r="E51" s="349">
        <v>279285</v>
      </c>
      <c r="F51" s="350">
        <v>78</v>
      </c>
      <c r="G51" s="352"/>
      <c r="H51" s="349">
        <v>142330</v>
      </c>
      <c r="I51" s="350">
        <v>60</v>
      </c>
      <c r="J51" s="352"/>
      <c r="K51" s="349"/>
      <c r="L51" s="350"/>
      <c r="M51" s="352"/>
      <c r="N51" s="349">
        <v>100641</v>
      </c>
      <c r="O51" s="350">
        <v>85</v>
      </c>
      <c r="P51" s="352"/>
      <c r="Q51" s="349"/>
      <c r="R51" s="717"/>
      <c r="S51" s="349">
        <v>136955</v>
      </c>
      <c r="T51" s="350">
        <v>18</v>
      </c>
      <c r="U51" s="352"/>
      <c r="V51" s="107"/>
      <c r="W51" s="107"/>
      <c r="X51" s="107"/>
      <c r="Y51" s="107"/>
      <c r="Z51" s="107"/>
      <c r="AA51" s="107"/>
      <c r="AB51" s="107"/>
      <c r="AC51" s="107"/>
    </row>
    <row r="52" spans="1:29" x14ac:dyDescent="0.2">
      <c r="A52" s="131" t="s">
        <v>3266</v>
      </c>
      <c r="B52" s="131">
        <v>1465</v>
      </c>
      <c r="C52" s="145">
        <v>87</v>
      </c>
      <c r="D52" s="133">
        <v>0.5</v>
      </c>
      <c r="E52" s="131">
        <v>2428</v>
      </c>
      <c r="F52" s="145">
        <v>57</v>
      </c>
      <c r="G52" s="133"/>
      <c r="H52" s="131">
        <v>1677</v>
      </c>
      <c r="I52" s="145">
        <v>47</v>
      </c>
      <c r="J52" s="133">
        <v>0.5</v>
      </c>
      <c r="K52" s="131">
        <v>211</v>
      </c>
      <c r="L52" s="145">
        <v>60</v>
      </c>
      <c r="M52" s="133"/>
      <c r="N52" s="131"/>
      <c r="O52" s="145"/>
      <c r="P52" s="133"/>
      <c r="Q52" s="131"/>
      <c r="R52" s="307"/>
      <c r="S52" s="131">
        <v>751</v>
      </c>
      <c r="T52" s="145">
        <v>9</v>
      </c>
      <c r="U52" s="133">
        <v>0.5</v>
      </c>
      <c r="V52" s="107"/>
      <c r="W52" s="107"/>
      <c r="X52" s="107"/>
      <c r="Y52" s="107"/>
      <c r="Z52" s="107"/>
      <c r="AA52" s="107"/>
      <c r="AB52" s="107"/>
      <c r="AC52" s="107"/>
    </row>
    <row r="53" spans="1:29" x14ac:dyDescent="0.2">
      <c r="A53" s="131" t="s">
        <v>1369</v>
      </c>
      <c r="B53" s="131">
        <v>182710</v>
      </c>
      <c r="C53" s="145">
        <v>56</v>
      </c>
      <c r="D53" s="133">
        <v>0.75</v>
      </c>
      <c r="E53" s="131">
        <v>242857</v>
      </c>
      <c r="F53" s="145">
        <v>20</v>
      </c>
      <c r="G53" s="133"/>
      <c r="H53" s="131">
        <v>149480</v>
      </c>
      <c r="I53" s="145">
        <v>90</v>
      </c>
      <c r="J53" s="133">
        <v>0.5</v>
      </c>
      <c r="K53" s="131"/>
      <c r="L53" s="145"/>
      <c r="M53" s="133"/>
      <c r="N53" s="131">
        <v>33229</v>
      </c>
      <c r="O53" s="145">
        <v>66</v>
      </c>
      <c r="P53" s="133">
        <v>0.25</v>
      </c>
      <c r="Q53" s="131"/>
      <c r="R53" s="307"/>
      <c r="S53" s="131">
        <v>93376</v>
      </c>
      <c r="T53" s="145">
        <v>29</v>
      </c>
      <c r="U53" s="133">
        <v>0.5</v>
      </c>
      <c r="V53" s="107"/>
      <c r="W53" s="107"/>
      <c r="X53" s="107"/>
      <c r="Y53" s="107"/>
      <c r="Z53" s="107"/>
      <c r="AA53" s="107"/>
      <c r="AB53" s="107"/>
      <c r="AC53" s="107"/>
    </row>
    <row r="54" spans="1:29" x14ac:dyDescent="0.2">
      <c r="A54" s="131" t="s">
        <v>1519</v>
      </c>
      <c r="B54" s="131">
        <v>160832</v>
      </c>
      <c r="C54" s="145">
        <v>87</v>
      </c>
      <c r="D54" s="133">
        <v>0.5</v>
      </c>
      <c r="E54" s="131">
        <v>182142</v>
      </c>
      <c r="F54" s="145">
        <v>57</v>
      </c>
      <c r="G54" s="133"/>
      <c r="H54" s="131">
        <v>130383</v>
      </c>
      <c r="I54" s="145">
        <v>15</v>
      </c>
      <c r="J54" s="133"/>
      <c r="K54" s="131"/>
      <c r="L54" s="145"/>
      <c r="M54" s="133"/>
      <c r="N54" s="131">
        <v>30449</v>
      </c>
      <c r="O54" s="145">
        <v>72</v>
      </c>
      <c r="P54" s="133">
        <v>0.5</v>
      </c>
      <c r="Q54" s="131"/>
      <c r="R54" s="307"/>
      <c r="S54" s="131">
        <v>51759</v>
      </c>
      <c r="T54" s="145">
        <v>42</v>
      </c>
      <c r="U54" s="133"/>
      <c r="V54" s="107"/>
      <c r="W54" s="107"/>
      <c r="X54" s="107"/>
      <c r="Y54" s="107"/>
      <c r="Z54" s="107"/>
      <c r="AA54" s="107"/>
      <c r="AB54" s="107"/>
      <c r="AC54" s="107"/>
    </row>
    <row r="55" spans="1:29" x14ac:dyDescent="0.2">
      <c r="A55" s="131" t="s">
        <v>1526</v>
      </c>
      <c r="B55" s="131">
        <v>23708</v>
      </c>
      <c r="C55" s="145">
        <v>90</v>
      </c>
      <c r="D55" s="133"/>
      <c r="E55" s="131">
        <v>36428</v>
      </c>
      <c r="F55" s="145">
        <v>57</v>
      </c>
      <c r="G55" s="133"/>
      <c r="H55" s="131">
        <v>37860</v>
      </c>
      <c r="I55" s="145">
        <v>50</v>
      </c>
      <c r="J55" s="133"/>
      <c r="K55" s="131">
        <v>14151</v>
      </c>
      <c r="L55" s="145">
        <v>60</v>
      </c>
      <c r="M55" s="133"/>
      <c r="N55" s="131"/>
      <c r="O55" s="145"/>
      <c r="P55" s="133"/>
      <c r="Q55" s="131">
        <v>1431</v>
      </c>
      <c r="R55" s="307">
        <v>93</v>
      </c>
      <c r="S55" s="131"/>
      <c r="T55" s="145"/>
      <c r="U55" s="133"/>
      <c r="V55" s="107"/>
      <c r="W55" s="107"/>
      <c r="X55" s="107"/>
      <c r="Y55" s="107"/>
      <c r="Z55" s="107"/>
      <c r="AA55" s="107"/>
      <c r="AB55" s="107"/>
      <c r="AC55" s="107"/>
    </row>
    <row r="56" spans="1:29" x14ac:dyDescent="0.2">
      <c r="A56" s="131" t="s">
        <v>3264</v>
      </c>
      <c r="B56" s="131">
        <v>1877100</v>
      </c>
      <c r="C56" s="145"/>
      <c r="D56" s="133"/>
      <c r="E56" s="131">
        <v>1942857</v>
      </c>
      <c r="F56" s="145">
        <v>22</v>
      </c>
      <c r="G56" s="133"/>
      <c r="H56" s="131">
        <v>1916875</v>
      </c>
      <c r="I56" s="145">
        <v>50</v>
      </c>
      <c r="J56" s="133"/>
      <c r="K56" s="131">
        <v>39775</v>
      </c>
      <c r="L56" s="145">
        <v>50</v>
      </c>
      <c r="M56" s="133" t="s">
        <v>3408</v>
      </c>
      <c r="N56" s="131"/>
      <c r="O56" s="145"/>
      <c r="P56" s="133"/>
      <c r="Q56" s="131"/>
      <c r="R56" s="307"/>
      <c r="S56" s="131">
        <v>25981</v>
      </c>
      <c r="T56" s="145">
        <v>72</v>
      </c>
      <c r="U56" s="133" t="s">
        <v>3408</v>
      </c>
      <c r="V56" s="107"/>
      <c r="W56" s="107"/>
      <c r="X56" s="107"/>
      <c r="Y56" s="107"/>
      <c r="Z56" s="107"/>
      <c r="AA56" s="107"/>
      <c r="AB56" s="107"/>
      <c r="AC56" s="107"/>
    </row>
    <row r="57" spans="1:29" x14ac:dyDescent="0.2">
      <c r="A57" s="131" t="s">
        <v>1373</v>
      </c>
      <c r="B57" s="131">
        <v>294435</v>
      </c>
      <c r="C57" s="145">
        <v>60</v>
      </c>
      <c r="D57" s="133"/>
      <c r="E57" s="131">
        <v>659357</v>
      </c>
      <c r="F57" s="145">
        <v>22</v>
      </c>
      <c r="G57" s="133"/>
      <c r="H57" s="131">
        <v>170783</v>
      </c>
      <c r="I57" s="145">
        <v>95</v>
      </c>
      <c r="J57" s="133"/>
      <c r="K57" s="131"/>
      <c r="L57" s="145"/>
      <c r="M57" s="133"/>
      <c r="N57" s="131">
        <v>123651</v>
      </c>
      <c r="O57" s="145">
        <v>65</v>
      </c>
      <c r="P57" s="133"/>
      <c r="Q57" s="131"/>
      <c r="R57" s="307"/>
      <c r="S57" s="131">
        <v>488573</v>
      </c>
      <c r="T57" s="145">
        <v>27</v>
      </c>
      <c r="U57" s="133"/>
      <c r="V57" s="107"/>
      <c r="W57" s="107"/>
      <c r="X57" s="107"/>
      <c r="Y57" s="107"/>
      <c r="Z57" s="107"/>
      <c r="AA57" s="107"/>
      <c r="AB57" s="107"/>
      <c r="AC57" s="107"/>
    </row>
    <row r="58" spans="1:29" x14ac:dyDescent="0.2">
      <c r="A58" s="131" t="s">
        <v>1527</v>
      </c>
      <c r="B58" s="131">
        <v>27933</v>
      </c>
      <c r="C58" s="145">
        <v>24</v>
      </c>
      <c r="D58" s="133"/>
      <c r="E58" s="131">
        <v>54642</v>
      </c>
      <c r="F58" s="145">
        <v>87</v>
      </c>
      <c r="G58" s="133"/>
      <c r="H58" s="131">
        <v>24881</v>
      </c>
      <c r="I58" s="145">
        <v>76</v>
      </c>
      <c r="J58" s="133">
        <v>0.5</v>
      </c>
      <c r="K58" s="131"/>
      <c r="L58" s="145"/>
      <c r="M58" s="133"/>
      <c r="N58" s="131">
        <v>3051</v>
      </c>
      <c r="O58" s="145">
        <v>47</v>
      </c>
      <c r="P58" s="133">
        <v>0.5</v>
      </c>
      <c r="Q58" s="131"/>
      <c r="R58" s="307"/>
      <c r="S58" s="131">
        <v>29761</v>
      </c>
      <c r="T58" s="145">
        <v>10</v>
      </c>
      <c r="U58" s="133">
        <v>0.5</v>
      </c>
      <c r="V58" s="107"/>
      <c r="W58" s="107"/>
      <c r="X58" s="107"/>
      <c r="Y58" s="107"/>
      <c r="Z58" s="107"/>
      <c r="AA58" s="107"/>
      <c r="AB58" s="107"/>
      <c r="AC58" s="107"/>
    </row>
    <row r="59" spans="1:29" ht="16" thickBot="1" x14ac:dyDescent="0.25">
      <c r="A59" s="794" t="s">
        <v>3506</v>
      </c>
      <c r="B59" s="240">
        <v>2811159</v>
      </c>
      <c r="C59" s="318">
        <v>50</v>
      </c>
      <c r="D59" s="241">
        <v>0.5</v>
      </c>
      <c r="E59" s="240">
        <v>3400000</v>
      </c>
      <c r="F59" s="318"/>
      <c r="G59" s="241"/>
      <c r="H59" s="240">
        <v>2574273</v>
      </c>
      <c r="I59" s="318">
        <v>84</v>
      </c>
      <c r="J59" s="241">
        <v>0.5</v>
      </c>
      <c r="K59" s="240">
        <v>54138</v>
      </c>
      <c r="L59" s="318">
        <v>70</v>
      </c>
      <c r="M59" s="241"/>
      <c r="N59" s="240">
        <v>291024</v>
      </c>
      <c r="O59" s="318">
        <v>36</v>
      </c>
      <c r="P59" s="241">
        <v>0.25</v>
      </c>
      <c r="Q59" s="372">
        <v>1431</v>
      </c>
      <c r="R59" s="363">
        <v>93</v>
      </c>
      <c r="S59" s="240">
        <v>827158</v>
      </c>
      <c r="T59" s="318">
        <v>8</v>
      </c>
      <c r="U59" s="241">
        <v>0.5</v>
      </c>
      <c r="V59" s="107"/>
      <c r="W59" s="107"/>
      <c r="X59" s="107"/>
      <c r="Y59" s="107"/>
      <c r="Z59" s="107"/>
      <c r="AA59" s="107"/>
      <c r="AB59" s="107"/>
      <c r="AC59" s="107"/>
    </row>
    <row r="60" spans="1:29" ht="16" thickTop="1" x14ac:dyDescent="0.2">
      <c r="A60" s="622"/>
      <c r="B60" s="299">
        <f>+SUM(B51:B58)+C60</f>
        <v>2811211.125</v>
      </c>
      <c r="C60" s="152">
        <f>+SUM(C51:C58)/8</f>
        <v>56.125</v>
      </c>
      <c r="D60" s="1028">
        <f t="shared" ref="D60:U60" si="1">+SUM(D51:D58)</f>
        <v>1.75</v>
      </c>
      <c r="E60" s="299">
        <f t="shared" si="1"/>
        <v>3399996</v>
      </c>
      <c r="F60" s="152">
        <f t="shared" si="1"/>
        <v>400</v>
      </c>
      <c r="G60" s="154">
        <f t="shared" si="1"/>
        <v>0</v>
      </c>
      <c r="H60" s="299">
        <f>+SUM(H51:H58)+I60</f>
        <v>2574329.375</v>
      </c>
      <c r="I60" s="152">
        <f>+SUM(I51:I58)/8</f>
        <v>60.375</v>
      </c>
      <c r="J60" s="154">
        <f t="shared" si="1"/>
        <v>1.5</v>
      </c>
      <c r="K60" s="299">
        <f t="shared" si="1"/>
        <v>54137</v>
      </c>
      <c r="L60" s="152">
        <f t="shared" si="1"/>
        <v>170</v>
      </c>
      <c r="M60" s="154">
        <f t="shared" si="1"/>
        <v>0</v>
      </c>
      <c r="N60" s="299">
        <f t="shared" si="1"/>
        <v>291021</v>
      </c>
      <c r="O60" s="152">
        <f t="shared" si="1"/>
        <v>335</v>
      </c>
      <c r="P60" s="154">
        <f t="shared" si="1"/>
        <v>1.25</v>
      </c>
      <c r="Q60" s="138">
        <f t="shared" si="1"/>
        <v>1431</v>
      </c>
      <c r="R60" s="138">
        <f t="shared" si="1"/>
        <v>93</v>
      </c>
      <c r="S60" s="299">
        <f t="shared" si="1"/>
        <v>827156</v>
      </c>
      <c r="T60" s="152">
        <f t="shared" si="1"/>
        <v>207</v>
      </c>
      <c r="U60" s="154">
        <f t="shared" si="1"/>
        <v>1.5</v>
      </c>
      <c r="V60" s="107"/>
      <c r="W60" s="107"/>
      <c r="X60" s="107"/>
      <c r="Y60" s="107"/>
      <c r="Z60" s="107"/>
      <c r="AA60" s="107"/>
      <c r="AB60" s="107"/>
      <c r="AC60" s="107"/>
    </row>
    <row r="61" spans="1:29" x14ac:dyDescent="0.2">
      <c r="A61" s="131"/>
      <c r="B61" s="145"/>
      <c r="C61" s="145"/>
      <c r="D61" s="145"/>
      <c r="E61" s="145"/>
      <c r="F61" s="145"/>
      <c r="G61" s="145"/>
      <c r="H61" s="145"/>
      <c r="I61" s="145"/>
      <c r="J61" s="145"/>
      <c r="K61" s="982">
        <v>236885</v>
      </c>
      <c r="L61" s="983"/>
      <c r="M61" s="983"/>
      <c r="N61" s="994">
        <v>66</v>
      </c>
      <c r="O61" s="994">
        <v>0.5</v>
      </c>
      <c r="P61" s="995" t="s">
        <v>3408</v>
      </c>
      <c r="Q61" s="982">
        <v>825726</v>
      </c>
      <c r="R61" s="983"/>
      <c r="S61" s="994">
        <v>15</v>
      </c>
      <c r="T61" s="994">
        <v>0.5</v>
      </c>
      <c r="U61" s="995"/>
      <c r="V61" s="107"/>
      <c r="W61" s="107"/>
      <c r="X61" s="107"/>
      <c r="Y61" s="107"/>
      <c r="Z61" s="107"/>
      <c r="AA61" s="107"/>
      <c r="AB61" s="107"/>
      <c r="AC61" s="107"/>
    </row>
    <row r="62" spans="1:29" x14ac:dyDescent="0.2">
      <c r="A62" s="514" t="s">
        <v>3507</v>
      </c>
      <c r="B62" s="515"/>
      <c r="C62" s="515"/>
      <c r="D62" s="515"/>
      <c r="E62" s="515"/>
      <c r="F62" s="515"/>
      <c r="G62" s="515"/>
      <c r="H62" s="515"/>
      <c r="I62" s="515"/>
      <c r="J62" s="515"/>
      <c r="K62" s="515"/>
      <c r="L62" s="515"/>
      <c r="M62" s="515"/>
      <c r="N62" s="515"/>
      <c r="O62" s="515"/>
      <c r="P62" s="515"/>
      <c r="Q62" s="515"/>
      <c r="R62" s="515"/>
      <c r="S62" s="515"/>
      <c r="T62" s="515"/>
      <c r="U62" s="1029"/>
      <c r="V62" s="107"/>
      <c r="W62" s="107"/>
      <c r="X62" s="107"/>
      <c r="Y62" s="107"/>
      <c r="Z62" s="107"/>
      <c r="AA62" s="107"/>
      <c r="AB62" s="107"/>
      <c r="AC62" s="107"/>
    </row>
    <row r="63" spans="1:29" x14ac:dyDescent="0.2">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row>
    <row r="64" spans="1:29" x14ac:dyDescent="0.2">
      <c r="A64" s="107"/>
      <c r="B64" s="107"/>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row>
    <row r="65" spans="1:29" x14ac:dyDescent="0.2">
      <c r="A65" s="107"/>
      <c r="B65" s="107"/>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c r="AA65" s="107"/>
      <c r="AB65" s="107"/>
      <c r="AC65" s="107"/>
    </row>
    <row r="66" spans="1:29" x14ac:dyDescent="0.2">
      <c r="A66" s="526" t="s">
        <v>1342</v>
      </c>
      <c r="B66" s="107"/>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row>
    <row r="67" spans="1:29" ht="33.5" customHeight="1" x14ac:dyDescent="0.2">
      <c r="A67" s="1026" t="s">
        <v>3508</v>
      </c>
      <c r="B67" s="1026"/>
      <c r="C67" s="1026"/>
      <c r="D67" s="1026"/>
      <c r="E67" s="1026"/>
      <c r="F67" s="1026"/>
      <c r="G67" s="1026"/>
      <c r="H67" s="1026"/>
      <c r="I67" s="1026"/>
      <c r="J67" s="1026"/>
      <c r="K67" s="1026"/>
      <c r="L67" s="1026"/>
      <c r="M67" s="1026"/>
      <c r="N67" s="107"/>
      <c r="O67" s="107"/>
      <c r="P67" s="107"/>
      <c r="Q67" s="107"/>
      <c r="R67" s="107"/>
      <c r="S67" s="107"/>
      <c r="T67" s="107"/>
      <c r="U67" s="107"/>
      <c r="V67" s="107"/>
      <c r="W67" s="107"/>
      <c r="X67" s="107"/>
      <c r="Y67" s="107"/>
      <c r="Z67" s="107"/>
      <c r="AA67" s="107"/>
      <c r="AB67" s="107"/>
      <c r="AC67" s="107"/>
    </row>
    <row r="68" spans="1:29" ht="14.5" customHeight="1" x14ac:dyDescent="0.2">
      <c r="A68" s="967" t="s">
        <v>3254</v>
      </c>
      <c r="B68" s="609" t="s">
        <v>3509</v>
      </c>
      <c r="C68" s="967"/>
      <c r="D68" s="967"/>
      <c r="E68" s="967" t="s">
        <v>3510</v>
      </c>
      <c r="F68" s="967"/>
      <c r="G68" s="967"/>
      <c r="H68" s="967" t="s">
        <v>1635</v>
      </c>
      <c r="I68" s="967"/>
      <c r="J68" s="967"/>
      <c r="K68" s="967"/>
      <c r="L68" s="967"/>
      <c r="M68" s="967"/>
      <c r="N68" s="107"/>
      <c r="O68" s="107"/>
      <c r="P68" s="107"/>
      <c r="Q68" s="107"/>
      <c r="R68" s="107"/>
      <c r="S68" s="107"/>
      <c r="T68" s="107"/>
      <c r="U68" s="107"/>
      <c r="V68" s="107"/>
      <c r="W68" s="107"/>
      <c r="X68" s="107"/>
      <c r="Y68" s="107"/>
      <c r="Z68" s="107"/>
      <c r="AA68" s="107"/>
      <c r="AB68" s="107"/>
      <c r="AC68" s="107"/>
    </row>
    <row r="69" spans="1:29" ht="38.5" customHeight="1" x14ac:dyDescent="0.2">
      <c r="A69" s="967"/>
      <c r="B69" s="609"/>
      <c r="C69" s="967"/>
      <c r="D69" s="967"/>
      <c r="E69" s="967"/>
      <c r="F69" s="967"/>
      <c r="G69" s="967"/>
      <c r="H69" s="977" t="s">
        <v>3511</v>
      </c>
      <c r="I69" s="977"/>
      <c r="J69" s="977"/>
      <c r="K69" s="977" t="s">
        <v>3512</v>
      </c>
      <c r="L69" s="977"/>
      <c r="M69" s="977"/>
      <c r="N69" s="1030"/>
      <c r="O69" s="107"/>
      <c r="P69" s="107"/>
      <c r="Q69" s="107"/>
      <c r="R69" s="107"/>
      <c r="S69" s="107"/>
      <c r="T69" s="107"/>
      <c r="U69" s="107"/>
      <c r="V69" s="107"/>
      <c r="W69" s="107"/>
      <c r="X69" s="107"/>
      <c r="Y69" s="107"/>
      <c r="Z69" s="107"/>
      <c r="AA69" s="107"/>
      <c r="AB69" s="107"/>
      <c r="AC69" s="107"/>
    </row>
    <row r="70" spans="1:29" x14ac:dyDescent="0.2">
      <c r="A70" s="533" t="s">
        <v>1517</v>
      </c>
      <c r="B70" s="349">
        <v>37859</v>
      </c>
      <c r="C70" s="350">
        <v>57</v>
      </c>
      <c r="D70" s="352"/>
      <c r="E70" s="349">
        <v>33438</v>
      </c>
      <c r="F70" s="350">
        <v>15</v>
      </c>
      <c r="G70" s="352"/>
      <c r="H70" s="349"/>
      <c r="I70" s="350"/>
      <c r="J70" s="352"/>
      <c r="K70" s="349">
        <v>4421</v>
      </c>
      <c r="L70" s="350">
        <v>42</v>
      </c>
      <c r="M70" s="352"/>
      <c r="N70" s="107"/>
      <c r="O70" s="107"/>
      <c r="P70" s="107"/>
      <c r="Q70" s="107"/>
      <c r="R70" s="107"/>
      <c r="S70" s="107"/>
      <c r="T70" s="107"/>
      <c r="U70" s="107"/>
      <c r="V70" s="107"/>
      <c r="W70" s="107"/>
      <c r="X70" s="107"/>
      <c r="Y70" s="107"/>
      <c r="Z70" s="107"/>
      <c r="AA70" s="107"/>
      <c r="AB70" s="107"/>
      <c r="AC70" s="107"/>
    </row>
    <row r="71" spans="1:29" x14ac:dyDescent="0.2">
      <c r="A71" s="533" t="s">
        <v>3266</v>
      </c>
      <c r="B71" s="131">
        <v>5202</v>
      </c>
      <c r="C71" s="145">
        <v>95</v>
      </c>
      <c r="D71" s="133"/>
      <c r="E71" s="131">
        <v>5054</v>
      </c>
      <c r="F71" s="145">
        <v>17</v>
      </c>
      <c r="G71" s="133">
        <v>0.5</v>
      </c>
      <c r="H71" s="131"/>
      <c r="I71" s="145"/>
      <c r="J71" s="133"/>
      <c r="K71" s="131">
        <v>148</v>
      </c>
      <c r="L71" s="145">
        <v>77</v>
      </c>
      <c r="M71" s="133">
        <v>0.5</v>
      </c>
      <c r="N71" s="107"/>
      <c r="O71" s="107"/>
      <c r="P71" s="107"/>
      <c r="Q71" s="107"/>
      <c r="R71" s="107"/>
      <c r="S71" s="107"/>
      <c r="T71" s="107"/>
      <c r="U71" s="107"/>
      <c r="V71" s="107"/>
      <c r="W71" s="107"/>
      <c r="X71" s="107"/>
      <c r="Y71" s="107"/>
      <c r="Z71" s="107"/>
      <c r="AA71" s="107"/>
      <c r="AB71" s="107"/>
      <c r="AC71" s="107"/>
    </row>
    <row r="72" spans="1:29" x14ac:dyDescent="0.2">
      <c r="A72" s="533" t="s">
        <v>1369</v>
      </c>
      <c r="B72" s="131">
        <v>33781</v>
      </c>
      <c r="C72" s="145">
        <v>89</v>
      </c>
      <c r="D72" s="133"/>
      <c r="E72" s="131">
        <v>28055</v>
      </c>
      <c r="F72" s="145">
        <v>5</v>
      </c>
      <c r="G72" s="133"/>
      <c r="H72" s="131"/>
      <c r="I72" s="145"/>
      <c r="J72" s="133"/>
      <c r="K72" s="131">
        <v>5726</v>
      </c>
      <c r="L72" s="145">
        <v>84</v>
      </c>
      <c r="M72" s="133"/>
      <c r="N72" s="107"/>
      <c r="O72" s="107"/>
      <c r="P72" s="107"/>
      <c r="Q72" s="107"/>
      <c r="R72" s="107"/>
      <c r="S72" s="107"/>
      <c r="T72" s="107"/>
      <c r="U72" s="107"/>
      <c r="V72" s="107"/>
      <c r="W72" s="107"/>
      <c r="X72" s="107"/>
      <c r="Y72" s="107"/>
      <c r="Z72" s="107"/>
      <c r="AA72" s="107"/>
      <c r="AB72" s="107"/>
      <c r="AC72" s="107"/>
    </row>
    <row r="73" spans="1:29" x14ac:dyDescent="0.2">
      <c r="A73" s="533" t="s">
        <v>1519</v>
      </c>
      <c r="B73" s="131">
        <v>24588</v>
      </c>
      <c r="C73" s="145">
        <v>55</v>
      </c>
      <c r="D73" s="133"/>
      <c r="E73" s="131">
        <v>19172</v>
      </c>
      <c r="F73" s="145">
        <v>70</v>
      </c>
      <c r="G73" s="133"/>
      <c r="H73" s="131"/>
      <c r="I73" s="145"/>
      <c r="J73" s="133"/>
      <c r="K73" s="131">
        <v>5415</v>
      </c>
      <c r="L73" s="145">
        <v>85</v>
      </c>
      <c r="M73" s="133"/>
      <c r="N73" s="107"/>
      <c r="O73" s="107"/>
      <c r="P73" s="107"/>
      <c r="Q73" s="107"/>
      <c r="R73" s="107"/>
      <c r="S73" s="107"/>
      <c r="T73" s="107"/>
      <c r="U73" s="107"/>
      <c r="V73" s="107"/>
      <c r="W73" s="107"/>
      <c r="X73" s="107"/>
      <c r="Y73" s="107"/>
      <c r="Z73" s="107"/>
      <c r="AA73" s="107"/>
      <c r="AB73" s="107"/>
      <c r="AC73" s="107"/>
    </row>
    <row r="74" spans="1:29" x14ac:dyDescent="0.2">
      <c r="A74" s="533" t="s">
        <v>1526</v>
      </c>
      <c r="B74" s="131">
        <v>10670</v>
      </c>
      <c r="C74" s="145">
        <v>55</v>
      </c>
      <c r="D74" s="133"/>
      <c r="E74" s="131">
        <v>11207</v>
      </c>
      <c r="F74" s="145">
        <v>80</v>
      </c>
      <c r="G74" s="133"/>
      <c r="H74" s="131">
        <v>537</v>
      </c>
      <c r="I74" s="145">
        <v>25</v>
      </c>
      <c r="J74" s="133"/>
      <c r="K74" s="131"/>
      <c r="L74" s="145"/>
      <c r="M74" s="133"/>
      <c r="N74" s="107"/>
      <c r="O74" s="107"/>
      <c r="P74" s="107"/>
      <c r="Q74" s="107"/>
      <c r="R74" s="107"/>
      <c r="S74" s="107"/>
      <c r="T74" s="107"/>
      <c r="U74" s="107"/>
      <c r="V74" s="107"/>
      <c r="W74" s="107"/>
      <c r="X74" s="107"/>
      <c r="Y74" s="107"/>
      <c r="Z74" s="107"/>
      <c r="AA74" s="107"/>
      <c r="AB74" s="107"/>
      <c r="AC74" s="107"/>
    </row>
    <row r="75" spans="1:29" x14ac:dyDescent="0.2">
      <c r="A75" s="533" t="s">
        <v>3264</v>
      </c>
      <c r="B75" s="131">
        <v>31546</v>
      </c>
      <c r="C75" s="145">
        <v>95</v>
      </c>
      <c r="D75" s="133"/>
      <c r="E75" s="131">
        <v>132784</v>
      </c>
      <c r="F75" s="145">
        <v>40</v>
      </c>
      <c r="G75" s="133"/>
      <c r="H75" s="136">
        <v>101370</v>
      </c>
      <c r="I75" s="145">
        <v>45</v>
      </c>
      <c r="J75" s="133"/>
      <c r="K75" s="131"/>
      <c r="L75" s="145"/>
      <c r="M75" s="133"/>
      <c r="N75" s="107"/>
      <c r="O75" s="107"/>
      <c r="P75" s="107"/>
      <c r="Q75" s="107"/>
      <c r="R75" s="107"/>
      <c r="S75" s="107"/>
      <c r="T75" s="107"/>
      <c r="U75" s="107"/>
      <c r="V75" s="107"/>
      <c r="W75" s="107"/>
      <c r="X75" s="107"/>
      <c r="Y75" s="107"/>
      <c r="Z75" s="107"/>
      <c r="AA75" s="107"/>
      <c r="AB75" s="107"/>
      <c r="AC75" s="107"/>
    </row>
    <row r="76" spans="1:29" x14ac:dyDescent="0.2">
      <c r="A76" s="533" t="s">
        <v>1373</v>
      </c>
      <c r="B76" s="131">
        <v>27361</v>
      </c>
      <c r="C76" s="145">
        <v>85</v>
      </c>
      <c r="D76" s="133"/>
      <c r="E76" s="131">
        <v>29795</v>
      </c>
      <c r="F76" s="145">
        <v>40</v>
      </c>
      <c r="G76" s="133"/>
      <c r="H76" s="131">
        <v>2433</v>
      </c>
      <c r="I76" s="145">
        <v>55</v>
      </c>
      <c r="J76" s="133"/>
      <c r="K76" s="131"/>
      <c r="L76" s="145"/>
      <c r="M76" s="133"/>
      <c r="N76" s="107"/>
      <c r="O76" s="107"/>
      <c r="P76" s="107"/>
      <c r="Q76" s="107"/>
      <c r="R76" s="107"/>
      <c r="S76" s="107"/>
      <c r="T76" s="107"/>
      <c r="U76" s="107"/>
      <c r="V76" s="107"/>
      <c r="W76" s="107"/>
      <c r="X76" s="107"/>
      <c r="Y76" s="107"/>
      <c r="Z76" s="107"/>
      <c r="AA76" s="107"/>
      <c r="AB76" s="107"/>
      <c r="AC76" s="107"/>
    </row>
    <row r="77" spans="1:29" x14ac:dyDescent="0.2">
      <c r="A77" s="533" t="s">
        <v>1527</v>
      </c>
      <c r="B77" s="131">
        <v>13726</v>
      </c>
      <c r="C77" s="145">
        <v>18</v>
      </c>
      <c r="D77" s="133">
        <v>0.5</v>
      </c>
      <c r="E77" s="131">
        <v>13388</v>
      </c>
      <c r="F77" s="145">
        <v>13</v>
      </c>
      <c r="G77" s="133"/>
      <c r="H77" s="131"/>
      <c r="I77" s="145"/>
      <c r="J77" s="133"/>
      <c r="K77" s="131">
        <v>338</v>
      </c>
      <c r="L77" s="145">
        <v>5</v>
      </c>
      <c r="M77" s="133">
        <v>0.5</v>
      </c>
      <c r="N77" s="107"/>
      <c r="O77" s="107"/>
      <c r="P77" s="107"/>
      <c r="Q77" s="107"/>
      <c r="R77" s="107"/>
      <c r="S77" s="107"/>
      <c r="T77" s="107"/>
      <c r="U77" s="107"/>
      <c r="V77" s="107"/>
      <c r="W77" s="107"/>
      <c r="X77" s="107"/>
      <c r="Y77" s="107"/>
      <c r="Z77" s="107"/>
      <c r="AA77" s="107"/>
      <c r="AB77" s="107"/>
      <c r="AC77" s="107"/>
    </row>
    <row r="78" spans="1:29" x14ac:dyDescent="0.2">
      <c r="A78" s="535"/>
      <c r="B78" s="349">
        <v>184738</v>
      </c>
      <c r="C78" s="350">
        <v>49</v>
      </c>
      <c r="D78" s="352">
        <v>0.5</v>
      </c>
      <c r="E78" s="349">
        <v>272895</v>
      </c>
      <c r="F78" s="350">
        <v>80</v>
      </c>
      <c r="G78" s="352">
        <v>0.5</v>
      </c>
      <c r="H78" s="349">
        <v>104280</v>
      </c>
      <c r="I78" s="350">
        <v>208</v>
      </c>
      <c r="J78" s="352">
        <v>0.5</v>
      </c>
      <c r="K78" s="349">
        <v>16050</v>
      </c>
      <c r="L78" s="350">
        <v>94</v>
      </c>
      <c r="M78" s="352"/>
      <c r="N78" s="107"/>
      <c r="O78" s="107"/>
      <c r="P78" s="107"/>
      <c r="Q78" s="107"/>
      <c r="R78" s="107"/>
      <c r="S78" s="107"/>
      <c r="T78" s="107"/>
      <c r="U78" s="107"/>
      <c r="V78" s="107"/>
      <c r="W78" s="107"/>
      <c r="X78" s="107"/>
      <c r="Y78" s="107"/>
      <c r="Z78" s="107"/>
      <c r="AA78" s="107"/>
      <c r="AB78" s="107"/>
      <c r="AC78" s="107"/>
    </row>
    <row r="79" spans="1:29" x14ac:dyDescent="0.2">
      <c r="A79" s="131"/>
      <c r="B79" s="243">
        <f>+SUM(B70:B77)</f>
        <v>184733</v>
      </c>
      <c r="C79" s="243">
        <f t="shared" ref="C79:M79" si="2">+SUM(C70:C77)</f>
        <v>549</v>
      </c>
      <c r="D79" s="1031">
        <f t="shared" si="2"/>
        <v>0.5</v>
      </c>
      <c r="E79" s="243">
        <f t="shared" si="2"/>
        <v>272893</v>
      </c>
      <c r="F79" s="243">
        <f t="shared" si="2"/>
        <v>280</v>
      </c>
      <c r="G79" s="1031">
        <f t="shared" si="2"/>
        <v>0.5</v>
      </c>
      <c r="H79" s="1032">
        <f t="shared" si="2"/>
        <v>104340</v>
      </c>
      <c r="I79" s="1032">
        <f t="shared" si="2"/>
        <v>125</v>
      </c>
      <c r="J79" s="1033">
        <f t="shared" si="2"/>
        <v>0</v>
      </c>
      <c r="K79" s="243">
        <f t="shared" si="2"/>
        <v>16048</v>
      </c>
      <c r="L79" s="243">
        <f t="shared" si="2"/>
        <v>293</v>
      </c>
      <c r="M79" s="1031">
        <f t="shared" si="2"/>
        <v>1</v>
      </c>
      <c r="N79" s="107"/>
      <c r="O79" s="107"/>
      <c r="P79" s="107"/>
      <c r="Q79" s="107"/>
      <c r="R79" s="107"/>
      <c r="S79" s="107"/>
      <c r="T79" s="107"/>
      <c r="U79" s="107"/>
      <c r="V79" s="107"/>
      <c r="W79" s="107"/>
      <c r="X79" s="107"/>
      <c r="Y79" s="107"/>
      <c r="Z79" s="107"/>
      <c r="AA79" s="107"/>
      <c r="AB79" s="107"/>
      <c r="AC79" s="107"/>
    </row>
    <row r="80" spans="1:29" x14ac:dyDescent="0.2">
      <c r="A80" s="131"/>
      <c r="B80" s="982">
        <v>88157</v>
      </c>
      <c r="C80" s="983"/>
      <c r="D80" s="983"/>
      <c r="E80" s="983"/>
      <c r="F80" s="617">
        <v>31</v>
      </c>
      <c r="G80" s="618"/>
      <c r="H80" s="982">
        <v>88157</v>
      </c>
      <c r="I80" s="983"/>
      <c r="J80" s="983"/>
      <c r="K80" s="983"/>
      <c r="L80" s="617">
        <v>31</v>
      </c>
      <c r="M80" s="618"/>
      <c r="N80" s="107"/>
      <c r="O80" s="107"/>
      <c r="P80" s="107"/>
      <c r="Q80" s="107"/>
      <c r="R80" s="107"/>
      <c r="S80" s="107"/>
      <c r="T80" s="107"/>
      <c r="U80" s="107"/>
      <c r="V80" s="107"/>
      <c r="W80" s="107"/>
      <c r="X80" s="107"/>
      <c r="Y80" s="107"/>
      <c r="Z80" s="107"/>
      <c r="AA80" s="107"/>
      <c r="AB80" s="107"/>
      <c r="AC80" s="107"/>
    </row>
    <row r="81" spans="1:31" x14ac:dyDescent="0.2">
      <c r="A81" s="131" t="s">
        <v>3513</v>
      </c>
      <c r="B81" s="145"/>
      <c r="C81" s="145"/>
      <c r="D81" s="145"/>
      <c r="E81" s="145"/>
      <c r="F81" s="145"/>
      <c r="G81" s="145"/>
      <c r="H81" s="145"/>
      <c r="I81" s="145"/>
      <c r="J81" s="145"/>
      <c r="K81" s="145"/>
      <c r="L81" s="145"/>
      <c r="M81" s="307"/>
      <c r="N81" s="107"/>
      <c r="O81" s="107"/>
      <c r="P81" s="107"/>
      <c r="Q81" s="107"/>
      <c r="R81" s="107"/>
      <c r="S81" s="107"/>
      <c r="T81" s="107"/>
      <c r="U81" s="107"/>
      <c r="V81" s="107"/>
      <c r="W81" s="107"/>
      <c r="X81" s="107"/>
      <c r="Y81" s="107"/>
      <c r="Z81" s="107"/>
      <c r="AA81" s="107"/>
      <c r="AB81" s="107"/>
      <c r="AC81" s="107"/>
    </row>
    <row r="82" spans="1:31" ht="28.25" customHeight="1" x14ac:dyDescent="0.2">
      <c r="A82" s="833" t="s">
        <v>3514</v>
      </c>
      <c r="B82" s="834"/>
      <c r="C82" s="834"/>
      <c r="D82" s="834"/>
      <c r="E82" s="834"/>
      <c r="F82" s="834"/>
      <c r="G82" s="834"/>
      <c r="H82" s="834"/>
      <c r="I82" s="834"/>
      <c r="J82" s="834"/>
      <c r="K82" s="834"/>
      <c r="L82" s="834"/>
      <c r="M82" s="835"/>
      <c r="N82" s="107"/>
      <c r="O82" s="107"/>
      <c r="P82" s="107"/>
      <c r="Q82" s="107"/>
      <c r="R82" s="107"/>
      <c r="S82" s="107"/>
      <c r="T82" s="107"/>
      <c r="U82" s="107"/>
      <c r="V82" s="107"/>
      <c r="W82" s="107"/>
      <c r="X82" s="107"/>
      <c r="Y82" s="107"/>
      <c r="Z82" s="107"/>
      <c r="AA82" s="107"/>
      <c r="AB82" s="107"/>
      <c r="AC82" s="107"/>
    </row>
    <row r="83" spans="1:31" x14ac:dyDescent="0.2">
      <c r="A83" s="107"/>
      <c r="B83" s="107"/>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row>
    <row r="84" spans="1:31" x14ac:dyDescent="0.2">
      <c r="A84" s="107"/>
      <c r="B84" s="107"/>
      <c r="C84" s="107"/>
      <c r="D84" s="107"/>
      <c r="E84" s="107"/>
      <c r="F84" s="107"/>
      <c r="G84" s="107"/>
      <c r="H84" s="107"/>
      <c r="I84" s="107"/>
      <c r="J84" s="107"/>
      <c r="K84" s="107"/>
      <c r="L84" s="107"/>
      <c r="M84" s="107"/>
      <c r="N84" s="107"/>
      <c r="O84" s="107"/>
      <c r="P84" s="107"/>
      <c r="Q84" s="107"/>
      <c r="R84" s="107"/>
      <c r="S84" s="107"/>
      <c r="T84" s="107"/>
      <c r="U84" s="107"/>
      <c r="V84" s="107"/>
      <c r="W84" s="107"/>
      <c r="X84" s="107"/>
      <c r="Y84" s="107"/>
      <c r="Z84" s="107"/>
      <c r="AA84" s="107"/>
      <c r="AB84" s="107"/>
      <c r="AC84" s="107"/>
    </row>
    <row r="85" spans="1:31" x14ac:dyDescent="0.2">
      <c r="A85" s="107"/>
      <c r="B85" s="107"/>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c r="AA85" s="107"/>
      <c r="AB85" s="107"/>
      <c r="AC85" s="107"/>
    </row>
    <row r="86" spans="1:31" x14ac:dyDescent="0.2">
      <c r="A86" s="526" t="s">
        <v>1358</v>
      </c>
      <c r="B86" s="107"/>
      <c r="C86" s="107"/>
      <c r="D86" s="107"/>
      <c r="E86" s="107"/>
      <c r="F86" s="107"/>
      <c r="G86" s="107"/>
      <c r="H86" s="107"/>
      <c r="I86" s="107"/>
      <c r="J86" s="107"/>
      <c r="K86" s="107"/>
      <c r="L86" s="107"/>
      <c r="M86" s="107"/>
      <c r="N86" s="107"/>
      <c r="O86" s="107"/>
      <c r="P86" s="107"/>
      <c r="Q86" s="107"/>
      <c r="R86" s="107"/>
      <c r="S86" s="107"/>
      <c r="T86" s="107"/>
      <c r="U86" s="107"/>
      <c r="V86" s="107"/>
      <c r="W86" s="107"/>
      <c r="X86" s="107"/>
      <c r="Y86" s="107"/>
      <c r="Z86" s="107"/>
      <c r="AA86" s="107"/>
      <c r="AB86" s="107"/>
      <c r="AC86" s="107"/>
    </row>
    <row r="87" spans="1:31" ht="34.25" customHeight="1" x14ac:dyDescent="0.2">
      <c r="A87" s="528" t="s">
        <v>3515</v>
      </c>
      <c r="B87" s="643"/>
      <c r="C87" s="643"/>
      <c r="D87" s="643"/>
      <c r="E87" s="643"/>
      <c r="F87" s="643"/>
      <c r="G87" s="643"/>
      <c r="H87" s="643"/>
      <c r="I87" s="643"/>
      <c r="J87" s="643"/>
      <c r="K87" s="643"/>
      <c r="L87" s="643"/>
      <c r="M87" s="643"/>
      <c r="N87" s="643"/>
      <c r="O87" s="643"/>
      <c r="P87" s="643"/>
      <c r="Q87" s="643"/>
      <c r="R87" s="643"/>
      <c r="S87" s="643"/>
      <c r="T87" s="529"/>
      <c r="U87" s="107"/>
      <c r="V87" s="107"/>
      <c r="W87" s="107"/>
      <c r="X87" s="107"/>
      <c r="Y87" s="107"/>
      <c r="Z87" s="107"/>
      <c r="AA87" s="107"/>
      <c r="AB87" s="107"/>
      <c r="AC87" s="107"/>
      <c r="AD87" s="107"/>
      <c r="AE87" s="107"/>
    </row>
    <row r="88" spans="1:31" ht="43.25" customHeight="1" x14ac:dyDescent="0.2">
      <c r="A88" s="967" t="s">
        <v>3516</v>
      </c>
      <c r="B88" s="609" t="s">
        <v>3517</v>
      </c>
      <c r="C88" s="967"/>
      <c r="D88" s="838" t="s">
        <v>3518</v>
      </c>
      <c r="E88" s="838"/>
      <c r="F88" s="838"/>
      <c r="G88" s="838"/>
      <c r="H88" s="838"/>
      <c r="I88" s="838"/>
      <c r="J88" s="838"/>
      <c r="K88" s="838" t="s">
        <v>3519</v>
      </c>
      <c r="L88" s="838"/>
      <c r="M88" s="838"/>
      <c r="N88" s="608" t="s">
        <v>2519</v>
      </c>
      <c r="O88" s="778"/>
      <c r="P88" s="778"/>
      <c r="Q88" s="778"/>
      <c r="R88" s="778"/>
      <c r="S88" s="778"/>
      <c r="T88" s="609"/>
      <c r="U88" s="107"/>
      <c r="V88" s="107"/>
      <c r="W88" s="107"/>
      <c r="X88" s="107"/>
      <c r="Y88" s="107"/>
      <c r="Z88" s="107"/>
      <c r="AA88" s="107"/>
      <c r="AB88" s="107"/>
      <c r="AC88" s="107"/>
      <c r="AD88" s="107"/>
      <c r="AE88" s="107"/>
    </row>
    <row r="89" spans="1:31" ht="27.5" customHeight="1" x14ac:dyDescent="0.2">
      <c r="A89" s="967"/>
      <c r="B89" s="1034" t="s">
        <v>3520</v>
      </c>
      <c r="C89" s="1034" t="s">
        <v>3521</v>
      </c>
      <c r="D89" s="1035" t="s">
        <v>3520</v>
      </c>
      <c r="E89" s="1035"/>
      <c r="F89" s="1036" t="s">
        <v>3522</v>
      </c>
      <c r="G89" s="1036"/>
      <c r="H89" s="1035" t="s">
        <v>3521</v>
      </c>
      <c r="I89" s="1035"/>
      <c r="J89" s="1037" t="s">
        <v>3523</v>
      </c>
      <c r="K89" s="1035" t="s">
        <v>3520</v>
      </c>
      <c r="L89" s="1035"/>
      <c r="M89" s="1034" t="s">
        <v>3521</v>
      </c>
      <c r="N89" s="1035" t="s">
        <v>3520</v>
      </c>
      <c r="O89" s="1035"/>
      <c r="P89" s="1036" t="s">
        <v>3522</v>
      </c>
      <c r="Q89" s="1036"/>
      <c r="R89" s="1036" t="s">
        <v>3521</v>
      </c>
      <c r="S89" s="1036"/>
      <c r="T89" s="1037" t="s">
        <v>3523</v>
      </c>
      <c r="U89" s="107"/>
      <c r="V89" s="107"/>
      <c r="W89" s="107"/>
      <c r="X89" s="107"/>
      <c r="Y89" s="107"/>
      <c r="Z89" s="107"/>
      <c r="AA89" s="107"/>
      <c r="AB89" s="107"/>
      <c r="AC89" s="107"/>
      <c r="AD89" s="107"/>
      <c r="AE89" s="107"/>
    </row>
    <row r="90" spans="1:31" x14ac:dyDescent="0.2">
      <c r="A90" s="967"/>
      <c r="B90" s="1034" t="s">
        <v>3486</v>
      </c>
      <c r="C90" s="1034" t="s">
        <v>3486</v>
      </c>
      <c r="D90" s="1034" t="s">
        <v>3486</v>
      </c>
      <c r="E90" s="1034" t="s">
        <v>3282</v>
      </c>
      <c r="F90" s="1034" t="s">
        <v>3486</v>
      </c>
      <c r="G90" s="1034" t="s">
        <v>3282</v>
      </c>
      <c r="H90" s="1034" t="s">
        <v>3486</v>
      </c>
      <c r="I90" s="1034" t="s">
        <v>3282</v>
      </c>
      <c r="J90" s="1034" t="s">
        <v>3486</v>
      </c>
      <c r="K90" s="1034" t="s">
        <v>3486</v>
      </c>
      <c r="L90" s="1034" t="s">
        <v>3282</v>
      </c>
      <c r="M90" s="1034" t="s">
        <v>3486</v>
      </c>
      <c r="N90" s="1034" t="s">
        <v>3486</v>
      </c>
      <c r="O90" s="1034" t="s">
        <v>3282</v>
      </c>
      <c r="P90" s="1034" t="s">
        <v>3486</v>
      </c>
      <c r="Q90" s="1034" t="s">
        <v>3282</v>
      </c>
      <c r="R90" s="1034" t="s">
        <v>3486</v>
      </c>
      <c r="S90" s="1034" t="s">
        <v>3282</v>
      </c>
      <c r="T90" s="1034" t="s">
        <v>3486</v>
      </c>
      <c r="U90" s="107"/>
      <c r="V90" s="107"/>
      <c r="W90" s="107"/>
      <c r="X90" s="107"/>
      <c r="Y90" s="107"/>
      <c r="Z90" s="107"/>
      <c r="AA90" s="107"/>
      <c r="AB90" s="107"/>
      <c r="AC90" s="107"/>
      <c r="AD90" s="107"/>
      <c r="AE90" s="107"/>
    </row>
    <row r="91" spans="1:31" x14ac:dyDescent="0.2">
      <c r="A91" s="533" t="s">
        <v>3524</v>
      </c>
      <c r="B91" s="716"/>
      <c r="C91" s="716"/>
      <c r="D91" s="349">
        <v>4005025</v>
      </c>
      <c r="E91" s="717"/>
      <c r="F91" s="349">
        <v>466025</v>
      </c>
      <c r="G91" s="717"/>
      <c r="H91" s="349">
        <v>3427575</v>
      </c>
      <c r="I91" s="717"/>
      <c r="J91" s="716"/>
      <c r="K91" s="349">
        <v>2244</v>
      </c>
      <c r="L91" s="717"/>
      <c r="M91" s="1038"/>
      <c r="N91" s="349">
        <v>4007269</v>
      </c>
      <c r="O91" s="717"/>
      <c r="P91" s="349">
        <v>466025</v>
      </c>
      <c r="Q91" s="717"/>
      <c r="R91" s="349">
        <v>3427575</v>
      </c>
      <c r="S91" s="717"/>
      <c r="T91" s="716"/>
      <c r="U91" s="107"/>
      <c r="V91" s="107"/>
      <c r="W91" s="107"/>
      <c r="X91" s="107"/>
      <c r="Y91" s="107"/>
      <c r="Z91" s="107"/>
      <c r="AA91" s="107"/>
      <c r="AB91" s="107"/>
      <c r="AC91" s="107"/>
      <c r="AD91" s="107"/>
      <c r="AE91" s="107"/>
    </row>
    <row r="92" spans="1:31" x14ac:dyDescent="0.2">
      <c r="A92" s="533" t="s">
        <v>3525</v>
      </c>
      <c r="B92" s="533"/>
      <c r="C92" s="533"/>
      <c r="D92" s="131">
        <v>1289700</v>
      </c>
      <c r="E92" s="307"/>
      <c r="F92" s="131"/>
      <c r="G92" s="307"/>
      <c r="H92" s="131">
        <v>2046275</v>
      </c>
      <c r="I92" s="307"/>
      <c r="J92" s="533"/>
      <c r="K92" s="131"/>
      <c r="L92" s="307"/>
      <c r="M92" s="1039"/>
      <c r="N92" s="131">
        <v>1289700</v>
      </c>
      <c r="O92" s="307"/>
      <c r="P92" s="131"/>
      <c r="Q92" s="307"/>
      <c r="R92" s="131">
        <v>2046275</v>
      </c>
      <c r="S92" s="307"/>
      <c r="T92" s="533"/>
      <c r="U92" s="107"/>
      <c r="V92" s="107"/>
      <c r="W92" s="107"/>
      <c r="X92" s="107"/>
      <c r="Y92" s="107"/>
      <c r="Z92" s="107"/>
      <c r="AA92" s="107"/>
      <c r="AB92" s="107"/>
      <c r="AC92" s="107"/>
      <c r="AD92" s="107"/>
      <c r="AE92" s="107"/>
    </row>
    <row r="93" spans="1:31" x14ac:dyDescent="0.2">
      <c r="A93" s="533" t="s">
        <v>3526</v>
      </c>
      <c r="B93" s="533"/>
      <c r="C93" s="533"/>
      <c r="D93" s="131">
        <v>752125</v>
      </c>
      <c r="E93" s="307"/>
      <c r="F93" s="131"/>
      <c r="G93" s="307"/>
      <c r="H93" s="131"/>
      <c r="I93" s="307"/>
      <c r="J93" s="533"/>
      <c r="K93" s="131"/>
      <c r="L93" s="307"/>
      <c r="M93" s="1039"/>
      <c r="N93" s="131">
        <v>752125</v>
      </c>
      <c r="O93" s="307"/>
      <c r="P93" s="131"/>
      <c r="Q93" s="307"/>
      <c r="R93" s="131"/>
      <c r="S93" s="307"/>
      <c r="T93" s="533"/>
      <c r="U93" s="107"/>
      <c r="V93" s="107"/>
      <c r="W93" s="107"/>
      <c r="X93" s="107"/>
      <c r="Y93" s="107"/>
      <c r="Z93" s="107"/>
      <c r="AA93" s="107"/>
      <c r="AB93" s="107"/>
      <c r="AC93" s="107"/>
      <c r="AD93" s="107"/>
      <c r="AE93" s="107"/>
    </row>
    <row r="94" spans="1:31" x14ac:dyDescent="0.2">
      <c r="A94" s="533" t="s">
        <v>3527</v>
      </c>
      <c r="B94" s="533"/>
      <c r="C94" s="533"/>
      <c r="D94" s="131">
        <v>897225</v>
      </c>
      <c r="E94" s="307"/>
      <c r="F94" s="131">
        <v>30975</v>
      </c>
      <c r="G94" s="307"/>
      <c r="H94" s="131">
        <v>88475</v>
      </c>
      <c r="I94" s="307"/>
      <c r="J94" s="533"/>
      <c r="K94" s="131"/>
      <c r="L94" s="307"/>
      <c r="M94" s="1039"/>
      <c r="N94" s="131">
        <v>897225</v>
      </c>
      <c r="O94" s="307"/>
      <c r="P94" s="131">
        <v>30975</v>
      </c>
      <c r="Q94" s="307"/>
      <c r="R94" s="131">
        <v>88475</v>
      </c>
      <c r="S94" s="307"/>
      <c r="T94" s="533"/>
      <c r="U94" s="107"/>
      <c r="V94" s="107"/>
      <c r="W94" s="107"/>
      <c r="X94" s="107"/>
      <c r="Y94" s="107"/>
      <c r="Z94" s="107"/>
      <c r="AA94" s="107"/>
      <c r="AB94" s="107"/>
      <c r="AC94" s="107"/>
      <c r="AD94" s="107"/>
      <c r="AE94" s="107"/>
    </row>
    <row r="95" spans="1:31" x14ac:dyDescent="0.2">
      <c r="A95" s="533" t="s">
        <v>3528</v>
      </c>
      <c r="B95" s="535"/>
      <c r="C95" s="535"/>
      <c r="D95" s="230"/>
      <c r="E95" s="364"/>
      <c r="F95" s="230"/>
      <c r="G95" s="364"/>
      <c r="H95" s="230"/>
      <c r="I95" s="364"/>
      <c r="J95" s="535">
        <v>354675</v>
      </c>
      <c r="K95" s="230">
        <v>321</v>
      </c>
      <c r="L95" s="364"/>
      <c r="M95" s="1040"/>
      <c r="N95" s="230">
        <v>321</v>
      </c>
      <c r="O95" s="364"/>
      <c r="P95" s="230"/>
      <c r="Q95" s="364"/>
      <c r="R95" s="230"/>
      <c r="S95" s="364"/>
      <c r="T95" s="535">
        <v>354675</v>
      </c>
      <c r="U95" s="107"/>
      <c r="V95" s="107"/>
      <c r="W95" s="107"/>
      <c r="X95" s="107"/>
      <c r="Y95" s="107"/>
      <c r="Z95" s="107"/>
      <c r="AA95" s="107"/>
      <c r="AB95" s="107"/>
      <c r="AC95" s="107"/>
      <c r="AD95" s="107"/>
      <c r="AE95" s="107"/>
    </row>
    <row r="96" spans="1:31" x14ac:dyDescent="0.2">
      <c r="A96" s="533" t="s">
        <v>3529</v>
      </c>
      <c r="B96" s="716"/>
      <c r="C96" s="716"/>
      <c r="D96" s="349">
        <v>6944075</v>
      </c>
      <c r="E96" s="717"/>
      <c r="F96" s="349">
        <v>497000</v>
      </c>
      <c r="G96" s="717"/>
      <c r="H96" s="349">
        <v>5562325</v>
      </c>
      <c r="I96" s="717"/>
      <c r="J96" s="716">
        <v>354675</v>
      </c>
      <c r="K96" s="349">
        <v>2565</v>
      </c>
      <c r="L96" s="717"/>
      <c r="M96" s="1038"/>
      <c r="N96" s="349">
        <v>6946640</v>
      </c>
      <c r="O96" s="717"/>
      <c r="P96" s="349">
        <v>497000</v>
      </c>
      <c r="Q96" s="717"/>
      <c r="R96" s="349">
        <v>5562325</v>
      </c>
      <c r="S96" s="717"/>
      <c r="T96" s="716">
        <v>354675</v>
      </c>
      <c r="U96" s="107"/>
      <c r="V96" s="107"/>
      <c r="W96" s="107"/>
      <c r="X96" s="107"/>
      <c r="Y96" s="107"/>
      <c r="Z96" s="107"/>
      <c r="AA96" s="107"/>
      <c r="AB96" s="107"/>
      <c r="AC96" s="107"/>
      <c r="AD96" s="107"/>
      <c r="AE96" s="107"/>
    </row>
    <row r="97" spans="1:31" x14ac:dyDescent="0.2">
      <c r="A97" s="533" t="s">
        <v>3530</v>
      </c>
      <c r="B97" s="533"/>
      <c r="C97" s="533"/>
      <c r="D97" s="131">
        <v>1275487</v>
      </c>
      <c r="E97" s="307">
        <v>500</v>
      </c>
      <c r="F97" s="131">
        <v>83943</v>
      </c>
      <c r="G97" s="307">
        <v>750</v>
      </c>
      <c r="H97" s="131"/>
      <c r="I97" s="307"/>
      <c r="J97" s="533"/>
      <c r="K97" s="131">
        <v>831</v>
      </c>
      <c r="L97" s="307">
        <v>250</v>
      </c>
      <c r="M97" s="1039"/>
      <c r="N97" s="131">
        <v>1276318</v>
      </c>
      <c r="O97" s="307">
        <v>750</v>
      </c>
      <c r="P97" s="131">
        <v>83943</v>
      </c>
      <c r="Q97" s="307">
        <v>750</v>
      </c>
      <c r="R97" s="131"/>
      <c r="S97" s="307"/>
      <c r="T97" s="533"/>
      <c r="U97" s="107"/>
      <c r="V97" s="107"/>
      <c r="W97" s="107"/>
      <c r="X97" s="107"/>
      <c r="Y97" s="107"/>
      <c r="Z97" s="107"/>
      <c r="AA97" s="107"/>
      <c r="AB97" s="107"/>
      <c r="AC97" s="107"/>
      <c r="AD97" s="107"/>
      <c r="AE97" s="107"/>
    </row>
    <row r="98" spans="1:31" x14ac:dyDescent="0.2">
      <c r="A98" s="533" t="s">
        <v>3531</v>
      </c>
      <c r="B98" s="535"/>
      <c r="C98" s="535">
        <v>2500</v>
      </c>
      <c r="D98" s="230"/>
      <c r="E98" s="364"/>
      <c r="F98" s="230"/>
      <c r="G98" s="364"/>
      <c r="H98" s="230">
        <v>125031</v>
      </c>
      <c r="I98" s="364">
        <v>250</v>
      </c>
      <c r="J98" s="535"/>
      <c r="K98" s="230">
        <v>50</v>
      </c>
      <c r="L98" s="364">
        <v>500</v>
      </c>
      <c r="M98" s="1040"/>
      <c r="N98" s="230">
        <v>50</v>
      </c>
      <c r="O98" s="364">
        <v>500</v>
      </c>
      <c r="P98" s="230"/>
      <c r="Q98" s="364"/>
      <c r="R98" s="230">
        <v>127531</v>
      </c>
      <c r="S98" s="364">
        <v>250</v>
      </c>
      <c r="T98" s="535"/>
      <c r="U98" s="107"/>
      <c r="V98" s="107"/>
      <c r="W98" s="107"/>
      <c r="X98" s="107"/>
      <c r="Y98" s="107"/>
      <c r="Z98" s="107"/>
      <c r="AA98" s="107"/>
      <c r="AB98" s="107"/>
      <c r="AC98" s="107"/>
      <c r="AD98" s="107"/>
      <c r="AE98" s="107"/>
    </row>
    <row r="99" spans="1:31" x14ac:dyDescent="0.2">
      <c r="A99" s="533" t="s">
        <v>3529</v>
      </c>
      <c r="B99" s="533"/>
      <c r="C99" s="533">
        <v>2500</v>
      </c>
      <c r="D99" s="131">
        <v>8219562</v>
      </c>
      <c r="E99" s="307">
        <v>500</v>
      </c>
      <c r="F99" s="131">
        <v>580943</v>
      </c>
      <c r="G99" s="307">
        <v>750</v>
      </c>
      <c r="H99" s="131">
        <v>5687356</v>
      </c>
      <c r="I99" s="307">
        <v>250</v>
      </c>
      <c r="J99" s="533">
        <v>354675</v>
      </c>
      <c r="K99" s="131">
        <v>3446</v>
      </c>
      <c r="L99" s="307">
        <v>750</v>
      </c>
      <c r="M99" s="1039"/>
      <c r="N99" s="131">
        <v>8223009</v>
      </c>
      <c r="O99" s="307">
        <v>250</v>
      </c>
      <c r="P99" s="131">
        <v>580943</v>
      </c>
      <c r="Q99" s="307">
        <v>750</v>
      </c>
      <c r="R99" s="131">
        <v>5689856</v>
      </c>
      <c r="S99" s="307">
        <v>250</v>
      </c>
      <c r="T99" s="533">
        <v>354675</v>
      </c>
      <c r="U99" s="107"/>
      <c r="V99" s="107"/>
      <c r="W99" s="107"/>
      <c r="X99" s="107"/>
      <c r="Y99" s="107"/>
      <c r="Z99" s="107"/>
      <c r="AA99" s="107"/>
      <c r="AB99" s="107"/>
      <c r="AC99" s="107"/>
      <c r="AD99" s="107"/>
      <c r="AE99" s="107"/>
    </row>
    <row r="100" spans="1:31" x14ac:dyDescent="0.2">
      <c r="A100" s="533" t="s">
        <v>3532</v>
      </c>
      <c r="B100" s="533"/>
      <c r="C100" s="533">
        <v>31250</v>
      </c>
      <c r="D100" s="131"/>
      <c r="E100" s="307"/>
      <c r="F100" s="131"/>
      <c r="G100" s="307"/>
      <c r="H100" s="131">
        <v>135000</v>
      </c>
      <c r="I100" s="307"/>
      <c r="J100" s="533"/>
      <c r="K100" s="131"/>
      <c r="L100" s="307"/>
      <c r="M100" s="1039"/>
      <c r="N100" s="131"/>
      <c r="O100" s="307"/>
      <c r="P100" s="131"/>
      <c r="Q100" s="307"/>
      <c r="R100" s="131">
        <v>166250</v>
      </c>
      <c r="S100" s="307"/>
      <c r="T100" s="533"/>
      <c r="U100" s="107"/>
      <c r="V100" s="107"/>
      <c r="W100" s="107"/>
      <c r="X100" s="107"/>
      <c r="Y100" s="107"/>
      <c r="Z100" s="107"/>
      <c r="AA100" s="107"/>
      <c r="AB100" s="107"/>
      <c r="AC100" s="107"/>
      <c r="AD100" s="107"/>
      <c r="AE100" s="107"/>
    </row>
    <row r="101" spans="1:31" x14ac:dyDescent="0.2">
      <c r="A101" s="533" t="s">
        <v>3533</v>
      </c>
      <c r="B101" s="808"/>
      <c r="C101" s="808">
        <v>33750</v>
      </c>
      <c r="D101" s="240">
        <v>8219562</v>
      </c>
      <c r="E101" s="513">
        <v>500</v>
      </c>
      <c r="F101" s="240">
        <v>580943</v>
      </c>
      <c r="G101" s="513">
        <v>750</v>
      </c>
      <c r="H101" s="240">
        <v>5822356</v>
      </c>
      <c r="I101" s="513">
        <v>250</v>
      </c>
      <c r="J101" s="808">
        <v>354675</v>
      </c>
      <c r="K101" s="240">
        <v>3446</v>
      </c>
      <c r="L101" s="513">
        <v>750</v>
      </c>
      <c r="M101" s="1041"/>
      <c r="N101" s="240">
        <v>8223009</v>
      </c>
      <c r="O101" s="513">
        <v>250</v>
      </c>
      <c r="P101" s="240">
        <v>580943</v>
      </c>
      <c r="Q101" s="513">
        <v>750</v>
      </c>
      <c r="R101" s="240">
        <v>5856106</v>
      </c>
      <c r="S101" s="513">
        <v>250</v>
      </c>
      <c r="T101" s="808">
        <v>354675</v>
      </c>
      <c r="U101" s="107"/>
      <c r="V101" s="107"/>
      <c r="W101" s="107"/>
      <c r="X101" s="107"/>
      <c r="Y101" s="107"/>
      <c r="Z101" s="107"/>
      <c r="AA101" s="107"/>
      <c r="AB101" s="107"/>
      <c r="AC101" s="107"/>
      <c r="AD101" s="107"/>
      <c r="AE101" s="107"/>
    </row>
    <row r="102" spans="1:31" x14ac:dyDescent="0.2">
      <c r="A102" s="533"/>
      <c r="B102" s="243">
        <f>+SUM(B91++B92+B93+B94+B95+B97+B98+B100)</f>
        <v>0</v>
      </c>
      <c r="C102" s="243">
        <f t="shared" ref="C102:T102" si="3">+SUM(C91++C92+C93+C94+C95+C97+C98+C100)</f>
        <v>33750</v>
      </c>
      <c r="D102" s="243">
        <f t="shared" si="3"/>
        <v>8219562</v>
      </c>
      <c r="E102" s="243">
        <f t="shared" si="3"/>
        <v>500</v>
      </c>
      <c r="F102" s="243">
        <f t="shared" si="3"/>
        <v>580943</v>
      </c>
      <c r="G102" s="243">
        <f t="shared" si="3"/>
        <v>750</v>
      </c>
      <c r="H102" s="243">
        <f t="shared" si="3"/>
        <v>5822356</v>
      </c>
      <c r="I102" s="243">
        <f t="shared" si="3"/>
        <v>250</v>
      </c>
      <c r="J102" s="243">
        <f t="shared" si="3"/>
        <v>354675</v>
      </c>
      <c r="K102" s="243">
        <f t="shared" si="3"/>
        <v>3446</v>
      </c>
      <c r="L102" s="243">
        <f t="shared" si="3"/>
        <v>750</v>
      </c>
      <c r="M102" s="243">
        <f t="shared" si="3"/>
        <v>0</v>
      </c>
      <c r="N102" s="243">
        <f t="shared" si="3"/>
        <v>8223008</v>
      </c>
      <c r="O102" s="243">
        <f t="shared" si="3"/>
        <v>1250</v>
      </c>
      <c r="P102" s="243">
        <f t="shared" si="3"/>
        <v>580943</v>
      </c>
      <c r="Q102" s="243">
        <f t="shared" si="3"/>
        <v>750</v>
      </c>
      <c r="R102" s="243">
        <f t="shared" si="3"/>
        <v>5856106</v>
      </c>
      <c r="S102" s="243">
        <f t="shared" si="3"/>
        <v>250</v>
      </c>
      <c r="T102" s="243">
        <f t="shared" si="3"/>
        <v>354675</v>
      </c>
      <c r="U102" s="107"/>
      <c r="V102" s="107"/>
      <c r="W102" s="107"/>
      <c r="X102" s="107"/>
      <c r="Y102" s="107"/>
      <c r="Z102" s="107"/>
      <c r="AA102" s="107"/>
      <c r="AB102" s="107"/>
      <c r="AC102" s="107"/>
      <c r="AD102" s="107"/>
      <c r="AE102" s="107"/>
    </row>
    <row r="103" spans="1:31" x14ac:dyDescent="0.2">
      <c r="A103" s="535"/>
      <c r="B103" s="616">
        <v>33750</v>
      </c>
      <c r="C103" s="618"/>
      <c r="D103" s="982">
        <v>14977537</v>
      </c>
      <c r="E103" s="983"/>
      <c r="F103" s="983"/>
      <c r="G103" s="983"/>
      <c r="H103" s="983"/>
      <c r="I103" s="1042">
        <v>500</v>
      </c>
      <c r="J103" s="1043"/>
      <c r="K103" s="1044">
        <v>3496</v>
      </c>
      <c r="L103" s="1045"/>
      <c r="M103" s="1046">
        <v>750</v>
      </c>
      <c r="N103" s="616">
        <v>15014734</v>
      </c>
      <c r="O103" s="617"/>
      <c r="P103" s="617"/>
      <c r="Q103" s="617"/>
      <c r="R103" s="617"/>
      <c r="S103" s="617"/>
      <c r="T103" s="995">
        <v>250</v>
      </c>
      <c r="U103" s="107"/>
      <c r="V103" s="107"/>
      <c r="W103" s="107"/>
      <c r="X103" s="107"/>
      <c r="Y103" s="107"/>
      <c r="Z103" s="107"/>
      <c r="AA103" s="107"/>
      <c r="AB103" s="107"/>
      <c r="AC103" s="107"/>
      <c r="AD103" s="107"/>
      <c r="AE103" s="107"/>
    </row>
    <row r="104" spans="1:31" x14ac:dyDescent="0.2">
      <c r="A104" s="107"/>
      <c r="B104" s="107"/>
      <c r="C104" s="107"/>
      <c r="D104" s="107"/>
      <c r="E104" s="107"/>
      <c r="F104" s="107"/>
      <c r="G104" s="107"/>
      <c r="H104" s="107"/>
      <c r="I104" s="107"/>
      <c r="J104" s="107"/>
      <c r="K104" s="107"/>
      <c r="L104" s="107"/>
      <c r="M104" s="107"/>
      <c r="N104" s="107"/>
      <c r="O104" s="107"/>
      <c r="P104" s="107"/>
      <c r="Q104" s="107"/>
      <c r="R104" s="107"/>
      <c r="S104" s="107"/>
      <c r="T104" s="107"/>
      <c r="U104" s="107"/>
      <c r="V104" s="107"/>
      <c r="W104" s="107"/>
      <c r="X104" s="107"/>
      <c r="Y104" s="107"/>
      <c r="Z104" s="107"/>
      <c r="AA104" s="107"/>
      <c r="AB104" s="107"/>
      <c r="AC104" s="107"/>
    </row>
    <row r="105" spans="1:31" x14ac:dyDescent="0.2">
      <c r="A105" s="107"/>
      <c r="B105" s="107"/>
      <c r="C105" s="107"/>
      <c r="D105" s="107"/>
      <c r="E105" s="107"/>
      <c r="F105" s="107"/>
      <c r="G105" s="107"/>
      <c r="H105" s="107"/>
      <c r="I105" s="107"/>
      <c r="J105" s="107"/>
      <c r="K105" s="107"/>
      <c r="L105" s="107"/>
      <c r="M105" s="107"/>
      <c r="N105" s="107"/>
      <c r="O105" s="107"/>
      <c r="P105" s="107"/>
      <c r="Q105" s="107"/>
      <c r="R105" s="107"/>
      <c r="S105" s="107"/>
      <c r="T105" s="107"/>
      <c r="U105" s="107"/>
      <c r="V105" s="107"/>
      <c r="W105" s="107"/>
      <c r="X105" s="107"/>
      <c r="Y105" s="107"/>
      <c r="Z105" s="107"/>
      <c r="AA105" s="107"/>
      <c r="AB105" s="107"/>
      <c r="AC105" s="107"/>
    </row>
    <row r="106" spans="1:31" x14ac:dyDescent="0.2">
      <c r="A106" s="107"/>
      <c r="B106" s="107"/>
      <c r="C106" s="107"/>
      <c r="D106" s="107"/>
      <c r="E106" s="107"/>
      <c r="F106" s="107"/>
      <c r="G106" s="107"/>
      <c r="H106" s="107"/>
      <c r="I106" s="107"/>
      <c r="J106" s="107"/>
      <c r="K106" s="107"/>
      <c r="L106" s="107"/>
      <c r="M106" s="107"/>
      <c r="N106" s="107"/>
      <c r="O106" s="107"/>
      <c r="P106" s="107"/>
      <c r="Q106" s="107"/>
      <c r="R106" s="107"/>
      <c r="S106" s="107"/>
      <c r="T106" s="107"/>
      <c r="U106" s="107"/>
      <c r="V106" s="107"/>
      <c r="W106" s="107"/>
      <c r="X106" s="107"/>
      <c r="Y106" s="107"/>
      <c r="Z106" s="107"/>
      <c r="AA106" s="107"/>
      <c r="AB106" s="107"/>
      <c r="AC106" s="107"/>
    </row>
    <row r="107" spans="1:31" x14ac:dyDescent="0.2">
      <c r="A107" s="526" t="s">
        <v>1374</v>
      </c>
      <c r="B107" s="107"/>
      <c r="C107" s="107"/>
      <c r="D107" s="107"/>
      <c r="E107" s="107"/>
      <c r="F107" s="107"/>
      <c r="G107" s="107"/>
      <c r="H107" s="107"/>
      <c r="I107" s="107"/>
      <c r="J107" s="107"/>
      <c r="K107" s="107"/>
      <c r="L107" s="107"/>
      <c r="M107" s="107"/>
      <c r="N107" s="107"/>
      <c r="O107" s="107"/>
      <c r="P107" s="107"/>
      <c r="Q107" s="107"/>
      <c r="R107" s="107"/>
      <c r="S107" s="107"/>
      <c r="T107" s="107"/>
      <c r="U107" s="107"/>
      <c r="V107" s="107"/>
      <c r="W107" s="107"/>
      <c r="X107" s="107"/>
      <c r="Y107" s="107"/>
      <c r="Z107" s="107"/>
      <c r="AA107" s="107"/>
      <c r="AB107" s="107"/>
      <c r="AC107" s="107"/>
    </row>
    <row r="108" spans="1:31" ht="30.5" customHeight="1" x14ac:dyDescent="0.2">
      <c r="A108" s="998" t="s">
        <v>3534</v>
      </c>
      <c r="B108" s="998"/>
      <c r="C108" s="998"/>
      <c r="D108" s="998"/>
      <c r="E108" s="998"/>
      <c r="F108" s="998"/>
      <c r="G108" s="998"/>
      <c r="H108" s="998"/>
      <c r="I108" s="998"/>
      <c r="J108" s="998"/>
      <c r="K108" s="998"/>
      <c r="L108" s="998"/>
      <c r="M108" s="998"/>
      <c r="N108" s="998"/>
      <c r="O108" s="998"/>
      <c r="P108" s="998"/>
      <c r="Q108" s="998"/>
      <c r="R108" s="998"/>
      <c r="S108" s="998"/>
      <c r="T108" s="998"/>
      <c r="U108" s="998"/>
      <c r="V108" s="998"/>
      <c r="W108" s="998"/>
      <c r="X108" s="998"/>
      <c r="Y108" s="998"/>
      <c r="Z108" s="107"/>
      <c r="AA108" s="107"/>
      <c r="AB108" s="107"/>
      <c r="AC108" s="107"/>
    </row>
    <row r="109" spans="1:31" ht="30" customHeight="1" x14ac:dyDescent="0.2">
      <c r="A109" s="967" t="s">
        <v>3535</v>
      </c>
      <c r="B109" s="967" t="s">
        <v>3536</v>
      </c>
      <c r="C109" s="967"/>
      <c r="D109" s="967"/>
      <c r="E109" s="967"/>
      <c r="F109" s="967"/>
      <c r="G109" s="967"/>
      <c r="H109" s="967"/>
      <c r="I109" s="967"/>
      <c r="J109" s="967"/>
      <c r="K109" s="967"/>
      <c r="L109" s="967"/>
      <c r="M109" s="967"/>
      <c r="N109" s="1047" t="s">
        <v>2519</v>
      </c>
      <c r="O109" s="1048"/>
      <c r="P109" s="1048"/>
      <c r="Q109" s="1048"/>
      <c r="R109" s="1048"/>
      <c r="S109" s="1048"/>
      <c r="T109" s="1048"/>
      <c r="U109" s="1049"/>
      <c r="V109" s="1047" t="s">
        <v>3537</v>
      </c>
      <c r="W109" s="1048"/>
      <c r="X109" s="1048"/>
      <c r="Y109" s="1049"/>
      <c r="Z109" s="107"/>
      <c r="AA109" s="107"/>
      <c r="AB109" s="107"/>
      <c r="AC109" s="107"/>
    </row>
    <row r="110" spans="1:31" ht="26.5" customHeight="1" x14ac:dyDescent="0.2">
      <c r="A110" s="967"/>
      <c r="B110" s="977" t="s">
        <v>3538</v>
      </c>
      <c r="C110" s="977"/>
      <c r="D110" s="977"/>
      <c r="E110" s="977"/>
      <c r="F110" s="977"/>
      <c r="G110" s="977"/>
      <c r="H110" s="977"/>
      <c r="I110" s="977"/>
      <c r="J110" s="977" t="s">
        <v>3539</v>
      </c>
      <c r="K110" s="977"/>
      <c r="L110" s="977"/>
      <c r="M110" s="977"/>
      <c r="N110" s="1050"/>
      <c r="O110" s="1051"/>
      <c r="P110" s="1051"/>
      <c r="Q110" s="1051"/>
      <c r="R110" s="1051"/>
      <c r="S110" s="1051"/>
      <c r="T110" s="1051"/>
      <c r="U110" s="1052"/>
      <c r="V110" s="1050"/>
      <c r="W110" s="1051"/>
      <c r="X110" s="1051"/>
      <c r="Y110" s="1052"/>
      <c r="Z110" s="107"/>
      <c r="AA110" s="107"/>
      <c r="AB110" s="107"/>
      <c r="AC110" s="107"/>
    </row>
    <row r="111" spans="1:31" ht="24" customHeight="1" x14ac:dyDescent="0.2">
      <c r="A111" s="967"/>
      <c r="B111" s="1036" t="s">
        <v>3520</v>
      </c>
      <c r="C111" s="1036"/>
      <c r="D111" s="1036" t="s">
        <v>3522</v>
      </c>
      <c r="E111" s="1036"/>
      <c r="F111" s="1053" t="s">
        <v>3521</v>
      </c>
      <c r="G111" s="1054"/>
      <c r="H111" s="1053" t="s">
        <v>3523</v>
      </c>
      <c r="I111" s="1054"/>
      <c r="J111" s="1036" t="s">
        <v>3520</v>
      </c>
      <c r="K111" s="1036"/>
      <c r="L111" s="1053" t="s">
        <v>3521</v>
      </c>
      <c r="M111" s="1054"/>
      <c r="N111" s="1036" t="s">
        <v>3520</v>
      </c>
      <c r="O111" s="1036"/>
      <c r="P111" s="1036" t="s">
        <v>3522</v>
      </c>
      <c r="Q111" s="1036"/>
      <c r="R111" s="1053" t="s">
        <v>3521</v>
      </c>
      <c r="S111" s="1054"/>
      <c r="T111" s="1053" t="s">
        <v>3523</v>
      </c>
      <c r="U111" s="1054"/>
      <c r="V111" s="1036" t="s">
        <v>3520</v>
      </c>
      <c r="W111" s="1036"/>
      <c r="X111" s="1053" t="s">
        <v>3521</v>
      </c>
      <c r="Y111" s="1054"/>
      <c r="Z111" s="107"/>
      <c r="AA111" s="107"/>
      <c r="AB111" s="107"/>
      <c r="AC111" s="107"/>
    </row>
    <row r="112" spans="1:31" x14ac:dyDescent="0.2">
      <c r="A112" s="967"/>
      <c r="B112" s="1037" t="s">
        <v>1879</v>
      </c>
      <c r="C112" s="1037" t="s">
        <v>3540</v>
      </c>
      <c r="D112" s="1037" t="s">
        <v>1879</v>
      </c>
      <c r="E112" s="1037" t="s">
        <v>3540</v>
      </c>
      <c r="F112" s="1037" t="s">
        <v>1879</v>
      </c>
      <c r="G112" s="1037" t="s">
        <v>3540</v>
      </c>
      <c r="H112" s="1037" t="s">
        <v>1879</v>
      </c>
      <c r="I112" s="1037" t="s">
        <v>3540</v>
      </c>
      <c r="J112" s="1037" t="s">
        <v>1879</v>
      </c>
      <c r="K112" s="1037" t="s">
        <v>3540</v>
      </c>
      <c r="L112" s="1037" t="s">
        <v>1879</v>
      </c>
      <c r="M112" s="1037" t="s">
        <v>3540</v>
      </c>
      <c r="N112" s="1037" t="s">
        <v>1879</v>
      </c>
      <c r="O112" s="1037" t="s">
        <v>3540</v>
      </c>
      <c r="P112" s="1037" t="s">
        <v>1879</v>
      </c>
      <c r="Q112" s="1037" t="s">
        <v>3540</v>
      </c>
      <c r="R112" s="1037" t="s">
        <v>1879</v>
      </c>
      <c r="S112" s="1037" t="s">
        <v>3540</v>
      </c>
      <c r="T112" s="1037" t="s">
        <v>1879</v>
      </c>
      <c r="U112" s="1037" t="s">
        <v>3540</v>
      </c>
      <c r="V112" s="1037" t="s">
        <v>1879</v>
      </c>
      <c r="W112" s="1037" t="s">
        <v>3540</v>
      </c>
      <c r="X112" s="1037" t="s">
        <v>1879</v>
      </c>
      <c r="Y112" s="1037" t="s">
        <v>3540</v>
      </c>
      <c r="Z112" s="107"/>
      <c r="AA112" s="107"/>
      <c r="AB112" s="107"/>
      <c r="AC112" s="107"/>
    </row>
    <row r="113" spans="1:29" x14ac:dyDescent="0.2">
      <c r="A113" s="533" t="s">
        <v>3524</v>
      </c>
      <c r="B113" s="349">
        <v>4000600</v>
      </c>
      <c r="C113" s="717"/>
      <c r="D113" s="349">
        <v>466025</v>
      </c>
      <c r="E113" s="717"/>
      <c r="F113" s="349">
        <v>3402650</v>
      </c>
      <c r="G113" s="717"/>
      <c r="H113" s="349"/>
      <c r="I113" s="717"/>
      <c r="J113" s="349">
        <v>2244</v>
      </c>
      <c r="K113" s="717"/>
      <c r="L113" s="349"/>
      <c r="M113" s="717"/>
      <c r="N113" s="349">
        <v>4002844</v>
      </c>
      <c r="O113" s="717"/>
      <c r="P113" s="349">
        <v>466025</v>
      </c>
      <c r="Q113" s="717"/>
      <c r="R113" s="349">
        <v>3402650</v>
      </c>
      <c r="S113" s="717"/>
      <c r="T113" s="349"/>
      <c r="U113" s="717"/>
      <c r="V113" s="349"/>
      <c r="W113" s="717"/>
      <c r="X113" s="349"/>
      <c r="Y113" s="717"/>
      <c r="Z113" s="107"/>
      <c r="AA113" s="107"/>
      <c r="AB113" s="107"/>
      <c r="AC113" s="107"/>
    </row>
    <row r="114" spans="1:29" x14ac:dyDescent="0.2">
      <c r="A114" s="533" t="s">
        <v>3525</v>
      </c>
      <c r="B114" s="131">
        <v>1015800</v>
      </c>
      <c r="C114" s="307"/>
      <c r="D114" s="131"/>
      <c r="E114" s="307"/>
      <c r="F114" s="131">
        <v>1911625</v>
      </c>
      <c r="G114" s="307"/>
      <c r="H114" s="131"/>
      <c r="I114" s="307"/>
      <c r="J114" s="131"/>
      <c r="K114" s="307"/>
      <c r="L114" s="131"/>
      <c r="M114" s="307"/>
      <c r="N114" s="131">
        <v>1015800</v>
      </c>
      <c r="O114" s="307"/>
      <c r="P114" s="131"/>
      <c r="Q114" s="307"/>
      <c r="R114" s="131">
        <v>1911625</v>
      </c>
      <c r="S114" s="307"/>
      <c r="T114" s="131"/>
      <c r="U114" s="307"/>
      <c r="V114" s="131"/>
      <c r="W114" s="307"/>
      <c r="X114" s="131">
        <v>109900</v>
      </c>
      <c r="Y114" s="307"/>
      <c r="Z114" s="107"/>
      <c r="AA114" s="107"/>
      <c r="AB114" s="107"/>
      <c r="AC114" s="107"/>
    </row>
    <row r="115" spans="1:29" x14ac:dyDescent="0.2">
      <c r="A115" s="533" t="s">
        <v>3526</v>
      </c>
      <c r="B115" s="131">
        <v>752125</v>
      </c>
      <c r="C115" s="307"/>
      <c r="D115" s="131"/>
      <c r="E115" s="307"/>
      <c r="F115" s="131"/>
      <c r="G115" s="307"/>
      <c r="H115" s="131"/>
      <c r="I115" s="307"/>
      <c r="J115" s="131"/>
      <c r="K115" s="307"/>
      <c r="L115" s="131"/>
      <c r="M115" s="307"/>
      <c r="N115" s="131">
        <v>752125</v>
      </c>
      <c r="O115" s="307"/>
      <c r="P115" s="131"/>
      <c r="Q115" s="307"/>
      <c r="R115" s="131"/>
      <c r="S115" s="307"/>
      <c r="T115" s="131"/>
      <c r="U115" s="307"/>
      <c r="V115" s="131"/>
      <c r="W115" s="307"/>
      <c r="X115" s="131"/>
      <c r="Y115" s="307"/>
      <c r="Z115" s="107"/>
      <c r="AA115" s="107"/>
      <c r="AB115" s="107"/>
      <c r="AC115" s="107"/>
    </row>
    <row r="116" spans="1:29" x14ac:dyDescent="0.2">
      <c r="A116" s="533" t="s">
        <v>3527</v>
      </c>
      <c r="B116" s="131">
        <v>872475</v>
      </c>
      <c r="C116" s="307"/>
      <c r="D116" s="131">
        <v>30975</v>
      </c>
      <c r="E116" s="307"/>
      <c r="F116" s="131">
        <v>88475</v>
      </c>
      <c r="G116" s="307"/>
      <c r="H116" s="131"/>
      <c r="I116" s="307"/>
      <c r="J116" s="131"/>
      <c r="K116" s="307"/>
      <c r="L116" s="131"/>
      <c r="M116" s="307"/>
      <c r="N116" s="131">
        <v>872475</v>
      </c>
      <c r="O116" s="307"/>
      <c r="P116" s="131">
        <v>30975</v>
      </c>
      <c r="Q116" s="307"/>
      <c r="R116" s="131">
        <v>88475</v>
      </c>
      <c r="S116" s="307"/>
      <c r="T116" s="131"/>
      <c r="U116" s="307"/>
      <c r="V116" s="131"/>
      <c r="W116" s="307"/>
      <c r="X116" s="131"/>
      <c r="Y116" s="307"/>
      <c r="Z116" s="107"/>
      <c r="AA116" s="107"/>
      <c r="AB116" s="107"/>
      <c r="AC116" s="107"/>
    </row>
    <row r="117" spans="1:29" x14ac:dyDescent="0.2">
      <c r="A117" s="533" t="s">
        <v>3528</v>
      </c>
      <c r="B117" s="230"/>
      <c r="C117" s="364"/>
      <c r="D117" s="230"/>
      <c r="E117" s="364"/>
      <c r="F117" s="230"/>
      <c r="G117" s="364"/>
      <c r="H117" s="230">
        <v>354675</v>
      </c>
      <c r="I117" s="364"/>
      <c r="J117" s="230">
        <v>321</v>
      </c>
      <c r="K117" s="364"/>
      <c r="L117" s="230"/>
      <c r="M117" s="364"/>
      <c r="N117" s="230">
        <v>321</v>
      </c>
      <c r="O117" s="364"/>
      <c r="P117" s="230"/>
      <c r="Q117" s="364"/>
      <c r="R117" s="230"/>
      <c r="S117" s="364"/>
      <c r="T117" s="230">
        <v>354675</v>
      </c>
      <c r="U117" s="364"/>
      <c r="V117" s="230"/>
      <c r="W117" s="364"/>
      <c r="X117" s="230"/>
      <c r="Y117" s="364"/>
      <c r="Z117" s="107"/>
      <c r="AA117" s="107"/>
      <c r="AB117" s="107"/>
      <c r="AC117" s="107"/>
    </row>
    <row r="118" spans="1:29" x14ac:dyDescent="0.2">
      <c r="A118" s="533" t="s">
        <v>3529</v>
      </c>
      <c r="B118" s="349">
        <v>6641000</v>
      </c>
      <c r="C118" s="717"/>
      <c r="D118" s="349">
        <v>497000</v>
      </c>
      <c r="E118" s="717"/>
      <c r="F118" s="349">
        <v>5402750</v>
      </c>
      <c r="G118" s="717"/>
      <c r="H118" s="349">
        <v>354675</v>
      </c>
      <c r="I118" s="717"/>
      <c r="J118" s="349">
        <v>2565</v>
      </c>
      <c r="K118" s="717"/>
      <c r="L118" s="349"/>
      <c r="M118" s="717"/>
      <c r="N118" s="349">
        <v>6643565</v>
      </c>
      <c r="O118" s="717"/>
      <c r="P118" s="349">
        <v>497000</v>
      </c>
      <c r="Q118" s="717"/>
      <c r="R118" s="349">
        <v>5402750</v>
      </c>
      <c r="S118" s="717"/>
      <c r="T118" s="349">
        <v>354675</v>
      </c>
      <c r="U118" s="717"/>
      <c r="V118" s="349"/>
      <c r="W118" s="717"/>
      <c r="X118" s="349">
        <v>134650</v>
      </c>
      <c r="Y118" s="717"/>
      <c r="Z118" s="107"/>
      <c r="AA118" s="107"/>
      <c r="AB118" s="107"/>
      <c r="AC118" s="107"/>
    </row>
    <row r="119" spans="1:29" x14ac:dyDescent="0.2">
      <c r="A119" s="533" t="s">
        <v>3530</v>
      </c>
      <c r="B119" s="131">
        <v>1227600</v>
      </c>
      <c r="C119" s="307"/>
      <c r="D119" s="131">
        <v>83943</v>
      </c>
      <c r="E119" s="307">
        <v>750</v>
      </c>
      <c r="F119" s="131"/>
      <c r="G119" s="307"/>
      <c r="H119" s="131"/>
      <c r="I119" s="307"/>
      <c r="J119" s="131">
        <v>831</v>
      </c>
      <c r="K119" s="307">
        <v>250</v>
      </c>
      <c r="L119" s="131"/>
      <c r="M119" s="307"/>
      <c r="N119" s="131">
        <v>1228431</v>
      </c>
      <c r="O119" s="307">
        <v>250</v>
      </c>
      <c r="P119" s="131">
        <v>83943</v>
      </c>
      <c r="Q119" s="307">
        <v>750</v>
      </c>
      <c r="R119" s="131"/>
      <c r="S119" s="307"/>
      <c r="T119" s="131"/>
      <c r="U119" s="307"/>
      <c r="V119" s="131">
        <v>47887</v>
      </c>
      <c r="W119" s="307">
        <v>500</v>
      </c>
      <c r="X119" s="131"/>
      <c r="Y119" s="307"/>
      <c r="Z119" s="107"/>
      <c r="AA119" s="107"/>
      <c r="AB119" s="107"/>
      <c r="AC119" s="107"/>
    </row>
    <row r="120" spans="1:29" x14ac:dyDescent="0.2">
      <c r="A120" s="533" t="s">
        <v>3531</v>
      </c>
      <c r="B120" s="230"/>
      <c r="C120" s="364"/>
      <c r="D120" s="230"/>
      <c r="E120" s="364"/>
      <c r="F120" s="230">
        <v>123356</v>
      </c>
      <c r="G120" s="364">
        <v>250</v>
      </c>
      <c r="H120" s="230"/>
      <c r="I120" s="364"/>
      <c r="J120" s="230">
        <v>50</v>
      </c>
      <c r="K120" s="364">
        <v>500</v>
      </c>
      <c r="L120" s="230"/>
      <c r="M120" s="364"/>
      <c r="N120" s="230">
        <v>50</v>
      </c>
      <c r="O120" s="364">
        <v>500</v>
      </c>
      <c r="P120" s="230"/>
      <c r="Q120" s="364"/>
      <c r="R120" s="230">
        <v>123356</v>
      </c>
      <c r="S120" s="364">
        <v>250</v>
      </c>
      <c r="T120" s="230"/>
      <c r="U120" s="364"/>
      <c r="V120" s="230"/>
      <c r="W120" s="364"/>
      <c r="X120" s="230">
        <v>2500</v>
      </c>
      <c r="Y120" s="364"/>
      <c r="Z120" s="107"/>
      <c r="AA120" s="107"/>
      <c r="AB120" s="107"/>
      <c r="AC120" s="107"/>
    </row>
    <row r="121" spans="1:29" x14ac:dyDescent="0.2">
      <c r="A121" s="533" t="s">
        <v>3529</v>
      </c>
      <c r="B121" s="131">
        <v>7868600</v>
      </c>
      <c r="C121" s="307"/>
      <c r="D121" s="131">
        <v>580943</v>
      </c>
      <c r="E121" s="307">
        <v>750</v>
      </c>
      <c r="F121" s="131">
        <v>5526106</v>
      </c>
      <c r="G121" s="307">
        <v>250</v>
      </c>
      <c r="H121" s="131">
        <v>354675</v>
      </c>
      <c r="I121" s="307"/>
      <c r="J121" s="131">
        <v>3446</v>
      </c>
      <c r="K121" s="307">
        <v>750</v>
      </c>
      <c r="L121" s="131"/>
      <c r="M121" s="307"/>
      <c r="N121" s="131">
        <v>7872046</v>
      </c>
      <c r="O121" s="307">
        <v>750</v>
      </c>
      <c r="P121" s="131">
        <v>580943</v>
      </c>
      <c r="Q121" s="307">
        <v>750</v>
      </c>
      <c r="R121" s="131">
        <v>5526106</v>
      </c>
      <c r="S121" s="307">
        <v>250</v>
      </c>
      <c r="T121" s="131">
        <v>354675</v>
      </c>
      <c r="U121" s="307"/>
      <c r="V121" s="131">
        <v>47887</v>
      </c>
      <c r="W121" s="307">
        <v>500</v>
      </c>
      <c r="X121" s="131">
        <v>109900</v>
      </c>
      <c r="Y121" s="307"/>
      <c r="Z121" s="107"/>
      <c r="AA121" s="107"/>
      <c r="AB121" s="107"/>
      <c r="AC121" s="107"/>
    </row>
    <row r="122" spans="1:29" x14ac:dyDescent="0.2">
      <c r="A122" s="534" t="s">
        <v>3541</v>
      </c>
      <c r="B122" s="131">
        <v>237812</v>
      </c>
      <c r="C122" s="307">
        <v>500</v>
      </c>
      <c r="D122" s="131"/>
      <c r="E122" s="307"/>
      <c r="F122" s="131">
        <v>35531</v>
      </c>
      <c r="G122" s="307">
        <v>500</v>
      </c>
      <c r="H122" s="131"/>
      <c r="I122" s="307"/>
      <c r="J122" s="131"/>
      <c r="K122" s="307"/>
      <c r="L122" s="131"/>
      <c r="M122" s="307"/>
      <c r="N122" s="131">
        <v>237812</v>
      </c>
      <c r="O122" s="307">
        <v>500</v>
      </c>
      <c r="P122" s="131"/>
      <c r="Q122" s="307"/>
      <c r="R122" s="131">
        <v>35531</v>
      </c>
      <c r="S122" s="307">
        <v>500</v>
      </c>
      <c r="T122" s="131"/>
      <c r="U122" s="307"/>
      <c r="V122" s="131"/>
      <c r="W122" s="307"/>
      <c r="X122" s="131"/>
      <c r="Y122" s="307"/>
      <c r="Z122" s="107"/>
      <c r="AA122" s="107"/>
      <c r="AB122" s="107"/>
      <c r="AC122" s="107"/>
    </row>
    <row r="123" spans="1:29" x14ac:dyDescent="0.2">
      <c r="A123" s="533" t="s">
        <v>3532</v>
      </c>
      <c r="B123" s="131"/>
      <c r="C123" s="307"/>
      <c r="D123" s="131"/>
      <c r="E123" s="307"/>
      <c r="F123" s="131">
        <v>135718</v>
      </c>
      <c r="G123" s="307">
        <v>250</v>
      </c>
      <c r="H123" s="131"/>
      <c r="I123" s="307"/>
      <c r="J123" s="131"/>
      <c r="K123" s="307"/>
      <c r="L123" s="131"/>
      <c r="M123" s="307"/>
      <c r="N123" s="131"/>
      <c r="O123" s="307"/>
      <c r="P123" s="131"/>
      <c r="Q123" s="307"/>
      <c r="R123" s="131">
        <v>135718</v>
      </c>
      <c r="S123" s="307">
        <v>250</v>
      </c>
      <c r="T123" s="131"/>
      <c r="U123" s="307"/>
      <c r="V123" s="131"/>
      <c r="W123" s="307"/>
      <c r="X123" s="131">
        <v>30531</v>
      </c>
      <c r="Y123" s="307">
        <v>850</v>
      </c>
      <c r="Z123" s="107"/>
      <c r="AA123" s="107"/>
      <c r="AB123" s="107"/>
      <c r="AC123" s="107"/>
    </row>
    <row r="124" spans="1:29" x14ac:dyDescent="0.2">
      <c r="A124" s="533" t="s">
        <v>3533</v>
      </c>
      <c r="B124" s="240">
        <v>8106412</v>
      </c>
      <c r="C124" s="513">
        <v>500</v>
      </c>
      <c r="D124" s="240">
        <v>580943</v>
      </c>
      <c r="E124" s="513">
        <v>750</v>
      </c>
      <c r="F124" s="240">
        <v>5697356</v>
      </c>
      <c r="G124" s="513"/>
      <c r="H124" s="240">
        <v>354675</v>
      </c>
      <c r="I124" s="513"/>
      <c r="J124" s="240">
        <v>3446</v>
      </c>
      <c r="K124" s="513">
        <v>750</v>
      </c>
      <c r="L124" s="240"/>
      <c r="M124" s="513"/>
      <c r="N124" s="240">
        <v>8109859</v>
      </c>
      <c r="O124" s="513">
        <v>250</v>
      </c>
      <c r="P124" s="240">
        <v>580943</v>
      </c>
      <c r="Q124" s="513">
        <v>750</v>
      </c>
      <c r="R124" s="240">
        <v>5697356</v>
      </c>
      <c r="S124" s="513"/>
      <c r="T124" s="240">
        <v>354675</v>
      </c>
      <c r="U124" s="513"/>
      <c r="V124" s="240">
        <v>47887</v>
      </c>
      <c r="W124" s="513">
        <v>500</v>
      </c>
      <c r="X124" s="240">
        <v>142931</v>
      </c>
      <c r="Y124" s="513">
        <v>750</v>
      </c>
      <c r="Z124" s="107"/>
      <c r="AA124" s="107"/>
      <c r="AB124" s="107"/>
      <c r="AC124" s="107"/>
    </row>
    <row r="125" spans="1:29" x14ac:dyDescent="0.2">
      <c r="A125" s="131"/>
      <c r="B125" s="243">
        <f>+B113+B114+B115+B116+B117+B119+B120+B122+B123</f>
        <v>8106412</v>
      </c>
      <c r="C125" s="243">
        <f t="shared" ref="C125:Y125" si="4">+C113+C114+C115+C116+C117+C119+C120+C122+C123</f>
        <v>500</v>
      </c>
      <c r="D125" s="243">
        <f t="shared" si="4"/>
        <v>580943</v>
      </c>
      <c r="E125" s="243">
        <f t="shared" si="4"/>
        <v>750</v>
      </c>
      <c r="F125" s="243">
        <f t="shared" si="4"/>
        <v>5697355</v>
      </c>
      <c r="G125" s="243">
        <f t="shared" si="4"/>
        <v>1000</v>
      </c>
      <c r="H125" s="243">
        <f t="shared" si="4"/>
        <v>354675</v>
      </c>
      <c r="I125" s="243">
        <f t="shared" si="4"/>
        <v>0</v>
      </c>
      <c r="J125" s="243">
        <f t="shared" si="4"/>
        <v>3446</v>
      </c>
      <c r="K125" s="243">
        <f t="shared" si="4"/>
        <v>750</v>
      </c>
      <c r="L125" s="243">
        <f t="shared" si="4"/>
        <v>0</v>
      </c>
      <c r="M125" s="243">
        <f t="shared" si="4"/>
        <v>0</v>
      </c>
      <c r="N125" s="243">
        <f t="shared" si="4"/>
        <v>8109858</v>
      </c>
      <c r="O125" s="243">
        <f t="shared" si="4"/>
        <v>1250</v>
      </c>
      <c r="P125" s="243">
        <f t="shared" si="4"/>
        <v>580943</v>
      </c>
      <c r="Q125" s="243">
        <f t="shared" si="4"/>
        <v>750</v>
      </c>
      <c r="R125" s="243">
        <f t="shared" si="4"/>
        <v>5697355</v>
      </c>
      <c r="S125" s="243">
        <f t="shared" si="4"/>
        <v>1000</v>
      </c>
      <c r="T125" s="243">
        <f t="shared" si="4"/>
        <v>354675</v>
      </c>
      <c r="U125" s="243">
        <f t="shared" si="4"/>
        <v>0</v>
      </c>
      <c r="V125" s="243">
        <f t="shared" si="4"/>
        <v>47887</v>
      </c>
      <c r="W125" s="243">
        <f t="shared" si="4"/>
        <v>500</v>
      </c>
      <c r="X125" s="243">
        <f t="shared" si="4"/>
        <v>142931</v>
      </c>
      <c r="Y125" s="243">
        <f t="shared" si="4"/>
        <v>850</v>
      </c>
      <c r="Z125" s="107"/>
      <c r="AA125" s="107"/>
      <c r="AB125" s="107"/>
      <c r="AC125" s="107"/>
    </row>
    <row r="126" spans="1:29" x14ac:dyDescent="0.2">
      <c r="A126" s="131"/>
      <c r="B126" s="982">
        <v>14739387</v>
      </c>
      <c r="C126" s="983"/>
      <c r="D126" s="983"/>
      <c r="E126" s="983"/>
      <c r="F126" s="983"/>
      <c r="G126" s="983"/>
      <c r="H126" s="617">
        <v>250</v>
      </c>
      <c r="I126" s="618"/>
      <c r="J126" s="616"/>
      <c r="K126" s="617"/>
      <c r="L126" s="617"/>
      <c r="M126" s="618"/>
      <c r="N126" s="616">
        <v>14742834</v>
      </c>
      <c r="O126" s="332"/>
      <c r="P126" s="332"/>
      <c r="Q126" s="332"/>
      <c r="R126" s="332"/>
      <c r="S126" s="332"/>
      <c r="T126" s="332"/>
      <c r="U126" s="333"/>
      <c r="V126" s="616"/>
      <c r="W126" s="617"/>
      <c r="X126" s="617"/>
      <c r="Y126" s="618"/>
      <c r="Z126" s="107"/>
      <c r="AA126" s="107"/>
      <c r="AB126" s="107"/>
      <c r="AC126" s="107"/>
    </row>
    <row r="127" spans="1:29" x14ac:dyDescent="0.2">
      <c r="A127" s="131" t="s">
        <v>3542</v>
      </c>
      <c r="B127" s="145"/>
      <c r="C127" s="145"/>
      <c r="D127" s="145"/>
      <c r="E127" s="145"/>
      <c r="F127" s="145"/>
      <c r="G127" s="145"/>
      <c r="H127" s="145"/>
      <c r="I127" s="145"/>
      <c r="J127" s="145"/>
      <c r="K127" s="145"/>
      <c r="L127" s="145"/>
      <c r="M127" s="145"/>
      <c r="N127" s="145"/>
      <c r="O127" s="145"/>
      <c r="P127" s="145"/>
      <c r="Q127" s="145"/>
      <c r="R127" s="145"/>
      <c r="S127" s="145"/>
      <c r="T127" s="145"/>
      <c r="U127" s="145"/>
      <c r="V127" s="145"/>
      <c r="W127" s="145"/>
      <c r="X127" s="145"/>
      <c r="Y127" s="307"/>
      <c r="Z127" s="107"/>
      <c r="AA127" s="107"/>
      <c r="AB127" s="107"/>
      <c r="AC127" s="107"/>
    </row>
    <row r="128" spans="1:29" x14ac:dyDescent="0.2">
      <c r="A128" s="131"/>
      <c r="B128" s="145"/>
      <c r="C128" s="1055" t="s">
        <v>3543</v>
      </c>
      <c r="D128" s="1055"/>
      <c r="E128" s="1055" t="s">
        <v>3544</v>
      </c>
      <c r="F128" s="1055"/>
      <c r="G128" s="145"/>
      <c r="H128" s="145"/>
      <c r="I128" s="145"/>
      <c r="J128" s="145"/>
      <c r="K128" s="145"/>
      <c r="L128" s="145"/>
      <c r="M128" s="145"/>
      <c r="N128" s="145"/>
      <c r="O128" s="145"/>
      <c r="P128" s="145"/>
      <c r="Q128" s="145"/>
      <c r="R128" s="145"/>
      <c r="S128" s="145"/>
      <c r="T128" s="145"/>
      <c r="U128" s="145"/>
      <c r="V128" s="145"/>
      <c r="W128" s="145"/>
      <c r="X128" s="145"/>
      <c r="Y128" s="307"/>
      <c r="Z128" s="107"/>
      <c r="AA128" s="107"/>
      <c r="AB128" s="107"/>
      <c r="AC128" s="107"/>
    </row>
    <row r="129" spans="1:29" x14ac:dyDescent="0.2">
      <c r="A129" s="140" t="s">
        <v>3545</v>
      </c>
      <c r="B129" s="145" t="s">
        <v>3546</v>
      </c>
      <c r="C129" s="145">
        <v>4425</v>
      </c>
      <c r="D129" s="145"/>
      <c r="E129" s="145">
        <v>24925</v>
      </c>
      <c r="F129" s="145"/>
      <c r="G129" s="145"/>
      <c r="H129" s="145"/>
      <c r="I129" s="145"/>
      <c r="J129" s="145"/>
      <c r="K129" s="145"/>
      <c r="L129" s="145"/>
      <c r="M129" s="145"/>
      <c r="N129" s="145"/>
      <c r="O129" s="145"/>
      <c r="P129" s="145"/>
      <c r="Q129" s="145"/>
      <c r="R129" s="145"/>
      <c r="S129" s="145"/>
      <c r="T129" s="145"/>
      <c r="U129" s="145"/>
      <c r="V129" s="145"/>
      <c r="W129" s="145"/>
      <c r="X129" s="145"/>
      <c r="Y129" s="307"/>
      <c r="Z129" s="107"/>
      <c r="AA129" s="107"/>
      <c r="AB129" s="107"/>
      <c r="AC129" s="107"/>
    </row>
    <row r="130" spans="1:29" x14ac:dyDescent="0.2">
      <c r="A130" s="140" t="s">
        <v>3547</v>
      </c>
      <c r="B130" s="145" t="s">
        <v>3548</v>
      </c>
      <c r="C130" s="145">
        <v>273900</v>
      </c>
      <c r="D130" s="145"/>
      <c r="E130" s="145">
        <v>24750</v>
      </c>
      <c r="F130" s="145"/>
      <c r="G130" s="145"/>
      <c r="H130" s="145"/>
      <c r="I130" s="145"/>
      <c r="J130" s="145"/>
      <c r="K130" s="145"/>
      <c r="L130" s="145"/>
      <c r="M130" s="145"/>
      <c r="N130" s="145"/>
      <c r="O130" s="145"/>
      <c r="P130" s="145"/>
      <c r="Q130" s="145"/>
      <c r="R130" s="145"/>
      <c r="S130" s="145"/>
      <c r="T130" s="145"/>
      <c r="U130" s="145"/>
      <c r="V130" s="145"/>
      <c r="W130" s="145"/>
      <c r="X130" s="145"/>
      <c r="Y130" s="307"/>
      <c r="Z130" s="107"/>
      <c r="AA130" s="107"/>
      <c r="AB130" s="107"/>
      <c r="AC130" s="107"/>
    </row>
    <row r="131" spans="1:29" x14ac:dyDescent="0.2">
      <c r="A131" s="131" t="s">
        <v>3549</v>
      </c>
      <c r="B131" s="145" t="s">
        <v>3548</v>
      </c>
      <c r="C131" s="145">
        <v>24750</v>
      </c>
      <c r="D131" s="145"/>
      <c r="E131" s="145"/>
      <c r="F131" s="145"/>
      <c r="G131" s="145"/>
      <c r="H131" s="145"/>
      <c r="I131" s="145"/>
      <c r="J131" s="145"/>
      <c r="K131" s="145"/>
      <c r="L131" s="145"/>
      <c r="M131" s="145"/>
      <c r="N131" s="145"/>
      <c r="O131" s="145"/>
      <c r="P131" s="145"/>
      <c r="Q131" s="145"/>
      <c r="R131" s="145"/>
      <c r="S131" s="145"/>
      <c r="T131" s="145"/>
      <c r="U131" s="145"/>
      <c r="V131" s="145"/>
      <c r="W131" s="145"/>
      <c r="X131" s="145"/>
      <c r="Y131" s="307"/>
      <c r="Z131" s="107"/>
      <c r="AA131" s="107"/>
      <c r="AB131" s="107"/>
      <c r="AC131" s="107"/>
    </row>
    <row r="132" spans="1:29" ht="16" thickBot="1" x14ac:dyDescent="0.25">
      <c r="A132" s="131"/>
      <c r="B132" s="145"/>
      <c r="C132" s="595">
        <v>303075</v>
      </c>
      <c r="D132" s="595"/>
      <c r="E132" s="595">
        <v>49675</v>
      </c>
      <c r="F132" s="595"/>
      <c r="G132" s="145"/>
      <c r="H132" s="145"/>
      <c r="I132" s="145"/>
      <c r="J132" s="145"/>
      <c r="K132" s="145"/>
      <c r="L132" s="145"/>
      <c r="M132" s="145"/>
      <c r="N132" s="145"/>
      <c r="O132" s="145"/>
      <c r="P132" s="145"/>
      <c r="Q132" s="145"/>
      <c r="R132" s="145"/>
      <c r="S132" s="145"/>
      <c r="T132" s="145"/>
      <c r="U132" s="145"/>
      <c r="V132" s="145"/>
      <c r="W132" s="145"/>
      <c r="X132" s="145"/>
      <c r="Y132" s="307"/>
      <c r="Z132" s="107"/>
      <c r="AA132" s="107"/>
      <c r="AB132" s="107"/>
      <c r="AC132" s="107"/>
    </row>
    <row r="133" spans="1:29" x14ac:dyDescent="0.2">
      <c r="A133" s="131"/>
      <c r="B133" s="145"/>
      <c r="C133" s="138">
        <f>+SUM(C129:C131)</f>
        <v>303075</v>
      </c>
      <c r="D133" s="138"/>
      <c r="E133" s="138">
        <f>+SUM(E129:E131)</f>
        <v>49675</v>
      </c>
      <c r="F133" s="138"/>
      <c r="G133" s="145"/>
      <c r="H133" s="145"/>
      <c r="I133" s="145"/>
      <c r="J133" s="145"/>
      <c r="K133" s="145"/>
      <c r="L133" s="145"/>
      <c r="M133" s="145"/>
      <c r="N133" s="145"/>
      <c r="O133" s="145"/>
      <c r="P133" s="145"/>
      <c r="Q133" s="145"/>
      <c r="R133" s="145"/>
      <c r="S133" s="145"/>
      <c r="T133" s="145"/>
      <c r="U133" s="145"/>
      <c r="V133" s="145"/>
      <c r="W133" s="145"/>
      <c r="X133" s="145"/>
      <c r="Y133" s="307"/>
      <c r="Z133" s="107"/>
      <c r="AA133" s="107"/>
      <c r="AB133" s="107"/>
      <c r="AC133" s="107"/>
    </row>
    <row r="134" spans="1:29" x14ac:dyDescent="0.2">
      <c r="A134" s="514" t="s">
        <v>3550</v>
      </c>
      <c r="B134" s="515"/>
      <c r="C134" s="515"/>
      <c r="D134" s="515"/>
      <c r="E134" s="515"/>
      <c r="F134" s="515"/>
      <c r="G134" s="515"/>
      <c r="H134" s="515"/>
      <c r="I134" s="515"/>
      <c r="J134" s="515"/>
      <c r="K134" s="515"/>
      <c r="L134" s="515"/>
      <c r="M134" s="515"/>
      <c r="N134" s="515"/>
      <c r="O134" s="515"/>
      <c r="P134" s="515"/>
      <c r="Q134" s="515"/>
      <c r="R134" s="515"/>
      <c r="S134" s="515"/>
      <c r="T134" s="515"/>
      <c r="U134" s="515"/>
      <c r="V134" s="515"/>
      <c r="W134" s="515"/>
      <c r="X134" s="515"/>
      <c r="Y134" s="1029"/>
      <c r="Z134" s="107"/>
      <c r="AA134" s="107"/>
      <c r="AB134" s="107"/>
      <c r="AC134" s="107"/>
    </row>
    <row r="135" spans="1:29" x14ac:dyDescent="0.2">
      <c r="A135" s="107"/>
      <c r="B135" s="107"/>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c r="Y135" s="107"/>
      <c r="Z135" s="107"/>
      <c r="AA135" s="107"/>
      <c r="AB135" s="107"/>
      <c r="AC135" s="107"/>
    </row>
    <row r="136" spans="1:29" x14ac:dyDescent="0.2">
      <c r="A136" s="107"/>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c r="AA136" s="107"/>
      <c r="AB136" s="107"/>
      <c r="AC136" s="107"/>
    </row>
    <row r="137" spans="1:29" x14ac:dyDescent="0.2">
      <c r="A137" s="107"/>
      <c r="B137" s="107"/>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c r="Y137" s="107"/>
      <c r="Z137" s="107"/>
      <c r="AA137" s="107"/>
      <c r="AB137" s="107"/>
      <c r="AC137" s="107"/>
    </row>
    <row r="138" spans="1:29" x14ac:dyDescent="0.2">
      <c r="A138" s="526" t="s">
        <v>1934</v>
      </c>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c r="AA138" s="107"/>
      <c r="AB138" s="107"/>
      <c r="AC138" s="107"/>
    </row>
    <row r="139" spans="1:29" ht="23.5" customHeight="1" x14ac:dyDescent="0.2">
      <c r="A139" s="998" t="s">
        <v>3551</v>
      </c>
      <c r="B139" s="998"/>
      <c r="C139" s="998"/>
      <c r="D139" s="998"/>
      <c r="E139" s="998"/>
      <c r="F139" s="998"/>
      <c r="G139" s="998"/>
      <c r="H139" s="998"/>
      <c r="I139" s="998"/>
      <c r="J139" s="998"/>
      <c r="K139" s="998"/>
      <c r="L139" s="998"/>
      <c r="M139" s="998"/>
      <c r="N139" s="998"/>
      <c r="O139" s="998"/>
      <c r="P139" s="998"/>
      <c r="Q139" s="998"/>
      <c r="R139" s="998"/>
      <c r="S139" s="998"/>
      <c r="T139" s="998"/>
      <c r="U139" s="998"/>
      <c r="V139" s="998"/>
      <c r="W139" s="998"/>
      <c r="X139" s="998"/>
      <c r="Y139" s="998"/>
      <c r="Z139" s="998"/>
      <c r="AA139" s="998"/>
      <c r="AB139" s="998"/>
      <c r="AC139" s="998"/>
    </row>
    <row r="140" spans="1:29" ht="25.25" customHeight="1" x14ac:dyDescent="0.2">
      <c r="A140" s="967" t="s">
        <v>3516</v>
      </c>
      <c r="B140" s="967" t="s">
        <v>1363</v>
      </c>
      <c r="C140" s="967"/>
      <c r="D140" s="967"/>
      <c r="E140" s="967"/>
      <c r="F140" s="967"/>
      <c r="G140" s="967"/>
      <c r="H140" s="967" t="s">
        <v>1364</v>
      </c>
      <c r="I140" s="967"/>
      <c r="J140" s="967"/>
      <c r="K140" s="967"/>
      <c r="L140" s="967"/>
      <c r="M140" s="967"/>
      <c r="N140" s="967"/>
      <c r="O140" s="967"/>
      <c r="P140" s="967"/>
      <c r="Q140" s="967"/>
      <c r="R140" s="967"/>
      <c r="S140" s="967"/>
      <c r="T140" s="967"/>
      <c r="U140" s="967"/>
      <c r="V140" s="967"/>
      <c r="W140" s="967"/>
      <c r="X140" s="967"/>
      <c r="Y140" s="967"/>
      <c r="Z140" s="967"/>
      <c r="AA140" s="967"/>
      <c r="AB140" s="967"/>
      <c r="AC140" s="967"/>
    </row>
    <row r="141" spans="1:29" ht="40.25" customHeight="1" x14ac:dyDescent="0.2">
      <c r="A141" s="967"/>
      <c r="B141" s="1036" t="s">
        <v>3552</v>
      </c>
      <c r="C141" s="1036"/>
      <c r="D141" s="1054" t="s">
        <v>3553</v>
      </c>
      <c r="E141" s="1036"/>
      <c r="F141" s="1036" t="s">
        <v>2519</v>
      </c>
      <c r="G141" s="1036"/>
      <c r="H141" s="1036" t="s">
        <v>3554</v>
      </c>
      <c r="I141" s="1036"/>
      <c r="J141" s="1036"/>
      <c r="K141" s="1036" t="s">
        <v>3555</v>
      </c>
      <c r="L141" s="1036"/>
      <c r="M141" s="1035" t="s">
        <v>3556</v>
      </c>
      <c r="N141" s="1035"/>
      <c r="O141" s="1035"/>
      <c r="P141" s="1036" t="s">
        <v>3557</v>
      </c>
      <c r="Q141" s="1036"/>
      <c r="R141" s="1035" t="s">
        <v>2742</v>
      </c>
      <c r="S141" s="1035"/>
      <c r="T141" s="1035"/>
      <c r="U141" s="1035" t="s">
        <v>2519</v>
      </c>
      <c r="V141" s="1035"/>
      <c r="W141" s="1035"/>
      <c r="X141" s="1035" t="s">
        <v>3558</v>
      </c>
      <c r="Y141" s="1035"/>
      <c r="Z141" s="1035"/>
      <c r="AA141" s="1035" t="s">
        <v>3323</v>
      </c>
      <c r="AB141" s="1035"/>
      <c r="AC141" s="1035"/>
    </row>
    <row r="142" spans="1:29" x14ac:dyDescent="0.2">
      <c r="A142" s="967"/>
      <c r="B142" s="1034" t="s">
        <v>3373</v>
      </c>
      <c r="C142" s="1034" t="s">
        <v>3374</v>
      </c>
      <c r="D142" s="1056" t="s">
        <v>3373</v>
      </c>
      <c r="E142" s="1034" t="s">
        <v>3374</v>
      </c>
      <c r="F142" s="1034" t="s">
        <v>3373</v>
      </c>
      <c r="G142" s="1034" t="s">
        <v>3374</v>
      </c>
      <c r="H142" s="1034" t="s">
        <v>3373</v>
      </c>
      <c r="I142" s="1035" t="s">
        <v>3374</v>
      </c>
      <c r="J142" s="1035"/>
      <c r="K142" s="1056" t="s">
        <v>3373</v>
      </c>
      <c r="L142" s="1034" t="s">
        <v>3374</v>
      </c>
      <c r="M142" s="1034" t="s">
        <v>3373</v>
      </c>
      <c r="N142" s="1035" t="s">
        <v>3374</v>
      </c>
      <c r="O142" s="1035"/>
      <c r="P142" s="1034" t="s">
        <v>3373</v>
      </c>
      <c r="Q142" s="1034" t="s">
        <v>3374</v>
      </c>
      <c r="R142" s="1034" t="s">
        <v>3373</v>
      </c>
      <c r="S142" s="1035" t="s">
        <v>3374</v>
      </c>
      <c r="T142" s="1035"/>
      <c r="U142" s="1034" t="s">
        <v>3373</v>
      </c>
      <c r="V142" s="1035" t="s">
        <v>3374</v>
      </c>
      <c r="W142" s="1035"/>
      <c r="X142" s="1034" t="s">
        <v>3373</v>
      </c>
      <c r="Y142" s="1035" t="s">
        <v>3374</v>
      </c>
      <c r="Z142" s="1035"/>
      <c r="AA142" s="1034" t="s">
        <v>3373</v>
      </c>
      <c r="AB142" s="1035" t="s">
        <v>3374</v>
      </c>
      <c r="AC142" s="1035"/>
    </row>
    <row r="143" spans="1:29" x14ac:dyDescent="0.2">
      <c r="A143" s="533" t="s">
        <v>3524</v>
      </c>
      <c r="B143" s="349">
        <v>398925</v>
      </c>
      <c r="C143" s="717">
        <v>30</v>
      </c>
      <c r="D143" s="349">
        <v>132</v>
      </c>
      <c r="E143" s="717">
        <v>60</v>
      </c>
      <c r="F143" s="349">
        <v>399057</v>
      </c>
      <c r="G143" s="717">
        <v>90</v>
      </c>
      <c r="H143" s="349">
        <v>89100</v>
      </c>
      <c r="I143" s="350">
        <v>95</v>
      </c>
      <c r="J143" s="352"/>
      <c r="K143" s="350">
        <v>8467</v>
      </c>
      <c r="L143" s="350">
        <v>30</v>
      </c>
      <c r="M143" s="349">
        <v>12123</v>
      </c>
      <c r="N143" s="350">
        <v>30</v>
      </c>
      <c r="O143" s="352" t="s">
        <v>3559</v>
      </c>
      <c r="P143" s="350">
        <v>43</v>
      </c>
      <c r="Q143" s="350">
        <v>80</v>
      </c>
      <c r="R143" s="349">
        <v>1421</v>
      </c>
      <c r="S143" s="350">
        <v>25</v>
      </c>
      <c r="T143" s="717" t="s">
        <v>3560</v>
      </c>
      <c r="U143" s="350">
        <v>111156</v>
      </c>
      <c r="V143" s="350">
        <v>60</v>
      </c>
      <c r="W143" s="352" t="s">
        <v>3561</v>
      </c>
      <c r="X143" s="349">
        <v>287901</v>
      </c>
      <c r="Y143" s="350">
        <v>30</v>
      </c>
      <c r="Z143" s="352"/>
      <c r="AA143" s="350"/>
      <c r="AB143" s="350"/>
      <c r="AC143" s="352"/>
    </row>
    <row r="144" spans="1:29" x14ac:dyDescent="0.2">
      <c r="A144" s="533" t="s">
        <v>3525</v>
      </c>
      <c r="B144" s="131">
        <v>133065</v>
      </c>
      <c r="C144" s="307">
        <v>40</v>
      </c>
      <c r="D144" s="131"/>
      <c r="E144" s="307"/>
      <c r="F144" s="131">
        <v>133065</v>
      </c>
      <c r="G144" s="307">
        <v>40</v>
      </c>
      <c r="H144" s="131">
        <v>22595</v>
      </c>
      <c r="I144" s="145">
        <v>25</v>
      </c>
      <c r="J144" s="133"/>
      <c r="K144" s="145">
        <v>3444</v>
      </c>
      <c r="L144" s="145"/>
      <c r="M144" s="131">
        <v>2679</v>
      </c>
      <c r="N144" s="145"/>
      <c r="O144" s="133"/>
      <c r="P144" s="145"/>
      <c r="Q144" s="145"/>
      <c r="R144" s="131">
        <v>162</v>
      </c>
      <c r="S144" s="145">
        <v>10</v>
      </c>
      <c r="T144" s="307"/>
      <c r="U144" s="145">
        <v>28880</v>
      </c>
      <c r="V144" s="145">
        <v>35</v>
      </c>
      <c r="W144" s="133"/>
      <c r="X144" s="131">
        <v>104185</v>
      </c>
      <c r="Y144" s="145">
        <v>5</v>
      </c>
      <c r="Z144" s="133"/>
      <c r="AA144" s="145"/>
      <c r="AB144" s="145"/>
      <c r="AC144" s="133"/>
    </row>
    <row r="145" spans="1:29" x14ac:dyDescent="0.2">
      <c r="A145" s="533" t="s">
        <v>3526</v>
      </c>
      <c r="B145" s="131">
        <v>46807</v>
      </c>
      <c r="C145" s="307">
        <v>40</v>
      </c>
      <c r="D145" s="131"/>
      <c r="E145" s="307"/>
      <c r="F145" s="131">
        <v>46807</v>
      </c>
      <c r="G145" s="307">
        <v>40</v>
      </c>
      <c r="H145" s="131">
        <v>6067</v>
      </c>
      <c r="I145" s="145">
        <v>55</v>
      </c>
      <c r="J145" s="133"/>
      <c r="K145" s="145">
        <v>2124</v>
      </c>
      <c r="L145" s="145"/>
      <c r="M145" s="131">
        <v>851</v>
      </c>
      <c r="N145" s="145"/>
      <c r="O145" s="133"/>
      <c r="P145" s="145"/>
      <c r="Q145" s="145"/>
      <c r="R145" s="131">
        <v>72</v>
      </c>
      <c r="S145" s="145"/>
      <c r="T145" s="307"/>
      <c r="U145" s="145">
        <v>9114</v>
      </c>
      <c r="V145" s="145">
        <v>55</v>
      </c>
      <c r="W145" s="133"/>
      <c r="X145" s="131">
        <v>37692</v>
      </c>
      <c r="Y145" s="145">
        <v>85</v>
      </c>
      <c r="Z145" s="133"/>
      <c r="AA145" s="145"/>
      <c r="AB145" s="145"/>
      <c r="AC145" s="133"/>
    </row>
    <row r="146" spans="1:29" x14ac:dyDescent="0.2">
      <c r="A146" s="533" t="s">
        <v>3527</v>
      </c>
      <c r="B146" s="131">
        <v>58935</v>
      </c>
      <c r="C146" s="307">
        <v>90</v>
      </c>
      <c r="D146" s="131"/>
      <c r="E146" s="307"/>
      <c r="F146" s="131">
        <v>58935</v>
      </c>
      <c r="G146" s="307">
        <v>90</v>
      </c>
      <c r="H146" s="131">
        <v>13449</v>
      </c>
      <c r="I146" s="145">
        <v>60</v>
      </c>
      <c r="J146" s="133"/>
      <c r="K146" s="145">
        <v>1799</v>
      </c>
      <c r="L146" s="145">
        <v>90</v>
      </c>
      <c r="M146" s="131">
        <v>2589</v>
      </c>
      <c r="N146" s="145"/>
      <c r="O146" s="133"/>
      <c r="P146" s="145"/>
      <c r="Q146" s="145"/>
      <c r="R146" s="131">
        <v>66</v>
      </c>
      <c r="S146" s="145">
        <v>80</v>
      </c>
      <c r="T146" s="307"/>
      <c r="U146" s="145">
        <v>17905</v>
      </c>
      <c r="V146" s="145">
        <v>30</v>
      </c>
      <c r="W146" s="133"/>
      <c r="X146" s="131">
        <v>41030</v>
      </c>
      <c r="Y146" s="145">
        <v>60</v>
      </c>
      <c r="Z146" s="133"/>
      <c r="AA146" s="145"/>
      <c r="AB146" s="145"/>
      <c r="AC146" s="133"/>
    </row>
    <row r="147" spans="1:29" x14ac:dyDescent="0.2">
      <c r="A147" s="533" t="s">
        <v>3528</v>
      </c>
      <c r="B147" s="230">
        <v>2837</v>
      </c>
      <c r="C147" s="364">
        <v>40</v>
      </c>
      <c r="D147" s="230">
        <v>20</v>
      </c>
      <c r="E147" s="364">
        <v>70</v>
      </c>
      <c r="F147" s="230">
        <v>2858</v>
      </c>
      <c r="G147" s="364">
        <v>10</v>
      </c>
      <c r="H147" s="230"/>
      <c r="I147" s="309"/>
      <c r="J147" s="231"/>
      <c r="K147" s="309">
        <v>711</v>
      </c>
      <c r="L147" s="309"/>
      <c r="M147" s="230">
        <v>759</v>
      </c>
      <c r="N147" s="309"/>
      <c r="O147" s="231"/>
      <c r="P147" s="309">
        <v>8</v>
      </c>
      <c r="Q147" s="309">
        <v>15</v>
      </c>
      <c r="R147" s="230">
        <v>139</v>
      </c>
      <c r="S147" s="309">
        <v>35</v>
      </c>
      <c r="T147" s="364"/>
      <c r="U147" s="309">
        <v>1167</v>
      </c>
      <c r="V147" s="309">
        <v>50</v>
      </c>
      <c r="W147" s="231"/>
      <c r="X147" s="230">
        <v>1240</v>
      </c>
      <c r="Y147" s="309">
        <v>60</v>
      </c>
      <c r="Z147" s="231"/>
      <c r="AA147" s="309"/>
      <c r="AB147" s="309"/>
      <c r="AC147" s="231"/>
    </row>
    <row r="148" spans="1:29" x14ac:dyDescent="0.2">
      <c r="A148" s="533" t="s">
        <v>3529</v>
      </c>
      <c r="B148" s="349">
        <v>640571</v>
      </c>
      <c r="C148" s="717">
        <v>40</v>
      </c>
      <c r="D148" s="349">
        <v>153</v>
      </c>
      <c r="E148" s="717">
        <v>30</v>
      </c>
      <c r="F148" s="349">
        <v>640724</v>
      </c>
      <c r="G148" s="717">
        <v>70</v>
      </c>
      <c r="H148" s="349">
        <v>131213</v>
      </c>
      <c r="I148" s="350">
        <v>35</v>
      </c>
      <c r="J148" s="352"/>
      <c r="K148" s="350">
        <v>16546</v>
      </c>
      <c r="L148" s="350">
        <v>20</v>
      </c>
      <c r="M148" s="349">
        <v>19001</v>
      </c>
      <c r="N148" s="350">
        <v>30</v>
      </c>
      <c r="O148" s="352"/>
      <c r="P148" s="350">
        <v>51</v>
      </c>
      <c r="Q148" s="350">
        <v>95</v>
      </c>
      <c r="R148" s="349">
        <v>1861</v>
      </c>
      <c r="S148" s="350">
        <v>50</v>
      </c>
      <c r="T148" s="717"/>
      <c r="U148" s="350">
        <v>168674</v>
      </c>
      <c r="V148" s="350">
        <v>30</v>
      </c>
      <c r="W148" s="352"/>
      <c r="X148" s="349">
        <v>472050</v>
      </c>
      <c r="Y148" s="350">
        <v>40</v>
      </c>
      <c r="Z148" s="352"/>
      <c r="AA148" s="350"/>
      <c r="AB148" s="350"/>
      <c r="AC148" s="352"/>
    </row>
    <row r="149" spans="1:29" x14ac:dyDescent="0.2">
      <c r="A149" s="533" t="s">
        <v>3530</v>
      </c>
      <c r="B149" s="131">
        <v>80035</v>
      </c>
      <c r="C149" s="307">
        <v>20</v>
      </c>
      <c r="D149" s="131">
        <v>3</v>
      </c>
      <c r="E149" s="307">
        <v>20</v>
      </c>
      <c r="F149" s="131">
        <v>80038</v>
      </c>
      <c r="G149" s="307">
        <v>40</v>
      </c>
      <c r="H149" s="131">
        <v>33608</v>
      </c>
      <c r="I149" s="145">
        <v>25</v>
      </c>
      <c r="J149" s="133"/>
      <c r="K149" s="145">
        <v>5151</v>
      </c>
      <c r="L149" s="145">
        <v>95</v>
      </c>
      <c r="M149" s="131">
        <v>5669</v>
      </c>
      <c r="N149" s="145">
        <v>32</v>
      </c>
      <c r="O149" s="133">
        <v>0.5</v>
      </c>
      <c r="P149" s="145"/>
      <c r="Q149" s="145"/>
      <c r="R149" s="131">
        <v>894</v>
      </c>
      <c r="S149" s="145">
        <v>40</v>
      </c>
      <c r="T149" s="307"/>
      <c r="U149" s="145">
        <v>45323</v>
      </c>
      <c r="V149" s="145">
        <v>92</v>
      </c>
      <c r="W149" s="133">
        <v>0.5</v>
      </c>
      <c r="X149" s="131">
        <v>34714</v>
      </c>
      <c r="Y149" s="145">
        <v>47</v>
      </c>
      <c r="Z149" s="133">
        <v>0.5</v>
      </c>
      <c r="AA149" s="145"/>
      <c r="AB149" s="145"/>
      <c r="AC149" s="133"/>
    </row>
    <row r="150" spans="1:29" x14ac:dyDescent="0.2">
      <c r="A150" s="533" t="s">
        <v>3531</v>
      </c>
      <c r="B150" s="230">
        <v>4694</v>
      </c>
      <c r="C150" s="364">
        <v>95</v>
      </c>
      <c r="D150" s="230">
        <v>6</v>
      </c>
      <c r="E150" s="364">
        <v>40</v>
      </c>
      <c r="F150" s="230">
        <v>4701</v>
      </c>
      <c r="G150" s="364">
        <v>35</v>
      </c>
      <c r="H150" s="230">
        <v>1000</v>
      </c>
      <c r="I150" s="309">
        <v>25</v>
      </c>
      <c r="J150" s="231"/>
      <c r="K150" s="309">
        <v>1303</v>
      </c>
      <c r="L150" s="309">
        <v>85</v>
      </c>
      <c r="M150" s="230">
        <v>5708</v>
      </c>
      <c r="N150" s="309">
        <v>42</v>
      </c>
      <c r="O150" s="231">
        <v>0.5</v>
      </c>
      <c r="P150" s="309"/>
      <c r="Q150" s="309"/>
      <c r="R150" s="230">
        <v>136</v>
      </c>
      <c r="S150" s="309">
        <v>70</v>
      </c>
      <c r="T150" s="364"/>
      <c r="U150" s="309">
        <v>8149</v>
      </c>
      <c r="V150" s="309">
        <v>12</v>
      </c>
      <c r="W150" s="231">
        <v>0.5</v>
      </c>
      <c r="X150" s="230"/>
      <c r="Y150" s="309"/>
      <c r="Z150" s="231"/>
      <c r="AA150" s="309">
        <v>3447</v>
      </c>
      <c r="AB150" s="309">
        <v>77</v>
      </c>
      <c r="AC150" s="231">
        <v>0.5</v>
      </c>
    </row>
    <row r="151" spans="1:29" x14ac:dyDescent="0.2">
      <c r="A151" s="533" t="s">
        <v>3529</v>
      </c>
      <c r="B151" s="131">
        <v>725301</v>
      </c>
      <c r="C151" s="307">
        <v>55</v>
      </c>
      <c r="D151" s="131">
        <v>162</v>
      </c>
      <c r="E151" s="307">
        <v>90</v>
      </c>
      <c r="F151" s="131">
        <v>725464</v>
      </c>
      <c r="G151" s="307">
        <v>45</v>
      </c>
      <c r="H151" s="131">
        <v>165821</v>
      </c>
      <c r="I151" s="145">
        <v>85</v>
      </c>
      <c r="J151" s="133"/>
      <c r="K151" s="145">
        <v>23002</v>
      </c>
      <c r="L151" s="145"/>
      <c r="M151" s="131">
        <v>30379</v>
      </c>
      <c r="N151" s="145">
        <v>5</v>
      </c>
      <c r="O151" s="133"/>
      <c r="P151" s="145">
        <v>51</v>
      </c>
      <c r="Q151" s="145">
        <v>95</v>
      </c>
      <c r="R151" s="131">
        <v>2892</v>
      </c>
      <c r="S151" s="145">
        <v>60</v>
      </c>
      <c r="T151" s="307"/>
      <c r="U151" s="145">
        <v>222147</v>
      </c>
      <c r="V151" s="145">
        <v>35</v>
      </c>
      <c r="W151" s="133"/>
      <c r="X151" s="131">
        <v>506764</v>
      </c>
      <c r="Y151" s="145">
        <v>87</v>
      </c>
      <c r="Z151" s="133">
        <v>0.5</v>
      </c>
      <c r="AA151" s="145">
        <v>3447</v>
      </c>
      <c r="AB151" s="145">
        <v>77</v>
      </c>
      <c r="AC151" s="133">
        <v>0.5</v>
      </c>
    </row>
    <row r="152" spans="1:29" x14ac:dyDescent="0.2">
      <c r="A152" s="534" t="s">
        <v>3541</v>
      </c>
      <c r="B152" s="131">
        <v>25571</v>
      </c>
      <c r="C152" s="307">
        <v>80</v>
      </c>
      <c r="D152" s="131"/>
      <c r="E152" s="307"/>
      <c r="F152" s="131">
        <v>25571</v>
      </c>
      <c r="G152" s="307">
        <v>80</v>
      </c>
      <c r="H152" s="131"/>
      <c r="I152" s="145"/>
      <c r="J152" s="133"/>
      <c r="K152" s="145">
        <v>1146</v>
      </c>
      <c r="L152" s="145">
        <v>75</v>
      </c>
      <c r="M152" s="131">
        <v>1109</v>
      </c>
      <c r="N152" s="145">
        <v>75</v>
      </c>
      <c r="O152" s="133"/>
      <c r="P152" s="145"/>
      <c r="Q152" s="145"/>
      <c r="R152" s="131">
        <v>11804</v>
      </c>
      <c r="S152" s="145">
        <v>15</v>
      </c>
      <c r="T152" s="307"/>
      <c r="U152" s="145">
        <v>14060</v>
      </c>
      <c r="V152" s="145">
        <v>65</v>
      </c>
      <c r="W152" s="133"/>
      <c r="X152" s="131">
        <v>11511</v>
      </c>
      <c r="Y152" s="145">
        <v>15</v>
      </c>
      <c r="Z152" s="133"/>
      <c r="AA152" s="145"/>
      <c r="AB152" s="145"/>
      <c r="AC152" s="133"/>
    </row>
    <row r="153" spans="1:29" x14ac:dyDescent="0.2">
      <c r="A153" s="533" t="s">
        <v>3532</v>
      </c>
      <c r="B153" s="131">
        <v>3256</v>
      </c>
      <c r="C153" s="307">
        <v>90</v>
      </c>
      <c r="D153" s="131"/>
      <c r="E153" s="307"/>
      <c r="F153" s="131">
        <v>3256</v>
      </c>
      <c r="G153" s="307">
        <v>90</v>
      </c>
      <c r="H153" s="131">
        <v>729</v>
      </c>
      <c r="I153" s="145">
        <v>47</v>
      </c>
      <c r="J153" s="133">
        <v>0.5</v>
      </c>
      <c r="K153" s="145">
        <v>1298</v>
      </c>
      <c r="L153" s="145">
        <v>15</v>
      </c>
      <c r="M153" s="131">
        <v>494</v>
      </c>
      <c r="N153" s="145">
        <v>15</v>
      </c>
      <c r="O153" s="133"/>
      <c r="P153" s="145"/>
      <c r="Q153" s="145"/>
      <c r="R153" s="131">
        <v>63</v>
      </c>
      <c r="S153" s="145">
        <v>25</v>
      </c>
      <c r="T153" s="307"/>
      <c r="U153" s="145">
        <v>2585</v>
      </c>
      <c r="V153" s="145">
        <v>2</v>
      </c>
      <c r="W153" s="133"/>
      <c r="X153" s="131">
        <v>671</v>
      </c>
      <c r="Y153" s="145">
        <v>87</v>
      </c>
      <c r="Z153" s="133">
        <v>0.5</v>
      </c>
      <c r="AA153" s="145"/>
      <c r="AB153" s="145"/>
      <c r="AC153" s="133"/>
    </row>
    <row r="154" spans="1:29" x14ac:dyDescent="0.2">
      <c r="A154" s="533" t="s">
        <v>3533</v>
      </c>
      <c r="B154" s="349">
        <v>754130</v>
      </c>
      <c r="C154" s="717">
        <v>25</v>
      </c>
      <c r="D154" s="349">
        <v>162</v>
      </c>
      <c r="E154" s="717">
        <v>90</v>
      </c>
      <c r="F154" s="349">
        <v>754293</v>
      </c>
      <c r="G154" s="717">
        <v>15</v>
      </c>
      <c r="H154" s="349">
        <v>166551</v>
      </c>
      <c r="I154" s="350">
        <v>32</v>
      </c>
      <c r="J154" s="352">
        <v>0.5</v>
      </c>
      <c r="K154" s="350">
        <v>25446</v>
      </c>
      <c r="L154" s="350">
        <v>90</v>
      </c>
      <c r="M154" s="349">
        <v>31982</v>
      </c>
      <c r="N154" s="350">
        <v>95</v>
      </c>
      <c r="O154" s="352"/>
      <c r="P154" s="350">
        <v>51</v>
      </c>
      <c r="Q154" s="350">
        <v>95</v>
      </c>
      <c r="R154" s="349">
        <v>14760</v>
      </c>
      <c r="S154" s="350"/>
      <c r="T154" s="717"/>
      <c r="U154" s="350">
        <v>238793</v>
      </c>
      <c r="V154" s="350">
        <v>2</v>
      </c>
      <c r="W154" s="352">
        <v>0.5</v>
      </c>
      <c r="X154" s="349">
        <v>518947</v>
      </c>
      <c r="Y154" s="350">
        <v>90</v>
      </c>
      <c r="Z154" s="352"/>
      <c r="AA154" s="350">
        <v>3447</v>
      </c>
      <c r="AB154" s="350">
        <v>77</v>
      </c>
      <c r="AC154" s="352">
        <v>0.5</v>
      </c>
    </row>
    <row r="155" spans="1:29" x14ac:dyDescent="0.2">
      <c r="A155" s="131"/>
      <c r="B155" s="345">
        <f>+B143+B144+B145+B146+B147+B149+B150+B152+B153</f>
        <v>754125</v>
      </c>
      <c r="C155" s="345">
        <f t="shared" ref="C155:AC155" si="5">+C143+C144+C145+C146+C147+C149+C150+C152+C153</f>
        <v>525</v>
      </c>
      <c r="D155" s="345">
        <f t="shared" si="5"/>
        <v>161</v>
      </c>
      <c r="E155" s="345">
        <f t="shared" si="5"/>
        <v>190</v>
      </c>
      <c r="F155" s="345">
        <f t="shared" si="5"/>
        <v>754288</v>
      </c>
      <c r="G155" s="345">
        <f t="shared" si="5"/>
        <v>515</v>
      </c>
      <c r="H155" s="345">
        <f t="shared" si="5"/>
        <v>166548</v>
      </c>
      <c r="I155" s="345">
        <f t="shared" si="5"/>
        <v>332</v>
      </c>
      <c r="J155" s="346">
        <f t="shared" si="5"/>
        <v>0.5</v>
      </c>
      <c r="K155" s="345">
        <f t="shared" si="5"/>
        <v>25443</v>
      </c>
      <c r="L155" s="345">
        <f t="shared" si="5"/>
        <v>390</v>
      </c>
      <c r="M155" s="345">
        <f t="shared" si="5"/>
        <v>31981</v>
      </c>
      <c r="N155" s="345">
        <f t="shared" si="5"/>
        <v>194</v>
      </c>
      <c r="O155" s="346">
        <f>+O149+O150</f>
        <v>1</v>
      </c>
      <c r="P155" s="345">
        <f t="shared" si="5"/>
        <v>51</v>
      </c>
      <c r="Q155" s="345">
        <f t="shared" si="5"/>
        <v>95</v>
      </c>
      <c r="R155" s="345">
        <f t="shared" si="5"/>
        <v>14757</v>
      </c>
      <c r="S155" s="345">
        <f t="shared" si="5"/>
        <v>300</v>
      </c>
      <c r="T155" s="345"/>
      <c r="U155" s="813">
        <f t="shared" si="5"/>
        <v>238339</v>
      </c>
      <c r="V155" s="813">
        <f t="shared" si="5"/>
        <v>401</v>
      </c>
      <c r="W155" s="1057">
        <f>+W149+W150</f>
        <v>1</v>
      </c>
      <c r="X155" s="345">
        <f t="shared" si="5"/>
        <v>518944</v>
      </c>
      <c r="Y155" s="345">
        <f t="shared" si="5"/>
        <v>389</v>
      </c>
      <c r="Z155" s="346">
        <f t="shared" si="5"/>
        <v>1</v>
      </c>
      <c r="AA155" s="345">
        <f t="shared" si="5"/>
        <v>3447</v>
      </c>
      <c r="AB155" s="345">
        <f t="shared" si="5"/>
        <v>77</v>
      </c>
      <c r="AC155" s="346">
        <f t="shared" si="5"/>
        <v>0.5</v>
      </c>
    </row>
    <row r="156" spans="1:29" x14ac:dyDescent="0.2">
      <c r="A156" s="1058" t="s">
        <v>3562</v>
      </c>
      <c r="B156" s="1059"/>
      <c r="C156" s="1059"/>
      <c r="D156" s="1059"/>
      <c r="E156" s="1059"/>
      <c r="F156" s="1059"/>
      <c r="G156" s="1059"/>
      <c r="H156" s="1059"/>
      <c r="I156" s="1059"/>
      <c r="J156" s="1059"/>
      <c r="K156" s="1059"/>
      <c r="L156" s="1059"/>
      <c r="M156" s="1059"/>
      <c r="N156" s="1059"/>
      <c r="O156" s="1059"/>
      <c r="P156" s="1059"/>
      <c r="Q156" s="1059"/>
      <c r="R156" s="1059"/>
      <c r="S156" s="1059"/>
      <c r="T156" s="1059"/>
      <c r="U156" s="1059"/>
      <c r="V156" s="1059"/>
      <c r="W156" s="1059"/>
      <c r="X156" s="1059"/>
      <c r="Y156" s="1059"/>
      <c r="Z156" s="1059"/>
      <c r="AA156" s="1059"/>
      <c r="AB156" s="1059"/>
      <c r="AC156" s="1060"/>
    </row>
    <row r="157" spans="1:29" x14ac:dyDescent="0.2">
      <c r="A157" s="480" t="s">
        <v>3563</v>
      </c>
      <c r="B157" s="481"/>
      <c r="C157" s="481"/>
      <c r="D157" s="481"/>
      <c r="E157" s="481"/>
      <c r="F157" s="481"/>
      <c r="G157" s="481"/>
      <c r="H157" s="481"/>
      <c r="I157" s="481"/>
      <c r="J157" s="481"/>
      <c r="K157" s="481"/>
      <c r="L157" s="481"/>
      <c r="M157" s="481"/>
      <c r="N157" s="481"/>
      <c r="O157" s="481"/>
      <c r="P157" s="481"/>
      <c r="Q157" s="481"/>
      <c r="R157" s="481"/>
      <c r="S157" s="481"/>
      <c r="T157" s="481"/>
      <c r="U157" s="481"/>
      <c r="V157" s="481"/>
      <c r="W157" s="481"/>
      <c r="X157" s="481"/>
      <c r="Y157" s="481"/>
      <c r="Z157" s="481"/>
      <c r="AA157" s="481"/>
      <c r="AB157" s="481"/>
      <c r="AC157" s="676"/>
    </row>
    <row r="158" spans="1:29" x14ac:dyDescent="0.2">
      <c r="A158" s="514" t="s">
        <v>3564</v>
      </c>
      <c r="B158" s="515"/>
      <c r="C158" s="515"/>
      <c r="D158" s="515"/>
      <c r="E158" s="515"/>
      <c r="F158" s="515"/>
      <c r="G158" s="515"/>
      <c r="H158" s="515"/>
      <c r="I158" s="515"/>
      <c r="J158" s="515"/>
      <c r="K158" s="515"/>
      <c r="L158" s="515"/>
      <c r="M158" s="515"/>
      <c r="N158" s="515"/>
      <c r="O158" s="515"/>
      <c r="P158" s="515"/>
      <c r="Q158" s="515"/>
      <c r="R158" s="515"/>
      <c r="S158" s="515"/>
      <c r="T158" s="515"/>
      <c r="U158" s="515"/>
      <c r="V158" s="515"/>
      <c r="W158" s="515"/>
      <c r="X158" s="515"/>
      <c r="Y158" s="515"/>
      <c r="Z158" s="515"/>
      <c r="AA158" s="515"/>
      <c r="AB158" s="515"/>
      <c r="AC158" s="1029"/>
    </row>
    <row r="159" spans="1:29" x14ac:dyDescent="0.2">
      <c r="A159" s="480"/>
      <c r="B159" s="481"/>
      <c r="C159" s="481"/>
      <c r="D159" s="481"/>
      <c r="E159" s="481"/>
      <c r="F159" s="481"/>
      <c r="G159" s="481"/>
      <c r="H159" s="481"/>
      <c r="I159" s="481"/>
      <c r="J159" s="481"/>
      <c r="K159" s="481"/>
      <c r="L159" s="481"/>
      <c r="M159" s="481"/>
      <c r="N159" s="481"/>
      <c r="O159" s="481"/>
      <c r="P159" s="481"/>
      <c r="Q159" s="481"/>
      <c r="R159" s="481"/>
      <c r="S159" s="481"/>
      <c r="T159" s="481"/>
      <c r="U159" s="481"/>
      <c r="V159" s="481"/>
      <c r="W159" s="481"/>
      <c r="X159" s="481"/>
      <c r="Y159" s="481"/>
      <c r="Z159" s="481"/>
      <c r="AA159" s="481"/>
      <c r="AB159" s="481"/>
      <c r="AC159" s="481"/>
    </row>
  </sheetData>
  <mergeCells count="118">
    <mergeCell ref="A156:AC156"/>
    <mergeCell ref="A157:AC157"/>
    <mergeCell ref="A158:AC158"/>
    <mergeCell ref="A159:AC159"/>
    <mergeCell ref="X141:Z141"/>
    <mergeCell ref="AA141:AC141"/>
    <mergeCell ref="I142:J142"/>
    <mergeCell ref="N142:O142"/>
    <mergeCell ref="S142:T142"/>
    <mergeCell ref="V142:W142"/>
    <mergeCell ref="Y142:Z142"/>
    <mergeCell ref="AB142:AC142"/>
    <mergeCell ref="H141:J141"/>
    <mergeCell ref="K141:L141"/>
    <mergeCell ref="M141:O141"/>
    <mergeCell ref="P141:Q141"/>
    <mergeCell ref="R141:T141"/>
    <mergeCell ref="U141:W141"/>
    <mergeCell ref="C128:D128"/>
    <mergeCell ref="E128:F128"/>
    <mergeCell ref="A134:Y134"/>
    <mergeCell ref="A139:AC139"/>
    <mergeCell ref="A140:A142"/>
    <mergeCell ref="B140:G140"/>
    <mergeCell ref="H140:AC140"/>
    <mergeCell ref="B141:C141"/>
    <mergeCell ref="D141:E141"/>
    <mergeCell ref="F141:G141"/>
    <mergeCell ref="T111:U111"/>
    <mergeCell ref="V111:W111"/>
    <mergeCell ref="X111:Y111"/>
    <mergeCell ref="B126:G126"/>
    <mergeCell ref="H126:I126"/>
    <mergeCell ref="J126:M126"/>
    <mergeCell ref="N126:U126"/>
    <mergeCell ref="V126:Y126"/>
    <mergeCell ref="H111:I111"/>
    <mergeCell ref="J111:K111"/>
    <mergeCell ref="L111:M111"/>
    <mergeCell ref="N111:O111"/>
    <mergeCell ref="P111:Q111"/>
    <mergeCell ref="R111:S111"/>
    <mergeCell ref="A108:Y108"/>
    <mergeCell ref="A109:A112"/>
    <mergeCell ref="B109:M109"/>
    <mergeCell ref="N109:U110"/>
    <mergeCell ref="V109:Y110"/>
    <mergeCell ref="B110:I110"/>
    <mergeCell ref="J110:M110"/>
    <mergeCell ref="B111:C111"/>
    <mergeCell ref="D111:E111"/>
    <mergeCell ref="F111:G111"/>
    <mergeCell ref="P89:Q89"/>
    <mergeCell ref="R89:S89"/>
    <mergeCell ref="B103:C103"/>
    <mergeCell ref="D103:H103"/>
    <mergeCell ref="I103:J103"/>
    <mergeCell ref="K103:L103"/>
    <mergeCell ref="N103:S103"/>
    <mergeCell ref="A88:A90"/>
    <mergeCell ref="B88:C88"/>
    <mergeCell ref="D88:J88"/>
    <mergeCell ref="K88:M88"/>
    <mergeCell ref="N88:T88"/>
    <mergeCell ref="D89:E89"/>
    <mergeCell ref="F89:G89"/>
    <mergeCell ref="H89:I89"/>
    <mergeCell ref="K89:L89"/>
    <mergeCell ref="N89:O89"/>
    <mergeCell ref="B80:E80"/>
    <mergeCell ref="F80:G80"/>
    <mergeCell ref="H80:K80"/>
    <mergeCell ref="L80:M80"/>
    <mergeCell ref="A82:M82"/>
    <mergeCell ref="A87:T87"/>
    <mergeCell ref="A68:A69"/>
    <mergeCell ref="B68:D69"/>
    <mergeCell ref="E68:G69"/>
    <mergeCell ref="H68:M68"/>
    <mergeCell ref="H69:J69"/>
    <mergeCell ref="K69:M69"/>
    <mergeCell ref="Q50:R50"/>
    <mergeCell ref="S50:U50"/>
    <mergeCell ref="K61:M61"/>
    <mergeCell ref="Q61:R61"/>
    <mergeCell ref="A62:U62"/>
    <mergeCell ref="A67:M67"/>
    <mergeCell ref="A47:U47"/>
    <mergeCell ref="A48:A50"/>
    <mergeCell ref="B48:D50"/>
    <mergeCell ref="E48:G50"/>
    <mergeCell ref="H48:J50"/>
    <mergeCell ref="K48:U48"/>
    <mergeCell ref="K49:P49"/>
    <mergeCell ref="Q49:U49"/>
    <mergeCell ref="K50:M50"/>
    <mergeCell ref="N50:P50"/>
    <mergeCell ref="A31:J31"/>
    <mergeCell ref="A32:A33"/>
    <mergeCell ref="B32:J32"/>
    <mergeCell ref="B33:D33"/>
    <mergeCell ref="E33:G33"/>
    <mergeCell ref="H33:J33"/>
    <mergeCell ref="A21:I21"/>
    <mergeCell ref="A22:A23"/>
    <mergeCell ref="B22:C22"/>
    <mergeCell ref="D22:F22"/>
    <mergeCell ref="G22:I22"/>
    <mergeCell ref="E23:F23"/>
    <mergeCell ref="H23:I23"/>
    <mergeCell ref="A4:C4"/>
    <mergeCell ref="A13:J13"/>
    <mergeCell ref="A14:A15"/>
    <mergeCell ref="B14:C14"/>
    <mergeCell ref="D14:E14"/>
    <mergeCell ref="F14:H14"/>
    <mergeCell ref="I14:J14"/>
    <mergeCell ref="G15:H15"/>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4"/>
  <sheetViews>
    <sheetView workbookViewId="0">
      <selection activeCell="B1" sqref="B1"/>
    </sheetView>
  </sheetViews>
  <sheetFormatPr baseColWidth="10" defaultRowHeight="15" x14ac:dyDescent="0.2"/>
  <cols>
    <col min="1" max="1" width="50.83203125" style="106" customWidth="1"/>
    <col min="2" max="2" width="10.83203125" style="106"/>
    <col min="3" max="3" width="9.1640625" style="106" customWidth="1"/>
    <col min="4" max="4" width="9.6640625" style="106" customWidth="1"/>
    <col min="5" max="5" width="11.6640625" style="106" customWidth="1"/>
    <col min="6" max="6" width="8.1640625" style="106" customWidth="1"/>
    <col min="7" max="7" width="9.33203125" style="106" customWidth="1"/>
    <col min="8" max="8" width="11.6640625" style="106" customWidth="1"/>
    <col min="9" max="9" width="10.6640625" style="106" customWidth="1"/>
    <col min="10" max="10" width="6.1640625" style="106" customWidth="1"/>
    <col min="11" max="11" width="11.6640625" style="106" customWidth="1"/>
    <col min="12" max="12" width="5.83203125" style="106" customWidth="1"/>
    <col min="13" max="13" width="10.83203125" style="106" customWidth="1"/>
    <col min="14" max="14" width="11.6640625" style="106" customWidth="1"/>
    <col min="15" max="15" width="5.83203125" style="106" customWidth="1"/>
    <col min="16" max="16" width="6.1640625" style="106" customWidth="1"/>
    <col min="17" max="17" width="11.6640625" style="106" customWidth="1"/>
    <col min="18" max="18" width="5.83203125" style="106" customWidth="1"/>
    <col min="19" max="19" width="6.1640625" style="106" customWidth="1"/>
    <col min="20" max="20" width="11.6640625" style="106" customWidth="1"/>
    <col min="21" max="21" width="5.83203125" style="106" customWidth="1"/>
    <col min="22" max="22" width="6.1640625" style="106" customWidth="1"/>
    <col min="23" max="23" width="11.6640625" style="106" customWidth="1"/>
    <col min="24" max="24" width="5.83203125" style="106" customWidth="1"/>
    <col min="25" max="25" width="6.1640625" style="106" customWidth="1"/>
    <col min="26" max="16384" width="10.83203125" style="106"/>
  </cols>
  <sheetData>
    <row r="1" spans="1:25" x14ac:dyDescent="0.2">
      <c r="A1" s="458" t="s">
        <v>3565</v>
      </c>
    </row>
    <row r="3" spans="1:25" x14ac:dyDescent="0.2">
      <c r="A3" s="113" t="s">
        <v>1111</v>
      </c>
    </row>
    <row r="4" spans="1:25" ht="23.5" customHeight="1" x14ac:dyDescent="0.2">
      <c r="A4" s="1061" t="s">
        <v>3566</v>
      </c>
      <c r="B4" s="1061"/>
      <c r="C4" s="1061"/>
      <c r="D4" s="1061"/>
      <c r="E4" s="1061"/>
      <c r="F4" s="1061"/>
      <c r="G4" s="1061"/>
      <c r="H4" s="1061"/>
      <c r="I4" s="1061"/>
      <c r="J4" s="1061"/>
      <c r="K4" s="1061"/>
      <c r="L4" s="1061"/>
      <c r="M4" s="1061"/>
      <c r="N4" s="1061"/>
      <c r="O4" s="1061"/>
      <c r="P4" s="1061"/>
      <c r="Q4" s="1061"/>
      <c r="R4" s="1061"/>
      <c r="S4" s="1061"/>
      <c r="T4" s="1061"/>
      <c r="U4" s="1061"/>
      <c r="V4" s="1061"/>
      <c r="W4" s="1061"/>
      <c r="X4" s="1061"/>
      <c r="Y4" s="1061"/>
    </row>
    <row r="5" spans="1:25" s="1062" customFormat="1" ht="25.25" customHeight="1" x14ac:dyDescent="0.15">
      <c r="A5" s="502" t="s">
        <v>3254</v>
      </c>
      <c r="B5" s="204" t="s">
        <v>2692</v>
      </c>
      <c r="C5" s="204"/>
      <c r="D5" s="204"/>
      <c r="E5" s="204" t="s">
        <v>2584</v>
      </c>
      <c r="F5" s="204"/>
      <c r="G5" s="204"/>
      <c r="H5" s="204" t="s">
        <v>3567</v>
      </c>
      <c r="I5" s="204"/>
      <c r="J5" s="204"/>
      <c r="K5" s="204" t="s">
        <v>3568</v>
      </c>
      <c r="L5" s="204"/>
      <c r="M5" s="204"/>
      <c r="N5" s="204" t="s">
        <v>3569</v>
      </c>
      <c r="O5" s="204"/>
      <c r="P5" s="204"/>
      <c r="Q5" s="204" t="s">
        <v>3570</v>
      </c>
      <c r="R5" s="204"/>
      <c r="S5" s="204"/>
      <c r="T5" s="204" t="s">
        <v>3571</v>
      </c>
      <c r="U5" s="204"/>
      <c r="V5" s="204"/>
      <c r="W5" s="204" t="s">
        <v>3572</v>
      </c>
      <c r="X5" s="204"/>
      <c r="Y5" s="204"/>
    </row>
    <row r="6" spans="1:25" ht="26.5" customHeight="1" x14ac:dyDescent="0.2">
      <c r="A6" s="263" t="s">
        <v>3573</v>
      </c>
      <c r="B6" s="230">
        <v>2089065</v>
      </c>
      <c r="C6" s="309">
        <v>81</v>
      </c>
      <c r="D6" s="231">
        <f>1/2</f>
        <v>0.5</v>
      </c>
      <c r="E6" s="230">
        <v>1575904</v>
      </c>
      <c r="F6" s="309">
        <v>3</v>
      </c>
      <c r="G6" s="231">
        <f>3/4</f>
        <v>0.75</v>
      </c>
      <c r="H6" s="230">
        <v>1561082</v>
      </c>
      <c r="I6" s="309">
        <v>11</v>
      </c>
      <c r="J6" s="231">
        <f>3/4</f>
        <v>0.75</v>
      </c>
      <c r="K6" s="230">
        <v>2039450</v>
      </c>
      <c r="L6" s="309">
        <v>21</v>
      </c>
      <c r="M6" s="231"/>
      <c r="N6" s="230">
        <v>2775450</v>
      </c>
      <c r="O6" s="309">
        <v>38</v>
      </c>
      <c r="P6" s="231">
        <f>1/2</f>
        <v>0.5</v>
      </c>
      <c r="Q6" s="230">
        <v>2811158</v>
      </c>
      <c r="R6" s="309">
        <v>92</v>
      </c>
      <c r="S6" s="231">
        <f>1/2</f>
        <v>0.5</v>
      </c>
      <c r="T6" s="230">
        <v>2574273</v>
      </c>
      <c r="U6" s="309">
        <v>84</v>
      </c>
      <c r="V6" s="231">
        <f>1/2</f>
        <v>0.5</v>
      </c>
      <c r="W6" s="230">
        <v>2367816</v>
      </c>
      <c r="X6" s="309">
        <v>83</v>
      </c>
      <c r="Y6" s="231"/>
    </row>
    <row r="10" spans="1:25" x14ac:dyDescent="0.2">
      <c r="A10" s="526" t="s">
        <v>1171</v>
      </c>
      <c r="B10" s="107"/>
      <c r="C10" s="107"/>
      <c r="D10" s="107"/>
      <c r="E10" s="107"/>
      <c r="F10" s="107"/>
      <c r="G10" s="107"/>
      <c r="H10" s="107"/>
      <c r="I10" s="107"/>
      <c r="J10" s="107"/>
      <c r="K10" s="107"/>
      <c r="L10" s="107"/>
      <c r="M10" s="107"/>
      <c r="N10" s="107"/>
      <c r="O10" s="107"/>
    </row>
    <row r="11" spans="1:25" ht="27.5" customHeight="1" x14ac:dyDescent="0.2">
      <c r="A11" s="998" t="s">
        <v>3574</v>
      </c>
      <c r="B11" s="998"/>
      <c r="C11" s="998"/>
      <c r="D11" s="998"/>
      <c r="E11" s="998"/>
      <c r="F11" s="998"/>
      <c r="G11" s="998"/>
      <c r="H11" s="998"/>
      <c r="I11" s="998"/>
      <c r="J11" s="998"/>
      <c r="K11" s="998"/>
      <c r="L11" s="998"/>
      <c r="M11" s="998"/>
      <c r="N11" s="998"/>
      <c r="O11" s="998"/>
    </row>
    <row r="12" spans="1:25" ht="29" customHeight="1" x14ac:dyDescent="0.2">
      <c r="A12" s="967" t="s">
        <v>3254</v>
      </c>
      <c r="B12" s="1054" t="s">
        <v>3575</v>
      </c>
      <c r="C12" s="967" t="s">
        <v>3576</v>
      </c>
      <c r="D12" s="967"/>
      <c r="E12" s="967"/>
      <c r="F12" s="967"/>
      <c r="G12" s="967"/>
      <c r="H12" s="967"/>
      <c r="I12" s="967"/>
      <c r="J12" s="967"/>
      <c r="K12" s="967"/>
      <c r="L12" s="967"/>
      <c r="M12" s="967"/>
      <c r="N12" s="793" t="s">
        <v>3396</v>
      </c>
      <c r="O12" s="793"/>
    </row>
    <row r="13" spans="1:25" x14ac:dyDescent="0.2">
      <c r="A13" s="967"/>
      <c r="B13" s="1054"/>
      <c r="C13" s="1027" t="s">
        <v>3271</v>
      </c>
      <c r="D13" s="1027"/>
      <c r="E13" s="1027" t="s">
        <v>3272</v>
      </c>
      <c r="F13" s="1027"/>
      <c r="G13" s="1027" t="s">
        <v>3577</v>
      </c>
      <c r="H13" s="1027"/>
      <c r="I13" s="1063" t="s">
        <v>3578</v>
      </c>
      <c r="J13" s="1063"/>
      <c r="K13" s="1027" t="s">
        <v>3579</v>
      </c>
      <c r="L13" s="1027"/>
      <c r="M13" s="1063" t="s">
        <v>3275</v>
      </c>
      <c r="N13" s="793"/>
      <c r="O13" s="793"/>
    </row>
    <row r="14" spans="1:25" x14ac:dyDescent="0.2">
      <c r="A14" s="967"/>
      <c r="B14" s="1054"/>
      <c r="C14" s="1034" t="s">
        <v>3486</v>
      </c>
      <c r="D14" s="1034" t="s">
        <v>3282</v>
      </c>
      <c r="E14" s="1034" t="s">
        <v>3486</v>
      </c>
      <c r="F14" s="1034" t="s">
        <v>3282</v>
      </c>
      <c r="G14" s="1034" t="s">
        <v>3486</v>
      </c>
      <c r="H14" s="1034" t="s">
        <v>3282</v>
      </c>
      <c r="I14" s="1034" t="s">
        <v>3486</v>
      </c>
      <c r="J14" s="1034" t="s">
        <v>3282</v>
      </c>
      <c r="K14" s="1034" t="s">
        <v>3486</v>
      </c>
      <c r="L14" s="1034" t="s">
        <v>3282</v>
      </c>
      <c r="M14" s="1034" t="s">
        <v>3486</v>
      </c>
      <c r="N14" s="1034" t="s">
        <v>3488</v>
      </c>
      <c r="O14" s="1034" t="s">
        <v>3374</v>
      </c>
    </row>
    <row r="15" spans="1:25" x14ac:dyDescent="0.2">
      <c r="A15" s="533" t="s">
        <v>1517</v>
      </c>
      <c r="B15" s="716">
        <v>459585</v>
      </c>
      <c r="C15" s="349">
        <v>82010</v>
      </c>
      <c r="D15" s="717"/>
      <c r="E15" s="349">
        <v>183212</v>
      </c>
      <c r="F15" s="717"/>
      <c r="G15" s="349">
        <v>223477</v>
      </c>
      <c r="H15" s="717"/>
      <c r="I15" s="349">
        <v>118964</v>
      </c>
      <c r="J15" s="717"/>
      <c r="K15" s="349">
        <v>138248</v>
      </c>
      <c r="L15" s="717"/>
      <c r="M15" s="716">
        <v>547829</v>
      </c>
      <c r="N15" s="349">
        <v>467373</v>
      </c>
      <c r="O15" s="717">
        <v>10</v>
      </c>
    </row>
    <row r="16" spans="1:25" x14ac:dyDescent="0.2">
      <c r="A16" s="533" t="s">
        <v>3266</v>
      </c>
      <c r="B16" s="533"/>
      <c r="C16" s="131"/>
      <c r="D16" s="307"/>
      <c r="E16" s="131"/>
      <c r="F16" s="307"/>
      <c r="G16" s="131"/>
      <c r="H16" s="307"/>
      <c r="I16" s="131"/>
      <c r="J16" s="307"/>
      <c r="K16" s="131"/>
      <c r="L16" s="307"/>
      <c r="M16" s="533"/>
      <c r="N16" s="131"/>
      <c r="O16" s="307"/>
    </row>
    <row r="17" spans="1:15" x14ac:dyDescent="0.2">
      <c r="A17" s="533" t="s">
        <v>1369</v>
      </c>
      <c r="B17" s="533">
        <v>53663</v>
      </c>
      <c r="C17" s="131">
        <v>341007</v>
      </c>
      <c r="D17" s="307">
        <v>250</v>
      </c>
      <c r="E17" s="131">
        <v>539315</v>
      </c>
      <c r="F17" s="307">
        <v>175</v>
      </c>
      <c r="G17" s="131">
        <v>648723</v>
      </c>
      <c r="H17" s="307"/>
      <c r="I17" s="131">
        <v>175797</v>
      </c>
      <c r="J17" s="307">
        <v>188</v>
      </c>
      <c r="K17" s="131">
        <v>132147</v>
      </c>
      <c r="L17" s="307">
        <v>439</v>
      </c>
      <c r="M17" s="533"/>
      <c r="N17" s="131">
        <v>456537</v>
      </c>
      <c r="O17" s="307">
        <v>65</v>
      </c>
    </row>
    <row r="18" spans="1:15" x14ac:dyDescent="0.2">
      <c r="A18" s="533" t="s">
        <v>1519</v>
      </c>
      <c r="B18" s="533"/>
      <c r="C18" s="131"/>
      <c r="D18" s="307"/>
      <c r="E18" s="131"/>
      <c r="F18" s="307"/>
      <c r="G18" s="131"/>
      <c r="H18" s="307"/>
      <c r="I18" s="131"/>
      <c r="J18" s="307"/>
      <c r="K18" s="131"/>
      <c r="L18" s="307"/>
      <c r="M18" s="533"/>
      <c r="N18" s="131"/>
      <c r="O18" s="307"/>
    </row>
    <row r="19" spans="1:15" x14ac:dyDescent="0.2">
      <c r="A19" s="533" t="s">
        <v>1526</v>
      </c>
      <c r="B19" s="533">
        <v>22539</v>
      </c>
      <c r="C19" s="131">
        <v>378016</v>
      </c>
      <c r="D19" s="307"/>
      <c r="E19" s="131">
        <v>159986</v>
      </c>
      <c r="F19" s="307"/>
      <c r="G19" s="131">
        <v>88130</v>
      </c>
      <c r="H19" s="307"/>
      <c r="I19" s="131">
        <v>51105</v>
      </c>
      <c r="J19" s="307"/>
      <c r="K19" s="131">
        <v>33734</v>
      </c>
      <c r="L19" s="307"/>
      <c r="M19" s="533"/>
      <c r="N19" s="131">
        <v>140690</v>
      </c>
      <c r="O19" s="307">
        <v>3</v>
      </c>
    </row>
    <row r="20" spans="1:15" x14ac:dyDescent="0.2">
      <c r="A20" s="533" t="s">
        <v>3264</v>
      </c>
      <c r="B20" s="533">
        <v>260911</v>
      </c>
      <c r="C20" s="131">
        <v>1866181</v>
      </c>
      <c r="D20" s="307">
        <v>734</v>
      </c>
      <c r="E20" s="131">
        <v>2427596</v>
      </c>
      <c r="F20" s="307"/>
      <c r="G20" s="131">
        <v>2882994</v>
      </c>
      <c r="H20" s="307">
        <v>610</v>
      </c>
      <c r="I20" s="131">
        <v>1472011</v>
      </c>
      <c r="J20" s="307">
        <v>65</v>
      </c>
      <c r="K20" s="131">
        <v>1899106</v>
      </c>
      <c r="L20" s="307">
        <v>859</v>
      </c>
      <c r="M20" s="533">
        <v>804265</v>
      </c>
      <c r="N20" s="131">
        <v>5921779</v>
      </c>
      <c r="O20" s="307">
        <v>45</v>
      </c>
    </row>
    <row r="21" spans="1:15" x14ac:dyDescent="0.2">
      <c r="A21" s="533" t="s">
        <v>1373</v>
      </c>
      <c r="B21" s="533">
        <v>17397</v>
      </c>
      <c r="C21" s="131">
        <v>144435</v>
      </c>
      <c r="D21" s="307"/>
      <c r="E21" s="131">
        <v>194163</v>
      </c>
      <c r="F21" s="307">
        <v>500</v>
      </c>
      <c r="G21" s="131">
        <v>241063</v>
      </c>
      <c r="H21" s="307">
        <v>650</v>
      </c>
      <c r="I21" s="131">
        <v>60003</v>
      </c>
      <c r="J21" s="307"/>
      <c r="K21" s="131">
        <v>63519</v>
      </c>
      <c r="L21" s="307">
        <v>650</v>
      </c>
      <c r="M21" s="533"/>
      <c r="N21" s="131">
        <v>216048</v>
      </c>
      <c r="O21" s="307">
        <v>80</v>
      </c>
    </row>
    <row r="22" spans="1:15" x14ac:dyDescent="0.2">
      <c r="A22" s="533" t="s">
        <v>1527</v>
      </c>
      <c r="B22" s="533">
        <v>394800</v>
      </c>
      <c r="C22" s="131">
        <v>472595</v>
      </c>
      <c r="D22" s="307"/>
      <c r="E22" s="131">
        <v>48156</v>
      </c>
      <c r="F22" s="307"/>
      <c r="G22" s="131">
        <v>70264</v>
      </c>
      <c r="H22" s="307"/>
      <c r="I22" s="131">
        <v>33624</v>
      </c>
      <c r="J22" s="307"/>
      <c r="K22" s="131">
        <v>16360</v>
      </c>
      <c r="L22" s="307"/>
      <c r="M22" s="533"/>
      <c r="N22" s="131">
        <v>126499</v>
      </c>
      <c r="O22" s="307">
        <v>66</v>
      </c>
    </row>
    <row r="23" spans="1:15" ht="22.25" customHeight="1" x14ac:dyDescent="0.2">
      <c r="A23" s="785" t="s">
        <v>1341</v>
      </c>
      <c r="B23" s="808">
        <v>1208895</v>
      </c>
      <c r="C23" s="240">
        <v>3284244</v>
      </c>
      <c r="D23" s="513">
        <v>984</v>
      </c>
      <c r="E23" s="240">
        <v>3552428</v>
      </c>
      <c r="F23" s="513">
        <v>675</v>
      </c>
      <c r="G23" s="240">
        <v>4154652</v>
      </c>
      <c r="H23" s="513">
        <v>260</v>
      </c>
      <c r="I23" s="240">
        <v>1911504</v>
      </c>
      <c r="J23" s="513">
        <v>253</v>
      </c>
      <c r="K23" s="240">
        <v>2283115</v>
      </c>
      <c r="L23" s="513">
        <v>984</v>
      </c>
      <c r="M23" s="808">
        <v>1352094</v>
      </c>
      <c r="N23" s="240">
        <v>7328928</v>
      </c>
      <c r="O23" s="513">
        <v>69</v>
      </c>
    </row>
    <row r="24" spans="1:15" x14ac:dyDescent="0.2">
      <c r="A24" s="107"/>
      <c r="B24" s="321">
        <f>+SUM(B15:B22)</f>
        <v>1208895</v>
      </c>
      <c r="C24" s="321">
        <f t="shared" ref="C24:O24" si="0">+SUM(C15:C22)</f>
        <v>3284244</v>
      </c>
      <c r="D24" s="321">
        <f t="shared" si="0"/>
        <v>984</v>
      </c>
      <c r="E24" s="321">
        <f t="shared" si="0"/>
        <v>3552428</v>
      </c>
      <c r="F24" s="321">
        <f t="shared" si="0"/>
        <v>675</v>
      </c>
      <c r="G24" s="321">
        <f t="shared" si="0"/>
        <v>4154651</v>
      </c>
      <c r="H24" s="321">
        <f t="shared" si="0"/>
        <v>1260</v>
      </c>
      <c r="I24" s="321">
        <f t="shared" si="0"/>
        <v>1911504</v>
      </c>
      <c r="J24" s="321">
        <f t="shared" si="0"/>
        <v>253</v>
      </c>
      <c r="K24" s="321">
        <f t="shared" si="0"/>
        <v>2283114</v>
      </c>
      <c r="L24" s="321">
        <f t="shared" si="0"/>
        <v>1948</v>
      </c>
      <c r="M24" s="321">
        <f t="shared" si="0"/>
        <v>1352094</v>
      </c>
      <c r="N24" s="321">
        <f t="shared" si="0"/>
        <v>7328926</v>
      </c>
      <c r="O24" s="321">
        <f t="shared" si="0"/>
        <v>269</v>
      </c>
    </row>
    <row r="25" spans="1:15" x14ac:dyDescent="0.2">
      <c r="A25" s="107"/>
      <c r="B25" s="107"/>
      <c r="C25" s="107">
        <f>C24+E24+G24+I24+K24+M24</f>
        <v>16538035</v>
      </c>
      <c r="D25" s="107"/>
      <c r="E25" s="107"/>
      <c r="F25" s="107"/>
      <c r="G25" s="107"/>
      <c r="H25" s="107"/>
      <c r="I25" s="107"/>
      <c r="J25" s="107"/>
      <c r="K25" s="107"/>
      <c r="L25" s="107"/>
      <c r="M25" s="107"/>
      <c r="N25" s="107"/>
      <c r="O25" s="107"/>
    </row>
    <row r="26" spans="1:15" x14ac:dyDescent="0.2">
      <c r="A26" s="107"/>
      <c r="B26" s="107"/>
      <c r="D26" s="107"/>
      <c r="E26" s="107"/>
      <c r="F26" s="107"/>
      <c r="G26" s="107"/>
      <c r="H26" s="107"/>
      <c r="I26" s="107"/>
      <c r="J26" s="107"/>
      <c r="K26" s="107"/>
      <c r="L26" s="107"/>
      <c r="M26" s="107"/>
      <c r="N26" s="107"/>
      <c r="O26" s="107"/>
    </row>
    <row r="27" spans="1:15" x14ac:dyDescent="0.2">
      <c r="A27" s="526" t="s">
        <v>1853</v>
      </c>
      <c r="B27" s="107"/>
      <c r="C27" s="107"/>
      <c r="D27" s="107"/>
      <c r="E27" s="107"/>
      <c r="F27" s="107"/>
      <c r="G27" s="107"/>
      <c r="H27" s="107"/>
      <c r="I27" s="107"/>
      <c r="J27" s="107"/>
      <c r="K27" s="107"/>
      <c r="L27" s="107"/>
      <c r="M27" s="107"/>
      <c r="N27" s="107"/>
      <c r="O27" s="107"/>
    </row>
    <row r="28" spans="1:15" ht="39.5" customHeight="1" x14ac:dyDescent="0.2">
      <c r="A28" s="998" t="s">
        <v>3580</v>
      </c>
      <c r="B28" s="998"/>
      <c r="C28" s="998"/>
      <c r="D28" s="998"/>
      <c r="E28" s="998"/>
      <c r="F28" s="998"/>
      <c r="G28" s="998"/>
      <c r="H28" s="998"/>
      <c r="I28" s="998"/>
      <c r="J28" s="107"/>
      <c r="K28" s="107"/>
      <c r="L28" s="107"/>
      <c r="M28" s="107"/>
      <c r="N28" s="107"/>
      <c r="O28" s="107"/>
    </row>
    <row r="29" spans="1:15" s="1065" customFormat="1" ht="27.5" customHeight="1" x14ac:dyDescent="0.15">
      <c r="A29" s="977"/>
      <c r="B29" s="977" t="s">
        <v>3581</v>
      </c>
      <c r="C29" s="977"/>
      <c r="D29" s="980" t="s">
        <v>3582</v>
      </c>
      <c r="E29" s="977"/>
      <c r="F29" s="977" t="s">
        <v>3583</v>
      </c>
      <c r="G29" s="977"/>
      <c r="H29" s="977" t="s">
        <v>3584</v>
      </c>
      <c r="I29" s="977"/>
      <c r="J29" s="1064"/>
      <c r="K29" s="1064"/>
      <c r="L29" s="1064"/>
      <c r="M29" s="1064"/>
      <c r="N29" s="1064"/>
      <c r="O29" s="1064"/>
    </row>
    <row r="30" spans="1:15" s="1067" customFormat="1" ht="12" x14ac:dyDescent="0.15">
      <c r="A30" s="977"/>
      <c r="B30" s="1034" t="s">
        <v>3585</v>
      </c>
      <c r="C30" s="1034" t="s">
        <v>3282</v>
      </c>
      <c r="D30" s="1056" t="s">
        <v>3585</v>
      </c>
      <c r="E30" s="1034" t="s">
        <v>3282</v>
      </c>
      <c r="F30" s="1034" t="s">
        <v>3488</v>
      </c>
      <c r="G30" s="1034" t="s">
        <v>3374</v>
      </c>
      <c r="H30" s="1034" t="s">
        <v>3488</v>
      </c>
      <c r="I30" s="1034" t="s">
        <v>3374</v>
      </c>
      <c r="J30" s="1066"/>
      <c r="K30" s="1066"/>
      <c r="L30" s="1066"/>
      <c r="M30" s="1066"/>
      <c r="N30" s="1066"/>
      <c r="O30" s="1066"/>
    </row>
    <row r="31" spans="1:15" x14ac:dyDescent="0.2">
      <c r="A31" s="533" t="s">
        <v>3586</v>
      </c>
      <c r="B31" s="131">
        <v>7871519</v>
      </c>
      <c r="C31" s="307"/>
      <c r="D31" s="131">
        <v>10320515</v>
      </c>
      <c r="E31" s="307"/>
      <c r="F31" s="131">
        <v>399057</v>
      </c>
      <c r="G31" s="307">
        <v>90</v>
      </c>
      <c r="H31" s="131">
        <v>526441</v>
      </c>
      <c r="I31" s="307">
        <v>70</v>
      </c>
      <c r="J31" s="107"/>
      <c r="K31" s="107"/>
      <c r="L31" s="107"/>
      <c r="M31" s="107"/>
      <c r="N31" s="107"/>
      <c r="O31" s="107"/>
    </row>
    <row r="32" spans="1:15" x14ac:dyDescent="0.2">
      <c r="A32" s="533" t="s">
        <v>3587</v>
      </c>
      <c r="B32" s="131">
        <v>2927425</v>
      </c>
      <c r="C32" s="307"/>
      <c r="D32" s="131">
        <v>1245525</v>
      </c>
      <c r="E32" s="307"/>
      <c r="F32" s="131">
        <v>133065</v>
      </c>
      <c r="G32" s="307">
        <v>40</v>
      </c>
      <c r="H32" s="131">
        <v>73246</v>
      </c>
      <c r="I32" s="307">
        <v>80</v>
      </c>
      <c r="J32" s="107"/>
      <c r="K32" s="107"/>
      <c r="L32" s="107"/>
      <c r="M32" s="107"/>
      <c r="N32" s="107"/>
      <c r="O32" s="107"/>
    </row>
    <row r="33" spans="1:15" x14ac:dyDescent="0.2">
      <c r="A33" s="533" t="s">
        <v>3588</v>
      </c>
      <c r="B33" s="131">
        <v>752125</v>
      </c>
      <c r="C33" s="307"/>
      <c r="D33" s="131">
        <v>732475</v>
      </c>
      <c r="E33" s="307"/>
      <c r="F33" s="131">
        <v>46807</v>
      </c>
      <c r="G33" s="307">
        <v>40</v>
      </c>
      <c r="H33" s="131">
        <v>46878</v>
      </c>
      <c r="I33" s="307">
        <v>40</v>
      </c>
      <c r="J33" s="107"/>
      <c r="K33" s="107"/>
      <c r="L33" s="107"/>
      <c r="M33" s="107"/>
      <c r="N33" s="107"/>
      <c r="O33" s="107"/>
    </row>
    <row r="34" spans="1:15" x14ac:dyDescent="0.2">
      <c r="A34" s="533" t="s">
        <v>3589</v>
      </c>
      <c r="B34" s="131">
        <v>991925</v>
      </c>
      <c r="C34" s="307"/>
      <c r="D34" s="131">
        <v>1135475</v>
      </c>
      <c r="E34" s="307"/>
      <c r="F34" s="131">
        <v>58935</v>
      </c>
      <c r="G34" s="307">
        <v>90</v>
      </c>
      <c r="H34" s="131">
        <v>68753</v>
      </c>
      <c r="I34" s="307">
        <v>80</v>
      </c>
      <c r="J34" s="107"/>
      <c r="K34" s="107"/>
      <c r="L34" s="107"/>
      <c r="M34" s="107"/>
      <c r="N34" s="107"/>
      <c r="O34" s="107"/>
    </row>
    <row r="35" spans="1:15" x14ac:dyDescent="0.2">
      <c r="A35" s="533" t="s">
        <v>3590</v>
      </c>
      <c r="B35" s="131">
        <v>354996</v>
      </c>
      <c r="C35" s="307"/>
      <c r="D35" s="131">
        <v>397200</v>
      </c>
      <c r="E35" s="307"/>
      <c r="F35" s="131">
        <v>2858</v>
      </c>
      <c r="G35" s="307">
        <v>10</v>
      </c>
      <c r="H35" s="131">
        <v>3192</v>
      </c>
      <c r="I35" s="307">
        <v>30</v>
      </c>
      <c r="J35" s="107"/>
      <c r="K35" s="107"/>
      <c r="L35" s="107"/>
      <c r="M35" s="107"/>
      <c r="N35" s="107"/>
      <c r="O35" s="107"/>
    </row>
    <row r="36" spans="1:15" x14ac:dyDescent="0.2">
      <c r="A36" s="1068" t="s">
        <v>1341</v>
      </c>
      <c r="B36" s="240">
        <v>12897990</v>
      </c>
      <c r="C36" s="513"/>
      <c r="D36" s="240">
        <v>13831190</v>
      </c>
      <c r="E36" s="513"/>
      <c r="F36" s="240">
        <v>640724</v>
      </c>
      <c r="G36" s="513">
        <v>70</v>
      </c>
      <c r="H36" s="240">
        <v>718513</v>
      </c>
      <c r="I36" s="513"/>
      <c r="J36" s="107"/>
      <c r="K36" s="107"/>
      <c r="L36" s="107"/>
      <c r="M36" s="107"/>
      <c r="N36" s="107"/>
      <c r="O36" s="107"/>
    </row>
    <row r="37" spans="1:15" x14ac:dyDescent="0.2">
      <c r="A37" s="533" t="s">
        <v>3591</v>
      </c>
      <c r="B37" s="131">
        <v>1312375</v>
      </c>
      <c r="C37" s="307"/>
      <c r="D37" s="131">
        <v>1439010</v>
      </c>
      <c r="E37" s="307"/>
      <c r="F37" s="131">
        <v>80038</v>
      </c>
      <c r="G37" s="307">
        <v>40</v>
      </c>
      <c r="H37" s="131">
        <v>88489</v>
      </c>
      <c r="I37" s="307">
        <v>10</v>
      </c>
      <c r="J37" s="107"/>
      <c r="K37" s="107"/>
      <c r="L37" s="107"/>
      <c r="M37" s="107"/>
      <c r="N37" s="107"/>
      <c r="O37" s="107"/>
    </row>
    <row r="38" spans="1:15" x14ac:dyDescent="0.2">
      <c r="A38" s="533" t="s">
        <v>3592</v>
      </c>
      <c r="B38" s="131">
        <v>123406</v>
      </c>
      <c r="C38" s="307">
        <v>750</v>
      </c>
      <c r="D38" s="131">
        <v>187980</v>
      </c>
      <c r="E38" s="307"/>
      <c r="F38" s="131">
        <v>4701</v>
      </c>
      <c r="G38" s="307">
        <v>35</v>
      </c>
      <c r="H38" s="131">
        <v>7783</v>
      </c>
      <c r="I38" s="307">
        <v>60</v>
      </c>
      <c r="J38" s="107"/>
      <c r="K38" s="107"/>
      <c r="L38" s="107"/>
      <c r="M38" s="107"/>
      <c r="N38" s="107"/>
      <c r="O38" s="107"/>
    </row>
    <row r="39" spans="1:15" x14ac:dyDescent="0.2">
      <c r="A39" s="533" t="s">
        <v>3593</v>
      </c>
      <c r="B39" s="131">
        <v>273344</v>
      </c>
      <c r="C39" s="307"/>
      <c r="D39" s="131">
        <v>563947</v>
      </c>
      <c r="E39" s="307">
        <v>500</v>
      </c>
      <c r="F39" s="131">
        <v>25571</v>
      </c>
      <c r="G39" s="307">
        <v>80</v>
      </c>
      <c r="H39" s="131">
        <v>28326</v>
      </c>
      <c r="I39" s="307">
        <v>90</v>
      </c>
      <c r="J39" s="107"/>
      <c r="K39" s="107"/>
      <c r="L39" s="107"/>
      <c r="M39" s="107"/>
      <c r="N39" s="107"/>
      <c r="O39" s="107"/>
    </row>
    <row r="40" spans="1:15" x14ac:dyDescent="0.2">
      <c r="A40" s="1068" t="s">
        <v>1341</v>
      </c>
      <c r="B40" s="240">
        <v>1709125</v>
      </c>
      <c r="C40" s="513">
        <v>75</v>
      </c>
      <c r="D40" s="240">
        <v>2190937</v>
      </c>
      <c r="E40" s="513">
        <v>500</v>
      </c>
      <c r="F40" s="240">
        <v>110311</v>
      </c>
      <c r="G40" s="513">
        <v>55</v>
      </c>
      <c r="H40" s="240">
        <v>124599</v>
      </c>
      <c r="I40" s="513">
        <v>60</v>
      </c>
      <c r="J40" s="107"/>
      <c r="K40" s="107"/>
      <c r="L40" s="107"/>
      <c r="M40" s="107"/>
      <c r="N40" s="107"/>
      <c r="O40" s="107"/>
    </row>
    <row r="41" spans="1:15" x14ac:dyDescent="0.2">
      <c r="A41" s="533" t="s">
        <v>3594</v>
      </c>
      <c r="B41" s="131">
        <v>135718</v>
      </c>
      <c r="C41" s="307">
        <v>250</v>
      </c>
      <c r="D41" s="131">
        <v>138893</v>
      </c>
      <c r="E41" s="307">
        <v>625</v>
      </c>
      <c r="F41" s="131">
        <v>3256</v>
      </c>
      <c r="G41" s="307">
        <v>90</v>
      </c>
      <c r="H41" s="131">
        <v>3332</v>
      </c>
      <c r="I41" s="307">
        <v>75</v>
      </c>
      <c r="J41" s="107"/>
      <c r="K41" s="107"/>
      <c r="L41" s="107"/>
      <c r="M41" s="107"/>
      <c r="N41" s="107"/>
      <c r="O41" s="107"/>
    </row>
    <row r="42" spans="1:15" x14ac:dyDescent="0.2">
      <c r="A42" s="1068" t="s">
        <v>1341</v>
      </c>
      <c r="B42" s="240">
        <v>135718</v>
      </c>
      <c r="C42" s="513">
        <v>250</v>
      </c>
      <c r="D42" s="240">
        <v>138893</v>
      </c>
      <c r="E42" s="513">
        <v>625</v>
      </c>
      <c r="F42" s="240">
        <v>3256</v>
      </c>
      <c r="G42" s="513">
        <v>90</v>
      </c>
      <c r="H42" s="240">
        <v>3332</v>
      </c>
      <c r="I42" s="513">
        <v>75</v>
      </c>
      <c r="J42" s="107"/>
      <c r="K42" s="107"/>
      <c r="L42" s="107"/>
      <c r="M42" s="107"/>
      <c r="N42" s="107"/>
      <c r="O42" s="107"/>
    </row>
    <row r="43" spans="1:15" x14ac:dyDescent="0.2">
      <c r="A43" s="1069" t="s">
        <v>2358</v>
      </c>
      <c r="B43" s="131"/>
      <c r="C43" s="307"/>
      <c r="D43" s="131"/>
      <c r="E43" s="307"/>
      <c r="F43" s="131"/>
      <c r="G43" s="307"/>
      <c r="H43" s="131"/>
      <c r="I43" s="307"/>
      <c r="J43" s="107"/>
      <c r="K43" s="107"/>
      <c r="L43" s="107"/>
      <c r="M43" s="107"/>
      <c r="N43" s="107"/>
      <c r="O43" s="107"/>
    </row>
    <row r="44" spans="1:15" x14ac:dyDescent="0.2">
      <c r="A44" s="1068" t="s">
        <v>2595</v>
      </c>
      <c r="B44" s="131">
        <v>12897990</v>
      </c>
      <c r="C44" s="307"/>
      <c r="D44" s="131">
        <v>13831190</v>
      </c>
      <c r="E44" s="307"/>
      <c r="F44" s="131">
        <v>640724</v>
      </c>
      <c r="G44" s="307">
        <v>70</v>
      </c>
      <c r="H44" s="131">
        <v>718513</v>
      </c>
      <c r="I44" s="307"/>
      <c r="J44" s="107"/>
      <c r="K44" s="107"/>
      <c r="L44" s="107"/>
      <c r="M44" s="107"/>
      <c r="N44" s="107"/>
      <c r="O44" s="107"/>
    </row>
    <row r="45" spans="1:15" x14ac:dyDescent="0.2">
      <c r="A45" s="533" t="s">
        <v>2599</v>
      </c>
      <c r="B45" s="131">
        <v>1709125</v>
      </c>
      <c r="C45" s="307">
        <v>750</v>
      </c>
      <c r="D45" s="131">
        <v>2190937</v>
      </c>
      <c r="E45" s="307">
        <v>500</v>
      </c>
      <c r="F45" s="131">
        <v>110311</v>
      </c>
      <c r="G45" s="307">
        <v>55</v>
      </c>
      <c r="H45" s="131">
        <v>124599</v>
      </c>
      <c r="I45" s="307">
        <v>60</v>
      </c>
      <c r="J45" s="107"/>
      <c r="K45" s="107"/>
      <c r="L45" s="107"/>
      <c r="M45" s="107"/>
      <c r="N45" s="107"/>
      <c r="O45" s="107"/>
    </row>
    <row r="46" spans="1:15" x14ac:dyDescent="0.2">
      <c r="A46" s="1068" t="s">
        <v>3595</v>
      </c>
      <c r="B46" s="131">
        <v>135718</v>
      </c>
      <c r="C46" s="307">
        <v>250</v>
      </c>
      <c r="D46" s="131">
        <v>138893</v>
      </c>
      <c r="E46" s="307">
        <v>625</v>
      </c>
      <c r="F46" s="131">
        <v>3256</v>
      </c>
      <c r="G46" s="307">
        <v>90</v>
      </c>
      <c r="H46" s="131">
        <v>3331</v>
      </c>
      <c r="I46" s="307">
        <v>75</v>
      </c>
      <c r="J46" s="107"/>
      <c r="K46" s="107"/>
      <c r="L46" s="107"/>
      <c r="M46" s="107"/>
      <c r="N46" s="107"/>
      <c r="O46" s="107"/>
    </row>
    <row r="47" spans="1:15" x14ac:dyDescent="0.2">
      <c r="A47" s="1070" t="s">
        <v>3489</v>
      </c>
      <c r="B47" s="240">
        <v>14742834</v>
      </c>
      <c r="C47" s="513"/>
      <c r="D47" s="240">
        <v>16161021</v>
      </c>
      <c r="E47" s="513">
        <v>125</v>
      </c>
      <c r="F47" s="240">
        <v>754293</v>
      </c>
      <c r="G47" s="513">
        <v>15</v>
      </c>
      <c r="H47" s="240">
        <v>846445</v>
      </c>
      <c r="I47" s="513">
        <v>35</v>
      </c>
      <c r="J47" s="107"/>
      <c r="K47" s="107"/>
      <c r="L47" s="107"/>
      <c r="M47" s="107"/>
      <c r="N47" s="107"/>
      <c r="O47" s="107"/>
    </row>
    <row r="48" spans="1:15" x14ac:dyDescent="0.2">
      <c r="A48" s="107"/>
      <c r="B48" s="321">
        <f>+SUM(B31+B32+B33+B34+B35+B37+B38+B39+B41)</f>
        <v>14742833</v>
      </c>
      <c r="C48" s="321">
        <f t="shared" ref="C48:I48" si="1">+SUM(C31+C32+C33+C34+C35+C37+C38+C39+C41)</f>
        <v>1000</v>
      </c>
      <c r="D48" s="321">
        <f t="shared" si="1"/>
        <v>16161020</v>
      </c>
      <c r="E48" s="321">
        <f t="shared" si="1"/>
        <v>1125</v>
      </c>
      <c r="F48" s="321">
        <f t="shared" si="1"/>
        <v>754288</v>
      </c>
      <c r="G48" s="321">
        <f t="shared" si="1"/>
        <v>515</v>
      </c>
      <c r="H48" s="321">
        <f t="shared" si="1"/>
        <v>846440</v>
      </c>
      <c r="I48" s="321">
        <f t="shared" si="1"/>
        <v>535</v>
      </c>
      <c r="J48" s="107"/>
      <c r="K48" s="107"/>
      <c r="L48" s="107"/>
      <c r="M48" s="107"/>
      <c r="N48" s="107"/>
      <c r="O48" s="107"/>
    </row>
    <row r="49" spans="1:15" x14ac:dyDescent="0.2">
      <c r="A49" s="107"/>
      <c r="B49" s="107"/>
      <c r="C49" s="107"/>
      <c r="D49" s="107"/>
      <c r="E49" s="107"/>
      <c r="F49" s="107"/>
      <c r="G49" s="107"/>
      <c r="H49" s="107"/>
      <c r="I49" s="107"/>
      <c r="J49" s="107"/>
      <c r="K49" s="107"/>
      <c r="L49" s="107"/>
      <c r="M49" s="107"/>
      <c r="N49" s="107"/>
      <c r="O49" s="107"/>
    </row>
    <row r="50" spans="1:15" x14ac:dyDescent="0.2">
      <c r="A50" s="107"/>
      <c r="B50" s="107"/>
      <c r="C50" s="107"/>
      <c r="D50" s="107"/>
      <c r="E50" s="107"/>
      <c r="F50" s="107"/>
      <c r="G50" s="107"/>
      <c r="H50" s="107"/>
      <c r="I50" s="107"/>
      <c r="J50" s="107"/>
      <c r="K50" s="107"/>
      <c r="L50" s="107"/>
      <c r="M50" s="107"/>
      <c r="N50" s="107"/>
      <c r="O50" s="107"/>
    </row>
    <row r="51" spans="1:15" x14ac:dyDescent="0.2">
      <c r="A51" s="526" t="s">
        <v>1587</v>
      </c>
      <c r="B51" s="107"/>
      <c r="C51" s="107"/>
      <c r="D51" s="107"/>
      <c r="E51" s="107"/>
      <c r="F51" s="107"/>
      <c r="G51" s="107"/>
      <c r="H51" s="107"/>
      <c r="I51" s="107"/>
      <c r="J51" s="107"/>
      <c r="K51" s="107"/>
      <c r="L51" s="107"/>
      <c r="M51" s="107"/>
      <c r="N51" s="107"/>
      <c r="O51" s="107"/>
    </row>
    <row r="52" spans="1:15" ht="30" customHeight="1" x14ac:dyDescent="0.2">
      <c r="A52" s="998" t="s">
        <v>3596</v>
      </c>
      <c r="B52" s="998"/>
      <c r="C52" s="998"/>
      <c r="D52" s="998"/>
      <c r="E52" s="998"/>
      <c r="F52" s="998"/>
      <c r="G52" s="998"/>
      <c r="H52" s="107"/>
      <c r="I52" s="107"/>
      <c r="J52" s="107"/>
      <c r="K52" s="107"/>
      <c r="L52" s="107"/>
      <c r="M52" s="107"/>
      <c r="N52" s="107"/>
      <c r="O52" s="107"/>
    </row>
    <row r="53" spans="1:15" ht="39.5" customHeight="1" x14ac:dyDescent="0.2">
      <c r="A53" s="967" t="s">
        <v>3597</v>
      </c>
      <c r="B53" s="980" t="s">
        <v>3598</v>
      </c>
      <c r="C53" s="978"/>
      <c r="D53" s="977" t="s">
        <v>1882</v>
      </c>
      <c r="E53" s="977"/>
      <c r="F53" s="980" t="s">
        <v>3599</v>
      </c>
      <c r="G53" s="977"/>
      <c r="H53" s="107"/>
      <c r="I53" s="107"/>
      <c r="J53" s="107"/>
      <c r="K53" s="107"/>
      <c r="L53" s="107"/>
      <c r="M53" s="107"/>
      <c r="N53" s="107"/>
      <c r="O53" s="107"/>
    </row>
    <row r="54" spans="1:15" x14ac:dyDescent="0.2">
      <c r="A54" s="967"/>
      <c r="B54" s="1071" t="s">
        <v>3373</v>
      </c>
      <c r="C54" s="1072" t="s">
        <v>3374</v>
      </c>
      <c r="D54" s="1073" t="s">
        <v>3373</v>
      </c>
      <c r="E54" s="1073" t="s">
        <v>3374</v>
      </c>
      <c r="F54" s="1071" t="s">
        <v>3373</v>
      </c>
      <c r="G54" s="1073" t="s">
        <v>3374</v>
      </c>
      <c r="H54" s="107"/>
      <c r="I54" s="107"/>
      <c r="J54" s="107"/>
      <c r="K54" s="107"/>
      <c r="L54" s="107"/>
      <c r="M54" s="107"/>
      <c r="N54" s="107"/>
      <c r="O54" s="107"/>
    </row>
    <row r="55" spans="1:15" x14ac:dyDescent="0.2">
      <c r="A55" s="533" t="s">
        <v>3600</v>
      </c>
      <c r="B55" s="145">
        <v>526441</v>
      </c>
      <c r="C55" s="145">
        <v>70</v>
      </c>
      <c r="D55" s="131">
        <v>104269</v>
      </c>
      <c r="E55" s="307">
        <v>20</v>
      </c>
      <c r="F55" s="145">
        <v>422172</v>
      </c>
      <c r="G55" s="307">
        <v>50</v>
      </c>
      <c r="H55" s="107"/>
      <c r="I55" s="107"/>
      <c r="J55" s="107"/>
      <c r="K55" s="107"/>
      <c r="L55" s="107"/>
      <c r="M55" s="107"/>
      <c r="N55" s="107"/>
      <c r="O55" s="107"/>
    </row>
    <row r="56" spans="1:15" x14ac:dyDescent="0.2">
      <c r="A56" s="533" t="s">
        <v>3587</v>
      </c>
      <c r="B56" s="145">
        <v>73246</v>
      </c>
      <c r="C56" s="145">
        <v>80</v>
      </c>
      <c r="D56" s="131">
        <v>17515</v>
      </c>
      <c r="E56" s="307">
        <v>65</v>
      </c>
      <c r="F56" s="145">
        <v>55731</v>
      </c>
      <c r="G56" s="307">
        <v>15</v>
      </c>
      <c r="H56" s="107"/>
      <c r="I56" s="107"/>
      <c r="J56" s="107"/>
      <c r="K56" s="107"/>
      <c r="L56" s="107"/>
      <c r="M56" s="107"/>
      <c r="N56" s="107"/>
      <c r="O56" s="107"/>
    </row>
    <row r="57" spans="1:15" x14ac:dyDescent="0.2">
      <c r="A57" s="533" t="s">
        <v>3588</v>
      </c>
      <c r="B57" s="145">
        <v>46878</v>
      </c>
      <c r="C57" s="145">
        <v>40</v>
      </c>
      <c r="D57" s="131">
        <v>8563</v>
      </c>
      <c r="E57" s="307">
        <v>50</v>
      </c>
      <c r="F57" s="145">
        <v>38314</v>
      </c>
      <c r="G57" s="307">
        <v>90</v>
      </c>
      <c r="H57" s="107"/>
      <c r="I57" s="107"/>
      <c r="J57" s="107"/>
      <c r="K57" s="107"/>
      <c r="L57" s="107"/>
      <c r="M57" s="107"/>
      <c r="N57" s="107"/>
      <c r="O57" s="107"/>
    </row>
    <row r="58" spans="1:15" x14ac:dyDescent="0.2">
      <c r="A58" s="533" t="s">
        <v>3589</v>
      </c>
      <c r="B58" s="145">
        <v>68753</v>
      </c>
      <c r="C58" s="145">
        <v>80</v>
      </c>
      <c r="D58" s="131">
        <v>19925</v>
      </c>
      <c r="E58" s="307">
        <v>20</v>
      </c>
      <c r="F58" s="145">
        <v>48828</v>
      </c>
      <c r="G58" s="307">
        <v>60</v>
      </c>
      <c r="H58" s="107"/>
      <c r="I58" s="107"/>
      <c r="J58" s="107"/>
      <c r="K58" s="107"/>
      <c r="L58" s="107"/>
      <c r="M58" s="107"/>
      <c r="N58" s="107"/>
      <c r="O58" s="107"/>
    </row>
    <row r="59" spans="1:15" x14ac:dyDescent="0.2">
      <c r="A59" s="533" t="s">
        <v>3590</v>
      </c>
      <c r="B59" s="145">
        <v>3192</v>
      </c>
      <c r="C59" s="145">
        <v>30</v>
      </c>
      <c r="D59" s="131">
        <v>1606</v>
      </c>
      <c r="E59" s="307">
        <v>70</v>
      </c>
      <c r="F59" s="145">
        <v>1585</v>
      </c>
      <c r="G59" s="307">
        <v>60</v>
      </c>
      <c r="H59" s="107"/>
      <c r="I59" s="107"/>
      <c r="J59" s="107"/>
      <c r="K59" s="107"/>
      <c r="L59" s="107"/>
      <c r="M59" s="107"/>
      <c r="N59" s="107"/>
      <c r="O59" s="107"/>
    </row>
    <row r="60" spans="1:15" x14ac:dyDescent="0.2">
      <c r="A60" s="533" t="s">
        <v>3591</v>
      </c>
      <c r="B60" s="145">
        <v>88489</v>
      </c>
      <c r="C60" s="145">
        <v>10</v>
      </c>
      <c r="D60" s="131">
        <v>48536</v>
      </c>
      <c r="E60" s="307">
        <v>50</v>
      </c>
      <c r="F60" s="145">
        <v>39952</v>
      </c>
      <c r="G60" s="307">
        <v>60</v>
      </c>
      <c r="H60" s="107"/>
      <c r="I60" s="107"/>
      <c r="J60" s="107"/>
      <c r="K60" s="107"/>
      <c r="L60" s="107"/>
      <c r="M60" s="107"/>
      <c r="N60" s="107"/>
      <c r="O60" s="107"/>
    </row>
    <row r="61" spans="1:15" x14ac:dyDescent="0.2">
      <c r="A61" s="533" t="s">
        <v>3592</v>
      </c>
      <c r="B61" s="145">
        <v>7783</v>
      </c>
      <c r="C61" s="145">
        <v>60</v>
      </c>
      <c r="D61" s="131">
        <v>6800</v>
      </c>
      <c r="E61" s="307">
        <v>60</v>
      </c>
      <c r="F61" s="145">
        <v>983</v>
      </c>
      <c r="G61" s="307"/>
      <c r="H61" s="107"/>
      <c r="I61" s="107"/>
      <c r="J61" s="107"/>
      <c r="K61" s="107"/>
      <c r="L61" s="107"/>
      <c r="M61" s="107"/>
      <c r="N61" s="107"/>
      <c r="O61" s="107"/>
    </row>
    <row r="62" spans="1:15" x14ac:dyDescent="0.2">
      <c r="A62" s="533" t="s">
        <v>3601</v>
      </c>
      <c r="B62" s="145">
        <v>28326</v>
      </c>
      <c r="C62" s="145">
        <v>90</v>
      </c>
      <c r="D62" s="131">
        <v>5519</v>
      </c>
      <c r="E62" s="307">
        <v>30</v>
      </c>
      <c r="F62" s="145">
        <v>22807</v>
      </c>
      <c r="G62" s="307">
        <v>60</v>
      </c>
      <c r="H62" s="107"/>
      <c r="I62" s="107"/>
      <c r="J62" s="107"/>
      <c r="K62" s="107"/>
      <c r="L62" s="107"/>
      <c r="M62" s="107"/>
      <c r="N62" s="107"/>
      <c r="O62" s="107"/>
    </row>
    <row r="63" spans="1:15" x14ac:dyDescent="0.2">
      <c r="A63" s="533" t="s">
        <v>3594</v>
      </c>
      <c r="B63" s="145">
        <v>3332</v>
      </c>
      <c r="C63" s="145">
        <v>75</v>
      </c>
      <c r="D63" s="131">
        <v>3652</v>
      </c>
      <c r="E63" s="307">
        <v>50</v>
      </c>
      <c r="F63" s="145"/>
      <c r="G63" s="307"/>
      <c r="H63" s="107"/>
      <c r="I63" s="107"/>
      <c r="J63" s="107"/>
      <c r="K63" s="107"/>
      <c r="L63" s="107"/>
      <c r="M63" s="107"/>
      <c r="N63" s="107"/>
      <c r="O63" s="107"/>
    </row>
    <row r="64" spans="1:15" x14ac:dyDescent="0.2">
      <c r="A64" s="785" t="s">
        <v>3602</v>
      </c>
      <c r="B64" s="318">
        <v>846445</v>
      </c>
      <c r="C64" s="318">
        <v>35</v>
      </c>
      <c r="D64" s="240">
        <v>216389</v>
      </c>
      <c r="E64" s="513">
        <v>15</v>
      </c>
      <c r="F64" s="318">
        <v>630375</v>
      </c>
      <c r="G64" s="513">
        <v>95</v>
      </c>
      <c r="H64" s="107"/>
      <c r="I64" s="107"/>
      <c r="J64" s="107"/>
      <c r="K64" s="107"/>
      <c r="L64" s="107"/>
      <c r="M64" s="107"/>
      <c r="N64" s="107"/>
      <c r="O64" s="107"/>
    </row>
    <row r="65" spans="1:15" x14ac:dyDescent="0.2">
      <c r="A65" s="622"/>
      <c r="B65" s="345">
        <f t="shared" ref="B65:G65" si="2">+SUM(B55:B63)</f>
        <v>846440</v>
      </c>
      <c r="C65" s="345">
        <f t="shared" si="2"/>
        <v>535</v>
      </c>
      <c r="D65" s="345">
        <f t="shared" si="2"/>
        <v>216385</v>
      </c>
      <c r="E65" s="345">
        <f t="shared" si="2"/>
        <v>415</v>
      </c>
      <c r="F65" s="345">
        <f t="shared" si="2"/>
        <v>630372</v>
      </c>
      <c r="G65" s="345">
        <f t="shared" si="2"/>
        <v>395</v>
      </c>
      <c r="H65" s="107"/>
      <c r="I65" s="107"/>
      <c r="J65" s="107"/>
      <c r="K65" s="107"/>
      <c r="L65" s="107"/>
      <c r="M65" s="107"/>
      <c r="N65" s="107"/>
      <c r="O65" s="107"/>
    </row>
    <row r="66" spans="1:15" x14ac:dyDescent="0.2">
      <c r="A66" s="349" t="s">
        <v>3603</v>
      </c>
      <c r="B66" s="349">
        <v>238793</v>
      </c>
      <c r="C66" s="350">
        <v>2</v>
      </c>
      <c r="D66" s="352">
        <f>1/2</f>
        <v>0.5</v>
      </c>
      <c r="E66" s="353"/>
      <c r="F66" s="354"/>
      <c r="G66" s="604"/>
      <c r="H66" s="107"/>
      <c r="I66" s="107"/>
      <c r="J66" s="107"/>
      <c r="K66" s="107"/>
      <c r="L66" s="107"/>
      <c r="M66" s="107"/>
      <c r="N66" s="107"/>
      <c r="O66" s="107"/>
    </row>
    <row r="67" spans="1:15" x14ac:dyDescent="0.2">
      <c r="A67" s="131" t="s">
        <v>3604</v>
      </c>
      <c r="B67" s="131">
        <v>216389</v>
      </c>
      <c r="C67" s="145">
        <v>15</v>
      </c>
      <c r="D67" s="307"/>
      <c r="E67" s="494"/>
      <c r="F67" s="495"/>
      <c r="G67" s="550"/>
      <c r="H67" s="107"/>
      <c r="I67" s="107"/>
      <c r="J67" s="107"/>
      <c r="K67" s="107"/>
      <c r="L67" s="107"/>
      <c r="M67" s="107"/>
      <c r="N67" s="107"/>
      <c r="O67" s="107"/>
    </row>
    <row r="68" spans="1:15" x14ac:dyDescent="0.2">
      <c r="A68" s="131" t="s">
        <v>3605</v>
      </c>
      <c r="B68" s="131">
        <v>518947</v>
      </c>
      <c r="C68" s="145">
        <v>90</v>
      </c>
      <c r="D68" s="307"/>
      <c r="E68" s="494"/>
      <c r="F68" s="495"/>
      <c r="G68" s="550"/>
      <c r="H68" s="107"/>
      <c r="I68" s="107"/>
      <c r="J68" s="107"/>
      <c r="K68" s="107"/>
      <c r="L68" s="107"/>
      <c r="M68" s="107"/>
      <c r="N68" s="107"/>
      <c r="O68" s="107"/>
    </row>
    <row r="69" spans="1:15" x14ac:dyDescent="0.2">
      <c r="A69" s="230" t="s">
        <v>3606</v>
      </c>
      <c r="B69" s="230">
        <v>630375</v>
      </c>
      <c r="C69" s="309">
        <v>95</v>
      </c>
      <c r="D69" s="364"/>
      <c r="E69" s="355"/>
      <c r="F69" s="356"/>
      <c r="G69" s="357"/>
      <c r="H69" s="107"/>
      <c r="I69" s="107"/>
      <c r="J69" s="107"/>
      <c r="K69" s="107"/>
      <c r="L69" s="107"/>
      <c r="M69" s="107"/>
      <c r="N69" s="107"/>
      <c r="O69" s="107"/>
    </row>
    <row r="70" spans="1:15" x14ac:dyDescent="0.2">
      <c r="A70" s="107"/>
      <c r="B70" s="107"/>
      <c r="C70" s="107"/>
      <c r="D70" s="107"/>
      <c r="E70" s="107"/>
      <c r="F70" s="107"/>
      <c r="G70" s="107"/>
      <c r="H70" s="107"/>
      <c r="I70" s="107"/>
      <c r="J70" s="107"/>
      <c r="K70" s="107"/>
      <c r="L70" s="107"/>
      <c r="M70" s="107"/>
      <c r="N70" s="107"/>
      <c r="O70" s="107"/>
    </row>
    <row r="71" spans="1:15" x14ac:dyDescent="0.2">
      <c r="A71" s="107"/>
      <c r="B71" s="107"/>
      <c r="C71" s="107"/>
      <c r="D71" s="107"/>
      <c r="E71" s="107"/>
      <c r="F71" s="107"/>
      <c r="G71" s="107"/>
      <c r="H71" s="107"/>
      <c r="I71" s="107"/>
      <c r="J71" s="107"/>
      <c r="K71" s="107"/>
      <c r="L71" s="107"/>
      <c r="M71" s="107"/>
      <c r="N71" s="107"/>
      <c r="O71" s="107"/>
    </row>
    <row r="72" spans="1:15" x14ac:dyDescent="0.2">
      <c r="A72" s="107"/>
      <c r="B72" s="107"/>
      <c r="C72" s="107"/>
      <c r="D72" s="107"/>
      <c r="E72" s="107"/>
      <c r="F72" s="107"/>
      <c r="G72" s="107"/>
      <c r="H72" s="107"/>
      <c r="I72" s="107"/>
      <c r="J72" s="107"/>
      <c r="K72" s="107"/>
      <c r="L72" s="107"/>
      <c r="M72" s="107"/>
      <c r="N72" s="107"/>
      <c r="O72" s="107"/>
    </row>
    <row r="73" spans="1:15" x14ac:dyDescent="0.2">
      <c r="A73" s="107"/>
      <c r="B73" s="107"/>
      <c r="C73" s="107"/>
      <c r="D73" s="107"/>
      <c r="E73" s="107"/>
      <c r="F73" s="107"/>
      <c r="G73" s="107"/>
      <c r="H73" s="107"/>
      <c r="I73" s="107"/>
      <c r="J73" s="107"/>
      <c r="K73" s="107"/>
      <c r="L73" s="107"/>
      <c r="M73" s="107"/>
      <c r="N73" s="107"/>
      <c r="O73" s="107"/>
    </row>
    <row r="74" spans="1:15" x14ac:dyDescent="0.2">
      <c r="A74" s="107"/>
      <c r="B74" s="107"/>
      <c r="C74" s="107"/>
      <c r="D74" s="107"/>
      <c r="E74" s="107"/>
      <c r="F74" s="107"/>
      <c r="G74" s="107"/>
      <c r="H74" s="107"/>
      <c r="I74" s="107"/>
      <c r="J74" s="107"/>
      <c r="K74" s="107"/>
      <c r="L74" s="107"/>
      <c r="M74" s="107"/>
      <c r="N74" s="107"/>
      <c r="O74" s="107"/>
    </row>
    <row r="75" spans="1:15" x14ac:dyDescent="0.2">
      <c r="A75" s="107"/>
      <c r="B75" s="107"/>
      <c r="C75" s="107"/>
      <c r="D75" s="107"/>
      <c r="E75" s="107"/>
      <c r="F75" s="107"/>
      <c r="G75" s="107"/>
      <c r="H75" s="107"/>
      <c r="I75" s="107"/>
      <c r="J75" s="107"/>
      <c r="K75" s="107"/>
      <c r="L75" s="107"/>
      <c r="M75" s="107"/>
      <c r="N75" s="107"/>
      <c r="O75" s="107"/>
    </row>
    <row r="76" spans="1:15" x14ac:dyDescent="0.2">
      <c r="A76" s="107"/>
      <c r="B76" s="107"/>
      <c r="C76" s="107"/>
      <c r="D76" s="107"/>
      <c r="E76" s="107"/>
      <c r="F76" s="107"/>
      <c r="G76" s="107"/>
      <c r="H76" s="107"/>
      <c r="I76" s="107"/>
      <c r="J76" s="107"/>
      <c r="K76" s="107"/>
      <c r="L76" s="107"/>
      <c r="M76" s="107"/>
      <c r="N76" s="107"/>
      <c r="O76" s="107"/>
    </row>
    <row r="77" spans="1:15" x14ac:dyDescent="0.2">
      <c r="A77" s="107"/>
      <c r="B77" s="107"/>
      <c r="C77" s="107"/>
      <c r="D77" s="107"/>
      <c r="E77" s="107"/>
      <c r="F77" s="107"/>
      <c r="G77" s="107"/>
      <c r="H77" s="107"/>
      <c r="I77" s="107"/>
      <c r="J77" s="107"/>
      <c r="K77" s="107"/>
      <c r="L77" s="107"/>
      <c r="M77" s="107"/>
      <c r="N77" s="107"/>
      <c r="O77" s="107"/>
    </row>
    <row r="78" spans="1:15" x14ac:dyDescent="0.2">
      <c r="A78" s="107"/>
      <c r="B78" s="107"/>
      <c r="C78" s="107"/>
      <c r="D78" s="107"/>
      <c r="E78" s="107"/>
      <c r="F78" s="107"/>
      <c r="G78" s="107"/>
      <c r="H78" s="107"/>
      <c r="I78" s="107"/>
      <c r="J78" s="107"/>
      <c r="K78" s="107"/>
      <c r="L78" s="107"/>
      <c r="M78" s="107"/>
      <c r="N78" s="107"/>
      <c r="O78" s="107"/>
    </row>
    <row r="79" spans="1:15" x14ac:dyDescent="0.2">
      <c r="A79" s="107"/>
      <c r="B79" s="107"/>
      <c r="C79" s="107"/>
      <c r="D79" s="107"/>
      <c r="E79" s="107"/>
      <c r="F79" s="107"/>
      <c r="G79" s="107"/>
      <c r="H79" s="107"/>
      <c r="I79" s="107"/>
      <c r="J79" s="107"/>
      <c r="K79" s="107"/>
      <c r="L79" s="107"/>
      <c r="M79" s="107"/>
      <c r="N79" s="107"/>
      <c r="O79" s="107"/>
    </row>
    <row r="80" spans="1:15" x14ac:dyDescent="0.2">
      <c r="A80" s="107"/>
      <c r="B80" s="107"/>
      <c r="C80" s="107"/>
      <c r="D80" s="107"/>
      <c r="E80" s="107"/>
      <c r="F80" s="107"/>
      <c r="G80" s="107"/>
      <c r="H80" s="107"/>
      <c r="I80" s="107"/>
      <c r="J80" s="107"/>
      <c r="K80" s="107"/>
      <c r="L80" s="107"/>
      <c r="M80" s="107"/>
      <c r="N80" s="107"/>
      <c r="O80" s="107"/>
    </row>
    <row r="81" spans="1:15" x14ac:dyDescent="0.2">
      <c r="A81" s="107"/>
      <c r="B81" s="107"/>
      <c r="C81" s="107"/>
      <c r="D81" s="107"/>
      <c r="E81" s="107"/>
      <c r="F81" s="107"/>
      <c r="G81" s="107"/>
      <c r="H81" s="107"/>
      <c r="I81" s="107"/>
      <c r="J81" s="107"/>
      <c r="K81" s="107"/>
      <c r="L81" s="107"/>
      <c r="M81" s="107"/>
      <c r="N81" s="107"/>
      <c r="O81" s="107"/>
    </row>
    <row r="82" spans="1:15" x14ac:dyDescent="0.2">
      <c r="A82" s="107"/>
      <c r="B82" s="107"/>
      <c r="C82" s="107"/>
      <c r="D82" s="107"/>
      <c r="E82" s="107"/>
      <c r="F82" s="107"/>
      <c r="G82" s="107"/>
      <c r="H82" s="107"/>
      <c r="I82" s="107"/>
      <c r="J82" s="107"/>
      <c r="K82" s="107"/>
      <c r="L82" s="107"/>
      <c r="M82" s="107"/>
      <c r="N82" s="107"/>
      <c r="O82" s="107"/>
    </row>
    <row r="83" spans="1:15" x14ac:dyDescent="0.2">
      <c r="A83" s="107"/>
      <c r="B83" s="107"/>
      <c r="C83" s="107"/>
      <c r="D83" s="107"/>
      <c r="E83" s="107"/>
      <c r="F83" s="107"/>
      <c r="G83" s="107"/>
      <c r="H83" s="107"/>
      <c r="I83" s="107"/>
      <c r="J83" s="107"/>
      <c r="K83" s="107"/>
      <c r="L83" s="107"/>
      <c r="M83" s="107"/>
      <c r="N83" s="107"/>
      <c r="O83" s="107"/>
    </row>
    <row r="84" spans="1:15" x14ac:dyDescent="0.2">
      <c r="A84" s="107"/>
      <c r="B84" s="107"/>
      <c r="C84" s="107"/>
      <c r="D84" s="107"/>
      <c r="E84" s="107"/>
      <c r="F84" s="107"/>
      <c r="G84" s="107"/>
      <c r="H84" s="107"/>
      <c r="I84" s="107"/>
      <c r="J84" s="107"/>
      <c r="K84" s="107"/>
      <c r="L84" s="107"/>
      <c r="M84" s="107"/>
      <c r="N84" s="107"/>
      <c r="O84" s="107"/>
    </row>
    <row r="85" spans="1:15" x14ac:dyDescent="0.2">
      <c r="A85" s="107"/>
      <c r="B85" s="107"/>
      <c r="C85" s="107"/>
      <c r="D85" s="107"/>
      <c r="E85" s="107"/>
      <c r="F85" s="107"/>
      <c r="G85" s="107"/>
      <c r="H85" s="107"/>
      <c r="I85" s="107"/>
      <c r="J85" s="107"/>
      <c r="K85" s="107"/>
      <c r="L85" s="107"/>
      <c r="M85" s="107"/>
      <c r="N85" s="107"/>
      <c r="O85" s="107"/>
    </row>
    <row r="86" spans="1:15" x14ac:dyDescent="0.2">
      <c r="A86" s="107"/>
      <c r="B86" s="107"/>
      <c r="C86" s="107"/>
      <c r="D86" s="107"/>
      <c r="E86" s="107"/>
      <c r="F86" s="107"/>
      <c r="G86" s="107"/>
      <c r="H86" s="107"/>
      <c r="I86" s="107"/>
      <c r="J86" s="107"/>
      <c r="K86" s="107"/>
      <c r="L86" s="107"/>
      <c r="M86" s="107"/>
      <c r="N86" s="107"/>
      <c r="O86" s="107"/>
    </row>
    <row r="87" spans="1:15" x14ac:dyDescent="0.2">
      <c r="A87" s="107"/>
      <c r="B87" s="107"/>
      <c r="C87" s="107"/>
      <c r="D87" s="107"/>
      <c r="E87" s="107"/>
      <c r="F87" s="107"/>
      <c r="G87" s="107"/>
      <c r="H87" s="107"/>
      <c r="I87" s="107"/>
      <c r="J87" s="107"/>
      <c r="K87" s="107"/>
      <c r="L87" s="107"/>
      <c r="M87" s="107"/>
      <c r="N87" s="107"/>
      <c r="O87" s="107"/>
    </row>
    <row r="88" spans="1:15" x14ac:dyDescent="0.2">
      <c r="A88" s="107"/>
      <c r="B88" s="107"/>
      <c r="C88" s="107"/>
      <c r="D88" s="107"/>
      <c r="E88" s="107"/>
      <c r="F88" s="107"/>
      <c r="G88" s="107"/>
      <c r="H88" s="107"/>
      <c r="I88" s="107"/>
      <c r="J88" s="107"/>
      <c r="K88" s="107"/>
      <c r="L88" s="107"/>
      <c r="M88" s="107"/>
      <c r="N88" s="107"/>
      <c r="O88" s="107"/>
    </row>
    <row r="89" spans="1:15" x14ac:dyDescent="0.2">
      <c r="A89" s="107"/>
      <c r="B89" s="107"/>
      <c r="C89" s="107"/>
      <c r="D89" s="107"/>
      <c r="E89" s="107"/>
      <c r="F89" s="107"/>
      <c r="G89" s="107"/>
      <c r="H89" s="107"/>
      <c r="I89" s="107"/>
      <c r="J89" s="107"/>
      <c r="K89" s="107"/>
      <c r="L89" s="107"/>
      <c r="M89" s="107"/>
      <c r="N89" s="107"/>
      <c r="O89" s="107"/>
    </row>
    <row r="90" spans="1:15" x14ac:dyDescent="0.2">
      <c r="A90" s="107"/>
      <c r="B90" s="107"/>
      <c r="C90" s="107"/>
      <c r="D90" s="107"/>
      <c r="E90" s="107"/>
      <c r="F90" s="107"/>
      <c r="G90" s="107"/>
      <c r="H90" s="107"/>
      <c r="I90" s="107"/>
      <c r="J90" s="107"/>
      <c r="K90" s="107"/>
      <c r="L90" s="107"/>
      <c r="M90" s="107"/>
      <c r="N90" s="107"/>
      <c r="O90" s="107"/>
    </row>
    <row r="91" spans="1:15" x14ac:dyDescent="0.2">
      <c r="A91" s="107"/>
      <c r="B91" s="107"/>
      <c r="C91" s="107"/>
      <c r="D91" s="107"/>
      <c r="E91" s="107"/>
      <c r="F91" s="107"/>
      <c r="G91" s="107"/>
      <c r="H91" s="107"/>
      <c r="I91" s="107"/>
      <c r="J91" s="107"/>
      <c r="K91" s="107"/>
      <c r="L91" s="107"/>
      <c r="M91" s="107"/>
      <c r="N91" s="107"/>
      <c r="O91" s="107"/>
    </row>
    <row r="92" spans="1:15" x14ac:dyDescent="0.2">
      <c r="A92" s="107"/>
      <c r="B92" s="107"/>
      <c r="C92" s="107"/>
      <c r="D92" s="107"/>
      <c r="E92" s="107"/>
      <c r="F92" s="107"/>
      <c r="G92" s="107"/>
      <c r="H92" s="107"/>
      <c r="I92" s="107"/>
      <c r="J92" s="107"/>
      <c r="K92" s="107"/>
      <c r="L92" s="107"/>
      <c r="M92" s="107"/>
      <c r="N92" s="107"/>
      <c r="O92" s="107"/>
    </row>
    <row r="93" spans="1:15" x14ac:dyDescent="0.2">
      <c r="A93" s="107"/>
      <c r="B93" s="107"/>
      <c r="C93" s="107"/>
      <c r="D93" s="107"/>
      <c r="E93" s="107"/>
      <c r="F93" s="107"/>
      <c r="G93" s="107"/>
      <c r="H93" s="107"/>
      <c r="I93" s="107"/>
      <c r="J93" s="107"/>
      <c r="K93" s="107"/>
      <c r="L93" s="107"/>
      <c r="M93" s="107"/>
      <c r="N93" s="107"/>
      <c r="O93" s="107"/>
    </row>
    <row r="94" spans="1:15" x14ac:dyDescent="0.2">
      <c r="A94" s="107"/>
      <c r="B94" s="107"/>
      <c r="C94" s="107"/>
      <c r="D94" s="107"/>
      <c r="E94" s="107"/>
      <c r="F94" s="107"/>
      <c r="G94" s="107"/>
      <c r="H94" s="107"/>
      <c r="I94" s="107"/>
      <c r="J94" s="107"/>
      <c r="K94" s="107"/>
      <c r="L94" s="107"/>
      <c r="M94" s="107"/>
      <c r="N94" s="107"/>
      <c r="O94" s="107"/>
    </row>
    <row r="95" spans="1:15" x14ac:dyDescent="0.2">
      <c r="A95" s="107"/>
      <c r="B95" s="107"/>
      <c r="C95" s="107"/>
      <c r="D95" s="107"/>
      <c r="E95" s="107"/>
      <c r="F95" s="107"/>
      <c r="G95" s="107"/>
      <c r="H95" s="107"/>
      <c r="I95" s="107"/>
      <c r="J95" s="107"/>
      <c r="K95" s="107"/>
      <c r="L95" s="107"/>
      <c r="M95" s="107"/>
      <c r="N95" s="107"/>
      <c r="O95" s="107"/>
    </row>
    <row r="96" spans="1:15" x14ac:dyDescent="0.2">
      <c r="A96" s="107"/>
      <c r="B96" s="107"/>
      <c r="C96" s="107"/>
      <c r="D96" s="107"/>
      <c r="E96" s="107"/>
      <c r="F96" s="107"/>
      <c r="G96" s="107"/>
      <c r="H96" s="107"/>
      <c r="I96" s="107"/>
      <c r="J96" s="107"/>
      <c r="K96" s="107"/>
      <c r="L96" s="107"/>
      <c r="M96" s="107"/>
      <c r="N96" s="107"/>
      <c r="O96" s="107"/>
    </row>
    <row r="97" spans="1:15" x14ac:dyDescent="0.2">
      <c r="A97" s="107"/>
      <c r="B97" s="107"/>
      <c r="C97" s="107"/>
      <c r="D97" s="107"/>
      <c r="E97" s="107"/>
      <c r="F97" s="107"/>
      <c r="G97" s="107"/>
      <c r="H97" s="107"/>
      <c r="I97" s="107"/>
      <c r="J97" s="107"/>
      <c r="K97" s="107"/>
      <c r="L97" s="107"/>
      <c r="M97" s="107"/>
      <c r="N97" s="107"/>
      <c r="O97" s="107"/>
    </row>
    <row r="98" spans="1:15" x14ac:dyDescent="0.2">
      <c r="A98" s="107"/>
      <c r="B98" s="107"/>
      <c r="C98" s="107"/>
      <c r="D98" s="107"/>
      <c r="E98" s="107"/>
      <c r="F98" s="107"/>
      <c r="G98" s="107"/>
      <c r="H98" s="107"/>
      <c r="I98" s="107"/>
      <c r="J98" s="107"/>
      <c r="K98" s="107"/>
      <c r="L98" s="107"/>
      <c r="M98" s="107"/>
      <c r="N98" s="107"/>
      <c r="O98" s="107"/>
    </row>
    <row r="99" spans="1:15" x14ac:dyDescent="0.2">
      <c r="A99" s="107"/>
      <c r="B99" s="107"/>
      <c r="C99" s="107"/>
      <c r="D99" s="107"/>
      <c r="E99" s="107"/>
      <c r="F99" s="107"/>
      <c r="G99" s="107"/>
      <c r="H99" s="107"/>
      <c r="I99" s="107"/>
      <c r="J99" s="107"/>
      <c r="K99" s="107"/>
      <c r="L99" s="107"/>
      <c r="M99" s="107"/>
      <c r="N99" s="107"/>
      <c r="O99" s="107"/>
    </row>
    <row r="100" spans="1:15" x14ac:dyDescent="0.2">
      <c r="A100" s="107"/>
      <c r="B100" s="107"/>
      <c r="C100" s="107"/>
      <c r="D100" s="107"/>
      <c r="E100" s="107"/>
      <c r="F100" s="107"/>
      <c r="G100" s="107"/>
      <c r="H100" s="107"/>
      <c r="I100" s="107"/>
      <c r="J100" s="107"/>
      <c r="K100" s="107"/>
      <c r="L100" s="107"/>
      <c r="M100" s="107"/>
      <c r="N100" s="107"/>
      <c r="O100" s="107"/>
    </row>
    <row r="101" spans="1:15" x14ac:dyDescent="0.2">
      <c r="A101" s="107"/>
      <c r="B101" s="107"/>
      <c r="C101" s="107"/>
      <c r="D101" s="107"/>
      <c r="E101" s="107"/>
      <c r="F101" s="107"/>
      <c r="G101" s="107"/>
      <c r="H101" s="107"/>
      <c r="I101" s="107"/>
      <c r="J101" s="107"/>
      <c r="K101" s="107"/>
      <c r="L101" s="107"/>
      <c r="M101" s="107"/>
      <c r="N101" s="107"/>
      <c r="O101" s="107"/>
    </row>
    <row r="102" spans="1:15" x14ac:dyDescent="0.2">
      <c r="A102" s="107"/>
      <c r="B102" s="107"/>
      <c r="C102" s="107"/>
      <c r="D102" s="107"/>
      <c r="E102" s="107"/>
      <c r="F102" s="107"/>
      <c r="G102" s="107"/>
      <c r="H102" s="107"/>
      <c r="I102" s="107"/>
      <c r="J102" s="107"/>
      <c r="K102" s="107"/>
      <c r="L102" s="107"/>
      <c r="M102" s="107"/>
      <c r="N102" s="107"/>
      <c r="O102" s="107"/>
    </row>
    <row r="103" spans="1:15" x14ac:dyDescent="0.2">
      <c r="A103" s="107"/>
      <c r="B103" s="107"/>
      <c r="C103" s="107"/>
      <c r="D103" s="107"/>
      <c r="E103" s="107"/>
      <c r="F103" s="107"/>
      <c r="G103" s="107"/>
      <c r="H103" s="107"/>
      <c r="I103" s="107"/>
      <c r="J103" s="107"/>
      <c r="K103" s="107"/>
      <c r="L103" s="107"/>
      <c r="M103" s="107"/>
      <c r="N103" s="107"/>
      <c r="O103" s="107"/>
    </row>
    <row r="104" spans="1:15" x14ac:dyDescent="0.2">
      <c r="A104" s="107"/>
      <c r="B104" s="107"/>
      <c r="C104" s="107"/>
      <c r="D104" s="107"/>
      <c r="E104" s="107"/>
      <c r="F104" s="107"/>
      <c r="G104" s="107"/>
      <c r="H104" s="107"/>
      <c r="I104" s="107"/>
      <c r="J104" s="107"/>
      <c r="K104" s="107"/>
      <c r="L104" s="107"/>
      <c r="M104" s="107"/>
      <c r="N104" s="107"/>
      <c r="O104" s="107"/>
    </row>
    <row r="105" spans="1:15" x14ac:dyDescent="0.2">
      <c r="A105" s="107"/>
      <c r="B105" s="107"/>
      <c r="C105" s="107"/>
      <c r="D105" s="107"/>
      <c r="E105" s="107"/>
      <c r="F105" s="107"/>
      <c r="G105" s="107"/>
      <c r="H105" s="107"/>
      <c r="I105" s="107"/>
      <c r="J105" s="107"/>
      <c r="K105" s="107"/>
      <c r="L105" s="107"/>
      <c r="M105" s="107"/>
      <c r="N105" s="107"/>
      <c r="O105" s="107"/>
    </row>
    <row r="106" spans="1:15" x14ac:dyDescent="0.2">
      <c r="A106" s="107"/>
      <c r="B106" s="107"/>
      <c r="C106" s="107"/>
      <c r="D106" s="107"/>
      <c r="E106" s="107"/>
      <c r="F106" s="107"/>
      <c r="G106" s="107"/>
      <c r="H106" s="107"/>
      <c r="I106" s="107"/>
      <c r="J106" s="107"/>
      <c r="K106" s="107"/>
      <c r="L106" s="107"/>
      <c r="M106" s="107"/>
      <c r="N106" s="107"/>
      <c r="O106" s="107"/>
    </row>
    <row r="107" spans="1:15" x14ac:dyDescent="0.2">
      <c r="A107" s="107"/>
      <c r="B107" s="107"/>
      <c r="C107" s="107"/>
      <c r="D107" s="107"/>
      <c r="E107" s="107"/>
      <c r="F107" s="107"/>
      <c r="G107" s="107"/>
      <c r="H107" s="107"/>
      <c r="I107" s="107"/>
      <c r="J107" s="107"/>
      <c r="K107" s="107"/>
      <c r="L107" s="107"/>
      <c r="M107" s="107"/>
      <c r="N107" s="107"/>
      <c r="O107" s="107"/>
    </row>
    <row r="108" spans="1:15" x14ac:dyDescent="0.2">
      <c r="A108" s="107"/>
      <c r="B108" s="107"/>
      <c r="C108" s="107"/>
      <c r="D108" s="107"/>
      <c r="E108" s="107"/>
      <c r="F108" s="107"/>
      <c r="G108" s="107"/>
      <c r="H108" s="107"/>
      <c r="I108" s="107"/>
      <c r="J108" s="107"/>
      <c r="K108" s="107"/>
      <c r="L108" s="107"/>
      <c r="M108" s="107"/>
      <c r="N108" s="107"/>
      <c r="O108" s="107"/>
    </row>
    <row r="109" spans="1:15" x14ac:dyDescent="0.2">
      <c r="A109" s="107"/>
      <c r="B109" s="107"/>
      <c r="C109" s="107"/>
      <c r="D109" s="107"/>
      <c r="E109" s="107"/>
      <c r="F109" s="107"/>
      <c r="G109" s="107"/>
      <c r="H109" s="107"/>
      <c r="I109" s="107"/>
      <c r="J109" s="107"/>
      <c r="K109" s="107"/>
      <c r="L109" s="107"/>
      <c r="M109" s="107"/>
      <c r="N109" s="107"/>
      <c r="O109" s="107"/>
    </row>
    <row r="110" spans="1:15" x14ac:dyDescent="0.2">
      <c r="A110" s="107"/>
      <c r="B110" s="107"/>
      <c r="C110" s="107"/>
      <c r="D110" s="107"/>
      <c r="E110" s="107"/>
      <c r="F110" s="107"/>
      <c r="G110" s="107"/>
      <c r="H110" s="107"/>
      <c r="I110" s="107"/>
      <c r="J110" s="107"/>
      <c r="K110" s="107"/>
      <c r="L110" s="107"/>
      <c r="M110" s="107"/>
      <c r="N110" s="107"/>
      <c r="O110" s="107"/>
    </row>
    <row r="111" spans="1:15" x14ac:dyDescent="0.2">
      <c r="A111" s="107"/>
      <c r="B111" s="107"/>
      <c r="C111" s="107"/>
      <c r="D111" s="107"/>
      <c r="E111" s="107"/>
      <c r="F111" s="107"/>
      <c r="G111" s="107"/>
      <c r="H111" s="107"/>
      <c r="I111" s="107"/>
      <c r="J111" s="107"/>
      <c r="K111" s="107"/>
      <c r="L111" s="107"/>
      <c r="M111" s="107"/>
      <c r="N111" s="107"/>
      <c r="O111" s="107"/>
    </row>
    <row r="112" spans="1:15" x14ac:dyDescent="0.2">
      <c r="A112" s="107"/>
      <c r="B112" s="107"/>
      <c r="C112" s="107"/>
      <c r="D112" s="107"/>
      <c r="E112" s="107"/>
      <c r="F112" s="107"/>
      <c r="G112" s="107"/>
      <c r="H112" s="107"/>
      <c r="I112" s="107"/>
      <c r="J112" s="107"/>
      <c r="K112" s="107"/>
      <c r="L112" s="107"/>
      <c r="M112" s="107"/>
      <c r="N112" s="107"/>
      <c r="O112" s="107"/>
    </row>
    <row r="113" spans="1:15" x14ac:dyDescent="0.2">
      <c r="A113" s="107"/>
      <c r="B113" s="107"/>
      <c r="C113" s="107"/>
      <c r="D113" s="107"/>
      <c r="E113" s="107"/>
      <c r="F113" s="107"/>
      <c r="G113" s="107"/>
      <c r="H113" s="107"/>
      <c r="I113" s="107"/>
      <c r="J113" s="107"/>
      <c r="K113" s="107"/>
      <c r="L113" s="107"/>
      <c r="M113" s="107"/>
      <c r="N113" s="107"/>
      <c r="O113" s="107"/>
    </row>
    <row r="114" spans="1:15" x14ac:dyDescent="0.2">
      <c r="A114" s="107"/>
      <c r="B114" s="107"/>
      <c r="C114" s="107"/>
      <c r="D114" s="107"/>
      <c r="E114" s="107"/>
      <c r="F114" s="107"/>
      <c r="G114" s="107"/>
      <c r="H114" s="107"/>
      <c r="I114" s="107"/>
      <c r="J114" s="107"/>
      <c r="K114" s="107"/>
      <c r="L114" s="107"/>
      <c r="M114" s="107"/>
      <c r="N114" s="107"/>
      <c r="O114" s="107"/>
    </row>
    <row r="115" spans="1:15" x14ac:dyDescent="0.2">
      <c r="A115" s="107"/>
      <c r="B115" s="107"/>
      <c r="C115" s="107"/>
      <c r="D115" s="107"/>
      <c r="E115" s="107"/>
      <c r="F115" s="107"/>
      <c r="G115" s="107"/>
      <c r="H115" s="107"/>
      <c r="I115" s="107"/>
      <c r="J115" s="107"/>
      <c r="K115" s="107"/>
      <c r="L115" s="107"/>
      <c r="M115" s="107"/>
      <c r="N115" s="107"/>
      <c r="O115" s="107"/>
    </row>
    <row r="116" spans="1:15" x14ac:dyDescent="0.2">
      <c r="A116" s="107"/>
      <c r="B116" s="107"/>
      <c r="C116" s="107"/>
      <c r="D116" s="107"/>
      <c r="E116" s="107"/>
      <c r="F116" s="107"/>
      <c r="G116" s="107"/>
      <c r="H116" s="107"/>
      <c r="I116" s="107"/>
      <c r="J116" s="107"/>
      <c r="K116" s="107"/>
      <c r="L116" s="107"/>
      <c r="M116" s="107"/>
      <c r="N116" s="107"/>
      <c r="O116" s="107"/>
    </row>
    <row r="117" spans="1:15" x14ac:dyDescent="0.2">
      <c r="A117" s="107"/>
      <c r="B117" s="107"/>
      <c r="C117" s="107"/>
      <c r="D117" s="107"/>
      <c r="E117" s="107"/>
      <c r="F117" s="107"/>
      <c r="G117" s="107"/>
      <c r="H117" s="107"/>
      <c r="I117" s="107"/>
      <c r="J117" s="107"/>
      <c r="K117" s="107"/>
      <c r="L117" s="107"/>
      <c r="M117" s="107"/>
      <c r="N117" s="107"/>
      <c r="O117" s="107"/>
    </row>
    <row r="118" spans="1:15" x14ac:dyDescent="0.2">
      <c r="A118" s="107"/>
      <c r="B118" s="107"/>
      <c r="C118" s="107"/>
      <c r="D118" s="107"/>
      <c r="E118" s="107"/>
      <c r="F118" s="107"/>
      <c r="G118" s="107"/>
      <c r="H118" s="107"/>
      <c r="I118" s="107"/>
      <c r="J118" s="107"/>
      <c r="K118" s="107"/>
      <c r="L118" s="107"/>
      <c r="M118" s="107"/>
      <c r="N118" s="107"/>
      <c r="O118" s="107"/>
    </row>
    <row r="119" spans="1:15" x14ac:dyDescent="0.2">
      <c r="A119" s="107"/>
      <c r="B119" s="107"/>
      <c r="C119" s="107"/>
      <c r="D119" s="107"/>
      <c r="E119" s="107"/>
      <c r="F119" s="107"/>
      <c r="G119" s="107"/>
      <c r="H119" s="107"/>
      <c r="I119" s="107"/>
      <c r="J119" s="107"/>
      <c r="K119" s="107"/>
      <c r="L119" s="107"/>
      <c r="M119" s="107"/>
      <c r="N119" s="107"/>
      <c r="O119" s="107"/>
    </row>
    <row r="120" spans="1:15" x14ac:dyDescent="0.2">
      <c r="A120" s="107"/>
      <c r="B120" s="107"/>
      <c r="C120" s="107"/>
      <c r="D120" s="107"/>
      <c r="E120" s="107"/>
      <c r="F120" s="107"/>
      <c r="G120" s="107"/>
      <c r="H120" s="107"/>
      <c r="I120" s="107"/>
      <c r="J120" s="107"/>
      <c r="K120" s="107"/>
      <c r="L120" s="107"/>
      <c r="M120" s="107"/>
      <c r="N120" s="107"/>
      <c r="O120" s="107"/>
    </row>
    <row r="121" spans="1:15" x14ac:dyDescent="0.2">
      <c r="A121" s="107"/>
      <c r="B121" s="107"/>
      <c r="C121" s="107"/>
      <c r="D121" s="107"/>
      <c r="E121" s="107"/>
      <c r="F121" s="107"/>
      <c r="G121" s="107"/>
      <c r="H121" s="107"/>
      <c r="I121" s="107"/>
      <c r="J121" s="107"/>
      <c r="K121" s="107"/>
      <c r="L121" s="107"/>
      <c r="M121" s="107"/>
      <c r="N121" s="107"/>
      <c r="O121" s="107"/>
    </row>
    <row r="122" spans="1:15" x14ac:dyDescent="0.2">
      <c r="A122" s="107"/>
      <c r="B122" s="107"/>
      <c r="C122" s="107"/>
      <c r="D122" s="107"/>
      <c r="E122" s="107"/>
      <c r="F122" s="107"/>
      <c r="G122" s="107"/>
      <c r="H122" s="107"/>
      <c r="I122" s="107"/>
      <c r="J122" s="107"/>
      <c r="K122" s="107"/>
      <c r="L122" s="107"/>
      <c r="M122" s="107"/>
      <c r="N122" s="107"/>
      <c r="O122" s="107"/>
    </row>
    <row r="123" spans="1:15" x14ac:dyDescent="0.2">
      <c r="A123" s="107"/>
      <c r="B123" s="107"/>
      <c r="C123" s="107"/>
      <c r="D123" s="107"/>
      <c r="E123" s="107"/>
      <c r="F123" s="107"/>
      <c r="G123" s="107"/>
      <c r="H123" s="107"/>
      <c r="I123" s="107"/>
      <c r="J123" s="107"/>
      <c r="K123" s="107"/>
      <c r="L123" s="107"/>
      <c r="M123" s="107"/>
      <c r="N123" s="107"/>
      <c r="O123" s="107"/>
    </row>
    <row r="124" spans="1:15" x14ac:dyDescent="0.2">
      <c r="A124" s="107"/>
      <c r="B124" s="107"/>
      <c r="C124" s="107"/>
      <c r="D124" s="107"/>
      <c r="E124" s="107"/>
      <c r="F124" s="107"/>
      <c r="G124" s="107"/>
      <c r="H124" s="107"/>
      <c r="I124" s="107"/>
      <c r="J124" s="107"/>
      <c r="K124" s="107"/>
      <c r="L124" s="107"/>
      <c r="M124" s="107"/>
      <c r="N124" s="107"/>
      <c r="O124" s="107"/>
    </row>
    <row r="125" spans="1:15" x14ac:dyDescent="0.2">
      <c r="A125" s="107"/>
      <c r="B125" s="107"/>
      <c r="C125" s="107"/>
      <c r="D125" s="107"/>
      <c r="E125" s="107"/>
      <c r="F125" s="107"/>
      <c r="G125" s="107"/>
      <c r="H125" s="107"/>
      <c r="I125" s="107"/>
      <c r="J125" s="107"/>
      <c r="K125" s="107"/>
      <c r="L125" s="107"/>
      <c r="M125" s="107"/>
      <c r="N125" s="107"/>
      <c r="O125" s="107"/>
    </row>
    <row r="126" spans="1:15" x14ac:dyDescent="0.2">
      <c r="A126" s="107"/>
      <c r="B126" s="107"/>
      <c r="C126" s="107"/>
      <c r="D126" s="107"/>
      <c r="E126" s="107"/>
      <c r="F126" s="107"/>
      <c r="G126" s="107"/>
      <c r="H126" s="107"/>
      <c r="I126" s="107"/>
      <c r="J126" s="107"/>
      <c r="K126" s="107"/>
      <c r="L126" s="107"/>
      <c r="M126" s="107"/>
      <c r="N126" s="107"/>
      <c r="O126" s="107"/>
    </row>
    <row r="127" spans="1:15" x14ac:dyDescent="0.2">
      <c r="A127" s="107"/>
      <c r="B127" s="107"/>
      <c r="C127" s="107"/>
      <c r="D127" s="107"/>
      <c r="E127" s="107"/>
      <c r="F127" s="107"/>
      <c r="G127" s="107"/>
      <c r="H127" s="107"/>
      <c r="I127" s="107"/>
      <c r="J127" s="107"/>
      <c r="K127" s="107"/>
      <c r="L127" s="107"/>
      <c r="M127" s="107"/>
      <c r="N127" s="107"/>
      <c r="O127" s="107"/>
    </row>
    <row r="128" spans="1:15" x14ac:dyDescent="0.2">
      <c r="A128" s="107"/>
      <c r="B128" s="107"/>
      <c r="C128" s="107"/>
      <c r="D128" s="107"/>
      <c r="E128" s="107"/>
      <c r="F128" s="107"/>
      <c r="G128" s="107"/>
      <c r="H128" s="107"/>
      <c r="I128" s="107"/>
      <c r="J128" s="107"/>
      <c r="K128" s="107"/>
      <c r="L128" s="107"/>
      <c r="M128" s="107"/>
      <c r="N128" s="107"/>
      <c r="O128" s="107"/>
    </row>
    <row r="129" spans="1:15" x14ac:dyDescent="0.2">
      <c r="A129" s="107"/>
      <c r="B129" s="107"/>
      <c r="C129" s="107"/>
      <c r="D129" s="107"/>
      <c r="E129" s="107"/>
      <c r="F129" s="107"/>
      <c r="G129" s="107"/>
      <c r="H129" s="107"/>
      <c r="I129" s="107"/>
      <c r="J129" s="107"/>
      <c r="K129" s="107"/>
      <c r="L129" s="107"/>
      <c r="M129" s="107"/>
      <c r="N129" s="107"/>
      <c r="O129" s="107"/>
    </row>
    <row r="130" spans="1:15" x14ac:dyDescent="0.2">
      <c r="A130" s="107"/>
      <c r="B130" s="107"/>
      <c r="C130" s="107"/>
      <c r="D130" s="107"/>
      <c r="E130" s="107"/>
      <c r="F130" s="107"/>
      <c r="G130" s="107"/>
      <c r="H130" s="107"/>
      <c r="I130" s="107"/>
      <c r="J130" s="107"/>
      <c r="K130" s="107"/>
      <c r="L130" s="107"/>
      <c r="M130" s="107"/>
      <c r="N130" s="107"/>
      <c r="O130" s="107"/>
    </row>
    <row r="131" spans="1:15" x14ac:dyDescent="0.2">
      <c r="A131" s="107"/>
      <c r="B131" s="107"/>
      <c r="C131" s="107"/>
      <c r="D131" s="107"/>
      <c r="E131" s="107"/>
      <c r="F131" s="107"/>
      <c r="G131" s="107"/>
      <c r="H131" s="107"/>
      <c r="I131" s="107"/>
      <c r="J131" s="107"/>
      <c r="K131" s="107"/>
      <c r="L131" s="107"/>
      <c r="M131" s="107"/>
      <c r="N131" s="107"/>
      <c r="O131" s="107"/>
    </row>
    <row r="132" spans="1:15" x14ac:dyDescent="0.2">
      <c r="A132" s="107"/>
      <c r="B132" s="107"/>
      <c r="C132" s="107"/>
      <c r="D132" s="107"/>
      <c r="E132" s="107"/>
      <c r="F132" s="107"/>
      <c r="G132" s="107"/>
      <c r="H132" s="107"/>
      <c r="I132" s="107"/>
      <c r="J132" s="107"/>
      <c r="K132" s="107"/>
      <c r="L132" s="107"/>
      <c r="M132" s="107"/>
      <c r="N132" s="107"/>
      <c r="O132" s="107"/>
    </row>
    <row r="133" spans="1:15" x14ac:dyDescent="0.2">
      <c r="A133" s="107"/>
      <c r="B133" s="107"/>
      <c r="C133" s="107"/>
      <c r="D133" s="107"/>
      <c r="E133" s="107"/>
      <c r="F133" s="107"/>
      <c r="G133" s="107"/>
      <c r="H133" s="107"/>
      <c r="I133" s="107"/>
      <c r="J133" s="107"/>
      <c r="K133" s="107"/>
      <c r="L133" s="107"/>
      <c r="M133" s="107"/>
      <c r="N133" s="107"/>
      <c r="O133" s="107"/>
    </row>
    <row r="134" spans="1:15" x14ac:dyDescent="0.2">
      <c r="A134" s="107"/>
      <c r="B134" s="107"/>
      <c r="C134" s="107"/>
      <c r="D134" s="107"/>
      <c r="E134" s="107"/>
      <c r="F134" s="107"/>
      <c r="G134" s="107"/>
      <c r="H134" s="107"/>
      <c r="I134" s="107"/>
      <c r="J134" s="107"/>
      <c r="K134" s="107"/>
      <c r="L134" s="107"/>
      <c r="M134" s="107"/>
      <c r="N134" s="107"/>
      <c r="O134" s="107"/>
    </row>
    <row r="135" spans="1:15" x14ac:dyDescent="0.2">
      <c r="A135" s="107"/>
      <c r="B135" s="107"/>
      <c r="C135" s="107"/>
      <c r="D135" s="107"/>
      <c r="E135" s="107"/>
      <c r="F135" s="107"/>
      <c r="G135" s="107"/>
      <c r="H135" s="107"/>
      <c r="I135" s="107"/>
      <c r="J135" s="107"/>
      <c r="K135" s="107"/>
      <c r="L135" s="107"/>
      <c r="M135" s="107"/>
      <c r="N135" s="107"/>
      <c r="O135" s="107"/>
    </row>
    <row r="136" spans="1:15" x14ac:dyDescent="0.2">
      <c r="A136" s="107"/>
      <c r="B136" s="107"/>
      <c r="C136" s="107"/>
      <c r="D136" s="107"/>
      <c r="E136" s="107"/>
      <c r="F136" s="107"/>
      <c r="G136" s="107"/>
      <c r="H136" s="107"/>
      <c r="I136" s="107"/>
      <c r="J136" s="107"/>
      <c r="K136" s="107"/>
      <c r="L136" s="107"/>
      <c r="M136" s="107"/>
      <c r="N136" s="107"/>
      <c r="O136" s="107"/>
    </row>
    <row r="137" spans="1:15" x14ac:dyDescent="0.2">
      <c r="A137" s="107"/>
      <c r="B137" s="107"/>
      <c r="C137" s="107"/>
      <c r="D137" s="107"/>
      <c r="E137" s="107"/>
      <c r="F137" s="107"/>
      <c r="G137" s="107"/>
      <c r="H137" s="107"/>
      <c r="I137" s="107"/>
      <c r="J137" s="107"/>
      <c r="K137" s="107"/>
      <c r="L137" s="107"/>
      <c r="M137" s="107"/>
      <c r="N137" s="107"/>
      <c r="O137" s="107"/>
    </row>
    <row r="138" spans="1:15" x14ac:dyDescent="0.2">
      <c r="A138" s="107"/>
      <c r="B138" s="107"/>
      <c r="C138" s="107"/>
      <c r="D138" s="107"/>
      <c r="E138" s="107"/>
      <c r="F138" s="107"/>
      <c r="G138" s="107"/>
      <c r="H138" s="107"/>
      <c r="I138" s="107"/>
      <c r="J138" s="107"/>
      <c r="K138" s="107"/>
      <c r="L138" s="107"/>
      <c r="M138" s="107"/>
      <c r="N138" s="107"/>
      <c r="O138" s="107"/>
    </row>
    <row r="139" spans="1:15" x14ac:dyDescent="0.2">
      <c r="A139" s="107"/>
      <c r="B139" s="107"/>
      <c r="C139" s="107"/>
      <c r="D139" s="107"/>
      <c r="E139" s="107"/>
      <c r="F139" s="107"/>
      <c r="G139" s="107"/>
      <c r="H139" s="107"/>
      <c r="I139" s="107"/>
      <c r="J139" s="107"/>
      <c r="K139" s="107"/>
      <c r="L139" s="107"/>
      <c r="M139" s="107"/>
      <c r="N139" s="107"/>
      <c r="O139" s="107"/>
    </row>
    <row r="140" spans="1:15" x14ac:dyDescent="0.2">
      <c r="A140" s="107"/>
      <c r="B140" s="107"/>
      <c r="C140" s="107"/>
      <c r="D140" s="107"/>
      <c r="E140" s="107"/>
      <c r="F140" s="107"/>
      <c r="G140" s="107"/>
      <c r="H140" s="107"/>
      <c r="I140" s="107"/>
      <c r="J140" s="107"/>
      <c r="K140" s="107"/>
      <c r="L140" s="107"/>
      <c r="M140" s="107"/>
      <c r="N140" s="107"/>
      <c r="O140" s="107"/>
    </row>
    <row r="141" spans="1:15" x14ac:dyDescent="0.2">
      <c r="A141" s="107"/>
      <c r="B141" s="107"/>
      <c r="C141" s="107"/>
      <c r="D141" s="107"/>
      <c r="E141" s="107"/>
      <c r="F141" s="107"/>
      <c r="G141" s="107"/>
      <c r="H141" s="107"/>
      <c r="I141" s="107"/>
      <c r="J141" s="107"/>
      <c r="K141" s="107"/>
      <c r="L141" s="107"/>
      <c r="M141" s="107"/>
      <c r="N141" s="107"/>
      <c r="O141" s="107"/>
    </row>
    <row r="142" spans="1:15" x14ac:dyDescent="0.2">
      <c r="A142" s="107"/>
      <c r="B142" s="107"/>
      <c r="C142" s="107"/>
      <c r="D142" s="107"/>
      <c r="E142" s="107"/>
      <c r="F142" s="107"/>
      <c r="G142" s="107"/>
      <c r="H142" s="107"/>
      <c r="I142" s="107"/>
      <c r="J142" s="107"/>
      <c r="K142" s="107"/>
      <c r="L142" s="107"/>
      <c r="M142" s="107"/>
      <c r="N142" s="107"/>
      <c r="O142" s="107"/>
    </row>
    <row r="143" spans="1:15" x14ac:dyDescent="0.2">
      <c r="A143" s="107"/>
      <c r="B143" s="107"/>
      <c r="C143" s="107"/>
      <c r="D143" s="107"/>
      <c r="E143" s="107"/>
      <c r="F143" s="107"/>
      <c r="G143" s="107"/>
      <c r="H143" s="107"/>
      <c r="I143" s="107"/>
      <c r="J143" s="107"/>
      <c r="K143" s="107"/>
      <c r="L143" s="107"/>
      <c r="M143" s="107"/>
      <c r="N143" s="107"/>
      <c r="O143" s="107"/>
    </row>
    <row r="144" spans="1:15" x14ac:dyDescent="0.2">
      <c r="A144" s="107"/>
      <c r="B144" s="107"/>
      <c r="C144" s="107"/>
      <c r="D144" s="107"/>
      <c r="E144" s="107"/>
      <c r="F144" s="107"/>
      <c r="G144" s="107"/>
      <c r="H144" s="107"/>
      <c r="I144" s="107"/>
      <c r="J144" s="107"/>
      <c r="K144" s="107"/>
      <c r="L144" s="107"/>
      <c r="M144" s="107"/>
      <c r="N144" s="107"/>
      <c r="O144" s="107"/>
    </row>
    <row r="145" spans="1:15" x14ac:dyDescent="0.2">
      <c r="A145" s="107"/>
      <c r="B145" s="107"/>
      <c r="C145" s="107"/>
      <c r="D145" s="107"/>
      <c r="E145" s="107"/>
      <c r="F145" s="107"/>
      <c r="G145" s="107"/>
      <c r="H145" s="107"/>
      <c r="I145" s="107"/>
      <c r="J145" s="107"/>
      <c r="K145" s="107"/>
      <c r="L145" s="107"/>
      <c r="M145" s="107"/>
      <c r="N145" s="107"/>
      <c r="O145" s="107"/>
    </row>
    <row r="146" spans="1:15" x14ac:dyDescent="0.2">
      <c r="A146" s="107"/>
      <c r="B146" s="107"/>
      <c r="C146" s="107"/>
      <c r="D146" s="107"/>
      <c r="E146" s="107"/>
      <c r="F146" s="107"/>
      <c r="G146" s="107"/>
      <c r="H146" s="107"/>
      <c r="I146" s="107"/>
      <c r="J146" s="107"/>
      <c r="K146" s="107"/>
      <c r="L146" s="107"/>
      <c r="M146" s="107"/>
      <c r="N146" s="107"/>
      <c r="O146" s="107"/>
    </row>
    <row r="147" spans="1:15" x14ac:dyDescent="0.2">
      <c r="A147" s="107"/>
      <c r="B147" s="107"/>
      <c r="C147" s="107"/>
      <c r="D147" s="107"/>
      <c r="E147" s="107"/>
      <c r="F147" s="107"/>
      <c r="G147" s="107"/>
      <c r="H147" s="107"/>
      <c r="I147" s="107"/>
      <c r="J147" s="107"/>
      <c r="K147" s="107"/>
      <c r="L147" s="107"/>
      <c r="M147" s="107"/>
      <c r="N147" s="107"/>
      <c r="O147" s="107"/>
    </row>
    <row r="148" spans="1:15" x14ac:dyDescent="0.2">
      <c r="A148" s="107"/>
      <c r="B148" s="107"/>
      <c r="C148" s="107"/>
      <c r="D148" s="107"/>
      <c r="E148" s="107"/>
      <c r="F148" s="107"/>
      <c r="G148" s="107"/>
      <c r="H148" s="107"/>
      <c r="I148" s="107"/>
      <c r="J148" s="107"/>
      <c r="K148" s="107"/>
      <c r="L148" s="107"/>
      <c r="M148" s="107"/>
      <c r="N148" s="107"/>
      <c r="O148" s="107"/>
    </row>
    <row r="149" spans="1:15" x14ac:dyDescent="0.2">
      <c r="A149" s="107"/>
      <c r="B149" s="107"/>
      <c r="C149" s="107"/>
      <c r="D149" s="107"/>
      <c r="E149" s="107"/>
      <c r="F149" s="107"/>
      <c r="G149" s="107"/>
      <c r="H149" s="107"/>
      <c r="I149" s="107"/>
      <c r="J149" s="107"/>
      <c r="K149" s="107"/>
      <c r="L149" s="107"/>
      <c r="M149" s="107"/>
      <c r="N149" s="107"/>
      <c r="O149" s="107"/>
    </row>
    <row r="150" spans="1:15" x14ac:dyDescent="0.2">
      <c r="A150" s="107"/>
      <c r="B150" s="107"/>
      <c r="C150" s="107"/>
      <c r="D150" s="107"/>
      <c r="E150" s="107"/>
      <c r="F150" s="107"/>
      <c r="G150" s="107"/>
      <c r="H150" s="107"/>
      <c r="I150" s="107"/>
      <c r="J150" s="107"/>
      <c r="K150" s="107"/>
      <c r="L150" s="107"/>
      <c r="M150" s="107"/>
      <c r="N150" s="107"/>
      <c r="O150" s="107"/>
    </row>
    <row r="151" spans="1:15" x14ac:dyDescent="0.2">
      <c r="A151" s="107"/>
      <c r="B151" s="107"/>
      <c r="C151" s="107"/>
      <c r="D151" s="107"/>
      <c r="E151" s="107"/>
      <c r="F151" s="107"/>
      <c r="G151" s="107"/>
      <c r="H151" s="107"/>
      <c r="I151" s="107"/>
      <c r="J151" s="107"/>
      <c r="K151" s="107"/>
      <c r="L151" s="107"/>
      <c r="M151" s="107"/>
      <c r="N151" s="107"/>
      <c r="O151" s="107"/>
    </row>
    <row r="152" spans="1:15" x14ac:dyDescent="0.2">
      <c r="A152" s="107"/>
      <c r="B152" s="107"/>
      <c r="C152" s="107"/>
      <c r="D152" s="107"/>
      <c r="E152" s="107"/>
      <c r="F152" s="107"/>
      <c r="G152" s="107"/>
      <c r="H152" s="107"/>
      <c r="I152" s="107"/>
      <c r="J152" s="107"/>
      <c r="K152" s="107"/>
      <c r="L152" s="107"/>
      <c r="M152" s="107"/>
      <c r="N152" s="107"/>
      <c r="O152" s="107"/>
    </row>
    <row r="153" spans="1:15" x14ac:dyDescent="0.2">
      <c r="A153" s="107"/>
      <c r="B153" s="107"/>
      <c r="C153" s="107"/>
      <c r="D153" s="107"/>
      <c r="E153" s="107"/>
      <c r="F153" s="107"/>
      <c r="G153" s="107"/>
      <c r="H153" s="107"/>
      <c r="I153" s="107"/>
      <c r="J153" s="107"/>
      <c r="K153" s="107"/>
      <c r="L153" s="107"/>
      <c r="M153" s="107"/>
      <c r="N153" s="107"/>
      <c r="O153" s="107"/>
    </row>
    <row r="154" spans="1:15" x14ac:dyDescent="0.2">
      <c r="A154" s="107"/>
      <c r="B154" s="107"/>
      <c r="C154" s="107"/>
      <c r="D154" s="107"/>
      <c r="E154" s="107"/>
      <c r="F154" s="107"/>
      <c r="G154" s="107"/>
      <c r="H154" s="107"/>
      <c r="I154" s="107"/>
      <c r="J154" s="107"/>
      <c r="K154" s="107"/>
      <c r="L154" s="107"/>
      <c r="M154" s="107"/>
      <c r="N154" s="107"/>
      <c r="O154" s="107"/>
    </row>
  </sheetData>
  <mergeCells count="30">
    <mergeCell ref="A52:G52"/>
    <mergeCell ref="A53:A54"/>
    <mergeCell ref="B53:C53"/>
    <mergeCell ref="D53:E53"/>
    <mergeCell ref="F53:G53"/>
    <mergeCell ref="E66:G69"/>
    <mergeCell ref="A28:I28"/>
    <mergeCell ref="A29:A30"/>
    <mergeCell ref="B29:C29"/>
    <mergeCell ref="D29:E29"/>
    <mergeCell ref="F29:G29"/>
    <mergeCell ref="H29:I29"/>
    <mergeCell ref="A11:O11"/>
    <mergeCell ref="A12:A14"/>
    <mergeCell ref="B12:B14"/>
    <mergeCell ref="C12:M12"/>
    <mergeCell ref="N12:O13"/>
    <mergeCell ref="C13:D13"/>
    <mergeCell ref="E13:F13"/>
    <mergeCell ref="G13:H13"/>
    <mergeCell ref="K13:L13"/>
    <mergeCell ref="A4:Y4"/>
    <mergeCell ref="B5:D5"/>
    <mergeCell ref="E5:G5"/>
    <mergeCell ref="H5:J5"/>
    <mergeCell ref="K5:M5"/>
    <mergeCell ref="N5:P5"/>
    <mergeCell ref="Q5:S5"/>
    <mergeCell ref="T5:V5"/>
    <mergeCell ref="W5:Y5"/>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6"/>
  <sheetViews>
    <sheetView workbookViewId="0">
      <selection activeCell="B1" sqref="B1"/>
    </sheetView>
  </sheetViews>
  <sheetFormatPr baseColWidth="10" defaultRowHeight="15" x14ac:dyDescent="0.2"/>
  <cols>
    <col min="1" max="1" width="45.83203125" style="106" customWidth="1"/>
    <col min="2" max="2" width="10.83203125" style="106"/>
    <col min="3" max="3" width="5.83203125" style="106" customWidth="1"/>
    <col min="4" max="4" width="4.83203125" style="106" customWidth="1"/>
    <col min="5" max="5" width="11.83203125" style="106" customWidth="1"/>
    <col min="6" max="6" width="6" style="106" customWidth="1"/>
    <col min="7" max="7" width="4.83203125" style="106" customWidth="1"/>
    <col min="8" max="16384" width="10.83203125" style="106"/>
  </cols>
  <sheetData>
    <row r="1" spans="1:7" x14ac:dyDescent="0.2">
      <c r="A1" s="458" t="s">
        <v>3607</v>
      </c>
    </row>
    <row r="3" spans="1:7" x14ac:dyDescent="0.2">
      <c r="A3" s="113" t="s">
        <v>1111</v>
      </c>
    </row>
    <row r="4" spans="1:7" ht="29.5" customHeight="1" x14ac:dyDescent="0.2">
      <c r="A4" s="953" t="s">
        <v>3608</v>
      </c>
      <c r="B4" s="954"/>
      <c r="C4" s="954"/>
      <c r="D4" s="954"/>
      <c r="E4" s="954"/>
      <c r="F4" s="954"/>
      <c r="G4" s="955"/>
    </row>
    <row r="5" spans="1:7" x14ac:dyDescent="0.2">
      <c r="A5" s="131" t="s">
        <v>3609</v>
      </c>
      <c r="B5" s="145">
        <v>1971555</v>
      </c>
      <c r="C5" s="145">
        <v>615</v>
      </c>
      <c r="D5" s="145"/>
      <c r="E5" s="145"/>
      <c r="F5" s="145"/>
      <c r="G5" s="133"/>
    </row>
    <row r="6" spans="1:7" x14ac:dyDescent="0.2">
      <c r="A6" s="131" t="s">
        <v>1992</v>
      </c>
      <c r="B6" s="145">
        <v>688576</v>
      </c>
      <c r="C6" s="145">
        <v>674</v>
      </c>
      <c r="D6" s="145"/>
      <c r="E6" s="145"/>
      <c r="F6" s="145"/>
      <c r="G6" s="133"/>
    </row>
    <row r="7" spans="1:7" x14ac:dyDescent="0.2">
      <c r="A7" s="131" t="s">
        <v>1808</v>
      </c>
      <c r="B7" s="145">
        <v>21710</v>
      </c>
      <c r="C7" s="145">
        <v>275</v>
      </c>
      <c r="D7" s="145"/>
      <c r="E7" s="145"/>
      <c r="F7" s="145"/>
      <c r="G7" s="133"/>
    </row>
    <row r="8" spans="1:7" x14ac:dyDescent="0.2">
      <c r="A8" s="131" t="s">
        <v>3610</v>
      </c>
      <c r="B8" s="145">
        <v>168750</v>
      </c>
      <c r="C8" s="145"/>
      <c r="D8" s="145"/>
      <c r="E8" s="145"/>
      <c r="F8" s="145"/>
      <c r="G8" s="133"/>
    </row>
    <row r="9" spans="1:7" x14ac:dyDescent="0.2">
      <c r="A9" s="131" t="s">
        <v>2763</v>
      </c>
      <c r="B9" s="145">
        <v>5270</v>
      </c>
      <c r="C9" s="145">
        <v>675</v>
      </c>
      <c r="D9" s="145"/>
      <c r="E9" s="145"/>
      <c r="F9" s="145"/>
      <c r="G9" s="133"/>
    </row>
    <row r="10" spans="1:7" x14ac:dyDescent="0.2">
      <c r="A10" s="131" t="s">
        <v>3611</v>
      </c>
      <c r="B10" s="145">
        <v>61125</v>
      </c>
      <c r="C10" s="145">
        <v>435</v>
      </c>
      <c r="D10" s="145"/>
      <c r="E10" s="145"/>
      <c r="F10" s="145"/>
      <c r="G10" s="133"/>
    </row>
    <row r="11" spans="1:7" x14ac:dyDescent="0.2">
      <c r="A11" s="131" t="s">
        <v>3612</v>
      </c>
      <c r="B11" s="145">
        <v>20899</v>
      </c>
      <c r="C11" s="145">
        <v>425</v>
      </c>
      <c r="D11" s="145"/>
      <c r="E11" s="145"/>
      <c r="F11" s="145"/>
      <c r="G11" s="133"/>
    </row>
    <row r="12" spans="1:7" x14ac:dyDescent="0.2">
      <c r="A12" s="131" t="s">
        <v>1569</v>
      </c>
      <c r="B12" s="145">
        <v>728721</v>
      </c>
      <c r="C12" s="145">
        <v>355</v>
      </c>
      <c r="D12" s="145"/>
      <c r="E12" s="145"/>
      <c r="F12" s="145"/>
      <c r="G12" s="133"/>
    </row>
    <row r="13" spans="1:7" x14ac:dyDescent="0.2">
      <c r="A13" s="131" t="s">
        <v>1573</v>
      </c>
      <c r="B13" s="145">
        <v>5308</v>
      </c>
      <c r="C13" s="145">
        <v>226</v>
      </c>
      <c r="D13" s="145"/>
      <c r="E13" s="145"/>
      <c r="F13" s="145"/>
      <c r="G13" s="133"/>
    </row>
    <row r="14" spans="1:7" x14ac:dyDescent="0.2">
      <c r="A14" s="131" t="s">
        <v>3613</v>
      </c>
      <c r="B14" s="145">
        <v>23070</v>
      </c>
      <c r="C14" s="145">
        <v>995</v>
      </c>
      <c r="D14" s="145"/>
      <c r="E14" s="145"/>
      <c r="F14" s="145"/>
      <c r="G14" s="133"/>
    </row>
    <row r="15" spans="1:7" ht="16" thickBot="1" x14ac:dyDescent="0.25">
      <c r="A15" s="131" t="s">
        <v>3614</v>
      </c>
      <c r="B15" s="187">
        <v>108211</v>
      </c>
      <c r="C15" s="187">
        <v>250</v>
      </c>
      <c r="D15" s="187"/>
      <c r="E15" s="145">
        <v>3803199</v>
      </c>
      <c r="F15" s="145">
        <v>925</v>
      </c>
      <c r="G15" s="133"/>
    </row>
    <row r="16" spans="1:7" x14ac:dyDescent="0.2">
      <c r="A16" s="131"/>
      <c r="B16" s="145"/>
      <c r="C16" s="145"/>
      <c r="D16" s="145"/>
      <c r="E16" s="138">
        <f>+SUM(B5:B15)</f>
        <v>3803195</v>
      </c>
      <c r="F16" s="138">
        <f>+SUM(C5:C15)</f>
        <v>4925</v>
      </c>
      <c r="G16" s="312">
        <f>+SUM(D5:D15)</f>
        <v>0</v>
      </c>
    </row>
    <row r="17" spans="1:7" x14ac:dyDescent="0.2">
      <c r="A17" s="131" t="s">
        <v>3615</v>
      </c>
      <c r="B17" s="145"/>
      <c r="C17" s="145"/>
      <c r="D17" s="145"/>
      <c r="E17" s="145"/>
      <c r="F17" s="145"/>
      <c r="G17" s="133"/>
    </row>
    <row r="18" spans="1:7" x14ac:dyDescent="0.2">
      <c r="A18" s="131" t="s">
        <v>3609</v>
      </c>
      <c r="B18" s="145">
        <v>285089</v>
      </c>
      <c r="C18" s="145">
        <v>430</v>
      </c>
      <c r="D18" s="145"/>
      <c r="E18" s="145"/>
      <c r="F18" s="145"/>
      <c r="G18" s="133"/>
    </row>
    <row r="19" spans="1:7" x14ac:dyDescent="0.2">
      <c r="A19" s="131" t="s">
        <v>3611</v>
      </c>
      <c r="B19" s="145">
        <v>4432</v>
      </c>
      <c r="C19" s="145">
        <v>530</v>
      </c>
      <c r="D19" s="145"/>
      <c r="E19" s="145"/>
      <c r="F19" s="145"/>
      <c r="G19" s="133"/>
    </row>
    <row r="20" spans="1:7" x14ac:dyDescent="0.2">
      <c r="A20" s="131" t="s">
        <v>3613</v>
      </c>
      <c r="B20" s="145">
        <v>2564</v>
      </c>
      <c r="C20" s="145">
        <v>600</v>
      </c>
      <c r="D20" s="145"/>
      <c r="E20" s="145"/>
      <c r="F20" s="145"/>
      <c r="G20" s="133"/>
    </row>
    <row r="21" spans="1:7" x14ac:dyDescent="0.2">
      <c r="A21" s="131" t="s">
        <v>1992</v>
      </c>
      <c r="B21" s="145">
        <v>141</v>
      </c>
      <c r="C21" s="145">
        <v>185</v>
      </c>
      <c r="D21" s="145"/>
      <c r="E21" s="145"/>
      <c r="F21" s="145"/>
      <c r="G21" s="133"/>
    </row>
    <row r="22" spans="1:7" x14ac:dyDescent="0.2">
      <c r="A22" s="131" t="s">
        <v>2763</v>
      </c>
      <c r="B22" s="145">
        <v>123</v>
      </c>
      <c r="C22" s="145">
        <v>200</v>
      </c>
      <c r="D22" s="145"/>
      <c r="E22" s="145"/>
      <c r="F22" s="145"/>
      <c r="G22" s="133"/>
    </row>
    <row r="23" spans="1:7" ht="16" thickBot="1" x14ac:dyDescent="0.25">
      <c r="A23" s="131" t="s">
        <v>1808</v>
      </c>
      <c r="B23" s="187">
        <v>12</v>
      </c>
      <c r="C23" s="187">
        <v>800</v>
      </c>
      <c r="D23" s="187"/>
      <c r="E23" s="187">
        <v>292363</v>
      </c>
      <c r="F23" s="187">
        <v>745</v>
      </c>
      <c r="G23" s="189"/>
    </row>
    <row r="24" spans="1:7" x14ac:dyDescent="0.2">
      <c r="A24" s="131"/>
      <c r="B24" s="145"/>
      <c r="C24" s="145"/>
      <c r="D24" s="145"/>
      <c r="E24" s="138">
        <f>+SUM(B18:B23)</f>
        <v>292361</v>
      </c>
      <c r="F24" s="138">
        <f>+SUM(C18:C23)</f>
        <v>2745</v>
      </c>
      <c r="G24" s="312">
        <f>+SUM(D18:D23)</f>
        <v>0</v>
      </c>
    </row>
    <row r="25" spans="1:7" x14ac:dyDescent="0.2">
      <c r="A25" s="131" t="s">
        <v>3616</v>
      </c>
      <c r="B25" s="145"/>
      <c r="C25" s="145"/>
      <c r="D25" s="145"/>
      <c r="E25" s="145"/>
      <c r="F25" s="145"/>
      <c r="G25" s="133"/>
    </row>
    <row r="26" spans="1:7" x14ac:dyDescent="0.2">
      <c r="A26" s="131" t="s">
        <v>3609</v>
      </c>
      <c r="B26" s="145">
        <v>146398</v>
      </c>
      <c r="C26" s="145">
        <v>705</v>
      </c>
      <c r="D26" s="145"/>
      <c r="E26" s="145"/>
      <c r="F26" s="145"/>
      <c r="G26" s="133"/>
    </row>
    <row r="27" spans="1:7" x14ac:dyDescent="0.2">
      <c r="A27" s="131" t="s">
        <v>3617</v>
      </c>
      <c r="B27" s="145">
        <v>56250</v>
      </c>
      <c r="C27" s="145"/>
      <c r="D27" s="145"/>
      <c r="E27" s="145"/>
      <c r="F27" s="145"/>
      <c r="G27" s="133"/>
    </row>
    <row r="28" spans="1:7" x14ac:dyDescent="0.2">
      <c r="A28" s="131" t="s">
        <v>1808</v>
      </c>
      <c r="B28" s="145">
        <v>4919</v>
      </c>
      <c r="C28" s="145">
        <v>750</v>
      </c>
      <c r="D28" s="145"/>
      <c r="E28" s="145"/>
      <c r="F28" s="145"/>
      <c r="G28" s="133"/>
    </row>
    <row r="29" spans="1:7" x14ac:dyDescent="0.2">
      <c r="A29" s="131" t="s">
        <v>3287</v>
      </c>
      <c r="B29" s="145">
        <v>1683</v>
      </c>
      <c r="C29" s="145">
        <v>25</v>
      </c>
      <c r="D29" s="145"/>
      <c r="E29" s="145"/>
      <c r="F29" s="145"/>
      <c r="G29" s="133"/>
    </row>
    <row r="30" spans="1:7" x14ac:dyDescent="0.2">
      <c r="A30" s="131" t="s">
        <v>3614</v>
      </c>
      <c r="B30" s="145">
        <v>1417</v>
      </c>
      <c r="C30" s="145">
        <v>300</v>
      </c>
      <c r="D30" s="145"/>
      <c r="E30" s="145"/>
      <c r="F30" s="145"/>
      <c r="G30" s="133"/>
    </row>
    <row r="31" spans="1:7" x14ac:dyDescent="0.2">
      <c r="A31" s="131" t="s">
        <v>2763</v>
      </c>
      <c r="B31" s="145">
        <v>1362</v>
      </c>
      <c r="C31" s="145">
        <v>515</v>
      </c>
      <c r="D31" s="145"/>
      <c r="E31" s="145"/>
      <c r="F31" s="145"/>
      <c r="G31" s="133"/>
    </row>
    <row r="32" spans="1:7" x14ac:dyDescent="0.2">
      <c r="A32" s="131" t="s">
        <v>3611</v>
      </c>
      <c r="B32" s="145">
        <v>186</v>
      </c>
      <c r="C32" s="145">
        <v>850</v>
      </c>
      <c r="D32" s="145"/>
      <c r="E32" s="145"/>
      <c r="F32" s="145"/>
      <c r="G32" s="133"/>
    </row>
    <row r="33" spans="1:7" ht="16" thickBot="1" x14ac:dyDescent="0.25">
      <c r="A33" s="131" t="s">
        <v>1992</v>
      </c>
      <c r="B33" s="187">
        <v>20</v>
      </c>
      <c r="C33" s="187"/>
      <c r="D33" s="187"/>
      <c r="E33" s="187">
        <v>212238</v>
      </c>
      <c r="F33" s="187">
        <v>145</v>
      </c>
      <c r="G33" s="189"/>
    </row>
    <row r="34" spans="1:7" x14ac:dyDescent="0.2">
      <c r="A34" s="131"/>
      <c r="B34" s="145"/>
      <c r="C34" s="145"/>
      <c r="D34" s="145"/>
      <c r="E34" s="145">
        <v>4307801</v>
      </c>
      <c r="F34" s="145">
        <v>815</v>
      </c>
      <c r="G34" s="133"/>
    </row>
    <row r="35" spans="1:7" x14ac:dyDescent="0.2">
      <c r="A35" s="131"/>
      <c r="B35" s="145"/>
      <c r="C35" s="145"/>
      <c r="D35" s="145"/>
      <c r="E35" s="138">
        <f>+E15+E23+E33</f>
        <v>4307800</v>
      </c>
      <c r="F35" s="138">
        <f>+F15+F23+F33</f>
        <v>1815</v>
      </c>
      <c r="G35" s="312"/>
    </row>
    <row r="36" spans="1:7" ht="87.5" customHeight="1" x14ac:dyDescent="0.2">
      <c r="A36" s="516" t="s">
        <v>3618</v>
      </c>
      <c r="B36" s="517"/>
      <c r="C36" s="517"/>
      <c r="D36" s="517"/>
      <c r="E36" s="145"/>
      <c r="F36" s="145"/>
      <c r="G36" s="133"/>
    </row>
    <row r="37" spans="1:7" x14ac:dyDescent="0.2">
      <c r="A37" s="140" t="s">
        <v>3612</v>
      </c>
      <c r="B37" s="145">
        <v>11432</v>
      </c>
      <c r="C37" s="145">
        <v>550</v>
      </c>
      <c r="D37" s="145"/>
      <c r="E37" s="145"/>
      <c r="F37" s="145"/>
      <c r="G37" s="133"/>
    </row>
    <row r="38" spans="1:7" x14ac:dyDescent="0.2">
      <c r="A38" s="140" t="s">
        <v>1992</v>
      </c>
      <c r="B38" s="145">
        <v>653004</v>
      </c>
      <c r="C38" s="145">
        <v>790</v>
      </c>
      <c r="D38" s="145"/>
      <c r="E38" s="145"/>
      <c r="F38" s="145"/>
      <c r="G38" s="133"/>
    </row>
    <row r="39" spans="1:7" ht="16" thickBot="1" x14ac:dyDescent="0.25">
      <c r="A39" s="140" t="s">
        <v>3614</v>
      </c>
      <c r="B39" s="187">
        <v>105709</v>
      </c>
      <c r="C39" s="187">
        <v>600</v>
      </c>
      <c r="D39" s="187"/>
      <c r="E39" s="187">
        <v>770146</v>
      </c>
      <c r="F39" s="187">
        <v>940</v>
      </c>
      <c r="G39" s="189"/>
    </row>
    <row r="40" spans="1:7" x14ac:dyDescent="0.2">
      <c r="A40" s="131"/>
      <c r="E40" s="321">
        <f>+SUM(B37:B39)</f>
        <v>770145</v>
      </c>
      <c r="F40" s="321">
        <f>+SUM(C37:C39)</f>
        <v>1940</v>
      </c>
      <c r="G40" s="322"/>
    </row>
    <row r="41" spans="1:7" x14ac:dyDescent="0.2">
      <c r="A41" s="622" t="s">
        <v>3619</v>
      </c>
      <c r="B41" s="145"/>
      <c r="C41" s="145"/>
      <c r="D41" s="145"/>
      <c r="E41" s="145">
        <v>3537654</v>
      </c>
      <c r="F41" s="145">
        <v>875</v>
      </c>
      <c r="G41" s="133"/>
    </row>
    <row r="42" spans="1:7" x14ac:dyDescent="0.2">
      <c r="A42" s="622"/>
      <c r="B42" s="145"/>
      <c r="C42" s="145"/>
      <c r="D42" s="145"/>
      <c r="E42" s="138">
        <f>+E34-E39</f>
        <v>3537655</v>
      </c>
      <c r="F42" s="138">
        <f>+F34-F39</f>
        <v>-125</v>
      </c>
      <c r="G42" s="312"/>
    </row>
    <row r="43" spans="1:7" ht="45" customHeight="1" thickBot="1" x14ac:dyDescent="0.25">
      <c r="A43" s="516" t="s">
        <v>3620</v>
      </c>
      <c r="B43" s="517"/>
      <c r="C43" s="517"/>
      <c r="D43" s="517"/>
      <c r="E43" s="187">
        <v>762701</v>
      </c>
      <c r="F43" s="187">
        <v>888</v>
      </c>
      <c r="G43" s="189">
        <v>0.5</v>
      </c>
    </row>
    <row r="44" spans="1:7" x14ac:dyDescent="0.2">
      <c r="A44" s="131" t="s">
        <v>3621</v>
      </c>
      <c r="B44" s="145"/>
      <c r="C44" s="145"/>
      <c r="D44" s="145"/>
      <c r="E44" s="145">
        <v>4300356</v>
      </c>
      <c r="F44" s="145">
        <v>763</v>
      </c>
      <c r="G44" s="133">
        <v>0.5</v>
      </c>
    </row>
    <row r="45" spans="1:7" ht="44" customHeight="1" thickBot="1" x14ac:dyDescent="0.25">
      <c r="A45" s="516" t="s">
        <v>3622</v>
      </c>
      <c r="B45" s="517"/>
      <c r="C45" s="517"/>
      <c r="D45" s="517"/>
      <c r="E45" s="187">
        <v>373145</v>
      </c>
      <c r="F45" s="187">
        <v>725</v>
      </c>
      <c r="G45" s="189"/>
    </row>
    <row r="46" spans="1:7" x14ac:dyDescent="0.2">
      <c r="A46" s="131" t="s">
        <v>3623</v>
      </c>
      <c r="B46" s="145"/>
      <c r="C46" s="145"/>
      <c r="D46" s="145"/>
      <c r="E46" s="145">
        <v>4673502</v>
      </c>
      <c r="F46" s="145">
        <v>488</v>
      </c>
      <c r="G46" s="133">
        <v>0.5</v>
      </c>
    </row>
    <row r="47" spans="1:7" x14ac:dyDescent="0.2">
      <c r="A47" s="131"/>
      <c r="B47" s="145"/>
      <c r="C47" s="145"/>
      <c r="D47" s="145"/>
      <c r="E47" s="138">
        <f>+E44+E45</f>
        <v>4673501</v>
      </c>
      <c r="F47" s="138">
        <f>+F44+F45</f>
        <v>1488</v>
      </c>
      <c r="G47" s="312">
        <f>+G44+G45</f>
        <v>0.5</v>
      </c>
    </row>
    <row r="48" spans="1:7" ht="57" customHeight="1" thickBot="1" x14ac:dyDescent="0.25">
      <c r="A48" s="516" t="s">
        <v>3624</v>
      </c>
      <c r="B48" s="517"/>
      <c r="C48" s="517"/>
      <c r="D48" s="517"/>
      <c r="E48" s="187">
        <v>13477</v>
      </c>
      <c r="F48" s="187">
        <v>385</v>
      </c>
      <c r="G48" s="189"/>
    </row>
    <row r="49" spans="1:7" ht="27" customHeight="1" thickBot="1" x14ac:dyDescent="0.25">
      <c r="A49" s="1074" t="s">
        <v>3625</v>
      </c>
      <c r="B49" s="1075"/>
      <c r="C49" s="1075"/>
      <c r="D49" s="1075"/>
      <c r="E49" s="1076">
        <v>4686979</v>
      </c>
      <c r="F49" s="1076">
        <v>873</v>
      </c>
      <c r="G49" s="1077">
        <v>0.5</v>
      </c>
    </row>
    <row r="50" spans="1:7" ht="16" thickTop="1" x14ac:dyDescent="0.2">
      <c r="A50" s="107"/>
      <c r="B50" s="107"/>
      <c r="C50" s="107"/>
      <c r="D50" s="107"/>
      <c r="E50" s="393">
        <f>+E46+E48</f>
        <v>4686979</v>
      </c>
      <c r="F50" s="393">
        <f>+F46+F48</f>
        <v>873</v>
      </c>
      <c r="G50" s="1078">
        <f>+G46+G48</f>
        <v>0.5</v>
      </c>
    </row>
    <row r="51" spans="1:7" x14ac:dyDescent="0.2">
      <c r="A51" s="107"/>
      <c r="B51" s="107"/>
      <c r="C51" s="107"/>
      <c r="D51" s="107"/>
      <c r="E51" s="107"/>
      <c r="F51" s="107"/>
      <c r="G51" s="107"/>
    </row>
    <row r="52" spans="1:7" x14ac:dyDescent="0.2">
      <c r="A52" s="107"/>
      <c r="B52" s="107"/>
      <c r="C52" s="107"/>
      <c r="D52" s="107"/>
      <c r="E52" s="107"/>
      <c r="F52" s="107"/>
      <c r="G52" s="107"/>
    </row>
    <row r="53" spans="1:7" x14ac:dyDescent="0.2">
      <c r="A53" s="526" t="s">
        <v>3626</v>
      </c>
      <c r="B53" s="107"/>
      <c r="C53" s="107"/>
      <c r="D53" s="107"/>
      <c r="E53" s="107"/>
      <c r="F53" s="107"/>
      <c r="G53" s="107"/>
    </row>
    <row r="54" spans="1:7" ht="38.5" customHeight="1" x14ac:dyDescent="0.2">
      <c r="A54" s="953" t="s">
        <v>3627</v>
      </c>
      <c r="B54" s="954"/>
      <c r="C54" s="954"/>
      <c r="D54" s="954"/>
      <c r="E54" s="954"/>
      <c r="F54" s="954"/>
      <c r="G54" s="955"/>
    </row>
    <row r="55" spans="1:7" ht="18.5" customHeight="1" x14ac:dyDescent="0.2">
      <c r="A55" s="131" t="s">
        <v>2040</v>
      </c>
      <c r="B55" s="145">
        <v>1449009</v>
      </c>
      <c r="C55" s="145">
        <v>875</v>
      </c>
      <c r="D55" s="145"/>
      <c r="E55" s="145"/>
      <c r="F55" s="145"/>
      <c r="G55" s="307"/>
    </row>
    <row r="56" spans="1:7" x14ac:dyDescent="0.2">
      <c r="A56" s="131" t="s">
        <v>2869</v>
      </c>
      <c r="B56" s="145">
        <v>75202</v>
      </c>
      <c r="C56" s="145">
        <v>175</v>
      </c>
      <c r="D56" s="145"/>
      <c r="E56" s="145"/>
      <c r="F56" s="145"/>
      <c r="G56" s="307"/>
    </row>
    <row r="57" spans="1:7" x14ac:dyDescent="0.2">
      <c r="A57" s="131" t="s">
        <v>2761</v>
      </c>
      <c r="B57" s="145">
        <v>18601</v>
      </c>
      <c r="C57" s="145">
        <v>750</v>
      </c>
      <c r="D57" s="145"/>
      <c r="E57" s="145"/>
      <c r="F57" s="145"/>
      <c r="G57" s="307"/>
    </row>
    <row r="58" spans="1:7" x14ac:dyDescent="0.2">
      <c r="A58" s="131" t="s">
        <v>2046</v>
      </c>
      <c r="B58" s="145">
        <v>68909</v>
      </c>
      <c r="C58" s="145">
        <v>700</v>
      </c>
      <c r="D58" s="145"/>
      <c r="E58" s="145"/>
      <c r="F58" s="145"/>
      <c r="G58" s="307"/>
    </row>
    <row r="59" spans="1:7" x14ac:dyDescent="0.2">
      <c r="A59" s="131" t="s">
        <v>2043</v>
      </c>
      <c r="B59" s="145">
        <v>249914</v>
      </c>
      <c r="C59" s="145">
        <v>550</v>
      </c>
      <c r="D59" s="145"/>
      <c r="E59" s="145"/>
      <c r="F59" s="145"/>
      <c r="G59" s="307"/>
    </row>
    <row r="60" spans="1:7" x14ac:dyDescent="0.2">
      <c r="A60" s="131" t="s">
        <v>2044</v>
      </c>
      <c r="B60" s="145">
        <v>22430</v>
      </c>
      <c r="C60" s="145">
        <v>300</v>
      </c>
      <c r="D60" s="145"/>
      <c r="E60" s="145"/>
      <c r="F60" s="145"/>
      <c r="G60" s="307"/>
    </row>
    <row r="61" spans="1:7" x14ac:dyDescent="0.2">
      <c r="A61" s="131" t="s">
        <v>2042</v>
      </c>
      <c r="B61" s="145">
        <v>60046</v>
      </c>
      <c r="C61" s="145">
        <v>350</v>
      </c>
      <c r="D61" s="145"/>
      <c r="E61" s="145"/>
      <c r="F61" s="145"/>
      <c r="G61" s="307"/>
    </row>
    <row r="62" spans="1:7" x14ac:dyDescent="0.2">
      <c r="A62" s="131" t="s">
        <v>2047</v>
      </c>
      <c r="B62" s="145">
        <v>164793</v>
      </c>
      <c r="C62" s="145">
        <v>650</v>
      </c>
      <c r="D62" s="145"/>
      <c r="E62" s="145"/>
      <c r="F62" s="145"/>
      <c r="G62" s="307"/>
    </row>
    <row r="63" spans="1:7" x14ac:dyDescent="0.2">
      <c r="A63" s="131" t="s">
        <v>2464</v>
      </c>
      <c r="B63" s="145">
        <v>45039</v>
      </c>
      <c r="C63" s="145">
        <v>800</v>
      </c>
      <c r="D63" s="145"/>
      <c r="E63" s="145"/>
      <c r="F63" s="145"/>
      <c r="G63" s="307"/>
    </row>
    <row r="64" spans="1:7" x14ac:dyDescent="0.2">
      <c r="A64" s="131" t="s">
        <v>2045</v>
      </c>
      <c r="B64" s="145">
        <v>471020</v>
      </c>
      <c r="C64" s="145">
        <v>650</v>
      </c>
      <c r="D64" s="145"/>
      <c r="E64" s="145"/>
      <c r="F64" s="145"/>
      <c r="G64" s="307"/>
    </row>
    <row r="65" spans="1:7" x14ac:dyDescent="0.2">
      <c r="A65" s="131" t="s">
        <v>1175</v>
      </c>
      <c r="B65" s="145">
        <v>255513</v>
      </c>
      <c r="C65" s="145">
        <v>600</v>
      </c>
      <c r="D65" s="145"/>
      <c r="E65" s="145"/>
      <c r="F65" s="145"/>
      <c r="G65" s="307"/>
    </row>
    <row r="66" spans="1:7" x14ac:dyDescent="0.2">
      <c r="A66" s="131" t="s">
        <v>3628</v>
      </c>
      <c r="B66" s="145">
        <v>549565</v>
      </c>
      <c r="C66" s="145">
        <v>835</v>
      </c>
      <c r="D66" s="145"/>
      <c r="E66" s="145"/>
      <c r="F66" s="145"/>
      <c r="G66" s="307"/>
    </row>
    <row r="67" spans="1:7" ht="16" thickBot="1" x14ac:dyDescent="0.25">
      <c r="A67" s="131" t="s">
        <v>2886</v>
      </c>
      <c r="B67" s="187">
        <v>146990</v>
      </c>
      <c r="C67" s="187">
        <v>250</v>
      </c>
      <c r="D67" s="187"/>
      <c r="E67" s="145">
        <v>3577038</v>
      </c>
      <c r="F67" s="145">
        <v>485</v>
      </c>
      <c r="G67" s="307"/>
    </row>
    <row r="68" spans="1:7" x14ac:dyDescent="0.2">
      <c r="A68" s="131"/>
      <c r="B68" s="145"/>
      <c r="C68" s="145"/>
      <c r="D68" s="145"/>
      <c r="E68" s="138">
        <f>+SUM(B55:B67)</f>
        <v>3577031</v>
      </c>
      <c r="F68" s="138">
        <f>+SUM(C55:C67)</f>
        <v>7485</v>
      </c>
      <c r="G68" s="138">
        <f>+SUM(D55:D67)</f>
        <v>0</v>
      </c>
    </row>
    <row r="69" spans="1:7" ht="29" customHeight="1" thickBot="1" x14ac:dyDescent="0.25">
      <c r="A69" s="814" t="s">
        <v>3629</v>
      </c>
      <c r="B69" s="815"/>
      <c r="C69" s="815"/>
      <c r="D69" s="815"/>
      <c r="E69" s="187">
        <v>296182</v>
      </c>
      <c r="F69" s="187">
        <v>132</v>
      </c>
      <c r="G69" s="444"/>
    </row>
    <row r="70" spans="1:7" ht="16" thickBot="1" x14ac:dyDescent="0.25">
      <c r="A70" s="489" t="s">
        <v>3630</v>
      </c>
      <c r="B70" s="493"/>
      <c r="C70" s="493"/>
      <c r="D70" s="493"/>
      <c r="E70" s="448">
        <v>3873220</v>
      </c>
      <c r="F70" s="448">
        <v>617</v>
      </c>
      <c r="G70" s="449"/>
    </row>
    <row r="71" spans="1:7" x14ac:dyDescent="0.2">
      <c r="A71" s="622"/>
      <c r="B71" s="623"/>
      <c r="C71" s="623"/>
      <c r="D71" s="623"/>
      <c r="E71" s="138">
        <f>+E69+E67</f>
        <v>3873220</v>
      </c>
      <c r="F71" s="138">
        <f>+F69+F67</f>
        <v>617</v>
      </c>
      <c r="G71" s="138">
        <f>+G69+G67</f>
        <v>0</v>
      </c>
    </row>
    <row r="72" spans="1:7" x14ac:dyDescent="0.2">
      <c r="A72" s="674" t="s">
        <v>3631</v>
      </c>
      <c r="B72" s="350"/>
      <c r="C72" s="350"/>
      <c r="D72" s="350"/>
      <c r="E72" s="145"/>
      <c r="F72" s="145"/>
      <c r="G72" s="307"/>
    </row>
    <row r="73" spans="1:7" x14ac:dyDescent="0.2">
      <c r="A73" s="140" t="s">
        <v>3632</v>
      </c>
      <c r="B73" s="145">
        <v>762701</v>
      </c>
      <c r="C73" s="145">
        <v>888</v>
      </c>
      <c r="D73" s="180">
        <v>0.5</v>
      </c>
      <c r="E73" s="145"/>
      <c r="F73" s="145"/>
      <c r="G73" s="133"/>
    </row>
    <row r="74" spans="1:7" x14ac:dyDescent="0.2">
      <c r="A74" s="140" t="s">
        <v>3633</v>
      </c>
      <c r="B74" s="145">
        <v>3910800</v>
      </c>
      <c r="C74" s="145">
        <v>600</v>
      </c>
      <c r="D74" s="145"/>
      <c r="E74" s="145"/>
      <c r="F74" s="145"/>
      <c r="G74" s="133"/>
    </row>
    <row r="75" spans="1:7" ht="16" thickBot="1" x14ac:dyDescent="0.25">
      <c r="A75" s="140" t="s">
        <v>3634</v>
      </c>
      <c r="B75" s="187">
        <v>13477</v>
      </c>
      <c r="C75" s="187">
        <v>385</v>
      </c>
      <c r="D75" s="187"/>
      <c r="E75" s="145">
        <v>4686979</v>
      </c>
      <c r="F75" s="145">
        <v>873</v>
      </c>
      <c r="G75" s="133">
        <v>0.5</v>
      </c>
    </row>
    <row r="76" spans="1:7" x14ac:dyDescent="0.2">
      <c r="A76" s="140"/>
      <c r="B76" s="145"/>
      <c r="C76" s="145"/>
      <c r="D76" s="145"/>
      <c r="E76" s="138">
        <f>+SUM(B73:B75)</f>
        <v>4686978</v>
      </c>
      <c r="F76" s="138">
        <f>+SUM(C73:C75)</f>
        <v>1873</v>
      </c>
      <c r="G76" s="312">
        <f>+SUM(D73:D75)</f>
        <v>0.5</v>
      </c>
    </row>
    <row r="77" spans="1:7" x14ac:dyDescent="0.2">
      <c r="A77" s="588" t="s">
        <v>3635</v>
      </c>
      <c r="B77" s="589"/>
      <c r="C77" s="589"/>
      <c r="D77" s="589"/>
      <c r="E77" s="145">
        <v>3873220</v>
      </c>
      <c r="F77" s="145">
        <v>617</v>
      </c>
      <c r="G77" s="133"/>
    </row>
    <row r="78" spans="1:7" ht="16" thickBot="1" x14ac:dyDescent="0.25">
      <c r="A78" s="797" t="s">
        <v>3619</v>
      </c>
      <c r="B78" s="798"/>
      <c r="C78" s="798"/>
      <c r="D78" s="798"/>
      <c r="E78" s="595">
        <v>813759</v>
      </c>
      <c r="F78" s="595">
        <v>256</v>
      </c>
      <c r="G78" s="1079">
        <v>0.5</v>
      </c>
    </row>
    <row r="79" spans="1:7" x14ac:dyDescent="0.2">
      <c r="A79" s="897"/>
      <c r="B79" s="657"/>
      <c r="C79" s="657"/>
      <c r="D79" s="657"/>
      <c r="E79" s="138">
        <f>+E75-E77</f>
        <v>813759</v>
      </c>
      <c r="F79" s="138">
        <f>+F75-F77</f>
        <v>256</v>
      </c>
      <c r="G79" s="312">
        <f>+G75-G77</f>
        <v>0.5</v>
      </c>
    </row>
    <row r="80" spans="1:7" x14ac:dyDescent="0.2">
      <c r="A80" s="588" t="s">
        <v>3636</v>
      </c>
      <c r="B80" s="589"/>
      <c r="C80" s="589"/>
      <c r="D80" s="589"/>
      <c r="E80" s="145">
        <v>3910800</v>
      </c>
      <c r="F80" s="145">
        <v>600</v>
      </c>
      <c r="G80" s="133"/>
    </row>
    <row r="81" spans="1:7" x14ac:dyDescent="0.2">
      <c r="A81" s="588" t="s">
        <v>3637</v>
      </c>
      <c r="B81" s="589"/>
      <c r="C81" s="589"/>
      <c r="D81" s="589"/>
      <c r="E81" s="145">
        <v>3873220</v>
      </c>
      <c r="F81" s="145">
        <v>617</v>
      </c>
      <c r="G81" s="133"/>
    </row>
    <row r="82" spans="1:7" ht="16" thickBot="1" x14ac:dyDescent="0.25">
      <c r="A82" s="588" t="s">
        <v>3638</v>
      </c>
      <c r="B82" s="589"/>
      <c r="C82" s="589"/>
      <c r="D82" s="589"/>
      <c r="E82" s="595">
        <v>37579</v>
      </c>
      <c r="F82" s="595">
        <v>983</v>
      </c>
      <c r="G82" s="1079"/>
    </row>
    <row r="83" spans="1:7" x14ac:dyDescent="0.2">
      <c r="A83" s="908"/>
      <c r="B83" s="693"/>
      <c r="C83" s="693"/>
      <c r="D83" s="693"/>
      <c r="E83" s="138">
        <f>+E80-E81</f>
        <v>37580</v>
      </c>
      <c r="F83" s="138">
        <f>+F80-F81</f>
        <v>-17</v>
      </c>
      <c r="G83" s="312">
        <f>+G80-G81</f>
        <v>0</v>
      </c>
    </row>
    <row r="84" spans="1:7" x14ac:dyDescent="0.2">
      <c r="A84" s="588" t="s">
        <v>3639</v>
      </c>
      <c r="B84" s="589"/>
      <c r="C84" s="589"/>
      <c r="D84" s="589"/>
      <c r="E84" s="145">
        <v>37579</v>
      </c>
      <c r="F84" s="145">
        <v>983</v>
      </c>
      <c r="G84" s="133"/>
    </row>
    <row r="85" spans="1:7" x14ac:dyDescent="0.2">
      <c r="A85" s="588" t="s">
        <v>3640</v>
      </c>
      <c r="B85" s="589"/>
      <c r="C85" s="589"/>
      <c r="D85" s="589"/>
      <c r="E85" s="145">
        <v>762701</v>
      </c>
      <c r="F85" s="145">
        <v>888</v>
      </c>
      <c r="G85" s="133">
        <v>0.5</v>
      </c>
    </row>
    <row r="86" spans="1:7" ht="16" thickBot="1" x14ac:dyDescent="0.25">
      <c r="A86" s="588" t="s">
        <v>3641</v>
      </c>
      <c r="B86" s="589"/>
      <c r="C86" s="589"/>
      <c r="D86" s="589"/>
      <c r="E86" s="145">
        <v>13477</v>
      </c>
      <c r="F86" s="145">
        <v>385</v>
      </c>
      <c r="G86" s="133"/>
    </row>
    <row r="87" spans="1:7" ht="16" thickBot="1" x14ac:dyDescent="0.25">
      <c r="A87" s="940" t="s">
        <v>3642</v>
      </c>
      <c r="B87" s="941"/>
      <c r="C87" s="941"/>
      <c r="D87" s="941"/>
      <c r="E87" s="448">
        <v>813759</v>
      </c>
      <c r="F87" s="448">
        <v>256</v>
      </c>
      <c r="G87" s="889">
        <v>0.5</v>
      </c>
    </row>
    <row r="88" spans="1:7" x14ac:dyDescent="0.2">
      <c r="A88" s="107"/>
      <c r="B88" s="107"/>
      <c r="C88" s="107"/>
      <c r="D88" s="107"/>
      <c r="E88" s="321">
        <f>+E84+E85+E86</f>
        <v>813757</v>
      </c>
      <c r="F88" s="321">
        <f>+F84+F85+F86</f>
        <v>2256</v>
      </c>
      <c r="G88" s="322">
        <f>+G84+G85+G86</f>
        <v>0.5</v>
      </c>
    </row>
    <row r="89" spans="1:7" x14ac:dyDescent="0.2">
      <c r="A89" s="107"/>
      <c r="B89" s="107"/>
      <c r="C89" s="107"/>
      <c r="D89" s="107"/>
      <c r="E89" s="107"/>
      <c r="F89" s="107"/>
      <c r="G89" s="107"/>
    </row>
    <row r="90" spans="1:7" x14ac:dyDescent="0.2">
      <c r="A90" s="107"/>
      <c r="B90" s="107"/>
      <c r="C90" s="107"/>
      <c r="D90" s="107"/>
      <c r="E90" s="107"/>
      <c r="F90" s="107"/>
      <c r="G90" s="107"/>
    </row>
    <row r="91" spans="1:7" x14ac:dyDescent="0.2">
      <c r="A91" s="526" t="s">
        <v>1853</v>
      </c>
      <c r="B91" s="107"/>
      <c r="C91" s="107"/>
      <c r="D91" s="107"/>
      <c r="E91" s="107"/>
      <c r="F91" s="107"/>
      <c r="G91" s="107"/>
    </row>
    <row r="92" spans="1:7" ht="24" customHeight="1" x14ac:dyDescent="0.2">
      <c r="A92" s="953" t="s">
        <v>3643</v>
      </c>
      <c r="B92" s="954"/>
      <c r="C92" s="954"/>
      <c r="D92" s="954"/>
      <c r="E92" s="954"/>
      <c r="F92" s="954"/>
      <c r="G92" s="955"/>
    </row>
    <row r="93" spans="1:7" x14ac:dyDescent="0.2">
      <c r="A93" s="131" t="s">
        <v>3609</v>
      </c>
      <c r="B93" s="145">
        <v>1999231</v>
      </c>
      <c r="C93" s="145">
        <v>750</v>
      </c>
      <c r="D93" s="145"/>
      <c r="E93" s="145"/>
      <c r="F93" s="145"/>
      <c r="G93" s="307"/>
    </row>
    <row r="94" spans="1:7" x14ac:dyDescent="0.2">
      <c r="A94" s="131" t="s">
        <v>1573</v>
      </c>
      <c r="B94" s="145">
        <v>4599</v>
      </c>
      <c r="C94" s="145">
        <v>861</v>
      </c>
      <c r="D94" s="145"/>
      <c r="E94" s="145"/>
      <c r="F94" s="145"/>
      <c r="G94" s="307"/>
    </row>
    <row r="95" spans="1:7" x14ac:dyDescent="0.2">
      <c r="A95" s="140" t="s">
        <v>1175</v>
      </c>
      <c r="B95" s="145">
        <v>36194</v>
      </c>
      <c r="C95" s="145">
        <v>955</v>
      </c>
      <c r="D95" s="145"/>
      <c r="E95" s="145"/>
      <c r="F95" s="145"/>
      <c r="G95" s="307"/>
    </row>
    <row r="96" spans="1:7" x14ac:dyDescent="0.2">
      <c r="A96" s="140" t="s">
        <v>3287</v>
      </c>
      <c r="B96" s="145">
        <v>14419</v>
      </c>
      <c r="C96" s="145">
        <v>595</v>
      </c>
      <c r="D96" s="145"/>
      <c r="E96" s="145"/>
      <c r="F96" s="145"/>
      <c r="G96" s="307"/>
    </row>
    <row r="97" spans="1:7" x14ac:dyDescent="0.2">
      <c r="A97" s="140" t="s">
        <v>1808</v>
      </c>
      <c r="B97" s="145">
        <v>38393</v>
      </c>
      <c r="C97" s="145">
        <v>75</v>
      </c>
      <c r="D97" s="145"/>
      <c r="E97" s="145"/>
      <c r="F97" s="145"/>
      <c r="G97" s="307"/>
    </row>
    <row r="98" spans="1:7" x14ac:dyDescent="0.2">
      <c r="A98" s="140" t="s">
        <v>3644</v>
      </c>
      <c r="B98" s="145">
        <v>225000</v>
      </c>
      <c r="C98" s="145"/>
      <c r="D98" s="145"/>
      <c r="E98" s="145"/>
      <c r="F98" s="145"/>
      <c r="G98" s="307"/>
    </row>
    <row r="99" spans="1:7" x14ac:dyDescent="0.2">
      <c r="A99" s="140" t="s">
        <v>1569</v>
      </c>
      <c r="B99" s="145">
        <v>3331</v>
      </c>
      <c r="C99" s="145">
        <v>150</v>
      </c>
      <c r="D99" s="145"/>
      <c r="E99" s="145"/>
      <c r="F99" s="145"/>
      <c r="G99" s="307"/>
    </row>
    <row r="100" spans="1:7" x14ac:dyDescent="0.2">
      <c r="A100" s="140" t="s">
        <v>3612</v>
      </c>
      <c r="B100" s="145">
        <v>14207</v>
      </c>
      <c r="C100" s="145">
        <v>350</v>
      </c>
      <c r="D100" s="145"/>
      <c r="E100" s="145"/>
      <c r="F100" s="145"/>
      <c r="G100" s="307"/>
    </row>
    <row r="101" spans="1:7" x14ac:dyDescent="0.2">
      <c r="A101" s="140" t="s">
        <v>2763</v>
      </c>
      <c r="B101" s="145">
        <v>9601</v>
      </c>
      <c r="C101" s="145">
        <v>5</v>
      </c>
      <c r="D101" s="145"/>
      <c r="E101" s="145"/>
      <c r="F101" s="145"/>
      <c r="G101" s="307"/>
    </row>
    <row r="102" spans="1:7" x14ac:dyDescent="0.2">
      <c r="A102" s="140" t="s">
        <v>3614</v>
      </c>
      <c r="B102" s="145">
        <v>50458</v>
      </c>
      <c r="C102" s="145">
        <v>325</v>
      </c>
      <c r="D102" s="145"/>
      <c r="E102" s="145"/>
      <c r="F102" s="145"/>
      <c r="G102" s="307"/>
    </row>
    <row r="103" spans="1:7" x14ac:dyDescent="0.2">
      <c r="A103" s="140" t="s">
        <v>3645</v>
      </c>
      <c r="B103" s="145">
        <v>93403</v>
      </c>
      <c r="C103" s="145">
        <v>150</v>
      </c>
      <c r="D103" s="145"/>
      <c r="E103" s="145"/>
      <c r="F103" s="145"/>
      <c r="G103" s="307"/>
    </row>
    <row r="104" spans="1:7" ht="16" thickBot="1" x14ac:dyDescent="0.25">
      <c r="A104" s="140" t="s">
        <v>3646</v>
      </c>
      <c r="B104" s="187">
        <v>423311</v>
      </c>
      <c r="C104" s="187">
        <v>339</v>
      </c>
      <c r="D104" s="187"/>
      <c r="E104" s="145">
        <v>2912151</v>
      </c>
      <c r="F104" s="145">
        <v>555</v>
      </c>
      <c r="G104" s="307"/>
    </row>
    <row r="105" spans="1:7" x14ac:dyDescent="0.2">
      <c r="A105" s="140"/>
      <c r="B105" s="145"/>
      <c r="C105" s="145"/>
      <c r="D105" s="145"/>
      <c r="E105" s="138">
        <f>+SUM(B93:B104)</f>
        <v>2912147</v>
      </c>
      <c r="F105" s="138">
        <f>+SUM(C93:C104)</f>
        <v>4555</v>
      </c>
      <c r="G105" s="138">
        <f>+SUM(D93:D104)</f>
        <v>0</v>
      </c>
    </row>
    <row r="106" spans="1:7" x14ac:dyDescent="0.2">
      <c r="A106" s="140" t="s">
        <v>3647</v>
      </c>
      <c r="B106" s="145"/>
      <c r="C106" s="145"/>
      <c r="D106" s="145"/>
      <c r="E106" s="145"/>
      <c r="F106" s="145"/>
      <c r="G106" s="307"/>
    </row>
    <row r="107" spans="1:7" x14ac:dyDescent="0.2">
      <c r="A107" s="140" t="s">
        <v>1573</v>
      </c>
      <c r="B107" s="145">
        <v>3200</v>
      </c>
      <c r="C107" s="145"/>
      <c r="D107" s="145"/>
      <c r="E107" s="145"/>
      <c r="F107" s="145"/>
      <c r="G107" s="307"/>
    </row>
    <row r="108" spans="1:7" x14ac:dyDescent="0.2">
      <c r="A108" s="140" t="s">
        <v>1569</v>
      </c>
      <c r="B108" s="145">
        <v>930000</v>
      </c>
      <c r="C108" s="145"/>
      <c r="D108" s="145"/>
      <c r="E108" s="145"/>
      <c r="F108" s="145"/>
      <c r="G108" s="307"/>
    </row>
    <row r="109" spans="1:7" x14ac:dyDescent="0.2">
      <c r="A109" s="140" t="s">
        <v>3648</v>
      </c>
      <c r="B109" s="145">
        <v>300000</v>
      </c>
      <c r="C109" s="145"/>
      <c r="D109" s="145"/>
      <c r="E109" s="145"/>
      <c r="F109" s="145"/>
      <c r="G109" s="307"/>
    </row>
    <row r="110" spans="1:7" x14ac:dyDescent="0.2">
      <c r="A110" s="140" t="s">
        <v>1175</v>
      </c>
      <c r="B110" s="145">
        <v>36000</v>
      </c>
      <c r="C110" s="145"/>
      <c r="D110" s="145"/>
      <c r="E110" s="145"/>
      <c r="F110" s="145"/>
      <c r="G110" s="307"/>
    </row>
    <row r="111" spans="1:7" x14ac:dyDescent="0.2">
      <c r="A111" s="140" t="s">
        <v>3287</v>
      </c>
      <c r="B111" s="145">
        <v>13000</v>
      </c>
      <c r="C111" s="145"/>
      <c r="D111" s="145"/>
      <c r="E111" s="145"/>
      <c r="F111" s="145"/>
      <c r="G111" s="307"/>
    </row>
    <row r="112" spans="1:7" x14ac:dyDescent="0.2">
      <c r="A112" s="140" t="s">
        <v>2761</v>
      </c>
      <c r="B112" s="145">
        <v>10000</v>
      </c>
      <c r="C112" s="145"/>
      <c r="D112" s="145"/>
      <c r="E112" s="145"/>
      <c r="F112" s="145"/>
      <c r="G112" s="307"/>
    </row>
    <row r="113" spans="1:7" ht="16" thickBot="1" x14ac:dyDescent="0.25">
      <c r="A113" s="140" t="s">
        <v>2763</v>
      </c>
      <c r="B113" s="187">
        <v>4000</v>
      </c>
      <c r="C113" s="187"/>
      <c r="D113" s="187"/>
      <c r="E113" s="145">
        <v>1296200</v>
      </c>
      <c r="F113" s="145"/>
      <c r="G113" s="307"/>
    </row>
    <row r="114" spans="1:7" x14ac:dyDescent="0.2">
      <c r="A114" s="140"/>
      <c r="B114" s="145"/>
      <c r="C114" s="145"/>
      <c r="D114" s="145"/>
      <c r="E114" s="138">
        <f>+SUM(B107:B113)</f>
        <v>1296200</v>
      </c>
      <c r="F114" s="138"/>
      <c r="G114" s="188"/>
    </row>
    <row r="115" spans="1:7" x14ac:dyDescent="0.2">
      <c r="A115" s="588" t="s">
        <v>3649</v>
      </c>
      <c r="B115" s="589"/>
      <c r="C115" s="589"/>
      <c r="D115" s="589"/>
      <c r="E115" s="145"/>
      <c r="F115" s="145"/>
      <c r="G115" s="307"/>
    </row>
    <row r="116" spans="1:7" x14ac:dyDescent="0.2">
      <c r="A116" s="140" t="s">
        <v>3650</v>
      </c>
      <c r="B116" s="145">
        <v>79578</v>
      </c>
      <c r="C116" s="145">
        <v>900</v>
      </c>
      <c r="D116" s="145"/>
      <c r="E116" s="145"/>
      <c r="F116" s="145"/>
      <c r="G116" s="307"/>
    </row>
    <row r="117" spans="1:7" x14ac:dyDescent="0.2">
      <c r="A117" s="140" t="s">
        <v>1808</v>
      </c>
      <c r="B117" s="145">
        <v>452</v>
      </c>
      <c r="C117" s="145">
        <v>850</v>
      </c>
      <c r="D117" s="145"/>
      <c r="E117" s="145"/>
      <c r="F117" s="145"/>
      <c r="G117" s="307"/>
    </row>
    <row r="118" spans="1:7" x14ac:dyDescent="0.2">
      <c r="A118" s="140" t="s">
        <v>3644</v>
      </c>
      <c r="B118" s="145">
        <v>25000</v>
      </c>
      <c r="C118" s="145"/>
      <c r="D118" s="145"/>
      <c r="E118" s="145"/>
      <c r="F118" s="145"/>
      <c r="G118" s="307"/>
    </row>
    <row r="119" spans="1:7" x14ac:dyDescent="0.2">
      <c r="A119" s="140" t="s">
        <v>2763</v>
      </c>
      <c r="B119" s="145">
        <v>17897</v>
      </c>
      <c r="C119" s="145">
        <v>475</v>
      </c>
      <c r="D119" s="145"/>
      <c r="E119" s="145"/>
      <c r="F119" s="145"/>
      <c r="G119" s="307"/>
    </row>
    <row r="120" spans="1:7" x14ac:dyDescent="0.2">
      <c r="A120" s="140" t="s">
        <v>3645</v>
      </c>
      <c r="B120" s="145">
        <v>163</v>
      </c>
      <c r="C120" s="145"/>
      <c r="D120" s="145"/>
      <c r="E120" s="145"/>
      <c r="F120" s="145"/>
      <c r="G120" s="307"/>
    </row>
    <row r="121" spans="1:7" ht="16" thickBot="1" x14ac:dyDescent="0.25">
      <c r="A121" s="140" t="s">
        <v>1992</v>
      </c>
      <c r="B121" s="187">
        <v>60</v>
      </c>
      <c r="C121" s="187"/>
      <c r="D121" s="187"/>
      <c r="E121" s="145">
        <v>123152</v>
      </c>
      <c r="F121" s="145">
        <v>225</v>
      </c>
      <c r="G121" s="307"/>
    </row>
    <row r="122" spans="1:7" x14ac:dyDescent="0.2">
      <c r="A122" s="140"/>
      <c r="B122" s="145"/>
      <c r="C122" s="145"/>
      <c r="D122" s="145"/>
      <c r="E122" s="138">
        <f>+SUM(B116:B121)</f>
        <v>123150</v>
      </c>
      <c r="F122" s="138">
        <f>+SUM(C116:C121)</f>
        <v>2225</v>
      </c>
      <c r="G122" s="138">
        <f>+SUM(D116:D121)</f>
        <v>0</v>
      </c>
    </row>
    <row r="123" spans="1:7" ht="16" thickBot="1" x14ac:dyDescent="0.25">
      <c r="A123" s="588" t="s">
        <v>3651</v>
      </c>
      <c r="B123" s="589"/>
      <c r="C123" s="589"/>
      <c r="D123" s="589"/>
      <c r="E123" s="187">
        <v>100000</v>
      </c>
      <c r="F123" s="187"/>
      <c r="G123" s="444"/>
    </row>
    <row r="124" spans="1:7" x14ac:dyDescent="0.2">
      <c r="A124" s="140" t="s">
        <v>3652</v>
      </c>
      <c r="B124" s="145"/>
      <c r="C124" s="145"/>
      <c r="D124" s="145"/>
      <c r="E124" s="145">
        <v>4431503</v>
      </c>
      <c r="F124" s="145">
        <v>780</v>
      </c>
      <c r="G124" s="307"/>
    </row>
    <row r="125" spans="1:7" x14ac:dyDescent="0.2">
      <c r="A125" s="140"/>
      <c r="B125" s="145"/>
      <c r="C125" s="145"/>
      <c r="D125" s="145"/>
      <c r="E125" s="138">
        <f>+E123+E121+E113+E104</f>
        <v>4431503</v>
      </c>
      <c r="F125" s="138">
        <f>+F123+F121+F113+F104</f>
        <v>780</v>
      </c>
      <c r="G125" s="138">
        <f>+G123+G121+G113+G104</f>
        <v>0</v>
      </c>
    </row>
    <row r="126" spans="1:7" ht="27.5" customHeight="1" thickBot="1" x14ac:dyDescent="0.25">
      <c r="A126" s="585" t="s">
        <v>3653</v>
      </c>
      <c r="B126" s="586"/>
      <c r="C126" s="586"/>
      <c r="D126" s="586"/>
      <c r="E126" s="187">
        <v>476929</v>
      </c>
      <c r="F126" s="187">
        <v>120</v>
      </c>
      <c r="G126" s="444"/>
    </row>
    <row r="127" spans="1:7" ht="24" customHeight="1" x14ac:dyDescent="0.2">
      <c r="A127" s="790" t="s">
        <v>3654</v>
      </c>
      <c r="B127" s="791"/>
      <c r="C127" s="791"/>
      <c r="D127" s="791"/>
      <c r="E127" s="701">
        <v>3954574</v>
      </c>
      <c r="F127" s="701">
        <v>660</v>
      </c>
      <c r="G127" s="702"/>
    </row>
    <row r="128" spans="1:7" x14ac:dyDescent="0.2">
      <c r="A128" s="107"/>
      <c r="B128" s="107"/>
      <c r="C128" s="107"/>
      <c r="D128" s="107"/>
      <c r="E128" s="321">
        <f>+E124-E126</f>
        <v>3954574</v>
      </c>
      <c r="F128" s="321">
        <f>+F124-F126</f>
        <v>660</v>
      </c>
      <c r="G128" s="321">
        <f>+G124-G126</f>
        <v>0</v>
      </c>
    </row>
    <row r="129" spans="1:7" x14ac:dyDescent="0.2">
      <c r="A129" s="107"/>
      <c r="B129" s="107"/>
      <c r="C129" s="107"/>
      <c r="D129" s="107"/>
      <c r="E129" s="107"/>
      <c r="F129" s="107"/>
      <c r="G129" s="107"/>
    </row>
    <row r="130" spans="1:7" x14ac:dyDescent="0.2">
      <c r="A130" s="107"/>
      <c r="B130" s="107"/>
      <c r="C130" s="107"/>
      <c r="D130" s="107"/>
      <c r="E130" s="107"/>
      <c r="F130" s="107"/>
      <c r="G130" s="107"/>
    </row>
    <row r="131" spans="1:7" x14ac:dyDescent="0.2">
      <c r="A131" s="107"/>
      <c r="B131" s="107"/>
      <c r="C131" s="107"/>
      <c r="D131" s="107"/>
      <c r="E131" s="107"/>
      <c r="F131" s="107"/>
      <c r="G131" s="107"/>
    </row>
    <row r="132" spans="1:7" x14ac:dyDescent="0.2">
      <c r="A132" s="526" t="s">
        <v>3655</v>
      </c>
      <c r="B132" s="107"/>
      <c r="C132" s="107"/>
      <c r="D132" s="107"/>
      <c r="E132" s="107"/>
      <c r="F132" s="107"/>
      <c r="G132" s="107"/>
    </row>
    <row r="133" spans="1:7" ht="16" x14ac:dyDescent="0.2">
      <c r="A133" s="953" t="s">
        <v>3656</v>
      </c>
      <c r="B133" s="954"/>
      <c r="C133" s="954"/>
      <c r="D133" s="954"/>
      <c r="E133" s="954"/>
      <c r="F133" s="954"/>
      <c r="G133" s="955"/>
    </row>
    <row r="134" spans="1:7" x14ac:dyDescent="0.2">
      <c r="A134" s="131" t="s">
        <v>2040</v>
      </c>
      <c r="B134" s="145">
        <v>1054571</v>
      </c>
      <c r="C134" s="145">
        <v>600</v>
      </c>
      <c r="D134" s="145"/>
      <c r="E134" s="145"/>
      <c r="F134" s="145"/>
      <c r="G134" s="307"/>
    </row>
    <row r="135" spans="1:7" x14ac:dyDescent="0.2">
      <c r="A135" s="131" t="s">
        <v>2869</v>
      </c>
      <c r="B135" s="145">
        <v>70994</v>
      </c>
      <c r="C135" s="145">
        <v>455</v>
      </c>
      <c r="D135" s="145"/>
      <c r="E135" s="145"/>
      <c r="F135" s="145"/>
      <c r="G135" s="307"/>
    </row>
    <row r="136" spans="1:7" x14ac:dyDescent="0.2">
      <c r="A136" s="131" t="s">
        <v>2761</v>
      </c>
      <c r="B136" s="145">
        <v>6038</v>
      </c>
      <c r="C136" s="145">
        <v>650</v>
      </c>
      <c r="D136" s="145"/>
      <c r="E136" s="145"/>
      <c r="F136" s="145"/>
      <c r="G136" s="307"/>
    </row>
    <row r="137" spans="1:7" x14ac:dyDescent="0.2">
      <c r="A137" s="131" t="s">
        <v>2046</v>
      </c>
      <c r="B137" s="145">
        <v>49562</v>
      </c>
      <c r="C137" s="145">
        <v>150</v>
      </c>
      <c r="D137" s="145"/>
      <c r="E137" s="145"/>
      <c r="F137" s="145"/>
      <c r="G137" s="307"/>
    </row>
    <row r="138" spans="1:7" x14ac:dyDescent="0.2">
      <c r="A138" s="131" t="s">
        <v>2043</v>
      </c>
      <c r="B138" s="145">
        <v>252404</v>
      </c>
      <c r="C138" s="145">
        <v>600</v>
      </c>
      <c r="D138" s="145"/>
      <c r="E138" s="145"/>
      <c r="F138" s="145"/>
      <c r="G138" s="307"/>
    </row>
    <row r="139" spans="1:7" x14ac:dyDescent="0.2">
      <c r="A139" s="131" t="s">
        <v>2044</v>
      </c>
      <c r="B139" s="145">
        <v>23515</v>
      </c>
      <c r="C139" s="145">
        <v>950</v>
      </c>
      <c r="D139" s="145"/>
      <c r="E139" s="145"/>
      <c r="F139" s="145"/>
      <c r="G139" s="307"/>
    </row>
    <row r="140" spans="1:7" x14ac:dyDescent="0.2">
      <c r="A140" s="131" t="s">
        <v>2042</v>
      </c>
      <c r="B140" s="145">
        <v>74164</v>
      </c>
      <c r="C140" s="145">
        <v>750</v>
      </c>
      <c r="D140" s="145"/>
      <c r="E140" s="145"/>
      <c r="F140" s="145"/>
      <c r="G140" s="307"/>
    </row>
    <row r="141" spans="1:7" x14ac:dyDescent="0.2">
      <c r="A141" s="131" t="s">
        <v>2047</v>
      </c>
      <c r="B141" s="145">
        <v>119722</v>
      </c>
      <c r="C141" s="145">
        <v>850</v>
      </c>
      <c r="D141" s="145"/>
      <c r="E141" s="145"/>
      <c r="F141" s="145"/>
      <c r="G141" s="307"/>
    </row>
    <row r="142" spans="1:7" x14ac:dyDescent="0.2">
      <c r="A142" s="131" t="s">
        <v>2464</v>
      </c>
      <c r="B142" s="145">
        <v>41433</v>
      </c>
      <c r="C142" s="145">
        <v>150</v>
      </c>
      <c r="D142" s="145"/>
      <c r="E142" s="145"/>
      <c r="F142" s="145"/>
      <c r="G142" s="307"/>
    </row>
    <row r="143" spans="1:7" x14ac:dyDescent="0.2">
      <c r="A143" s="131" t="s">
        <v>2045</v>
      </c>
      <c r="B143" s="145">
        <v>412146</v>
      </c>
      <c r="C143" s="145">
        <v>725</v>
      </c>
      <c r="D143" s="145"/>
      <c r="E143" s="145"/>
      <c r="F143" s="145"/>
      <c r="G143" s="307"/>
    </row>
    <row r="144" spans="1:7" x14ac:dyDescent="0.2">
      <c r="A144" s="131" t="s">
        <v>1175</v>
      </c>
      <c r="B144" s="145">
        <v>259213</v>
      </c>
      <c r="C144" s="145">
        <v>700</v>
      </c>
      <c r="D144" s="145"/>
      <c r="E144" s="145"/>
      <c r="F144" s="145"/>
      <c r="G144" s="307"/>
    </row>
    <row r="145" spans="1:7" x14ac:dyDescent="0.2">
      <c r="A145" s="131" t="s">
        <v>3628</v>
      </c>
      <c r="B145" s="145">
        <v>301038</v>
      </c>
      <c r="C145" s="145">
        <v>350</v>
      </c>
      <c r="D145" s="145"/>
      <c r="E145" s="145"/>
      <c r="F145" s="145"/>
      <c r="G145" s="307"/>
    </row>
    <row r="146" spans="1:7" ht="16" thickBot="1" x14ac:dyDescent="0.25">
      <c r="A146" s="131" t="s">
        <v>2886</v>
      </c>
      <c r="B146" s="187">
        <v>193725</v>
      </c>
      <c r="C146" s="187">
        <v>600</v>
      </c>
      <c r="D146" s="187"/>
      <c r="E146" s="145">
        <v>2858532</v>
      </c>
      <c r="F146" s="145">
        <v>530</v>
      </c>
      <c r="G146" s="307"/>
    </row>
    <row r="147" spans="1:7" x14ac:dyDescent="0.2">
      <c r="A147" s="131"/>
      <c r="B147" s="145"/>
      <c r="C147" s="145"/>
      <c r="D147" s="145"/>
      <c r="E147" s="138">
        <f>+SUM(B134:B146)</f>
        <v>2858525</v>
      </c>
      <c r="F147" s="138">
        <f>+SUM(C134:C146)</f>
        <v>7530</v>
      </c>
      <c r="G147" s="138">
        <f>+SUM(D134:D146)</f>
        <v>0</v>
      </c>
    </row>
    <row r="148" spans="1:7" ht="36.5" customHeight="1" thickBot="1" x14ac:dyDescent="0.25">
      <c r="A148" s="814" t="s">
        <v>3657</v>
      </c>
      <c r="B148" s="815"/>
      <c r="C148" s="815"/>
      <c r="D148" s="815"/>
      <c r="E148" s="187">
        <v>166564</v>
      </c>
      <c r="F148" s="187">
        <v>800</v>
      </c>
      <c r="G148" s="444"/>
    </row>
    <row r="149" spans="1:7" ht="16" thickBot="1" x14ac:dyDescent="0.25">
      <c r="A149" s="489" t="s">
        <v>3658</v>
      </c>
      <c r="B149" s="493"/>
      <c r="C149" s="493"/>
      <c r="D149" s="493"/>
      <c r="E149" s="448">
        <v>3025097</v>
      </c>
      <c r="F149" s="448">
        <v>330</v>
      </c>
      <c r="G149" s="449"/>
    </row>
    <row r="150" spans="1:7" x14ac:dyDescent="0.2">
      <c r="A150" s="622"/>
      <c r="B150" s="623"/>
      <c r="C150" s="623"/>
      <c r="D150" s="623"/>
      <c r="E150" s="138">
        <f>+E146+E148</f>
        <v>3025096</v>
      </c>
      <c r="F150" s="138">
        <f>+F146+F148</f>
        <v>1330</v>
      </c>
      <c r="G150" s="138">
        <f>+G146+G148</f>
        <v>0</v>
      </c>
    </row>
    <row r="151" spans="1:7" x14ac:dyDescent="0.2">
      <c r="A151" s="674" t="s">
        <v>3659</v>
      </c>
      <c r="B151" s="350"/>
      <c r="C151" s="350"/>
      <c r="D151" s="350"/>
      <c r="E151" s="145"/>
      <c r="F151" s="145"/>
      <c r="G151" s="133"/>
    </row>
    <row r="152" spans="1:7" x14ac:dyDescent="0.2">
      <c r="A152" s="140" t="s">
        <v>3660</v>
      </c>
      <c r="B152" s="145">
        <v>813759</v>
      </c>
      <c r="C152" s="145">
        <v>256</v>
      </c>
      <c r="D152" s="180">
        <v>0.5</v>
      </c>
      <c r="E152" s="145"/>
      <c r="F152" s="145"/>
      <c r="G152" s="133"/>
    </row>
    <row r="153" spans="1:7" ht="16" thickBot="1" x14ac:dyDescent="0.25">
      <c r="A153" s="140" t="s">
        <v>3661</v>
      </c>
      <c r="B153" s="187">
        <v>2912151</v>
      </c>
      <c r="C153" s="187">
        <v>555</v>
      </c>
      <c r="D153" s="187"/>
      <c r="E153" s="145">
        <v>3725910</v>
      </c>
      <c r="F153" s="145">
        <v>811</v>
      </c>
      <c r="G153" s="133">
        <v>0.5</v>
      </c>
    </row>
    <row r="154" spans="1:7" x14ac:dyDescent="0.2">
      <c r="A154" s="140"/>
      <c r="B154" s="145"/>
      <c r="C154" s="145"/>
      <c r="D154" s="145"/>
      <c r="E154" s="138">
        <f>+B152+B153</f>
        <v>3725910</v>
      </c>
      <c r="F154" s="138">
        <f>+C152+C153</f>
        <v>811</v>
      </c>
      <c r="G154" s="312">
        <f>+D152+D153</f>
        <v>0.5</v>
      </c>
    </row>
    <row r="155" spans="1:7" x14ac:dyDescent="0.2">
      <c r="A155" s="588" t="s">
        <v>3662</v>
      </c>
      <c r="B155" s="589"/>
      <c r="C155" s="589"/>
      <c r="D155" s="589"/>
      <c r="E155" s="145">
        <v>3025097</v>
      </c>
      <c r="F155" s="145">
        <v>330</v>
      </c>
      <c r="G155" s="133"/>
    </row>
    <row r="156" spans="1:7" ht="16" thickBot="1" x14ac:dyDescent="0.25">
      <c r="A156" s="772" t="s">
        <v>3619</v>
      </c>
      <c r="B156" s="773"/>
      <c r="C156" s="773"/>
      <c r="D156" s="773"/>
      <c r="E156" s="595">
        <v>700813</v>
      </c>
      <c r="F156" s="595">
        <v>481</v>
      </c>
      <c r="G156" s="1079">
        <v>0.5</v>
      </c>
    </row>
    <row r="157" spans="1:7" x14ac:dyDescent="0.2">
      <c r="A157" s="107"/>
      <c r="B157" s="107"/>
      <c r="C157" s="107"/>
      <c r="D157" s="107"/>
      <c r="E157" s="321">
        <f>+E153-E155</f>
        <v>700813</v>
      </c>
      <c r="F157" s="321">
        <f>+F153-F155</f>
        <v>481</v>
      </c>
      <c r="G157" s="322">
        <f>+G153-G155</f>
        <v>0.5</v>
      </c>
    </row>
    <row r="158" spans="1:7" x14ac:dyDescent="0.2">
      <c r="A158" s="107"/>
      <c r="B158" s="107"/>
      <c r="C158" s="107"/>
      <c r="D158" s="107"/>
      <c r="E158" s="107"/>
      <c r="F158" s="107"/>
      <c r="G158" s="107"/>
    </row>
    <row r="159" spans="1:7" x14ac:dyDescent="0.2">
      <c r="A159" s="107"/>
      <c r="B159" s="107"/>
      <c r="C159" s="107"/>
      <c r="D159" s="107"/>
      <c r="E159" s="107"/>
      <c r="F159" s="107"/>
      <c r="G159" s="107"/>
    </row>
    <row r="160" spans="1:7" x14ac:dyDescent="0.2">
      <c r="A160" s="107"/>
      <c r="B160" s="107"/>
      <c r="C160" s="107"/>
      <c r="D160" s="107"/>
      <c r="E160" s="107"/>
      <c r="F160" s="107"/>
      <c r="G160" s="107"/>
    </row>
    <row r="161" spans="1:7" x14ac:dyDescent="0.2">
      <c r="A161" s="107"/>
      <c r="B161" s="107"/>
      <c r="C161" s="107"/>
      <c r="D161" s="107"/>
      <c r="E161" s="107"/>
      <c r="F161" s="107"/>
      <c r="G161" s="107"/>
    </row>
    <row r="162" spans="1:7" x14ac:dyDescent="0.2">
      <c r="A162" s="107"/>
      <c r="B162" s="107"/>
      <c r="C162" s="107"/>
      <c r="D162" s="107"/>
      <c r="E162" s="107"/>
      <c r="F162" s="107"/>
      <c r="G162" s="107"/>
    </row>
    <row r="163" spans="1:7" x14ac:dyDescent="0.2">
      <c r="A163" s="107"/>
      <c r="B163" s="107"/>
      <c r="C163" s="107"/>
      <c r="D163" s="107"/>
      <c r="E163" s="107"/>
      <c r="F163" s="107"/>
      <c r="G163" s="107"/>
    </row>
    <row r="164" spans="1:7" x14ac:dyDescent="0.2">
      <c r="A164" s="107"/>
      <c r="B164" s="107"/>
      <c r="C164" s="107"/>
      <c r="D164" s="107"/>
      <c r="E164" s="107"/>
      <c r="F164" s="107"/>
      <c r="G164" s="107"/>
    </row>
    <row r="165" spans="1:7" x14ac:dyDescent="0.2">
      <c r="A165" s="107"/>
      <c r="B165" s="107"/>
      <c r="C165" s="107"/>
      <c r="D165" s="107"/>
      <c r="E165" s="107"/>
      <c r="F165" s="107"/>
      <c r="G165" s="107"/>
    </row>
    <row r="166" spans="1:7" x14ac:dyDescent="0.2">
      <c r="A166" s="107"/>
      <c r="B166" s="107"/>
      <c r="C166" s="107"/>
      <c r="D166" s="107"/>
      <c r="E166" s="107"/>
      <c r="F166" s="107"/>
      <c r="G166" s="107"/>
    </row>
  </sheetData>
  <mergeCells count="28">
    <mergeCell ref="A148:D148"/>
    <mergeCell ref="A149:D149"/>
    <mergeCell ref="A155:D155"/>
    <mergeCell ref="A156:D156"/>
    <mergeCell ref="A92:G92"/>
    <mergeCell ref="A115:D115"/>
    <mergeCell ref="A123:D123"/>
    <mergeCell ref="A126:D126"/>
    <mergeCell ref="A127:D127"/>
    <mergeCell ref="A133:G133"/>
    <mergeCell ref="A81:D81"/>
    <mergeCell ref="A82:D82"/>
    <mergeCell ref="A84:D84"/>
    <mergeCell ref="A85:D85"/>
    <mergeCell ref="A86:D86"/>
    <mergeCell ref="A87:D87"/>
    <mergeCell ref="A54:G54"/>
    <mergeCell ref="A69:D69"/>
    <mergeCell ref="A70:D70"/>
    <mergeCell ref="A77:D77"/>
    <mergeCell ref="A78:D78"/>
    <mergeCell ref="A80:D80"/>
    <mergeCell ref="A4:G4"/>
    <mergeCell ref="A36:D36"/>
    <mergeCell ref="A43:D43"/>
    <mergeCell ref="A45:D45"/>
    <mergeCell ref="A48:D48"/>
    <mergeCell ref="A49:D49"/>
  </mergeCell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3"/>
  <sheetViews>
    <sheetView workbookViewId="0">
      <selection activeCell="B1" sqref="B1"/>
    </sheetView>
  </sheetViews>
  <sheetFormatPr baseColWidth="10" defaultRowHeight="15" x14ac:dyDescent="0.2"/>
  <cols>
    <col min="1" max="1" width="53.6640625" style="106" customWidth="1"/>
    <col min="2" max="2" width="10.83203125" style="106"/>
    <col min="3" max="3" width="4.83203125" style="106" customWidth="1"/>
    <col min="4" max="4" width="10.83203125" style="106"/>
    <col min="5" max="5" width="7" style="106" customWidth="1"/>
    <col min="6" max="6" width="11.6640625" style="106" customWidth="1"/>
    <col min="7" max="7" width="5" style="106" customWidth="1"/>
    <col min="8" max="8" width="11.6640625" style="106" customWidth="1"/>
    <col min="9" max="9" width="6.6640625" style="106" customWidth="1"/>
    <col min="10" max="10" width="11.6640625" style="106" customWidth="1"/>
    <col min="11" max="11" width="5" style="106" customWidth="1"/>
    <col min="12" max="12" width="13.83203125" style="106" customWidth="1"/>
    <col min="13" max="13" width="6.83203125" style="106" customWidth="1"/>
    <col min="14" max="14" width="11.6640625" style="106" customWidth="1"/>
    <col min="15" max="15" width="5" style="106" customWidth="1"/>
    <col min="16" max="16" width="11.6640625" style="106" customWidth="1"/>
    <col min="17" max="17" width="6.83203125" style="106" customWidth="1"/>
    <col min="18" max="16384" width="10.83203125" style="106"/>
  </cols>
  <sheetData>
    <row r="1" spans="1:17" x14ac:dyDescent="0.2">
      <c r="A1" s="458" t="s">
        <v>3663</v>
      </c>
    </row>
    <row r="3" spans="1:17" x14ac:dyDescent="0.2">
      <c r="A3" s="526" t="s">
        <v>1111</v>
      </c>
      <c r="B3" s="107"/>
      <c r="C3" s="107"/>
      <c r="D3" s="107"/>
      <c r="E3" s="107"/>
      <c r="F3" s="107"/>
      <c r="G3" s="107"/>
      <c r="H3" s="107"/>
      <c r="I3" s="107"/>
      <c r="J3" s="107"/>
      <c r="K3" s="107"/>
      <c r="L3" s="107"/>
      <c r="M3" s="107"/>
      <c r="N3" s="107"/>
      <c r="O3" s="107"/>
      <c r="P3" s="107"/>
      <c r="Q3" s="107"/>
    </row>
    <row r="4" spans="1:17" ht="33" customHeight="1" x14ac:dyDescent="0.2">
      <c r="A4" s="998" t="s">
        <v>3664</v>
      </c>
      <c r="B4" s="998"/>
      <c r="C4" s="998"/>
      <c r="D4" s="998"/>
      <c r="E4" s="998"/>
      <c r="F4" s="998"/>
      <c r="G4" s="998"/>
      <c r="H4" s="998"/>
      <c r="I4" s="998"/>
      <c r="J4" s="998"/>
      <c r="K4" s="998"/>
      <c r="L4" s="998"/>
      <c r="M4" s="998"/>
      <c r="N4" s="998"/>
      <c r="O4" s="998"/>
      <c r="P4" s="998"/>
      <c r="Q4" s="998"/>
    </row>
    <row r="5" spans="1:17" ht="30.5" customHeight="1" x14ac:dyDescent="0.2">
      <c r="A5" s="967" t="s">
        <v>3254</v>
      </c>
      <c r="B5" s="618" t="s">
        <v>3665</v>
      </c>
      <c r="C5" s="793"/>
      <c r="D5" s="1027" t="s">
        <v>3271</v>
      </c>
      <c r="E5" s="1027"/>
      <c r="F5" s="1027" t="s">
        <v>3272</v>
      </c>
      <c r="G5" s="1027"/>
      <c r="H5" s="1027" t="s">
        <v>3577</v>
      </c>
      <c r="I5" s="1027"/>
      <c r="J5" s="1027" t="s">
        <v>3578</v>
      </c>
      <c r="K5" s="1027"/>
      <c r="L5" s="1027" t="s">
        <v>3579</v>
      </c>
      <c r="M5" s="1027"/>
      <c r="N5" s="1027" t="s">
        <v>3275</v>
      </c>
      <c r="O5" s="1027"/>
      <c r="P5" s="1027" t="s">
        <v>3276</v>
      </c>
      <c r="Q5" s="1027"/>
    </row>
    <row r="6" spans="1:17" x14ac:dyDescent="0.2">
      <c r="A6" s="967"/>
      <c r="B6" s="1056" t="s">
        <v>3666</v>
      </c>
      <c r="C6" s="1034" t="s">
        <v>3667</v>
      </c>
      <c r="D6" s="1034" t="s">
        <v>3666</v>
      </c>
      <c r="E6" s="1034" t="s">
        <v>3667</v>
      </c>
      <c r="F6" s="1034" t="s">
        <v>3666</v>
      </c>
      <c r="G6" s="1034" t="s">
        <v>3667</v>
      </c>
      <c r="H6" s="1034" t="s">
        <v>3666</v>
      </c>
      <c r="I6" s="1034" t="s">
        <v>3667</v>
      </c>
      <c r="J6" s="1034" t="s">
        <v>3666</v>
      </c>
      <c r="K6" s="1034" t="s">
        <v>3667</v>
      </c>
      <c r="L6" s="1034" t="s">
        <v>3666</v>
      </c>
      <c r="M6" s="1034" t="s">
        <v>3667</v>
      </c>
      <c r="N6" s="1034" t="s">
        <v>3666</v>
      </c>
      <c r="O6" s="1034" t="s">
        <v>3667</v>
      </c>
      <c r="P6" s="1034" t="s">
        <v>3666</v>
      </c>
      <c r="Q6" s="1034" t="s">
        <v>3667</v>
      </c>
    </row>
    <row r="7" spans="1:17" x14ac:dyDescent="0.2">
      <c r="A7" s="533" t="s">
        <v>3668</v>
      </c>
      <c r="B7" s="349">
        <v>583283</v>
      </c>
      <c r="C7" s="717">
        <v>545</v>
      </c>
      <c r="D7" s="349">
        <v>1542468</v>
      </c>
      <c r="E7" s="717">
        <v>768</v>
      </c>
      <c r="F7" s="349">
        <v>1147218</v>
      </c>
      <c r="G7" s="717">
        <v>834</v>
      </c>
      <c r="H7" s="349">
        <v>1588591</v>
      </c>
      <c r="I7" s="717">
        <v>49</v>
      </c>
      <c r="J7" s="349">
        <v>1053698</v>
      </c>
      <c r="K7" s="717">
        <v>246</v>
      </c>
      <c r="L7" s="349">
        <v>1192064</v>
      </c>
      <c r="M7" s="717">
        <v>558</v>
      </c>
      <c r="N7" s="349">
        <v>31100</v>
      </c>
      <c r="O7" s="717"/>
      <c r="P7" s="349">
        <v>7138425</v>
      </c>
      <c r="Q7" s="717"/>
    </row>
    <row r="8" spans="1:17" x14ac:dyDescent="0.2">
      <c r="A8" s="533" t="s">
        <v>1517</v>
      </c>
      <c r="B8" s="131">
        <v>45442</v>
      </c>
      <c r="C8" s="307"/>
      <c r="D8" s="131">
        <v>70297</v>
      </c>
      <c r="E8" s="307"/>
      <c r="F8" s="131">
        <v>117810</v>
      </c>
      <c r="G8" s="307"/>
      <c r="H8" s="131">
        <v>113721</v>
      </c>
      <c r="I8" s="307"/>
      <c r="J8" s="131">
        <v>110817</v>
      </c>
      <c r="K8" s="307"/>
      <c r="L8" s="131">
        <v>126714</v>
      </c>
      <c r="M8" s="307"/>
      <c r="N8" s="131">
        <v>1070287</v>
      </c>
      <c r="O8" s="307"/>
      <c r="P8" s="131">
        <v>1655088</v>
      </c>
      <c r="Q8" s="307"/>
    </row>
    <row r="9" spans="1:17" x14ac:dyDescent="0.2">
      <c r="A9" s="533" t="s">
        <v>1369</v>
      </c>
      <c r="B9" s="131"/>
      <c r="C9" s="307"/>
      <c r="D9" s="131">
        <v>185750</v>
      </c>
      <c r="E9" s="307"/>
      <c r="F9" s="131">
        <v>548527</v>
      </c>
      <c r="G9" s="307"/>
      <c r="H9" s="131">
        <v>387243</v>
      </c>
      <c r="I9" s="307"/>
      <c r="J9" s="131">
        <v>79212</v>
      </c>
      <c r="K9" s="307"/>
      <c r="L9" s="131">
        <v>100138</v>
      </c>
      <c r="M9" s="307"/>
      <c r="N9" s="131">
        <v>216075</v>
      </c>
      <c r="O9" s="307"/>
      <c r="P9" s="131">
        <v>1516945</v>
      </c>
      <c r="Q9" s="307"/>
    </row>
    <row r="10" spans="1:17" x14ac:dyDescent="0.2">
      <c r="A10" s="533" t="s">
        <v>3266</v>
      </c>
      <c r="B10" s="131"/>
      <c r="C10" s="307"/>
      <c r="D10" s="131">
        <v>8618</v>
      </c>
      <c r="E10" s="307"/>
      <c r="F10" s="131">
        <v>1976</v>
      </c>
      <c r="G10" s="307"/>
      <c r="H10" s="131">
        <v>734</v>
      </c>
      <c r="I10" s="307"/>
      <c r="J10" s="131">
        <v>187</v>
      </c>
      <c r="K10" s="307"/>
      <c r="L10" s="131"/>
      <c r="M10" s="307"/>
      <c r="N10" s="131">
        <v>2762</v>
      </c>
      <c r="O10" s="307">
        <v>500</v>
      </c>
      <c r="P10" s="131">
        <v>14277</v>
      </c>
      <c r="Q10" s="307">
        <v>500</v>
      </c>
    </row>
    <row r="11" spans="1:17" x14ac:dyDescent="0.2">
      <c r="A11" s="533" t="s">
        <v>1519</v>
      </c>
      <c r="B11" s="131"/>
      <c r="C11" s="307"/>
      <c r="D11" s="131">
        <v>60046</v>
      </c>
      <c r="E11" s="307">
        <v>500</v>
      </c>
      <c r="F11" s="131">
        <v>735783</v>
      </c>
      <c r="G11" s="307"/>
      <c r="H11" s="131">
        <v>702496</v>
      </c>
      <c r="I11" s="307">
        <v>750</v>
      </c>
      <c r="J11" s="131">
        <v>87287</v>
      </c>
      <c r="K11" s="307"/>
      <c r="L11" s="131">
        <v>152143</v>
      </c>
      <c r="M11" s="307">
        <v>500</v>
      </c>
      <c r="N11" s="131">
        <v>966531</v>
      </c>
      <c r="O11" s="307"/>
      <c r="P11" s="131">
        <v>2704287</v>
      </c>
      <c r="Q11" s="307">
        <v>750</v>
      </c>
    </row>
    <row r="12" spans="1:17" x14ac:dyDescent="0.2">
      <c r="A12" s="533" t="s">
        <v>1526</v>
      </c>
      <c r="B12" s="131"/>
      <c r="C12" s="307"/>
      <c r="D12" s="131">
        <v>223187</v>
      </c>
      <c r="E12" s="307">
        <v>250</v>
      </c>
      <c r="F12" s="131">
        <v>70618</v>
      </c>
      <c r="G12" s="307"/>
      <c r="H12" s="131">
        <v>63479</v>
      </c>
      <c r="I12" s="307"/>
      <c r="J12" s="131">
        <v>62499</v>
      </c>
      <c r="K12" s="307">
        <v>500</v>
      </c>
      <c r="L12" s="131">
        <v>30799</v>
      </c>
      <c r="M12" s="307"/>
      <c r="N12" s="131"/>
      <c r="O12" s="307"/>
      <c r="P12" s="131">
        <v>450582</v>
      </c>
      <c r="Q12" s="307">
        <v>750</v>
      </c>
    </row>
    <row r="13" spans="1:17" x14ac:dyDescent="0.2">
      <c r="A13" s="533" t="s">
        <v>1373</v>
      </c>
      <c r="B13" s="131"/>
      <c r="C13" s="307"/>
      <c r="D13" s="131">
        <v>205371</v>
      </c>
      <c r="E13" s="307"/>
      <c r="F13" s="131">
        <v>246855</v>
      </c>
      <c r="G13" s="307"/>
      <c r="H13" s="131">
        <v>114277</v>
      </c>
      <c r="I13" s="307">
        <v>690</v>
      </c>
      <c r="J13" s="131">
        <v>31955</v>
      </c>
      <c r="K13" s="307"/>
      <c r="L13" s="131">
        <v>17662</v>
      </c>
      <c r="M13" s="307">
        <v>460</v>
      </c>
      <c r="N13" s="131">
        <v>409873</v>
      </c>
      <c r="O13" s="307"/>
      <c r="P13" s="131">
        <v>1025994</v>
      </c>
      <c r="Q13" s="307">
        <v>150</v>
      </c>
    </row>
    <row r="14" spans="1:17" x14ac:dyDescent="0.2">
      <c r="A14" s="533" t="s">
        <v>1527</v>
      </c>
      <c r="B14" s="131"/>
      <c r="C14" s="307"/>
      <c r="D14" s="131">
        <v>444179</v>
      </c>
      <c r="E14" s="307">
        <v>800</v>
      </c>
      <c r="F14" s="131">
        <v>171515</v>
      </c>
      <c r="G14" s="307"/>
      <c r="H14" s="131">
        <v>38465</v>
      </c>
      <c r="I14" s="307">
        <v>200</v>
      </c>
      <c r="J14" s="131">
        <v>20651</v>
      </c>
      <c r="K14" s="307"/>
      <c r="L14" s="131">
        <v>39643</v>
      </c>
      <c r="M14" s="307"/>
      <c r="N14" s="131">
        <v>84960</v>
      </c>
      <c r="O14" s="307"/>
      <c r="P14" s="131">
        <v>799414</v>
      </c>
      <c r="Q14" s="307"/>
    </row>
    <row r="15" spans="1:17" x14ac:dyDescent="0.2">
      <c r="A15" s="535"/>
      <c r="B15" s="240">
        <v>628725</v>
      </c>
      <c r="C15" s="513">
        <v>545</v>
      </c>
      <c r="D15" s="240">
        <v>2739918</v>
      </c>
      <c r="E15" s="513">
        <v>318</v>
      </c>
      <c r="F15" s="240">
        <v>3040302</v>
      </c>
      <c r="G15" s="513">
        <v>834</v>
      </c>
      <c r="H15" s="240">
        <v>3009007</v>
      </c>
      <c r="I15" s="513">
        <v>689</v>
      </c>
      <c r="J15" s="240">
        <v>1446306</v>
      </c>
      <c r="K15" s="513">
        <v>746</v>
      </c>
      <c r="L15" s="240">
        <v>1659164</v>
      </c>
      <c r="M15" s="513">
        <v>518</v>
      </c>
      <c r="N15" s="240">
        <v>2781588</v>
      </c>
      <c r="O15" s="513">
        <v>500</v>
      </c>
      <c r="P15" s="240">
        <v>15305014</v>
      </c>
      <c r="Q15" s="513">
        <v>150</v>
      </c>
    </row>
    <row r="16" spans="1:17" x14ac:dyDescent="0.2">
      <c r="A16" s="107"/>
      <c r="B16" s="321">
        <f>+SUM(B7:B14)</f>
        <v>628725</v>
      </c>
      <c r="C16" s="321">
        <f t="shared" ref="C16:Q16" si="0">+SUM(C7:C14)</f>
        <v>545</v>
      </c>
      <c r="D16" s="321">
        <f t="shared" si="0"/>
        <v>2739916</v>
      </c>
      <c r="E16" s="321">
        <f t="shared" si="0"/>
        <v>2318</v>
      </c>
      <c r="F16" s="321">
        <f t="shared" si="0"/>
        <v>3040302</v>
      </c>
      <c r="G16" s="321">
        <f t="shared" si="0"/>
        <v>834</v>
      </c>
      <c r="H16" s="321">
        <f t="shared" si="0"/>
        <v>3009006</v>
      </c>
      <c r="I16" s="321">
        <f t="shared" si="0"/>
        <v>1689</v>
      </c>
      <c r="J16" s="321">
        <f t="shared" si="0"/>
        <v>1446306</v>
      </c>
      <c r="K16" s="321">
        <f t="shared" si="0"/>
        <v>746</v>
      </c>
      <c r="L16" s="321">
        <f t="shared" si="0"/>
        <v>1659163</v>
      </c>
      <c r="M16" s="321">
        <f t="shared" si="0"/>
        <v>1518</v>
      </c>
      <c r="N16" s="321">
        <f t="shared" si="0"/>
        <v>2781588</v>
      </c>
      <c r="O16" s="321">
        <f t="shared" si="0"/>
        <v>500</v>
      </c>
      <c r="P16" s="321">
        <f t="shared" si="0"/>
        <v>15305012</v>
      </c>
      <c r="Q16" s="321">
        <f t="shared" si="0"/>
        <v>2150</v>
      </c>
    </row>
    <row r="17" spans="1:17" x14ac:dyDescent="0.2">
      <c r="A17" s="107"/>
      <c r="B17" s="107"/>
      <c r="C17" s="107"/>
      <c r="D17" s="107"/>
      <c r="E17" s="107"/>
      <c r="F17" s="107"/>
      <c r="G17" s="107"/>
      <c r="H17" s="107"/>
      <c r="I17" s="107"/>
      <c r="J17" s="107"/>
      <c r="K17" s="107"/>
      <c r="L17" s="107"/>
      <c r="M17" s="107"/>
      <c r="N17" s="107"/>
      <c r="O17" s="107"/>
      <c r="P17" s="107"/>
      <c r="Q17" s="107"/>
    </row>
    <row r="18" spans="1:17" x14ac:dyDescent="0.2">
      <c r="A18" s="107"/>
      <c r="B18" s="1080">
        <f>B16/P16</f>
        <v>4.1079680303419561E-2</v>
      </c>
      <c r="C18" s="107"/>
      <c r="E18" s="107"/>
      <c r="F18" s="107"/>
      <c r="G18" s="107"/>
      <c r="H18" s="107"/>
      <c r="I18" s="107"/>
      <c r="J18" s="107"/>
      <c r="K18" s="107"/>
      <c r="L18" s="107"/>
      <c r="M18" s="107"/>
      <c r="N18" s="107"/>
      <c r="O18" s="107"/>
      <c r="P18" s="107"/>
      <c r="Q18" s="107"/>
    </row>
    <row r="19" spans="1:17" x14ac:dyDescent="0.2">
      <c r="A19" s="526" t="s">
        <v>1171</v>
      </c>
      <c r="B19" s="107"/>
      <c r="C19" s="107"/>
      <c r="D19" s="107"/>
      <c r="E19" s="107"/>
      <c r="F19" s="107"/>
      <c r="G19" s="107"/>
      <c r="H19" s="107"/>
      <c r="I19" s="107"/>
      <c r="J19" s="107"/>
      <c r="K19" s="107"/>
      <c r="L19" s="107"/>
      <c r="M19" s="107"/>
      <c r="N19" s="107"/>
      <c r="O19" s="107"/>
      <c r="P19" s="107"/>
      <c r="Q19" s="107"/>
    </row>
    <row r="20" spans="1:17" ht="31.25" customHeight="1" x14ac:dyDescent="0.2">
      <c r="A20" s="998" t="s">
        <v>3669</v>
      </c>
      <c r="B20" s="998"/>
      <c r="C20" s="998"/>
      <c r="D20" s="998"/>
      <c r="E20" s="998"/>
      <c r="F20" s="107"/>
      <c r="G20" s="107"/>
      <c r="H20" s="107"/>
      <c r="I20" s="107"/>
      <c r="J20" s="107"/>
      <c r="K20" s="107"/>
      <c r="L20" s="107"/>
      <c r="M20" s="107"/>
      <c r="N20" s="107"/>
      <c r="O20" s="107"/>
      <c r="P20" s="107"/>
      <c r="Q20" s="107"/>
    </row>
    <row r="21" spans="1:17" ht="39.5" customHeight="1" x14ac:dyDescent="0.2">
      <c r="A21" s="751" t="s">
        <v>1227</v>
      </c>
      <c r="B21" s="838" t="s">
        <v>3670</v>
      </c>
      <c r="C21" s="838"/>
      <c r="D21" s="486" t="s">
        <v>3671</v>
      </c>
      <c r="E21" s="838"/>
      <c r="F21" s="107"/>
      <c r="G21" s="107"/>
      <c r="H21" s="107"/>
      <c r="I21" s="107"/>
      <c r="J21" s="107"/>
      <c r="K21" s="107"/>
      <c r="L21" s="107"/>
      <c r="M21" s="107"/>
      <c r="N21" s="107"/>
      <c r="O21" s="107"/>
      <c r="P21" s="107"/>
      <c r="Q21" s="107"/>
    </row>
    <row r="22" spans="1:17" x14ac:dyDescent="0.2">
      <c r="A22" s="533" t="s">
        <v>3668</v>
      </c>
      <c r="B22" s="131">
        <v>148502</v>
      </c>
      <c r="C22" s="307"/>
      <c r="D22" s="145">
        <v>211516</v>
      </c>
      <c r="E22" s="307"/>
      <c r="F22" s="107"/>
      <c r="G22" s="107"/>
      <c r="H22" s="107"/>
      <c r="I22" s="107"/>
      <c r="J22" s="107"/>
      <c r="K22" s="107"/>
      <c r="L22" s="107"/>
      <c r="M22" s="107"/>
      <c r="N22" s="107"/>
      <c r="O22" s="107"/>
      <c r="P22" s="107"/>
      <c r="Q22" s="107"/>
    </row>
    <row r="23" spans="1:17" x14ac:dyDescent="0.2">
      <c r="A23" s="533" t="s">
        <v>1517</v>
      </c>
      <c r="B23" s="131">
        <v>931827</v>
      </c>
      <c r="C23" s="307"/>
      <c r="D23" s="145">
        <v>24628</v>
      </c>
      <c r="E23" s="307"/>
      <c r="F23" s="107"/>
      <c r="G23" s="107"/>
      <c r="H23" s="107"/>
      <c r="I23" s="107"/>
      <c r="J23" s="107"/>
      <c r="K23" s="107"/>
      <c r="L23" s="107"/>
      <c r="M23" s="107"/>
      <c r="N23" s="107"/>
      <c r="O23" s="107"/>
      <c r="P23" s="107"/>
      <c r="Q23" s="107"/>
    </row>
    <row r="24" spans="1:17" x14ac:dyDescent="0.2">
      <c r="A24" s="533" t="s">
        <v>1369</v>
      </c>
      <c r="B24" s="131">
        <v>60074</v>
      </c>
      <c r="C24" s="307"/>
      <c r="D24" s="145">
        <v>40806</v>
      </c>
      <c r="E24" s="307"/>
      <c r="F24" s="107"/>
      <c r="G24" s="107"/>
      <c r="H24" s="107"/>
      <c r="I24" s="107"/>
      <c r="J24" s="107"/>
      <c r="K24" s="107"/>
      <c r="L24" s="107"/>
      <c r="M24" s="107"/>
      <c r="N24" s="107"/>
      <c r="O24" s="107"/>
      <c r="P24" s="107"/>
      <c r="Q24" s="107"/>
    </row>
    <row r="25" spans="1:17" x14ac:dyDescent="0.2">
      <c r="A25" s="533" t="s">
        <v>3266</v>
      </c>
      <c r="B25" s="131">
        <v>241</v>
      </c>
      <c r="C25" s="307"/>
      <c r="D25" s="145">
        <v>134</v>
      </c>
      <c r="E25" s="307"/>
      <c r="F25" s="107"/>
      <c r="G25" s="107"/>
      <c r="H25" s="107"/>
      <c r="I25" s="107"/>
      <c r="J25" s="107"/>
      <c r="K25" s="107"/>
      <c r="L25" s="107"/>
      <c r="M25" s="107"/>
      <c r="N25" s="107"/>
      <c r="O25" s="107"/>
      <c r="P25" s="107"/>
      <c r="Q25" s="107"/>
    </row>
    <row r="26" spans="1:17" x14ac:dyDescent="0.2">
      <c r="A26" s="533" t="s">
        <v>1519</v>
      </c>
      <c r="B26" s="131">
        <v>57184</v>
      </c>
      <c r="C26" s="307"/>
      <c r="D26" s="145">
        <v>123194</v>
      </c>
      <c r="E26" s="307"/>
      <c r="F26" s="107"/>
      <c r="G26" s="107"/>
      <c r="H26" s="107"/>
      <c r="I26" s="107"/>
      <c r="J26" s="107"/>
      <c r="K26" s="107"/>
      <c r="L26" s="107"/>
      <c r="M26" s="107"/>
      <c r="N26" s="107"/>
      <c r="O26" s="107"/>
      <c r="P26" s="107"/>
      <c r="Q26" s="107"/>
    </row>
    <row r="27" spans="1:17" x14ac:dyDescent="0.2">
      <c r="A27" s="533" t="s">
        <v>1526</v>
      </c>
      <c r="B27" s="131">
        <v>33101</v>
      </c>
      <c r="C27" s="307"/>
      <c r="D27" s="145">
        <v>12739</v>
      </c>
      <c r="E27" s="307"/>
      <c r="F27" s="107"/>
      <c r="G27" s="107"/>
      <c r="H27" s="107"/>
      <c r="I27" s="107"/>
      <c r="J27" s="107"/>
      <c r="K27" s="107"/>
      <c r="L27" s="107"/>
      <c r="M27" s="107"/>
      <c r="N27" s="107"/>
      <c r="O27" s="107"/>
      <c r="P27" s="107"/>
      <c r="Q27" s="107"/>
    </row>
    <row r="28" spans="1:17" x14ac:dyDescent="0.2">
      <c r="A28" s="533" t="s">
        <v>1373</v>
      </c>
      <c r="B28" s="131">
        <v>18301</v>
      </c>
      <c r="C28" s="307"/>
      <c r="D28" s="145">
        <v>10808</v>
      </c>
      <c r="E28" s="307"/>
      <c r="F28" s="107"/>
      <c r="G28" s="107"/>
      <c r="H28" s="107"/>
      <c r="I28" s="107"/>
      <c r="J28" s="107"/>
      <c r="K28" s="107"/>
      <c r="L28" s="107"/>
      <c r="M28" s="107"/>
      <c r="N28" s="107"/>
      <c r="O28" s="107"/>
      <c r="P28" s="107"/>
      <c r="Q28" s="107"/>
    </row>
    <row r="29" spans="1:17" x14ac:dyDescent="0.2">
      <c r="A29" s="533" t="s">
        <v>1527</v>
      </c>
      <c r="B29" s="131">
        <v>427197</v>
      </c>
      <c r="C29" s="307"/>
      <c r="D29" s="145">
        <v>49738</v>
      </c>
      <c r="E29" s="307"/>
      <c r="F29" s="107"/>
      <c r="G29" s="107"/>
      <c r="H29" s="107"/>
      <c r="I29" s="107"/>
      <c r="J29" s="107"/>
      <c r="K29" s="107"/>
      <c r="L29" s="107"/>
      <c r="M29" s="107"/>
      <c r="N29" s="107"/>
      <c r="O29" s="107"/>
      <c r="P29" s="107"/>
      <c r="Q29" s="107"/>
    </row>
    <row r="30" spans="1:17" x14ac:dyDescent="0.2">
      <c r="A30" s="230"/>
      <c r="B30" s="240">
        <v>1676427</v>
      </c>
      <c r="C30" s="513"/>
      <c r="D30" s="318">
        <v>473463</v>
      </c>
      <c r="E30" s="513"/>
      <c r="F30" s="107"/>
      <c r="G30" s="107"/>
      <c r="H30" s="107"/>
      <c r="I30" s="107"/>
      <c r="J30" s="107"/>
      <c r="K30" s="107"/>
      <c r="L30" s="107"/>
      <c r="M30" s="107"/>
      <c r="N30" s="107"/>
      <c r="O30" s="107"/>
      <c r="P30" s="107"/>
      <c r="Q30" s="107"/>
    </row>
    <row r="31" spans="1:17" x14ac:dyDescent="0.2">
      <c r="A31" s="230"/>
      <c r="B31" s="243">
        <f>+SUM(B22:B29)</f>
        <v>1676427</v>
      </c>
      <c r="C31" s="243">
        <f>+SUM(C22:C29)</f>
        <v>0</v>
      </c>
      <c r="D31" s="243">
        <f>+SUM(D22:D29)</f>
        <v>473563</v>
      </c>
      <c r="E31" s="243">
        <f>+SUM(E22:E29)</f>
        <v>0</v>
      </c>
      <c r="F31" s="107"/>
      <c r="G31" s="107"/>
      <c r="H31" s="107"/>
      <c r="I31" s="107"/>
      <c r="J31" s="107"/>
      <c r="K31" s="107"/>
      <c r="L31" s="107"/>
      <c r="M31" s="107"/>
      <c r="N31" s="107"/>
      <c r="O31" s="107"/>
      <c r="P31" s="107"/>
      <c r="Q31" s="107"/>
    </row>
    <row r="32" spans="1:17" ht="41" customHeight="1" x14ac:dyDescent="0.2">
      <c r="A32" s="751" t="s">
        <v>1227</v>
      </c>
      <c r="B32" s="608" t="s">
        <v>3672</v>
      </c>
      <c r="C32" s="609"/>
      <c r="D32" s="608" t="s">
        <v>3673</v>
      </c>
      <c r="E32" s="609"/>
      <c r="F32" s="107"/>
      <c r="G32" s="107"/>
      <c r="H32" s="107"/>
      <c r="I32" s="107"/>
      <c r="J32" s="107"/>
      <c r="K32" s="107"/>
      <c r="L32" s="107"/>
      <c r="M32" s="107"/>
      <c r="N32" s="107"/>
      <c r="O32" s="107"/>
      <c r="P32" s="107"/>
      <c r="Q32" s="107"/>
    </row>
    <row r="33" spans="1:17" x14ac:dyDescent="0.2">
      <c r="A33" s="533" t="s">
        <v>3668</v>
      </c>
      <c r="B33" s="131">
        <v>3592657</v>
      </c>
      <c r="C33" s="307">
        <v>35</v>
      </c>
      <c r="D33" s="145">
        <v>4997911</v>
      </c>
      <c r="E33" s="307">
        <v>45</v>
      </c>
      <c r="F33" s="107"/>
      <c r="G33" s="107"/>
      <c r="H33" s="107"/>
      <c r="I33" s="107"/>
      <c r="J33" s="107"/>
      <c r="K33" s="107"/>
      <c r="L33" s="107"/>
      <c r="M33" s="107"/>
      <c r="N33" s="107"/>
      <c r="O33" s="107"/>
      <c r="P33" s="107"/>
      <c r="Q33" s="107"/>
    </row>
    <row r="34" spans="1:17" x14ac:dyDescent="0.2">
      <c r="A34" s="533" t="s">
        <v>1517</v>
      </c>
      <c r="B34" s="131">
        <v>380641</v>
      </c>
      <c r="C34" s="307">
        <v>60</v>
      </c>
      <c r="D34" s="145">
        <v>378293</v>
      </c>
      <c r="E34" s="307">
        <v>25</v>
      </c>
      <c r="F34" s="107"/>
      <c r="G34" s="107"/>
      <c r="H34" s="107"/>
      <c r="I34" s="107"/>
      <c r="J34" s="107"/>
      <c r="K34" s="107"/>
      <c r="L34" s="107"/>
      <c r="M34" s="107"/>
      <c r="N34" s="107"/>
      <c r="O34" s="107"/>
      <c r="P34" s="107"/>
      <c r="Q34" s="107"/>
    </row>
    <row r="35" spans="1:17" x14ac:dyDescent="0.2">
      <c r="A35" s="533" t="s">
        <v>1369</v>
      </c>
      <c r="B35" s="131">
        <v>420551</v>
      </c>
      <c r="C35" s="307">
        <v>90</v>
      </c>
      <c r="D35" s="145">
        <v>661119</v>
      </c>
      <c r="E35" s="307">
        <v>40</v>
      </c>
      <c r="F35" s="107"/>
      <c r="G35" s="107"/>
      <c r="H35" s="107"/>
      <c r="I35" s="107"/>
      <c r="J35" s="107"/>
      <c r="K35" s="107"/>
      <c r="L35" s="107"/>
      <c r="M35" s="107"/>
      <c r="N35" s="107"/>
      <c r="O35" s="107"/>
      <c r="P35" s="107"/>
      <c r="Q35" s="107"/>
    </row>
    <row r="36" spans="1:17" x14ac:dyDescent="0.2">
      <c r="A36" s="533" t="s">
        <v>3266</v>
      </c>
      <c r="B36" s="131">
        <v>11765</v>
      </c>
      <c r="C36" s="307"/>
      <c r="D36" s="145">
        <v>948</v>
      </c>
      <c r="E36" s="307"/>
      <c r="F36" s="107"/>
      <c r="G36" s="107"/>
      <c r="H36" s="107"/>
      <c r="I36" s="107"/>
      <c r="J36" s="107"/>
      <c r="K36" s="107"/>
      <c r="L36" s="107"/>
      <c r="M36" s="107"/>
      <c r="N36" s="107"/>
      <c r="O36" s="107"/>
      <c r="P36" s="107"/>
      <c r="Q36" s="107"/>
    </row>
    <row r="37" spans="1:17" x14ac:dyDescent="0.2">
      <c r="A37" s="533" t="s">
        <v>1519</v>
      </c>
      <c r="B37" s="131">
        <v>1884082</v>
      </c>
      <c r="C37" s="307"/>
      <c r="D37" s="145">
        <v>3770320</v>
      </c>
      <c r="E37" s="307"/>
      <c r="F37" s="107"/>
      <c r="G37" s="107"/>
      <c r="H37" s="107"/>
      <c r="I37" s="107"/>
      <c r="J37" s="107"/>
      <c r="K37" s="107"/>
      <c r="L37" s="107"/>
      <c r="M37" s="107"/>
      <c r="N37" s="107"/>
      <c r="O37" s="107"/>
      <c r="P37" s="107"/>
      <c r="Q37" s="107"/>
    </row>
    <row r="38" spans="1:17" x14ac:dyDescent="0.2">
      <c r="A38" s="533" t="s">
        <v>1526</v>
      </c>
      <c r="B38" s="131">
        <v>108700</v>
      </c>
      <c r="C38" s="307">
        <v>57</v>
      </c>
      <c r="D38" s="145">
        <v>147141</v>
      </c>
      <c r="E38" s="307">
        <v>70</v>
      </c>
      <c r="F38" s="107"/>
      <c r="G38" s="107"/>
      <c r="H38" s="107"/>
      <c r="I38" s="107"/>
      <c r="J38" s="107"/>
      <c r="K38" s="107"/>
      <c r="L38" s="107"/>
      <c r="M38" s="107"/>
      <c r="N38" s="107"/>
      <c r="O38" s="107"/>
      <c r="P38" s="107"/>
      <c r="Q38" s="107"/>
    </row>
    <row r="39" spans="1:17" x14ac:dyDescent="0.2">
      <c r="A39" s="533" t="s">
        <v>1373</v>
      </c>
      <c r="B39" s="131">
        <v>135453</v>
      </c>
      <c r="C39" s="307">
        <v>90</v>
      </c>
      <c r="D39" s="145">
        <v>30011</v>
      </c>
      <c r="E39" s="307">
        <v>32</v>
      </c>
      <c r="F39" s="107"/>
      <c r="G39" s="107"/>
      <c r="H39" s="107"/>
      <c r="I39" s="107"/>
      <c r="J39" s="107"/>
      <c r="K39" s="107"/>
      <c r="L39" s="107"/>
      <c r="M39" s="107"/>
      <c r="N39" s="107"/>
      <c r="O39" s="107"/>
      <c r="P39" s="107"/>
      <c r="Q39" s="107"/>
    </row>
    <row r="40" spans="1:17" x14ac:dyDescent="0.2">
      <c r="A40" s="533" t="s">
        <v>1527</v>
      </c>
      <c r="B40" s="131">
        <v>175257</v>
      </c>
      <c r="C40" s="307">
        <v>38</v>
      </c>
      <c r="D40" s="145">
        <v>63325</v>
      </c>
      <c r="E40" s="307">
        <v>98</v>
      </c>
      <c r="F40" s="107"/>
      <c r="G40" s="107"/>
      <c r="H40" s="107"/>
      <c r="I40" s="107"/>
      <c r="J40" s="107"/>
      <c r="K40" s="107"/>
      <c r="L40" s="107"/>
      <c r="M40" s="107"/>
      <c r="N40" s="107"/>
      <c r="O40" s="107"/>
      <c r="P40" s="107"/>
      <c r="Q40" s="107"/>
    </row>
    <row r="41" spans="1:17" x14ac:dyDescent="0.2">
      <c r="A41" s="230"/>
      <c r="B41" s="240">
        <v>6709109</v>
      </c>
      <c r="C41" s="513">
        <v>70</v>
      </c>
      <c r="D41" s="318">
        <v>10049071</v>
      </c>
      <c r="E41" s="513">
        <v>10</v>
      </c>
      <c r="F41" s="107"/>
      <c r="G41" s="107"/>
      <c r="H41" s="107"/>
      <c r="I41" s="107"/>
      <c r="J41" s="107"/>
      <c r="K41" s="107"/>
      <c r="L41" s="107"/>
      <c r="M41" s="107"/>
      <c r="N41" s="107"/>
      <c r="O41" s="107"/>
      <c r="P41" s="107"/>
      <c r="Q41" s="107"/>
    </row>
    <row r="42" spans="1:17" x14ac:dyDescent="0.2">
      <c r="A42" s="107"/>
      <c r="B42" s="321">
        <f>+SUM(B33:B40)</f>
        <v>6709106</v>
      </c>
      <c r="C42" s="321">
        <f>+SUM(C33:C40)</f>
        <v>370</v>
      </c>
      <c r="D42" s="321">
        <f>+SUM(D33:D40)</f>
        <v>10049068</v>
      </c>
      <c r="E42" s="321">
        <f>+SUM(E33:E40)</f>
        <v>310</v>
      </c>
      <c r="F42" s="107"/>
      <c r="G42" s="107"/>
      <c r="H42" s="107"/>
      <c r="I42" s="107"/>
      <c r="J42" s="107"/>
      <c r="K42" s="107"/>
      <c r="L42" s="107"/>
      <c r="M42" s="107"/>
      <c r="N42" s="107"/>
      <c r="O42" s="107"/>
      <c r="P42" s="107"/>
      <c r="Q42" s="107"/>
    </row>
    <row r="43" spans="1:17" x14ac:dyDescent="0.2">
      <c r="A43" s="107"/>
      <c r="B43" s="107"/>
      <c r="C43" s="107"/>
      <c r="D43" s="107"/>
      <c r="E43" s="107"/>
      <c r="F43" s="107"/>
      <c r="G43" s="107"/>
      <c r="H43" s="107"/>
      <c r="I43" s="107"/>
      <c r="J43" s="107"/>
      <c r="K43" s="107"/>
      <c r="L43" s="107"/>
      <c r="M43" s="107"/>
      <c r="N43" s="107"/>
      <c r="O43" s="107"/>
      <c r="P43" s="107"/>
      <c r="Q43" s="107"/>
    </row>
  </sheetData>
  <mergeCells count="15">
    <mergeCell ref="A20:E20"/>
    <mergeCell ref="B21:C21"/>
    <mergeCell ref="D21:E21"/>
    <mergeCell ref="B32:C32"/>
    <mergeCell ref="D32:E32"/>
    <mergeCell ref="A4:Q4"/>
    <mergeCell ref="A5:A6"/>
    <mergeCell ref="B5:C5"/>
    <mergeCell ref="D5:E5"/>
    <mergeCell ref="F5:G5"/>
    <mergeCell ref="H5:I5"/>
    <mergeCell ref="J5:K5"/>
    <mergeCell ref="L5:M5"/>
    <mergeCell ref="N5:O5"/>
    <mergeCell ref="P5:Q5"/>
  </mergeCell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5"/>
  <sheetViews>
    <sheetView workbookViewId="0">
      <selection activeCell="B1" sqref="B1"/>
    </sheetView>
  </sheetViews>
  <sheetFormatPr baseColWidth="10" defaultRowHeight="15" x14ac:dyDescent="0.2"/>
  <cols>
    <col min="1" max="1" width="49.1640625" style="106" customWidth="1"/>
    <col min="2" max="2" width="10.83203125" style="106"/>
    <col min="3" max="3" width="5.83203125" style="106" customWidth="1"/>
    <col min="4" max="4" width="6" style="106" customWidth="1"/>
    <col min="5" max="5" width="12.83203125" style="106" bestFit="1" customWidth="1"/>
    <col min="6" max="6" width="5.83203125" style="106" customWidth="1"/>
    <col min="7" max="7" width="5.1640625" style="106" customWidth="1"/>
    <col min="8" max="16384" width="10.83203125" style="106"/>
  </cols>
  <sheetData>
    <row r="1" spans="1:7" x14ac:dyDescent="0.2">
      <c r="A1" s="458" t="s">
        <v>3674</v>
      </c>
    </row>
    <row r="3" spans="1:7" x14ac:dyDescent="0.2">
      <c r="A3" s="113" t="s">
        <v>1111</v>
      </c>
    </row>
    <row r="4" spans="1:7" ht="33.5" customHeight="1" x14ac:dyDescent="0.2">
      <c r="A4" s="953" t="s">
        <v>3643</v>
      </c>
      <c r="B4" s="954"/>
      <c r="C4" s="954"/>
      <c r="D4" s="954"/>
      <c r="E4" s="954"/>
      <c r="F4" s="954"/>
      <c r="G4" s="955"/>
    </row>
    <row r="5" spans="1:7" x14ac:dyDescent="0.2">
      <c r="A5" s="131" t="s">
        <v>3609</v>
      </c>
      <c r="B5" s="145">
        <v>2182963</v>
      </c>
      <c r="C5" s="145">
        <v>980</v>
      </c>
      <c r="D5" s="145"/>
      <c r="E5" s="145"/>
      <c r="F5" s="145"/>
      <c r="G5" s="307"/>
    </row>
    <row r="6" spans="1:7" x14ac:dyDescent="0.2">
      <c r="A6" s="131" t="s">
        <v>1573</v>
      </c>
      <c r="B6" s="145">
        <v>6485</v>
      </c>
      <c r="C6" s="145">
        <v>690</v>
      </c>
      <c r="D6" s="145"/>
      <c r="E6" s="145"/>
      <c r="F6" s="145"/>
      <c r="G6" s="307"/>
    </row>
    <row r="7" spans="1:7" x14ac:dyDescent="0.2">
      <c r="A7" s="140" t="s">
        <v>1175</v>
      </c>
      <c r="B7" s="145">
        <v>72914</v>
      </c>
      <c r="C7" s="145">
        <v>925</v>
      </c>
      <c r="D7" s="145"/>
      <c r="E7" s="145"/>
      <c r="F7" s="145"/>
      <c r="G7" s="307"/>
    </row>
    <row r="8" spans="1:7" x14ac:dyDescent="0.2">
      <c r="A8" s="140" t="s">
        <v>3287</v>
      </c>
      <c r="B8" s="145">
        <v>28688</v>
      </c>
      <c r="C8" s="145">
        <v>785</v>
      </c>
      <c r="D8" s="145"/>
      <c r="E8" s="145"/>
      <c r="F8" s="145"/>
      <c r="G8" s="307"/>
    </row>
    <row r="9" spans="1:7" x14ac:dyDescent="0.2">
      <c r="A9" s="140" t="s">
        <v>1808</v>
      </c>
      <c r="B9" s="145">
        <v>58854</v>
      </c>
      <c r="C9" s="145">
        <v>550</v>
      </c>
      <c r="D9" s="145"/>
      <c r="E9" s="145"/>
      <c r="F9" s="145"/>
      <c r="G9" s="307"/>
    </row>
    <row r="10" spans="1:7" x14ac:dyDescent="0.2">
      <c r="A10" s="140" t="s">
        <v>1991</v>
      </c>
      <c r="B10" s="145">
        <v>225000</v>
      </c>
      <c r="C10" s="145"/>
      <c r="D10" s="145"/>
      <c r="E10" s="145"/>
      <c r="F10" s="145"/>
      <c r="G10" s="307"/>
    </row>
    <row r="11" spans="1:7" x14ac:dyDescent="0.2">
      <c r="A11" s="140" t="s">
        <v>1569</v>
      </c>
      <c r="B11" s="145">
        <v>773598</v>
      </c>
      <c r="C11" s="145">
        <v>250</v>
      </c>
      <c r="D11" s="145"/>
      <c r="E11" s="145"/>
      <c r="F11" s="145"/>
      <c r="G11" s="307"/>
    </row>
    <row r="12" spans="1:7" x14ac:dyDescent="0.2">
      <c r="A12" s="140" t="s">
        <v>3612</v>
      </c>
      <c r="B12" s="145">
        <v>25411</v>
      </c>
      <c r="C12" s="145">
        <v>575</v>
      </c>
      <c r="D12" s="145"/>
      <c r="E12" s="145"/>
      <c r="F12" s="145"/>
      <c r="G12" s="307"/>
    </row>
    <row r="13" spans="1:7" x14ac:dyDescent="0.2">
      <c r="A13" s="140" t="s">
        <v>2763</v>
      </c>
      <c r="B13" s="145">
        <v>10869</v>
      </c>
      <c r="C13" s="145">
        <v>956</v>
      </c>
      <c r="D13" s="145"/>
      <c r="E13" s="145"/>
      <c r="F13" s="145"/>
      <c r="G13" s="307"/>
    </row>
    <row r="14" spans="1:7" x14ac:dyDescent="0.2">
      <c r="A14" s="140" t="s">
        <v>3675</v>
      </c>
      <c r="B14" s="145">
        <v>92233</v>
      </c>
      <c r="C14" s="145">
        <v>300</v>
      </c>
      <c r="D14" s="145"/>
      <c r="E14" s="145"/>
      <c r="F14" s="145"/>
      <c r="G14" s="307"/>
    </row>
    <row r="15" spans="1:7" x14ac:dyDescent="0.2">
      <c r="A15" s="140" t="s">
        <v>1992</v>
      </c>
      <c r="B15" s="145">
        <v>424293</v>
      </c>
      <c r="C15" s="145">
        <v>789</v>
      </c>
      <c r="D15" s="145"/>
      <c r="E15" s="145"/>
      <c r="F15" s="145"/>
      <c r="G15" s="307"/>
    </row>
    <row r="16" spans="1:7" ht="16" thickBot="1" x14ac:dyDescent="0.25">
      <c r="A16" s="140" t="s">
        <v>3614</v>
      </c>
      <c r="B16" s="187">
        <v>50458</v>
      </c>
      <c r="C16" s="187">
        <v>325</v>
      </c>
      <c r="D16" s="187"/>
      <c r="E16" s="145">
        <v>3951773</v>
      </c>
      <c r="F16" s="145">
        <v>125</v>
      </c>
      <c r="G16" s="307"/>
    </row>
    <row r="17" spans="1:7" x14ac:dyDescent="0.2">
      <c r="A17" s="140"/>
      <c r="B17" s="145"/>
      <c r="C17" s="145"/>
      <c r="D17" s="145"/>
      <c r="E17" s="138">
        <f>+SUM(B5:B16)</f>
        <v>3951766</v>
      </c>
      <c r="F17" s="138">
        <f>+SUM(C5:C16)</f>
        <v>7125</v>
      </c>
      <c r="G17" s="138">
        <f>+SUM(D5:D16)</f>
        <v>0</v>
      </c>
    </row>
    <row r="18" spans="1:7" x14ac:dyDescent="0.2">
      <c r="A18" s="588" t="s">
        <v>3676</v>
      </c>
      <c r="B18" s="589"/>
      <c r="C18" s="589"/>
      <c r="D18" s="589"/>
      <c r="E18" s="145"/>
      <c r="F18" s="145"/>
      <c r="G18" s="307"/>
    </row>
    <row r="19" spans="1:7" x14ac:dyDescent="0.2">
      <c r="A19" s="140" t="s">
        <v>1174</v>
      </c>
      <c r="B19" s="145">
        <v>62785</v>
      </c>
      <c r="C19" s="145">
        <v>700</v>
      </c>
      <c r="D19" s="145"/>
      <c r="E19" s="145"/>
      <c r="F19" s="145"/>
      <c r="G19" s="307"/>
    </row>
    <row r="20" spans="1:7" x14ac:dyDescent="0.2">
      <c r="A20" s="140" t="s">
        <v>1175</v>
      </c>
      <c r="B20" s="145">
        <v>2819</v>
      </c>
      <c r="C20" s="145">
        <v>90</v>
      </c>
      <c r="D20" s="145"/>
      <c r="E20" s="145"/>
      <c r="F20" s="145"/>
      <c r="G20" s="307"/>
    </row>
    <row r="21" spans="1:7" x14ac:dyDescent="0.2">
      <c r="A21" s="140" t="s">
        <v>1808</v>
      </c>
      <c r="B21" s="145">
        <v>1811</v>
      </c>
      <c r="C21" s="145">
        <v>800</v>
      </c>
      <c r="D21" s="145"/>
      <c r="E21" s="145"/>
      <c r="F21" s="145"/>
      <c r="G21" s="307"/>
    </row>
    <row r="22" spans="1:7" x14ac:dyDescent="0.2">
      <c r="A22" s="140" t="s">
        <v>3287</v>
      </c>
      <c r="B22" s="145">
        <v>2572</v>
      </c>
      <c r="C22" s="145">
        <v>950</v>
      </c>
      <c r="D22" s="145"/>
      <c r="E22" s="145"/>
      <c r="F22" s="145"/>
      <c r="G22" s="307"/>
    </row>
    <row r="23" spans="1:7" x14ac:dyDescent="0.2">
      <c r="A23" s="140" t="s">
        <v>1569</v>
      </c>
      <c r="B23" s="145">
        <v>8321</v>
      </c>
      <c r="C23" s="145">
        <v>800</v>
      </c>
      <c r="D23" s="145"/>
      <c r="E23" s="145"/>
      <c r="F23" s="145"/>
      <c r="G23" s="307"/>
    </row>
    <row r="24" spans="1:7" x14ac:dyDescent="0.2">
      <c r="A24" s="140" t="s">
        <v>3675</v>
      </c>
      <c r="B24" s="145">
        <v>163</v>
      </c>
      <c r="C24" s="145"/>
      <c r="D24" s="145"/>
      <c r="E24" s="145"/>
      <c r="F24" s="145"/>
      <c r="G24" s="307"/>
    </row>
    <row r="25" spans="1:7" x14ac:dyDescent="0.2">
      <c r="A25" s="140" t="s">
        <v>2761</v>
      </c>
      <c r="B25" s="107">
        <v>376</v>
      </c>
      <c r="C25" s="107"/>
      <c r="D25" s="107"/>
      <c r="E25" s="145"/>
      <c r="F25" s="145"/>
      <c r="G25" s="307"/>
    </row>
    <row r="26" spans="1:7" ht="16" thickBot="1" x14ac:dyDescent="0.25">
      <c r="A26" s="575" t="s">
        <v>2763</v>
      </c>
      <c r="B26" s="187">
        <v>6</v>
      </c>
      <c r="C26" s="187">
        <v>400</v>
      </c>
      <c r="D26" s="187"/>
      <c r="E26" s="145">
        <v>78856</v>
      </c>
      <c r="F26" s="145">
        <v>740</v>
      </c>
      <c r="G26" s="307"/>
    </row>
    <row r="27" spans="1:7" x14ac:dyDescent="0.2">
      <c r="A27" s="575"/>
      <c r="B27" s="145"/>
      <c r="C27" s="145"/>
      <c r="D27" s="145"/>
      <c r="E27" s="138">
        <f>+SUM(B19:B26)</f>
        <v>78853</v>
      </c>
      <c r="F27" s="138">
        <f>+SUM(C19:C26)</f>
        <v>3740</v>
      </c>
      <c r="G27" s="138">
        <f>+SUM(D19:D26)</f>
        <v>0</v>
      </c>
    </row>
    <row r="28" spans="1:7" x14ac:dyDescent="0.2">
      <c r="A28" s="797" t="s">
        <v>3677</v>
      </c>
      <c r="B28" s="798"/>
      <c r="C28" s="798"/>
      <c r="D28" s="798"/>
      <c r="E28" s="145">
        <v>4030629</v>
      </c>
      <c r="F28" s="145">
        <v>865</v>
      </c>
      <c r="G28" s="307"/>
    </row>
    <row r="29" spans="1:7" x14ac:dyDescent="0.2">
      <c r="A29" s="897"/>
      <c r="B29" s="657"/>
      <c r="C29" s="657"/>
      <c r="D29" s="657"/>
      <c r="E29" s="138">
        <f>+E16+E26</f>
        <v>4030629</v>
      </c>
      <c r="F29" s="138">
        <f>+F16+F26</f>
        <v>865</v>
      </c>
      <c r="G29" s="138">
        <f>+G16+G26</f>
        <v>0</v>
      </c>
    </row>
    <row r="30" spans="1:7" ht="32" customHeight="1" x14ac:dyDescent="0.2">
      <c r="A30" s="585" t="s">
        <v>3678</v>
      </c>
      <c r="B30" s="586"/>
      <c r="C30" s="586"/>
      <c r="D30" s="586"/>
      <c r="E30" s="145"/>
      <c r="F30" s="145"/>
      <c r="G30" s="307"/>
    </row>
    <row r="31" spans="1:7" x14ac:dyDescent="0.2">
      <c r="A31" s="140" t="s">
        <v>1808</v>
      </c>
      <c r="B31" s="145">
        <v>17777</v>
      </c>
      <c r="C31" s="145">
        <v>800</v>
      </c>
      <c r="D31" s="145"/>
      <c r="E31" s="145"/>
      <c r="F31" s="145"/>
      <c r="G31" s="307"/>
    </row>
    <row r="32" spans="1:7" x14ac:dyDescent="0.2">
      <c r="A32" s="140" t="s">
        <v>1992</v>
      </c>
      <c r="B32" s="145">
        <v>384013</v>
      </c>
      <c r="C32" s="145">
        <v>255</v>
      </c>
      <c r="D32" s="145"/>
      <c r="E32" s="145"/>
      <c r="F32" s="145"/>
      <c r="G32" s="307"/>
    </row>
    <row r="33" spans="1:7" x14ac:dyDescent="0.2">
      <c r="A33" s="140" t="s">
        <v>2763</v>
      </c>
      <c r="B33" s="145">
        <v>3207</v>
      </c>
      <c r="C33" s="145">
        <v>590</v>
      </c>
      <c r="D33" s="145"/>
      <c r="E33" s="145"/>
      <c r="F33" s="145"/>
      <c r="G33" s="307"/>
    </row>
    <row r="34" spans="1:7" x14ac:dyDescent="0.2">
      <c r="A34" s="140" t="s">
        <v>3612</v>
      </c>
      <c r="B34" s="145">
        <v>25411</v>
      </c>
      <c r="C34" s="145">
        <v>575</v>
      </c>
      <c r="D34" s="145"/>
      <c r="E34" s="145"/>
      <c r="F34" s="145"/>
      <c r="G34" s="307"/>
    </row>
    <row r="35" spans="1:7" ht="16" thickBot="1" x14ac:dyDescent="0.25">
      <c r="A35" s="140" t="s">
        <v>3614</v>
      </c>
      <c r="B35" s="187">
        <v>50458</v>
      </c>
      <c r="C35" s="187">
        <v>325</v>
      </c>
      <c r="D35" s="187"/>
      <c r="E35" s="187">
        <v>480868</v>
      </c>
      <c r="F35" s="187">
        <v>545</v>
      </c>
      <c r="G35" s="444"/>
    </row>
    <row r="36" spans="1:7" x14ac:dyDescent="0.2">
      <c r="A36" s="140"/>
      <c r="B36" s="145"/>
      <c r="C36" s="145"/>
      <c r="D36" s="145"/>
      <c r="E36" s="138">
        <f>+SUM(B31:B35)</f>
        <v>480866</v>
      </c>
      <c r="F36" s="138">
        <f>+SUM(C31:C35)</f>
        <v>2545</v>
      </c>
      <c r="G36" s="138">
        <f>+SUM(D31:D35)</f>
        <v>0</v>
      </c>
    </row>
    <row r="37" spans="1:7" x14ac:dyDescent="0.2">
      <c r="A37" s="797" t="s">
        <v>3679</v>
      </c>
      <c r="B37" s="798"/>
      <c r="C37" s="798"/>
      <c r="D37" s="798"/>
      <c r="E37" s="145">
        <v>3549761</v>
      </c>
      <c r="F37" s="145">
        <v>320</v>
      </c>
      <c r="G37" s="307"/>
    </row>
    <row r="38" spans="1:7" x14ac:dyDescent="0.2">
      <c r="A38" s="897"/>
      <c r="B38" s="657"/>
      <c r="C38" s="657"/>
      <c r="D38" s="657"/>
      <c r="E38" s="138">
        <f>+E28-E35</f>
        <v>3549761</v>
      </c>
      <c r="F38" s="138">
        <f>+F28-F35</f>
        <v>320</v>
      </c>
      <c r="G38" s="138">
        <f>+G28-G35</f>
        <v>0</v>
      </c>
    </row>
    <row r="39" spans="1:7" x14ac:dyDescent="0.2">
      <c r="A39" s="897" t="s">
        <v>3680</v>
      </c>
      <c r="B39" s="657"/>
      <c r="C39" s="657"/>
      <c r="D39" s="657"/>
      <c r="E39" s="145"/>
      <c r="F39" s="145"/>
      <c r="G39" s="307"/>
    </row>
    <row r="40" spans="1:7" ht="29.5" customHeight="1" x14ac:dyDescent="0.2">
      <c r="A40" s="585" t="s">
        <v>3681</v>
      </c>
      <c r="B40" s="586"/>
      <c r="C40" s="586"/>
      <c r="D40" s="586"/>
      <c r="E40" s="145">
        <v>485442</v>
      </c>
      <c r="F40" s="145">
        <v>398</v>
      </c>
      <c r="G40" s="133">
        <v>0.5</v>
      </c>
    </row>
    <row r="41" spans="1:7" ht="16" thickBot="1" x14ac:dyDescent="0.25">
      <c r="A41" s="588" t="s">
        <v>3682</v>
      </c>
      <c r="B41" s="589"/>
      <c r="C41" s="589"/>
      <c r="D41" s="589"/>
      <c r="E41" s="187">
        <v>191447</v>
      </c>
      <c r="F41" s="187">
        <v>40</v>
      </c>
      <c r="G41" s="189"/>
    </row>
    <row r="42" spans="1:7" ht="16" thickBot="1" x14ac:dyDescent="0.25">
      <c r="A42" s="588" t="s">
        <v>3683</v>
      </c>
      <c r="B42" s="589"/>
      <c r="C42" s="589"/>
      <c r="D42" s="589"/>
      <c r="E42" s="187">
        <v>103992</v>
      </c>
      <c r="F42" s="187">
        <v>880</v>
      </c>
      <c r="G42" s="189"/>
    </row>
    <row r="43" spans="1:7" ht="16" thickBot="1" x14ac:dyDescent="0.25">
      <c r="A43" s="790" t="s">
        <v>3684</v>
      </c>
      <c r="B43" s="791"/>
      <c r="C43" s="791"/>
      <c r="D43" s="791"/>
      <c r="E43" s="448">
        <v>4330643</v>
      </c>
      <c r="F43" s="448">
        <v>638</v>
      </c>
      <c r="G43" s="889">
        <v>0.5</v>
      </c>
    </row>
    <row r="44" spans="1:7" x14ac:dyDescent="0.2">
      <c r="A44" s="107"/>
      <c r="B44" s="107"/>
      <c r="C44" s="107"/>
      <c r="D44" s="107"/>
      <c r="E44" s="321">
        <f>+E37+E40+E41+E42</f>
        <v>4330642</v>
      </c>
      <c r="F44" s="321">
        <f>+F37+F40+F41+F42</f>
        <v>1638</v>
      </c>
      <c r="G44" s="322">
        <f>+G37+G40+G41+G42</f>
        <v>0.5</v>
      </c>
    </row>
    <row r="45" spans="1:7" x14ac:dyDescent="0.2">
      <c r="A45" s="107"/>
      <c r="B45" s="107"/>
      <c r="C45" s="107"/>
      <c r="D45" s="107"/>
      <c r="E45" s="107"/>
      <c r="F45" s="107"/>
      <c r="G45" s="107"/>
    </row>
    <row r="46" spans="1:7" x14ac:dyDescent="0.2">
      <c r="A46" s="107"/>
      <c r="B46" s="107"/>
      <c r="C46" s="107"/>
      <c r="D46" s="107"/>
      <c r="E46" s="107"/>
      <c r="F46" s="107"/>
      <c r="G46" s="107"/>
    </row>
    <row r="47" spans="1:7" x14ac:dyDescent="0.2">
      <c r="A47" s="526" t="s">
        <v>3626</v>
      </c>
      <c r="B47" s="107"/>
      <c r="C47" s="107"/>
      <c r="D47" s="107"/>
      <c r="E47" s="107"/>
      <c r="F47" s="107"/>
      <c r="G47" s="107"/>
    </row>
    <row r="48" spans="1:7" ht="30" customHeight="1" x14ac:dyDescent="0.2">
      <c r="A48" s="953" t="s">
        <v>3656</v>
      </c>
      <c r="B48" s="954"/>
      <c r="C48" s="954"/>
      <c r="D48" s="954"/>
      <c r="E48" s="954"/>
      <c r="F48" s="954"/>
      <c r="G48" s="955"/>
    </row>
    <row r="49" spans="1:7" ht="15.5" customHeight="1" x14ac:dyDescent="0.2">
      <c r="A49" s="131" t="s">
        <v>2043</v>
      </c>
      <c r="B49" s="145">
        <v>227528</v>
      </c>
      <c r="C49" s="145">
        <v>550</v>
      </c>
      <c r="D49" s="1081"/>
      <c r="E49" s="1081"/>
      <c r="F49" s="1081"/>
      <c r="G49" s="1082"/>
    </row>
    <row r="50" spans="1:7" ht="15.5" customHeight="1" x14ac:dyDescent="0.2">
      <c r="A50" s="131" t="s">
        <v>2044</v>
      </c>
      <c r="B50" s="145">
        <v>21416</v>
      </c>
      <c r="C50" s="145">
        <v>750</v>
      </c>
      <c r="D50" s="1081"/>
      <c r="E50" s="1081"/>
      <c r="F50" s="1081"/>
      <c r="G50" s="1082"/>
    </row>
    <row r="51" spans="1:7" ht="15.5" customHeight="1" x14ac:dyDescent="0.2">
      <c r="A51" s="131" t="s">
        <v>2042</v>
      </c>
      <c r="B51" s="145">
        <v>71855</v>
      </c>
      <c r="C51" s="145">
        <v>750</v>
      </c>
      <c r="D51" s="1081"/>
      <c r="E51" s="1081"/>
      <c r="F51" s="1081"/>
      <c r="G51" s="1082"/>
    </row>
    <row r="52" spans="1:7" ht="15.5" customHeight="1" x14ac:dyDescent="0.2">
      <c r="A52" s="131" t="s">
        <v>2047</v>
      </c>
      <c r="B52" s="145">
        <v>100302</v>
      </c>
      <c r="C52" s="145">
        <v>900</v>
      </c>
      <c r="D52" s="1081"/>
      <c r="E52" s="1081"/>
      <c r="F52" s="1081"/>
      <c r="G52" s="1082"/>
    </row>
    <row r="53" spans="1:7" ht="15.5" customHeight="1" x14ac:dyDescent="0.2">
      <c r="A53" s="131" t="s">
        <v>2464</v>
      </c>
      <c r="B53" s="145">
        <v>41433</v>
      </c>
      <c r="C53" s="145">
        <v>150</v>
      </c>
      <c r="D53" s="1081"/>
      <c r="E53" s="1081"/>
      <c r="F53" s="1081"/>
      <c r="G53" s="1082"/>
    </row>
    <row r="54" spans="1:7" ht="15.5" customHeight="1" x14ac:dyDescent="0.2">
      <c r="A54" s="131" t="s">
        <v>2045</v>
      </c>
      <c r="B54" s="145">
        <v>191641</v>
      </c>
      <c r="C54" s="145"/>
      <c r="D54" s="1081"/>
      <c r="E54" s="1081"/>
      <c r="F54" s="1081"/>
      <c r="G54" s="1082"/>
    </row>
    <row r="55" spans="1:7" ht="15.5" customHeight="1" x14ac:dyDescent="0.2">
      <c r="A55" s="131" t="s">
        <v>1175</v>
      </c>
      <c r="B55" s="145">
        <v>210098</v>
      </c>
      <c r="C55" s="145">
        <v>955</v>
      </c>
      <c r="D55" s="1081"/>
      <c r="E55" s="1081"/>
      <c r="F55" s="1081"/>
      <c r="G55" s="1082"/>
    </row>
    <row r="56" spans="1:7" x14ac:dyDescent="0.2">
      <c r="A56" s="131" t="s">
        <v>3420</v>
      </c>
      <c r="B56" s="145">
        <v>201894</v>
      </c>
      <c r="C56" s="145">
        <v>165</v>
      </c>
      <c r="D56" s="145"/>
      <c r="E56" s="145"/>
      <c r="F56" s="145"/>
      <c r="G56" s="307"/>
    </row>
    <row r="57" spans="1:7" x14ac:dyDescent="0.2">
      <c r="A57" s="131" t="s">
        <v>2886</v>
      </c>
      <c r="B57" s="145">
        <v>209515</v>
      </c>
      <c r="C57" s="145">
        <v>350</v>
      </c>
      <c r="D57" s="145"/>
      <c r="E57" s="145"/>
      <c r="F57" s="145"/>
      <c r="G57" s="307"/>
    </row>
    <row r="58" spans="1:7" x14ac:dyDescent="0.2">
      <c r="A58" s="131" t="s">
        <v>2040</v>
      </c>
      <c r="B58" s="145">
        <v>683142</v>
      </c>
      <c r="C58" s="145">
        <v>400</v>
      </c>
      <c r="D58" s="145"/>
      <c r="E58" s="145"/>
      <c r="F58" s="145"/>
      <c r="G58" s="307"/>
    </row>
    <row r="59" spans="1:7" x14ac:dyDescent="0.2">
      <c r="A59" s="131" t="s">
        <v>2869</v>
      </c>
      <c r="B59" s="145">
        <v>67407</v>
      </c>
      <c r="C59" s="145">
        <v>205</v>
      </c>
      <c r="D59" s="145"/>
      <c r="E59" s="145"/>
      <c r="F59" s="145"/>
      <c r="G59" s="307"/>
    </row>
    <row r="60" spans="1:7" x14ac:dyDescent="0.2">
      <c r="A60" s="131" t="s">
        <v>2761</v>
      </c>
      <c r="B60" s="145">
        <v>8589</v>
      </c>
      <c r="C60" s="145">
        <v>550</v>
      </c>
      <c r="D60" s="145"/>
      <c r="E60" s="145"/>
      <c r="F60" s="145"/>
      <c r="G60" s="307"/>
    </row>
    <row r="61" spans="1:7" ht="16" thickBot="1" x14ac:dyDescent="0.25">
      <c r="A61" s="131" t="s">
        <v>2046</v>
      </c>
      <c r="B61" s="187">
        <v>48580</v>
      </c>
      <c r="C61" s="187">
        <v>200</v>
      </c>
      <c r="D61" s="187"/>
      <c r="E61" s="145">
        <v>2083405</v>
      </c>
      <c r="F61" s="145">
        <v>925</v>
      </c>
      <c r="G61" s="307"/>
    </row>
    <row r="62" spans="1:7" x14ac:dyDescent="0.2">
      <c r="A62" s="131"/>
      <c r="B62" s="145"/>
      <c r="C62" s="145"/>
      <c r="D62" s="145"/>
      <c r="E62" s="138">
        <f>+SUM(B49:B61)</f>
        <v>2083400</v>
      </c>
      <c r="F62" s="138">
        <f>+SUM(C49:C61)</f>
        <v>5925</v>
      </c>
      <c r="G62" s="138">
        <f>+SUM(D49:D61)</f>
        <v>0</v>
      </c>
    </row>
    <row r="63" spans="1:7" x14ac:dyDescent="0.2">
      <c r="A63" s="480" t="s">
        <v>3685</v>
      </c>
      <c r="B63" s="481"/>
      <c r="C63" s="481"/>
      <c r="D63" s="481"/>
      <c r="E63" s="145">
        <v>426257</v>
      </c>
      <c r="F63" s="145">
        <v>689</v>
      </c>
      <c r="G63" s="307"/>
    </row>
    <row r="64" spans="1:7" ht="16" thickBot="1" x14ac:dyDescent="0.25">
      <c r="A64" s="480" t="s">
        <v>3686</v>
      </c>
      <c r="B64" s="481"/>
      <c r="C64" s="481"/>
      <c r="D64" s="481"/>
      <c r="E64" s="187">
        <v>494111</v>
      </c>
      <c r="F64" s="187">
        <v>386</v>
      </c>
      <c r="G64" s="444"/>
    </row>
    <row r="65" spans="1:7" ht="16" thickBot="1" x14ac:dyDescent="0.25">
      <c r="A65" s="489" t="s">
        <v>3687</v>
      </c>
      <c r="B65" s="493"/>
      <c r="C65" s="493"/>
      <c r="D65" s="493"/>
      <c r="E65" s="187">
        <v>3003775</v>
      </c>
      <c r="F65" s="187"/>
      <c r="G65" s="444"/>
    </row>
    <row r="66" spans="1:7" x14ac:dyDescent="0.2">
      <c r="A66" s="622"/>
      <c r="B66" s="623"/>
      <c r="C66" s="623"/>
      <c r="D66" s="623"/>
      <c r="E66" s="138">
        <f>+E63+E64+E61</f>
        <v>3003773</v>
      </c>
      <c r="F66" s="138">
        <f>+F63+F64+F61</f>
        <v>2000</v>
      </c>
      <c r="G66" s="138">
        <f>+G63+G64+G61</f>
        <v>0</v>
      </c>
    </row>
    <row r="67" spans="1:7" x14ac:dyDescent="0.2">
      <c r="A67" s="516" t="s">
        <v>3688</v>
      </c>
      <c r="B67" s="517"/>
      <c r="C67" s="517"/>
      <c r="D67" s="517"/>
      <c r="E67" s="145"/>
      <c r="F67" s="145"/>
      <c r="G67" s="307"/>
    </row>
    <row r="68" spans="1:7" x14ac:dyDescent="0.2">
      <c r="A68" s="516" t="s">
        <v>3689</v>
      </c>
      <c r="B68" s="517"/>
      <c r="C68" s="517"/>
      <c r="D68" s="517"/>
      <c r="E68" s="145">
        <v>7378095</v>
      </c>
      <c r="F68" s="145">
        <v>30</v>
      </c>
      <c r="G68" s="307"/>
    </row>
    <row r="69" spans="1:7" ht="30.5" customHeight="1" thickBot="1" x14ac:dyDescent="0.25">
      <c r="A69" s="516" t="s">
        <v>3690</v>
      </c>
      <c r="B69" s="517"/>
      <c r="C69" s="517"/>
      <c r="D69" s="517"/>
      <c r="E69" s="187">
        <v>2509663</v>
      </c>
      <c r="F69" s="187">
        <v>614</v>
      </c>
      <c r="G69" s="444"/>
    </row>
    <row r="70" spans="1:7" ht="16" thickBot="1" x14ac:dyDescent="0.25">
      <c r="A70" s="516" t="s">
        <v>3691</v>
      </c>
      <c r="B70" s="517"/>
      <c r="C70" s="517"/>
      <c r="D70" s="517"/>
      <c r="E70" s="448">
        <v>4868431</v>
      </c>
      <c r="F70" s="448">
        <v>416</v>
      </c>
      <c r="G70" s="449"/>
    </row>
    <row r="71" spans="1:7" x14ac:dyDescent="0.2">
      <c r="A71" s="864"/>
      <c r="B71" s="865"/>
      <c r="C71" s="865"/>
      <c r="D71" s="865"/>
      <c r="E71" s="138">
        <f>+E68-E69</f>
        <v>4868432</v>
      </c>
      <c r="F71" s="138">
        <f>+F68-F69</f>
        <v>-584</v>
      </c>
      <c r="G71" s="312">
        <f>+G68-G69</f>
        <v>0</v>
      </c>
    </row>
    <row r="72" spans="1:7" x14ac:dyDescent="0.2">
      <c r="A72" s="674" t="s">
        <v>3692</v>
      </c>
      <c r="B72" s="350"/>
      <c r="C72" s="350"/>
      <c r="D72" s="350"/>
      <c r="E72" s="145"/>
      <c r="F72" s="145"/>
      <c r="G72" s="133"/>
    </row>
    <row r="73" spans="1:7" x14ac:dyDescent="0.2">
      <c r="A73" s="140" t="s">
        <v>3693</v>
      </c>
      <c r="B73" s="145"/>
      <c r="C73" s="145"/>
      <c r="D73" s="145"/>
      <c r="E73" s="145">
        <v>3741208</v>
      </c>
      <c r="F73" s="145">
        <v>360</v>
      </c>
      <c r="G73" s="133"/>
    </row>
    <row r="74" spans="1:7" x14ac:dyDescent="0.2">
      <c r="A74" s="588" t="s">
        <v>3694</v>
      </c>
      <c r="B74" s="589"/>
      <c r="C74" s="589"/>
      <c r="D74" s="589"/>
      <c r="E74" s="145">
        <v>485442</v>
      </c>
      <c r="F74" s="145">
        <v>398</v>
      </c>
      <c r="G74" s="133">
        <v>0.5</v>
      </c>
    </row>
    <row r="75" spans="1:7" ht="16" thickBot="1" x14ac:dyDescent="0.25">
      <c r="A75" s="588" t="s">
        <v>3695</v>
      </c>
      <c r="B75" s="589"/>
      <c r="C75" s="589"/>
      <c r="D75" s="589"/>
      <c r="E75" s="187">
        <v>103992</v>
      </c>
      <c r="F75" s="187">
        <v>880</v>
      </c>
      <c r="G75" s="189"/>
    </row>
    <row r="76" spans="1:7" x14ac:dyDescent="0.2">
      <c r="A76" s="693" t="s">
        <v>3696</v>
      </c>
      <c r="B76" s="693"/>
      <c r="C76" s="693"/>
      <c r="D76" s="693"/>
      <c r="E76" s="309">
        <v>4330643</v>
      </c>
      <c r="F76" s="309">
        <v>638</v>
      </c>
      <c r="G76" s="231">
        <v>0.5</v>
      </c>
    </row>
    <row r="77" spans="1:7" x14ac:dyDescent="0.2">
      <c r="A77" s="693"/>
      <c r="B77" s="693"/>
      <c r="C77" s="693"/>
      <c r="D77" s="693"/>
      <c r="E77" s="138">
        <f>+E73+E74+E75</f>
        <v>4330642</v>
      </c>
      <c r="F77" s="138">
        <f>+F73+F74+F75</f>
        <v>1638</v>
      </c>
      <c r="G77" s="312">
        <f>+G73+G74+G75</f>
        <v>0.5</v>
      </c>
    </row>
    <row r="78" spans="1:7" ht="16" thickBot="1" x14ac:dyDescent="0.25">
      <c r="A78" s="798" t="s">
        <v>3619</v>
      </c>
      <c r="B78" s="798"/>
      <c r="C78" s="798"/>
      <c r="D78" s="798"/>
      <c r="E78" s="595">
        <v>1326868</v>
      </c>
      <c r="F78" s="595">
        <v>638</v>
      </c>
      <c r="G78" s="1079">
        <v>0.5</v>
      </c>
    </row>
    <row r="79" spans="1:7" ht="30.5" customHeight="1" x14ac:dyDescent="0.2">
      <c r="A79" s="586" t="s">
        <v>3697</v>
      </c>
      <c r="B79" s="586"/>
      <c r="C79" s="586"/>
      <c r="D79" s="586"/>
      <c r="E79" s="145">
        <v>1132889</v>
      </c>
      <c r="F79" s="145">
        <v>542</v>
      </c>
      <c r="G79" s="133"/>
    </row>
    <row r="80" spans="1:7" ht="16" thickBot="1" x14ac:dyDescent="0.25">
      <c r="A80" s="772" t="s">
        <v>3698</v>
      </c>
      <c r="B80" s="773"/>
      <c r="C80" s="773"/>
      <c r="D80" s="773"/>
      <c r="E80" s="595">
        <v>193979</v>
      </c>
      <c r="F80" s="595">
        <v>96</v>
      </c>
      <c r="G80" s="1079">
        <v>0.5</v>
      </c>
    </row>
    <row r="81" spans="1:9" x14ac:dyDescent="0.2">
      <c r="A81" s="657"/>
      <c r="B81" s="657"/>
      <c r="C81" s="657"/>
      <c r="D81" s="657"/>
      <c r="E81" s="138">
        <f>+E78-E79</f>
        <v>193979</v>
      </c>
      <c r="F81" s="138">
        <f>+F78-F79</f>
        <v>96</v>
      </c>
      <c r="G81" s="312">
        <f>+G78-G79</f>
        <v>0.5</v>
      </c>
    </row>
    <row r="82" spans="1:9" x14ac:dyDescent="0.2">
      <c r="A82" s="107"/>
      <c r="B82" s="107"/>
      <c r="C82" s="107"/>
      <c r="D82" s="107"/>
      <c r="E82" s="107"/>
      <c r="F82" s="107"/>
      <c r="G82" s="107"/>
    </row>
    <row r="83" spans="1:9" x14ac:dyDescent="0.2">
      <c r="A83" s="107"/>
      <c r="B83" s="107"/>
      <c r="C83" s="107"/>
      <c r="D83" s="107"/>
      <c r="E83" s="107"/>
      <c r="F83" s="107"/>
      <c r="G83" s="107"/>
    </row>
    <row r="84" spans="1:9" x14ac:dyDescent="0.2">
      <c r="A84" s="526" t="s">
        <v>1182</v>
      </c>
      <c r="B84" s="107"/>
      <c r="C84" s="107"/>
      <c r="D84" s="107"/>
      <c r="E84" s="107"/>
      <c r="F84" s="107"/>
      <c r="G84" s="107"/>
    </row>
    <row r="85" spans="1:9" ht="30" customHeight="1" x14ac:dyDescent="0.2">
      <c r="A85" s="953" t="s">
        <v>3699</v>
      </c>
      <c r="B85" s="954"/>
      <c r="C85" s="954"/>
      <c r="D85" s="954"/>
      <c r="E85" s="954"/>
      <c r="F85" s="954"/>
      <c r="G85" s="955"/>
    </row>
    <row r="86" spans="1:9" x14ac:dyDescent="0.2">
      <c r="A86" s="131" t="s">
        <v>3609</v>
      </c>
      <c r="B86" s="145">
        <v>2145721</v>
      </c>
      <c r="C86" s="145">
        <v>800</v>
      </c>
      <c r="D86" s="145"/>
      <c r="E86" s="145"/>
      <c r="F86" s="145"/>
      <c r="G86" s="307"/>
      <c r="I86" s="107"/>
    </row>
    <row r="87" spans="1:9" x14ac:dyDescent="0.2">
      <c r="A87" s="131" t="s">
        <v>1573</v>
      </c>
      <c r="B87" s="145">
        <v>4219</v>
      </c>
      <c r="C87" s="145">
        <v>753</v>
      </c>
      <c r="D87" s="145"/>
      <c r="E87" s="145"/>
      <c r="F87" s="145"/>
      <c r="G87" s="307"/>
    </row>
    <row r="88" spans="1:9" x14ac:dyDescent="0.2">
      <c r="A88" s="140" t="s">
        <v>1175</v>
      </c>
      <c r="B88" s="145">
        <v>34341</v>
      </c>
      <c r="C88" s="145">
        <v>425</v>
      </c>
      <c r="D88" s="145"/>
      <c r="E88" s="145"/>
      <c r="F88" s="145"/>
      <c r="G88" s="307"/>
    </row>
    <row r="89" spans="1:9" x14ac:dyDescent="0.2">
      <c r="A89" s="140" t="s">
        <v>3287</v>
      </c>
      <c r="B89" s="145">
        <v>7250</v>
      </c>
      <c r="C89" s="145">
        <v>695</v>
      </c>
      <c r="D89" s="145"/>
      <c r="E89" s="145"/>
      <c r="F89" s="145"/>
      <c r="G89" s="307"/>
    </row>
    <row r="90" spans="1:9" x14ac:dyDescent="0.2">
      <c r="A90" s="140" t="s">
        <v>1808</v>
      </c>
      <c r="B90" s="145">
        <v>106590</v>
      </c>
      <c r="C90" s="145">
        <v>875</v>
      </c>
      <c r="D90" s="145"/>
      <c r="E90" s="145"/>
      <c r="F90" s="145"/>
      <c r="G90" s="307"/>
    </row>
    <row r="91" spans="1:9" x14ac:dyDescent="0.2">
      <c r="A91" s="140" t="s">
        <v>1569</v>
      </c>
      <c r="B91" s="145">
        <v>1049995</v>
      </c>
      <c r="C91" s="145">
        <v>450</v>
      </c>
      <c r="D91" s="145"/>
      <c r="E91" s="145"/>
      <c r="F91" s="145"/>
      <c r="G91" s="307"/>
    </row>
    <row r="92" spans="1:9" x14ac:dyDescent="0.2">
      <c r="A92" s="140" t="s">
        <v>3610</v>
      </c>
      <c r="B92" s="145">
        <v>250000</v>
      </c>
      <c r="C92" s="145"/>
      <c r="D92" s="145"/>
      <c r="E92" s="145"/>
      <c r="F92" s="145"/>
      <c r="G92" s="307"/>
    </row>
    <row r="93" spans="1:9" x14ac:dyDescent="0.2">
      <c r="A93" s="140" t="s">
        <v>3700</v>
      </c>
      <c r="B93" s="145">
        <v>92796</v>
      </c>
      <c r="C93" s="145">
        <v>900</v>
      </c>
      <c r="D93" s="145"/>
      <c r="E93" s="145"/>
      <c r="F93" s="145"/>
      <c r="G93" s="307"/>
    </row>
    <row r="94" spans="1:9" x14ac:dyDescent="0.2">
      <c r="A94" s="140" t="s">
        <v>3612</v>
      </c>
      <c r="B94" s="145">
        <v>37502</v>
      </c>
      <c r="C94" s="145">
        <v>900</v>
      </c>
      <c r="D94" s="145"/>
      <c r="E94" s="145"/>
      <c r="F94" s="145"/>
      <c r="G94" s="307"/>
    </row>
    <row r="95" spans="1:9" x14ac:dyDescent="0.2">
      <c r="A95" s="140" t="s">
        <v>2763</v>
      </c>
      <c r="B95" s="145">
        <v>293189</v>
      </c>
      <c r="C95" s="145">
        <v>845</v>
      </c>
      <c r="D95" s="145"/>
      <c r="E95" s="145"/>
      <c r="F95" s="145"/>
      <c r="G95" s="307"/>
    </row>
    <row r="96" spans="1:9" ht="16" thickBot="1" x14ac:dyDescent="0.25">
      <c r="A96" s="140" t="s">
        <v>3701</v>
      </c>
      <c r="B96" s="187">
        <v>13758</v>
      </c>
      <c r="C96" s="187">
        <v>350</v>
      </c>
      <c r="D96" s="187"/>
      <c r="E96" s="145">
        <v>4035367</v>
      </c>
      <c r="F96" s="145">
        <v>993</v>
      </c>
      <c r="G96" s="307"/>
    </row>
    <row r="97" spans="1:7" x14ac:dyDescent="0.2">
      <c r="A97" s="140"/>
      <c r="B97" s="145"/>
      <c r="C97" s="145"/>
      <c r="D97" s="145"/>
      <c r="E97" s="138">
        <f>+SUM(B86:B96)</f>
        <v>4035361</v>
      </c>
      <c r="F97" s="138">
        <f>+SUM(C86:C96)</f>
        <v>6993</v>
      </c>
      <c r="G97" s="138">
        <f>+SUM(D86:D96)</f>
        <v>0</v>
      </c>
    </row>
    <row r="98" spans="1:7" ht="16" thickBot="1" x14ac:dyDescent="0.25">
      <c r="A98" s="140" t="s">
        <v>3702</v>
      </c>
      <c r="B98" s="145"/>
      <c r="C98" s="145"/>
      <c r="D98" s="145"/>
      <c r="E98" s="187">
        <v>126272</v>
      </c>
      <c r="F98" s="187">
        <v>700</v>
      </c>
      <c r="G98" s="444"/>
    </row>
    <row r="99" spans="1:7" x14ac:dyDescent="0.2">
      <c r="A99" s="797" t="s">
        <v>3703</v>
      </c>
      <c r="B99" s="798"/>
      <c r="C99" s="798"/>
      <c r="D99" s="798"/>
      <c r="E99" s="145">
        <v>3909095</v>
      </c>
      <c r="F99" s="145">
        <v>293</v>
      </c>
      <c r="G99" s="307"/>
    </row>
    <row r="100" spans="1:7" x14ac:dyDescent="0.2">
      <c r="A100" s="897"/>
      <c r="B100" s="657"/>
      <c r="C100" s="657"/>
      <c r="D100" s="657"/>
      <c r="E100" s="138">
        <f>+E96-E98</f>
        <v>3909095</v>
      </c>
      <c r="F100" s="138">
        <f>+F96-F98</f>
        <v>293</v>
      </c>
      <c r="G100" s="138">
        <f>+G96-G98</f>
        <v>0</v>
      </c>
    </row>
    <row r="101" spans="1:7" x14ac:dyDescent="0.2">
      <c r="A101" s="140" t="s">
        <v>3704</v>
      </c>
      <c r="B101" s="145"/>
      <c r="C101" s="145"/>
      <c r="D101" s="145"/>
      <c r="E101" s="145"/>
      <c r="F101" s="145"/>
      <c r="G101" s="307"/>
    </row>
    <row r="102" spans="1:7" x14ac:dyDescent="0.2">
      <c r="A102" s="140" t="s">
        <v>3705</v>
      </c>
      <c r="B102" s="145"/>
      <c r="C102" s="145"/>
      <c r="D102" s="145"/>
      <c r="E102" s="145"/>
      <c r="F102" s="145"/>
      <c r="G102" s="307"/>
    </row>
    <row r="103" spans="1:7" x14ac:dyDescent="0.2">
      <c r="A103" s="588" t="s">
        <v>3706</v>
      </c>
      <c r="B103" s="589"/>
      <c r="C103" s="589"/>
      <c r="D103" s="589"/>
      <c r="E103" s="145">
        <v>1132889</v>
      </c>
      <c r="F103" s="145">
        <v>542</v>
      </c>
      <c r="G103" s="307"/>
    </row>
    <row r="104" spans="1:7" x14ac:dyDescent="0.2">
      <c r="A104" s="588" t="s">
        <v>3707</v>
      </c>
      <c r="B104" s="589"/>
      <c r="C104" s="589"/>
      <c r="D104" s="589"/>
      <c r="E104" s="145">
        <v>78856</v>
      </c>
      <c r="F104" s="145">
        <v>740</v>
      </c>
      <c r="G104" s="307"/>
    </row>
    <row r="105" spans="1:7" x14ac:dyDescent="0.2">
      <c r="A105" s="588" t="s">
        <v>3708</v>
      </c>
      <c r="B105" s="589"/>
      <c r="C105" s="589"/>
      <c r="D105" s="589"/>
      <c r="E105" s="145">
        <v>188148</v>
      </c>
      <c r="F105" s="145">
        <v>310</v>
      </c>
      <c r="G105" s="307"/>
    </row>
    <row r="106" spans="1:7" ht="16" thickBot="1" x14ac:dyDescent="0.25">
      <c r="A106" s="588" t="s">
        <v>3709</v>
      </c>
      <c r="B106" s="589"/>
      <c r="C106" s="589"/>
      <c r="D106" s="589"/>
      <c r="E106" s="145">
        <v>427656</v>
      </c>
      <c r="F106" s="145">
        <v>955</v>
      </c>
      <c r="G106" s="307"/>
    </row>
    <row r="107" spans="1:7" ht="16" thickBot="1" x14ac:dyDescent="0.25">
      <c r="A107" s="772" t="s">
        <v>3677</v>
      </c>
      <c r="B107" s="773"/>
      <c r="C107" s="773"/>
      <c r="D107" s="773"/>
      <c r="E107" s="448">
        <v>5736646</v>
      </c>
      <c r="F107" s="448">
        <v>840</v>
      </c>
      <c r="G107" s="449"/>
    </row>
    <row r="108" spans="1:7" x14ac:dyDescent="0.2">
      <c r="A108" s="107"/>
      <c r="B108" s="107"/>
      <c r="C108" s="107"/>
      <c r="D108" s="107"/>
      <c r="E108" s="321">
        <f>+SUM(E103:E106)+E99</f>
        <v>5736644</v>
      </c>
      <c r="F108" s="321">
        <f>+SUM(F103:F106)+F99</f>
        <v>2840</v>
      </c>
      <c r="G108" s="321">
        <f>+SUM(G103:G106)+G99</f>
        <v>0</v>
      </c>
    </row>
    <row r="109" spans="1:7" x14ac:dyDescent="0.2">
      <c r="A109" s="107"/>
      <c r="B109" s="107"/>
      <c r="C109" s="107"/>
      <c r="D109" s="107"/>
      <c r="E109" s="107"/>
      <c r="F109" s="107"/>
      <c r="G109" s="107"/>
    </row>
    <row r="110" spans="1:7" x14ac:dyDescent="0.2">
      <c r="A110" s="107"/>
      <c r="B110" s="107"/>
      <c r="C110" s="107"/>
      <c r="D110" s="107"/>
      <c r="E110" s="107"/>
      <c r="F110" s="107"/>
      <c r="G110" s="107"/>
    </row>
    <row r="111" spans="1:7" x14ac:dyDescent="0.2">
      <c r="A111" s="526" t="s">
        <v>3655</v>
      </c>
      <c r="B111" s="107"/>
      <c r="C111" s="107"/>
      <c r="D111" s="107"/>
      <c r="E111" s="107"/>
      <c r="F111" s="107"/>
      <c r="G111" s="107"/>
    </row>
    <row r="112" spans="1:7" ht="32.5" customHeight="1" x14ac:dyDescent="0.2">
      <c r="A112" s="953" t="s">
        <v>3710</v>
      </c>
      <c r="B112" s="954"/>
      <c r="C112" s="954"/>
      <c r="D112" s="954"/>
      <c r="E112" s="954"/>
      <c r="F112" s="954"/>
      <c r="G112" s="955"/>
    </row>
    <row r="113" spans="1:7" ht="16" x14ac:dyDescent="0.2">
      <c r="A113" s="131" t="s">
        <v>2043</v>
      </c>
      <c r="B113" s="145">
        <v>176905</v>
      </c>
      <c r="C113" s="145">
        <v>900</v>
      </c>
      <c r="D113" s="1081"/>
      <c r="E113" s="1081"/>
      <c r="F113" s="1081"/>
      <c r="G113" s="1082"/>
    </row>
    <row r="114" spans="1:7" ht="16" x14ac:dyDescent="0.2">
      <c r="A114" s="131" t="s">
        <v>2044</v>
      </c>
      <c r="B114" s="145">
        <v>23106</v>
      </c>
      <c r="C114" s="145">
        <v>950</v>
      </c>
      <c r="D114" s="1081"/>
      <c r="E114" s="1081"/>
      <c r="F114" s="1081"/>
      <c r="G114" s="1082"/>
    </row>
    <row r="115" spans="1:7" ht="16" x14ac:dyDescent="0.2">
      <c r="A115" s="131" t="s">
        <v>2042</v>
      </c>
      <c r="B115" s="145">
        <v>50527</v>
      </c>
      <c r="C115" s="145">
        <v>750</v>
      </c>
      <c r="D115" s="1081"/>
      <c r="E115" s="1081"/>
      <c r="F115" s="1081"/>
      <c r="G115" s="1082"/>
    </row>
    <row r="116" spans="1:7" ht="16" x14ac:dyDescent="0.2">
      <c r="A116" s="131" t="s">
        <v>2047</v>
      </c>
      <c r="B116" s="145">
        <v>25593</v>
      </c>
      <c r="C116" s="145">
        <v>760</v>
      </c>
      <c r="D116" s="1081"/>
      <c r="E116" s="1081"/>
      <c r="F116" s="1081"/>
      <c r="G116" s="1082"/>
    </row>
    <row r="117" spans="1:7" ht="16" x14ac:dyDescent="0.2">
      <c r="A117" s="131" t="s">
        <v>2464</v>
      </c>
      <c r="B117" s="145">
        <v>75233</v>
      </c>
      <c r="C117" s="145">
        <v>550</v>
      </c>
      <c r="D117" s="1081"/>
      <c r="E117" s="1081"/>
      <c r="F117" s="1081"/>
      <c r="G117" s="1082"/>
    </row>
    <row r="118" spans="1:7" ht="16" x14ac:dyDescent="0.2">
      <c r="A118" s="131" t="s">
        <v>2045</v>
      </c>
      <c r="B118" s="145">
        <v>805570</v>
      </c>
      <c r="C118" s="145">
        <v>975</v>
      </c>
      <c r="D118" s="1081"/>
      <c r="E118" s="1081"/>
      <c r="F118" s="1081"/>
      <c r="G118" s="1082"/>
    </row>
    <row r="119" spans="1:7" ht="16" x14ac:dyDescent="0.2">
      <c r="A119" s="131" t="s">
        <v>1175</v>
      </c>
      <c r="B119" s="145">
        <v>134563</v>
      </c>
      <c r="C119" s="145">
        <v>690</v>
      </c>
      <c r="D119" s="1081"/>
      <c r="E119" s="1081"/>
      <c r="F119" s="1081"/>
      <c r="G119" s="1082"/>
    </row>
    <row r="120" spans="1:7" x14ac:dyDescent="0.2">
      <c r="A120" s="131" t="s">
        <v>3628</v>
      </c>
      <c r="B120" s="145">
        <v>348269</v>
      </c>
      <c r="C120" s="145">
        <v>413</v>
      </c>
      <c r="D120" s="145"/>
      <c r="E120" s="145"/>
      <c r="F120" s="145"/>
      <c r="G120" s="307"/>
    </row>
    <row r="121" spans="1:7" x14ac:dyDescent="0.2">
      <c r="A121" s="131" t="s">
        <v>2886</v>
      </c>
      <c r="B121" s="145">
        <v>78700</v>
      </c>
      <c r="C121" s="145">
        <v>250</v>
      </c>
      <c r="D121" s="145"/>
      <c r="E121" s="145"/>
      <c r="F121" s="145"/>
      <c r="G121" s="307"/>
    </row>
    <row r="122" spans="1:7" x14ac:dyDescent="0.2">
      <c r="A122" s="131" t="s">
        <v>2040</v>
      </c>
      <c r="B122" s="145">
        <v>859932</v>
      </c>
      <c r="C122" s="145"/>
      <c r="D122" s="145"/>
      <c r="E122" s="145"/>
      <c r="F122" s="145"/>
      <c r="G122" s="307"/>
    </row>
    <row r="123" spans="1:7" x14ac:dyDescent="0.2">
      <c r="A123" s="131" t="s">
        <v>2869</v>
      </c>
      <c r="B123" s="145">
        <v>43962</v>
      </c>
      <c r="C123" s="145">
        <v>275</v>
      </c>
      <c r="D123" s="145"/>
      <c r="E123" s="145"/>
      <c r="F123" s="145"/>
      <c r="G123" s="307"/>
    </row>
    <row r="124" spans="1:7" x14ac:dyDescent="0.2">
      <c r="A124" s="131" t="s">
        <v>2761</v>
      </c>
      <c r="B124" s="145">
        <v>3727</v>
      </c>
      <c r="C124" s="145">
        <v>400</v>
      </c>
      <c r="D124" s="145"/>
      <c r="E124" s="145"/>
      <c r="F124" s="145"/>
      <c r="G124" s="307"/>
    </row>
    <row r="125" spans="1:7" ht="16" thickBot="1" x14ac:dyDescent="0.25">
      <c r="A125" s="131" t="s">
        <v>2046</v>
      </c>
      <c r="B125" s="187">
        <v>4717</v>
      </c>
      <c r="C125" s="187">
        <v>600</v>
      </c>
      <c r="D125" s="187"/>
      <c r="E125" s="145">
        <v>2630811</v>
      </c>
      <c r="F125" s="145">
        <v>513</v>
      </c>
      <c r="G125" s="307"/>
    </row>
    <row r="126" spans="1:7" x14ac:dyDescent="0.2">
      <c r="A126" s="131"/>
      <c r="B126" s="145"/>
      <c r="C126" s="145"/>
      <c r="D126" s="145"/>
      <c r="E126" s="138">
        <f>+SUM(B113:B125)</f>
        <v>2630804</v>
      </c>
      <c r="F126" s="138">
        <f>+SUM(C113:C125)</f>
        <v>7513</v>
      </c>
      <c r="G126" s="138">
        <f>+SUM(D113:D125)</f>
        <v>0</v>
      </c>
    </row>
    <row r="127" spans="1:7" ht="16" thickBot="1" x14ac:dyDescent="0.25">
      <c r="A127" s="480" t="s">
        <v>3711</v>
      </c>
      <c r="B127" s="481"/>
      <c r="C127" s="481"/>
      <c r="D127" s="481"/>
      <c r="E127" s="187">
        <v>266566</v>
      </c>
      <c r="F127" s="187">
        <v>110</v>
      </c>
      <c r="G127" s="444"/>
    </row>
    <row r="128" spans="1:7" ht="16" thickBot="1" x14ac:dyDescent="0.25">
      <c r="A128" s="489" t="s">
        <v>3687</v>
      </c>
      <c r="B128" s="493"/>
      <c r="C128" s="493"/>
      <c r="D128" s="493"/>
      <c r="E128" s="187">
        <v>2897377</v>
      </c>
      <c r="F128" s="187">
        <v>623</v>
      </c>
      <c r="G128" s="444"/>
    </row>
    <row r="129" spans="1:7" x14ac:dyDescent="0.2">
      <c r="A129" s="622"/>
      <c r="B129" s="623"/>
      <c r="C129" s="623"/>
      <c r="D129" s="623"/>
      <c r="E129" s="138">
        <f>+E125+E127</f>
        <v>2897377</v>
      </c>
      <c r="F129" s="138">
        <f>+F125+F127</f>
        <v>623</v>
      </c>
      <c r="G129" s="138">
        <f>+G125+G127</f>
        <v>0</v>
      </c>
    </row>
    <row r="130" spans="1:7" x14ac:dyDescent="0.2">
      <c r="A130" s="480" t="s">
        <v>3712</v>
      </c>
      <c r="B130" s="481"/>
      <c r="C130" s="481"/>
      <c r="D130" s="481"/>
      <c r="E130" s="481"/>
      <c r="F130" s="481"/>
      <c r="G130" s="676"/>
    </row>
    <row r="131" spans="1:7" x14ac:dyDescent="0.2">
      <c r="A131" s="622" t="s">
        <v>3713</v>
      </c>
      <c r="B131" s="623">
        <v>5736646</v>
      </c>
      <c r="C131" s="623">
        <v>840</v>
      </c>
      <c r="D131" s="623"/>
      <c r="E131" s="145"/>
      <c r="F131" s="145"/>
      <c r="G131" s="307"/>
    </row>
    <row r="132" spans="1:7" ht="16" thickBot="1" x14ac:dyDescent="0.25">
      <c r="A132" s="622" t="s">
        <v>3714</v>
      </c>
      <c r="B132" s="1083">
        <v>2897377</v>
      </c>
      <c r="C132" s="1083">
        <v>623</v>
      </c>
      <c r="D132" s="1083"/>
      <c r="E132" s="145">
        <v>2839269</v>
      </c>
      <c r="F132" s="145">
        <v>217</v>
      </c>
      <c r="G132" s="307"/>
    </row>
    <row r="133" spans="1:7" x14ac:dyDescent="0.2">
      <c r="A133" s="622"/>
      <c r="B133" s="623"/>
      <c r="C133" s="623"/>
      <c r="D133" s="623"/>
      <c r="E133" s="138">
        <f>+B131-B132</f>
        <v>2839269</v>
      </c>
      <c r="F133" s="138">
        <f>+C131-C132</f>
        <v>217</v>
      </c>
      <c r="G133" s="138">
        <f>+D131-D132</f>
        <v>0</v>
      </c>
    </row>
    <row r="134" spans="1:7" ht="29" customHeight="1" x14ac:dyDescent="0.2">
      <c r="A134" s="516" t="s">
        <v>3715</v>
      </c>
      <c r="B134" s="517"/>
      <c r="C134" s="517"/>
      <c r="D134" s="517"/>
      <c r="E134" s="145">
        <v>489559</v>
      </c>
      <c r="F134" s="145">
        <v>937</v>
      </c>
      <c r="G134" s="307"/>
    </row>
    <row r="135" spans="1:7" x14ac:dyDescent="0.2">
      <c r="A135" s="516" t="s">
        <v>3716</v>
      </c>
      <c r="B135" s="517"/>
      <c r="C135" s="517"/>
      <c r="D135" s="517"/>
      <c r="E135" s="145">
        <v>2349709</v>
      </c>
      <c r="F135" s="145">
        <v>280</v>
      </c>
      <c r="G135" s="307"/>
    </row>
    <row r="136" spans="1:7" ht="26.5" customHeight="1" x14ac:dyDescent="0.2">
      <c r="A136" s="516" t="s">
        <v>3717</v>
      </c>
      <c r="B136" s="517"/>
      <c r="C136" s="517"/>
      <c r="D136" s="517"/>
      <c r="E136" s="145"/>
      <c r="F136" s="145"/>
      <c r="G136" s="307"/>
    </row>
    <row r="137" spans="1:7" ht="28.25" customHeight="1" thickBot="1" x14ac:dyDescent="0.25">
      <c r="A137" s="516" t="s">
        <v>3718</v>
      </c>
      <c r="B137" s="517"/>
      <c r="C137" s="517"/>
      <c r="D137" s="517"/>
      <c r="E137" s="187">
        <v>805570</v>
      </c>
      <c r="F137" s="187">
        <v>975</v>
      </c>
      <c r="G137" s="444"/>
    </row>
    <row r="138" spans="1:7" ht="16" thickBot="1" x14ac:dyDescent="0.25">
      <c r="A138" s="516" t="s">
        <v>3719</v>
      </c>
      <c r="B138" s="517"/>
      <c r="C138" s="517"/>
      <c r="D138" s="517"/>
      <c r="E138" s="448">
        <v>3155280</v>
      </c>
      <c r="F138" s="448">
        <v>255</v>
      </c>
      <c r="G138" s="449"/>
    </row>
    <row r="139" spans="1:7" x14ac:dyDescent="0.2">
      <c r="A139" s="674" t="s">
        <v>3720</v>
      </c>
      <c r="B139" s="350"/>
      <c r="C139" s="350"/>
      <c r="D139" s="350"/>
      <c r="E139" s="145"/>
      <c r="F139" s="145"/>
      <c r="G139" s="307"/>
    </row>
    <row r="140" spans="1:7" x14ac:dyDescent="0.2">
      <c r="A140" s="588" t="s">
        <v>3721</v>
      </c>
      <c r="B140" s="589"/>
      <c r="C140" s="589"/>
      <c r="D140" s="589"/>
      <c r="E140" s="145">
        <v>3909095</v>
      </c>
      <c r="F140" s="145">
        <v>293</v>
      </c>
      <c r="G140" s="307"/>
    </row>
    <row r="141" spans="1:7" x14ac:dyDescent="0.2">
      <c r="A141" s="588" t="s">
        <v>3722</v>
      </c>
      <c r="B141" s="589"/>
      <c r="C141" s="589"/>
      <c r="D141" s="589"/>
      <c r="E141" s="145">
        <v>4980520</v>
      </c>
      <c r="F141" s="145">
        <v>793</v>
      </c>
      <c r="G141" s="307"/>
    </row>
    <row r="142" spans="1:7" x14ac:dyDescent="0.2">
      <c r="A142" s="797" t="s">
        <v>3723</v>
      </c>
      <c r="B142" s="798"/>
      <c r="C142" s="798"/>
      <c r="D142" s="798"/>
      <c r="E142" s="145">
        <v>1071425</v>
      </c>
      <c r="F142" s="145">
        <v>500</v>
      </c>
      <c r="G142" s="307"/>
    </row>
    <row r="143" spans="1:7" x14ac:dyDescent="0.2">
      <c r="A143" s="588" t="s">
        <v>3724</v>
      </c>
      <c r="B143" s="589"/>
      <c r="C143" s="589"/>
      <c r="D143" s="589"/>
      <c r="E143" s="145"/>
      <c r="F143" s="145"/>
      <c r="G143" s="307"/>
    </row>
    <row r="144" spans="1:7" x14ac:dyDescent="0.2">
      <c r="A144" s="575" t="s">
        <v>3725</v>
      </c>
      <c r="B144" s="1084">
        <v>1132889</v>
      </c>
      <c r="C144" s="1084">
        <v>542</v>
      </c>
      <c r="D144" s="1084"/>
      <c r="E144" s="145"/>
      <c r="F144" s="145"/>
      <c r="G144" s="307"/>
    </row>
    <row r="145" spans="1:7" x14ac:dyDescent="0.2">
      <c r="A145" s="575" t="s">
        <v>3726</v>
      </c>
      <c r="B145" s="1084">
        <v>78856</v>
      </c>
      <c r="C145" s="1084">
        <v>740</v>
      </c>
      <c r="D145" s="1084"/>
      <c r="E145" s="145"/>
      <c r="F145" s="145"/>
      <c r="G145" s="307"/>
    </row>
    <row r="146" spans="1:7" ht="16" thickBot="1" x14ac:dyDescent="0.25">
      <c r="A146" s="908" t="s">
        <v>3727</v>
      </c>
      <c r="B146" s="1085">
        <v>615805</v>
      </c>
      <c r="C146" s="1085">
        <v>265</v>
      </c>
      <c r="D146" s="1086"/>
      <c r="E146" s="187">
        <v>1827551</v>
      </c>
      <c r="F146" s="187">
        <v>547</v>
      </c>
      <c r="G146" s="444"/>
    </row>
    <row r="147" spans="1:7" x14ac:dyDescent="0.2">
      <c r="A147" s="908"/>
      <c r="B147" s="657"/>
      <c r="C147" s="657"/>
      <c r="D147" s="693"/>
      <c r="E147" s="138">
        <f>+SUM(B144:B146)</f>
        <v>1827550</v>
      </c>
      <c r="F147" s="138">
        <f>+SUM(C144:C146)</f>
        <v>1547</v>
      </c>
      <c r="G147" s="138">
        <f>+SUM(D144:D146)</f>
        <v>0</v>
      </c>
    </row>
    <row r="148" spans="1:7" x14ac:dyDescent="0.2">
      <c r="A148" s="489" t="s">
        <v>3728</v>
      </c>
      <c r="B148" s="493"/>
      <c r="C148" s="493"/>
      <c r="D148" s="493"/>
      <c r="E148" s="145">
        <v>756126</v>
      </c>
      <c r="F148" s="145">
        <v>47</v>
      </c>
      <c r="G148" s="307"/>
    </row>
    <row r="149" spans="1:7" ht="16" thickBot="1" x14ac:dyDescent="0.25">
      <c r="A149" s="588" t="s">
        <v>3729</v>
      </c>
      <c r="B149" s="589"/>
      <c r="C149" s="589"/>
      <c r="D149" s="589"/>
      <c r="E149" s="187">
        <v>266566</v>
      </c>
      <c r="F149" s="187">
        <v>110</v>
      </c>
      <c r="G149" s="444"/>
    </row>
    <row r="150" spans="1:7" ht="16" thickBot="1" x14ac:dyDescent="0.25">
      <c r="A150" s="797" t="s">
        <v>3619</v>
      </c>
      <c r="B150" s="798"/>
      <c r="C150" s="798"/>
      <c r="D150" s="798"/>
      <c r="E150" s="595">
        <v>489559</v>
      </c>
      <c r="F150" s="595">
        <v>937</v>
      </c>
      <c r="G150" s="596"/>
    </row>
    <row r="151" spans="1:7" x14ac:dyDescent="0.2">
      <c r="A151" s="625" t="s">
        <v>3730</v>
      </c>
      <c r="B151" s="626"/>
      <c r="C151" s="626"/>
      <c r="D151" s="626"/>
      <c r="E151" s="309"/>
      <c r="F151" s="309"/>
      <c r="G151" s="364"/>
    </row>
    <row r="152" spans="1:7" x14ac:dyDescent="0.2">
      <c r="A152" s="107"/>
      <c r="B152" s="107"/>
      <c r="C152" s="107"/>
      <c r="D152" s="107"/>
      <c r="E152" s="107"/>
      <c r="F152" s="107"/>
      <c r="G152" s="107"/>
    </row>
    <row r="153" spans="1:7" x14ac:dyDescent="0.2">
      <c r="A153" s="107"/>
      <c r="B153" s="107"/>
      <c r="C153" s="107"/>
      <c r="D153" s="107"/>
      <c r="E153" s="107"/>
      <c r="F153" s="107"/>
      <c r="G153" s="107"/>
    </row>
    <row r="154" spans="1:7" x14ac:dyDescent="0.2">
      <c r="A154" s="107"/>
      <c r="B154" s="107"/>
      <c r="C154" s="107"/>
      <c r="D154" s="107"/>
      <c r="E154" s="107"/>
      <c r="F154" s="107"/>
      <c r="G154" s="107"/>
    </row>
    <row r="155" spans="1:7" x14ac:dyDescent="0.2">
      <c r="A155" s="107"/>
      <c r="B155" s="107"/>
      <c r="C155" s="107"/>
      <c r="D155" s="107"/>
      <c r="E155" s="107"/>
      <c r="F155" s="107"/>
      <c r="G155" s="107"/>
    </row>
    <row r="156" spans="1:7" x14ac:dyDescent="0.2">
      <c r="A156" s="107"/>
      <c r="B156" s="107"/>
      <c r="C156" s="107"/>
      <c r="D156" s="107"/>
      <c r="E156" s="107"/>
      <c r="F156" s="107"/>
      <c r="G156" s="107"/>
    </row>
    <row r="157" spans="1:7" x14ac:dyDescent="0.2">
      <c r="A157" s="107"/>
      <c r="B157" s="107"/>
      <c r="C157" s="107"/>
      <c r="D157" s="107"/>
      <c r="E157" s="107"/>
      <c r="F157" s="107"/>
      <c r="G157" s="107"/>
    </row>
    <row r="158" spans="1:7" x14ac:dyDescent="0.2">
      <c r="A158" s="107"/>
      <c r="B158" s="107"/>
      <c r="C158" s="107"/>
      <c r="D158" s="107"/>
      <c r="E158" s="107"/>
      <c r="F158" s="107"/>
      <c r="G158" s="107"/>
    </row>
    <row r="159" spans="1:7" x14ac:dyDescent="0.2">
      <c r="A159" s="107"/>
      <c r="B159" s="107"/>
      <c r="C159" s="107"/>
      <c r="D159" s="107"/>
      <c r="E159" s="107"/>
      <c r="F159" s="107"/>
      <c r="G159" s="107"/>
    </row>
    <row r="160" spans="1:7" x14ac:dyDescent="0.2">
      <c r="A160" s="107"/>
      <c r="B160" s="107"/>
      <c r="C160" s="107"/>
      <c r="D160" s="107"/>
      <c r="E160" s="107"/>
      <c r="F160" s="107"/>
      <c r="G160" s="107"/>
    </row>
    <row r="161" spans="1:7" x14ac:dyDescent="0.2">
      <c r="A161" s="107"/>
      <c r="B161" s="107"/>
      <c r="C161" s="107"/>
      <c r="D161" s="107"/>
      <c r="E161" s="107"/>
      <c r="F161" s="107"/>
      <c r="G161" s="107"/>
    </row>
    <row r="162" spans="1:7" x14ac:dyDescent="0.2">
      <c r="A162" s="107"/>
      <c r="B162" s="107"/>
      <c r="C162" s="107"/>
      <c r="D162" s="107"/>
      <c r="E162" s="107"/>
      <c r="F162" s="107"/>
      <c r="G162" s="107"/>
    </row>
    <row r="163" spans="1:7" x14ac:dyDescent="0.2">
      <c r="A163" s="107"/>
      <c r="B163" s="107"/>
      <c r="C163" s="107"/>
      <c r="D163" s="107"/>
      <c r="E163" s="107"/>
      <c r="F163" s="107"/>
      <c r="G163" s="107"/>
    </row>
    <row r="164" spans="1:7" x14ac:dyDescent="0.2">
      <c r="A164" s="107"/>
      <c r="B164" s="107"/>
      <c r="C164" s="107"/>
      <c r="D164" s="107"/>
      <c r="E164" s="107"/>
      <c r="F164" s="107"/>
      <c r="G164" s="107"/>
    </row>
    <row r="165" spans="1:7" x14ac:dyDescent="0.2">
      <c r="A165" s="107"/>
      <c r="B165" s="107"/>
      <c r="C165" s="107"/>
      <c r="D165" s="107"/>
      <c r="E165" s="107"/>
      <c r="F165" s="107"/>
      <c r="G165" s="107"/>
    </row>
    <row r="166" spans="1:7" x14ac:dyDescent="0.2">
      <c r="A166" s="107"/>
      <c r="B166" s="107"/>
      <c r="C166" s="107"/>
      <c r="D166" s="107"/>
      <c r="E166" s="107"/>
      <c r="F166" s="107"/>
      <c r="G166" s="107"/>
    </row>
    <row r="167" spans="1:7" x14ac:dyDescent="0.2">
      <c r="A167" s="107"/>
      <c r="B167" s="107"/>
      <c r="C167" s="107"/>
      <c r="D167" s="107"/>
      <c r="E167" s="107"/>
      <c r="F167" s="107"/>
      <c r="G167" s="107"/>
    </row>
    <row r="168" spans="1:7" x14ac:dyDescent="0.2">
      <c r="A168" s="107"/>
      <c r="B168" s="107"/>
      <c r="C168" s="107"/>
      <c r="D168" s="107"/>
      <c r="E168" s="107"/>
      <c r="F168" s="107"/>
      <c r="G168" s="107"/>
    </row>
    <row r="169" spans="1:7" x14ac:dyDescent="0.2">
      <c r="A169" s="107"/>
      <c r="B169" s="107"/>
      <c r="C169" s="107"/>
      <c r="D169" s="107"/>
      <c r="E169" s="107"/>
      <c r="F169" s="107"/>
      <c r="G169" s="107"/>
    </row>
    <row r="170" spans="1:7" x14ac:dyDescent="0.2">
      <c r="A170" s="107"/>
      <c r="B170" s="107"/>
      <c r="C170" s="107"/>
      <c r="D170" s="107"/>
      <c r="E170" s="107"/>
      <c r="F170" s="107"/>
      <c r="G170" s="107"/>
    </row>
    <row r="171" spans="1:7" x14ac:dyDescent="0.2">
      <c r="A171" s="107"/>
      <c r="B171" s="107"/>
      <c r="C171" s="107"/>
      <c r="D171" s="107"/>
      <c r="E171" s="107"/>
      <c r="F171" s="107"/>
      <c r="G171" s="107"/>
    </row>
    <row r="172" spans="1:7" x14ac:dyDescent="0.2">
      <c r="A172" s="107"/>
      <c r="B172" s="107"/>
      <c r="C172" s="107"/>
      <c r="D172" s="107"/>
      <c r="E172" s="107"/>
      <c r="F172" s="107"/>
      <c r="G172" s="107"/>
    </row>
    <row r="173" spans="1:7" x14ac:dyDescent="0.2">
      <c r="A173" s="107"/>
      <c r="B173" s="107"/>
      <c r="C173" s="107"/>
      <c r="D173" s="107"/>
      <c r="E173" s="107"/>
      <c r="F173" s="107"/>
      <c r="G173" s="107"/>
    </row>
    <row r="174" spans="1:7" x14ac:dyDescent="0.2">
      <c r="A174" s="107"/>
      <c r="B174" s="107"/>
      <c r="C174" s="107"/>
      <c r="D174" s="107"/>
      <c r="E174" s="107"/>
      <c r="F174" s="107"/>
      <c r="G174" s="107"/>
    </row>
    <row r="175" spans="1:7" x14ac:dyDescent="0.2">
      <c r="A175" s="107"/>
      <c r="B175" s="107"/>
      <c r="C175" s="107"/>
      <c r="D175" s="107"/>
      <c r="E175" s="107"/>
      <c r="F175" s="107"/>
      <c r="G175" s="107"/>
    </row>
    <row r="176" spans="1:7" x14ac:dyDescent="0.2">
      <c r="A176" s="107"/>
      <c r="B176" s="107"/>
      <c r="C176" s="107"/>
      <c r="D176" s="107"/>
      <c r="E176" s="107"/>
      <c r="F176" s="107"/>
      <c r="G176" s="107"/>
    </row>
    <row r="177" spans="1:7" x14ac:dyDescent="0.2">
      <c r="A177" s="107"/>
      <c r="B177" s="107"/>
      <c r="C177" s="107"/>
      <c r="D177" s="107"/>
      <c r="E177" s="107"/>
      <c r="F177" s="107"/>
      <c r="G177" s="107"/>
    </row>
    <row r="178" spans="1:7" x14ac:dyDescent="0.2">
      <c r="A178" s="107"/>
      <c r="B178" s="107"/>
      <c r="C178" s="107"/>
      <c r="D178" s="107"/>
      <c r="E178" s="107"/>
      <c r="F178" s="107"/>
      <c r="G178" s="107"/>
    </row>
    <row r="179" spans="1:7" x14ac:dyDescent="0.2">
      <c r="A179" s="107"/>
      <c r="B179" s="107"/>
      <c r="C179" s="107"/>
      <c r="D179" s="107"/>
      <c r="E179" s="107"/>
      <c r="F179" s="107"/>
      <c r="G179" s="107"/>
    </row>
    <row r="180" spans="1:7" x14ac:dyDescent="0.2">
      <c r="A180" s="107"/>
      <c r="B180" s="107"/>
      <c r="C180" s="107"/>
      <c r="D180" s="107"/>
      <c r="E180" s="107"/>
      <c r="F180" s="107"/>
      <c r="G180" s="107"/>
    </row>
    <row r="181" spans="1:7" x14ac:dyDescent="0.2">
      <c r="A181" s="107"/>
      <c r="B181" s="107"/>
      <c r="C181" s="107"/>
      <c r="D181" s="107"/>
      <c r="E181" s="107"/>
      <c r="F181" s="107"/>
      <c r="G181" s="107"/>
    </row>
    <row r="182" spans="1:7" x14ac:dyDescent="0.2">
      <c r="A182" s="107"/>
      <c r="B182" s="107"/>
      <c r="C182" s="107"/>
      <c r="D182" s="107"/>
      <c r="E182" s="107"/>
      <c r="F182" s="107"/>
      <c r="G182" s="107"/>
    </row>
    <row r="183" spans="1:7" x14ac:dyDescent="0.2">
      <c r="A183" s="107"/>
      <c r="B183" s="107"/>
      <c r="C183" s="107"/>
      <c r="D183" s="107"/>
      <c r="E183" s="107"/>
      <c r="F183" s="107"/>
      <c r="G183" s="107"/>
    </row>
    <row r="184" spans="1:7" x14ac:dyDescent="0.2">
      <c r="A184" s="107"/>
      <c r="B184" s="107"/>
      <c r="C184" s="107"/>
      <c r="D184" s="107"/>
      <c r="E184" s="107"/>
      <c r="F184" s="107"/>
      <c r="G184" s="107"/>
    </row>
    <row r="185" spans="1:7" x14ac:dyDescent="0.2">
      <c r="A185" s="107"/>
      <c r="B185" s="107"/>
      <c r="C185" s="107"/>
      <c r="D185" s="107"/>
      <c r="E185" s="107"/>
      <c r="F185" s="107"/>
      <c r="G185" s="107"/>
    </row>
    <row r="186" spans="1:7" x14ac:dyDescent="0.2">
      <c r="A186" s="107"/>
      <c r="B186" s="107"/>
      <c r="C186" s="107"/>
      <c r="D186" s="107"/>
      <c r="E186" s="107"/>
      <c r="F186" s="107"/>
      <c r="G186" s="107"/>
    </row>
    <row r="187" spans="1:7" x14ac:dyDescent="0.2">
      <c r="A187" s="107"/>
      <c r="B187" s="107"/>
      <c r="C187" s="107"/>
      <c r="D187" s="107"/>
      <c r="E187" s="107"/>
      <c r="F187" s="107"/>
      <c r="G187" s="107"/>
    </row>
    <row r="188" spans="1:7" x14ac:dyDescent="0.2">
      <c r="A188" s="107"/>
      <c r="B188" s="107"/>
      <c r="C188" s="107"/>
      <c r="D188" s="107"/>
      <c r="E188" s="107"/>
      <c r="F188" s="107"/>
      <c r="G188" s="107"/>
    </row>
    <row r="189" spans="1:7" x14ac:dyDescent="0.2">
      <c r="A189" s="107"/>
      <c r="B189" s="107"/>
      <c r="C189" s="107"/>
      <c r="D189" s="107"/>
      <c r="E189" s="107"/>
      <c r="F189" s="107"/>
      <c r="G189" s="107"/>
    </row>
    <row r="190" spans="1:7" x14ac:dyDescent="0.2">
      <c r="A190" s="107"/>
      <c r="B190" s="107"/>
      <c r="C190" s="107"/>
      <c r="D190" s="107"/>
      <c r="E190" s="107"/>
      <c r="F190" s="107"/>
      <c r="G190" s="107"/>
    </row>
    <row r="191" spans="1:7" x14ac:dyDescent="0.2">
      <c r="A191" s="107"/>
      <c r="B191" s="107"/>
      <c r="C191" s="107"/>
      <c r="D191" s="107"/>
      <c r="E191" s="107"/>
      <c r="F191" s="107"/>
      <c r="G191" s="107"/>
    </row>
    <row r="192" spans="1:7" x14ac:dyDescent="0.2">
      <c r="A192" s="107"/>
      <c r="B192" s="107"/>
      <c r="C192" s="107"/>
      <c r="D192" s="107"/>
      <c r="E192" s="107"/>
      <c r="F192" s="107"/>
      <c r="G192" s="107"/>
    </row>
    <row r="193" spans="1:7" x14ac:dyDescent="0.2">
      <c r="A193" s="107"/>
      <c r="B193" s="107"/>
      <c r="C193" s="107"/>
      <c r="D193" s="107"/>
      <c r="E193" s="107"/>
      <c r="F193" s="107"/>
      <c r="G193" s="107"/>
    </row>
    <row r="194" spans="1:7" x14ac:dyDescent="0.2">
      <c r="A194" s="107"/>
      <c r="B194" s="107"/>
      <c r="C194" s="107"/>
      <c r="D194" s="107"/>
      <c r="E194" s="107"/>
      <c r="F194" s="107"/>
      <c r="G194" s="107"/>
    </row>
    <row r="195" spans="1:7" x14ac:dyDescent="0.2">
      <c r="A195" s="107"/>
      <c r="B195" s="107"/>
      <c r="C195" s="107"/>
      <c r="D195" s="107"/>
      <c r="E195" s="107"/>
      <c r="F195" s="107"/>
      <c r="G195" s="107"/>
    </row>
    <row r="196" spans="1:7" x14ac:dyDescent="0.2">
      <c r="A196" s="107"/>
      <c r="B196" s="107"/>
      <c r="C196" s="107"/>
      <c r="D196" s="107"/>
      <c r="E196" s="107"/>
      <c r="F196" s="107"/>
      <c r="G196" s="107"/>
    </row>
    <row r="197" spans="1:7" x14ac:dyDescent="0.2">
      <c r="A197" s="107"/>
      <c r="B197" s="107"/>
      <c r="C197" s="107"/>
      <c r="D197" s="107"/>
      <c r="E197" s="107"/>
      <c r="F197" s="107"/>
      <c r="G197" s="107"/>
    </row>
    <row r="198" spans="1:7" x14ac:dyDescent="0.2">
      <c r="A198" s="107"/>
      <c r="B198" s="107"/>
      <c r="C198" s="107"/>
      <c r="D198" s="107"/>
      <c r="E198" s="107"/>
      <c r="F198" s="107"/>
      <c r="G198" s="107"/>
    </row>
    <row r="199" spans="1:7" x14ac:dyDescent="0.2">
      <c r="A199" s="107"/>
      <c r="B199" s="107"/>
      <c r="C199" s="107"/>
      <c r="D199" s="107"/>
      <c r="E199" s="107"/>
      <c r="F199" s="107"/>
      <c r="G199" s="107"/>
    </row>
    <row r="200" spans="1:7" x14ac:dyDescent="0.2">
      <c r="A200" s="107"/>
      <c r="B200" s="107"/>
      <c r="C200" s="107"/>
      <c r="D200" s="107"/>
      <c r="E200" s="107"/>
      <c r="F200" s="107"/>
      <c r="G200" s="107"/>
    </row>
    <row r="201" spans="1:7" x14ac:dyDescent="0.2">
      <c r="A201" s="107"/>
      <c r="B201" s="107"/>
      <c r="C201" s="107"/>
      <c r="D201" s="107"/>
      <c r="E201" s="107"/>
      <c r="F201" s="107"/>
      <c r="G201" s="107"/>
    </row>
    <row r="202" spans="1:7" x14ac:dyDescent="0.2">
      <c r="A202" s="107"/>
      <c r="B202" s="107"/>
      <c r="C202" s="107"/>
      <c r="D202" s="107"/>
      <c r="E202" s="107"/>
      <c r="F202" s="107"/>
      <c r="G202" s="107"/>
    </row>
    <row r="203" spans="1:7" x14ac:dyDescent="0.2">
      <c r="A203" s="107"/>
      <c r="B203" s="107"/>
      <c r="C203" s="107"/>
      <c r="D203" s="107"/>
      <c r="E203" s="107"/>
      <c r="F203" s="107"/>
      <c r="G203" s="107"/>
    </row>
    <row r="204" spans="1:7" x14ac:dyDescent="0.2">
      <c r="A204" s="107"/>
      <c r="B204" s="107"/>
      <c r="C204" s="107"/>
      <c r="D204" s="107"/>
      <c r="E204" s="107"/>
      <c r="F204" s="107"/>
      <c r="G204" s="107"/>
    </row>
    <row r="205" spans="1:7" x14ac:dyDescent="0.2">
      <c r="A205" s="107"/>
      <c r="B205" s="107"/>
      <c r="C205" s="107"/>
      <c r="D205" s="107"/>
      <c r="E205" s="107"/>
      <c r="F205" s="107"/>
      <c r="G205" s="107"/>
    </row>
    <row r="206" spans="1:7" x14ac:dyDescent="0.2">
      <c r="A206" s="107"/>
      <c r="B206" s="107"/>
      <c r="C206" s="107"/>
      <c r="D206" s="107"/>
      <c r="E206" s="107"/>
      <c r="F206" s="107"/>
      <c r="G206" s="107"/>
    </row>
    <row r="207" spans="1:7" x14ac:dyDescent="0.2">
      <c r="A207" s="107"/>
      <c r="B207" s="107"/>
      <c r="C207" s="107"/>
      <c r="D207" s="107"/>
      <c r="E207" s="107"/>
      <c r="F207" s="107"/>
      <c r="G207" s="107"/>
    </row>
    <row r="208" spans="1:7" x14ac:dyDescent="0.2">
      <c r="A208" s="107"/>
      <c r="B208" s="107"/>
      <c r="C208" s="107"/>
      <c r="D208" s="107"/>
      <c r="E208" s="107"/>
      <c r="F208" s="107"/>
      <c r="G208" s="107"/>
    </row>
    <row r="209" spans="1:7" x14ac:dyDescent="0.2">
      <c r="A209" s="107"/>
      <c r="B209" s="107"/>
      <c r="C209" s="107"/>
      <c r="D209" s="107"/>
      <c r="E209" s="107"/>
      <c r="F209" s="107"/>
      <c r="G209" s="107"/>
    </row>
    <row r="210" spans="1:7" x14ac:dyDescent="0.2">
      <c r="A210" s="107"/>
      <c r="B210" s="107"/>
      <c r="C210" s="107"/>
      <c r="D210" s="107"/>
      <c r="E210" s="107"/>
      <c r="F210" s="107"/>
      <c r="G210" s="107"/>
    </row>
    <row r="211" spans="1:7" x14ac:dyDescent="0.2">
      <c r="A211" s="107"/>
      <c r="B211" s="107"/>
      <c r="C211" s="107"/>
      <c r="D211" s="107"/>
      <c r="E211" s="107"/>
      <c r="F211" s="107"/>
      <c r="G211" s="107"/>
    </row>
    <row r="212" spans="1:7" x14ac:dyDescent="0.2">
      <c r="A212" s="107"/>
      <c r="B212" s="107"/>
      <c r="C212" s="107"/>
      <c r="D212" s="107"/>
      <c r="E212" s="107"/>
      <c r="F212" s="107"/>
      <c r="G212" s="107"/>
    </row>
    <row r="213" spans="1:7" x14ac:dyDescent="0.2">
      <c r="A213" s="107"/>
      <c r="B213" s="107"/>
      <c r="C213" s="107"/>
      <c r="D213" s="107"/>
      <c r="E213" s="107"/>
      <c r="F213" s="107"/>
      <c r="G213" s="107"/>
    </row>
    <row r="214" spans="1:7" x14ac:dyDescent="0.2">
      <c r="A214" s="107"/>
      <c r="B214" s="107"/>
      <c r="C214" s="107"/>
      <c r="D214" s="107"/>
      <c r="E214" s="107"/>
      <c r="F214" s="107"/>
      <c r="G214" s="107"/>
    </row>
    <row r="215" spans="1:7" x14ac:dyDescent="0.2">
      <c r="A215" s="107"/>
      <c r="B215" s="107"/>
      <c r="C215" s="107"/>
      <c r="D215" s="107"/>
      <c r="E215" s="107"/>
      <c r="F215" s="107"/>
      <c r="G215" s="107"/>
    </row>
    <row r="216" spans="1:7" x14ac:dyDescent="0.2">
      <c r="A216" s="107"/>
      <c r="B216" s="107"/>
      <c r="C216" s="107"/>
      <c r="D216" s="107"/>
      <c r="E216" s="107"/>
      <c r="F216" s="107"/>
      <c r="G216" s="107"/>
    </row>
    <row r="217" spans="1:7" x14ac:dyDescent="0.2">
      <c r="A217" s="107"/>
      <c r="B217" s="107"/>
      <c r="C217" s="107"/>
      <c r="D217" s="107"/>
      <c r="E217" s="107"/>
      <c r="F217" s="107"/>
      <c r="G217" s="107"/>
    </row>
    <row r="218" spans="1:7" x14ac:dyDescent="0.2">
      <c r="A218" s="107"/>
      <c r="B218" s="107"/>
      <c r="C218" s="107"/>
      <c r="D218" s="107"/>
      <c r="E218" s="107"/>
      <c r="F218" s="107"/>
      <c r="G218" s="107"/>
    </row>
    <row r="219" spans="1:7" x14ac:dyDescent="0.2">
      <c r="A219" s="107"/>
      <c r="B219" s="107"/>
      <c r="C219" s="107"/>
      <c r="D219" s="107"/>
      <c r="E219" s="107"/>
      <c r="F219" s="107"/>
      <c r="G219" s="107"/>
    </row>
    <row r="220" spans="1:7" x14ac:dyDescent="0.2">
      <c r="A220" s="107"/>
      <c r="B220" s="107"/>
      <c r="C220" s="107"/>
      <c r="D220" s="107"/>
      <c r="E220" s="107"/>
      <c r="F220" s="107"/>
      <c r="G220" s="107"/>
    </row>
    <row r="221" spans="1:7" x14ac:dyDescent="0.2">
      <c r="A221" s="107"/>
      <c r="B221" s="107"/>
      <c r="C221" s="107"/>
      <c r="D221" s="107"/>
      <c r="E221" s="107"/>
      <c r="F221" s="107"/>
      <c r="G221" s="107"/>
    </row>
    <row r="222" spans="1:7" x14ac:dyDescent="0.2">
      <c r="A222" s="107"/>
      <c r="B222" s="107"/>
      <c r="C222" s="107"/>
      <c r="D222" s="107"/>
      <c r="E222" s="107"/>
      <c r="F222" s="107"/>
      <c r="G222" s="107"/>
    </row>
    <row r="223" spans="1:7" x14ac:dyDescent="0.2">
      <c r="A223" s="107"/>
      <c r="B223" s="107"/>
      <c r="C223" s="107"/>
      <c r="D223" s="107"/>
      <c r="E223" s="107"/>
      <c r="F223" s="107"/>
      <c r="G223" s="107"/>
    </row>
    <row r="224" spans="1:7" x14ac:dyDescent="0.2">
      <c r="A224" s="107"/>
      <c r="B224" s="107"/>
      <c r="C224" s="107"/>
      <c r="D224" s="107"/>
      <c r="E224" s="107"/>
      <c r="F224" s="107"/>
      <c r="G224" s="107"/>
    </row>
    <row r="225" spans="1:7" x14ac:dyDescent="0.2">
      <c r="A225" s="107"/>
      <c r="B225" s="107"/>
      <c r="C225" s="107"/>
      <c r="D225" s="107"/>
      <c r="E225" s="107"/>
      <c r="F225" s="107"/>
      <c r="G225" s="107"/>
    </row>
    <row r="226" spans="1:7" x14ac:dyDescent="0.2">
      <c r="A226" s="107"/>
      <c r="B226" s="107"/>
      <c r="C226" s="107"/>
      <c r="D226" s="107"/>
      <c r="E226" s="107"/>
      <c r="F226" s="107"/>
      <c r="G226" s="107"/>
    </row>
    <row r="227" spans="1:7" x14ac:dyDescent="0.2">
      <c r="A227" s="107"/>
      <c r="B227" s="107"/>
      <c r="C227" s="107"/>
      <c r="D227" s="107"/>
      <c r="E227" s="107"/>
      <c r="F227" s="107"/>
      <c r="G227" s="107"/>
    </row>
    <row r="228" spans="1:7" x14ac:dyDescent="0.2">
      <c r="A228" s="107"/>
      <c r="B228" s="107"/>
      <c r="C228" s="107"/>
      <c r="D228" s="107"/>
      <c r="E228" s="107"/>
      <c r="F228" s="107"/>
      <c r="G228" s="107"/>
    </row>
    <row r="229" spans="1:7" x14ac:dyDescent="0.2">
      <c r="A229" s="107"/>
      <c r="B229" s="107"/>
      <c r="C229" s="107"/>
      <c r="D229" s="107"/>
      <c r="E229" s="107"/>
      <c r="F229" s="107"/>
      <c r="G229" s="107"/>
    </row>
    <row r="230" spans="1:7" x14ac:dyDescent="0.2">
      <c r="A230" s="107"/>
      <c r="B230" s="107"/>
      <c r="C230" s="107"/>
      <c r="D230" s="107"/>
      <c r="E230" s="107"/>
      <c r="F230" s="107"/>
      <c r="G230" s="107"/>
    </row>
    <row r="231" spans="1:7" x14ac:dyDescent="0.2">
      <c r="A231" s="107"/>
      <c r="B231" s="107"/>
      <c r="C231" s="107"/>
      <c r="D231" s="107"/>
      <c r="E231" s="107"/>
      <c r="F231" s="107"/>
      <c r="G231" s="107"/>
    </row>
    <row r="232" spans="1:7" x14ac:dyDescent="0.2">
      <c r="A232" s="107"/>
      <c r="B232" s="107"/>
      <c r="C232" s="107"/>
      <c r="D232" s="107"/>
      <c r="E232" s="107"/>
      <c r="F232" s="107"/>
      <c r="G232" s="107"/>
    </row>
    <row r="233" spans="1:7" x14ac:dyDescent="0.2">
      <c r="A233" s="107"/>
      <c r="B233" s="107"/>
      <c r="C233" s="107"/>
      <c r="D233" s="107"/>
      <c r="E233" s="107"/>
      <c r="F233" s="107"/>
      <c r="G233" s="107"/>
    </row>
    <row r="234" spans="1:7" x14ac:dyDescent="0.2">
      <c r="A234" s="107"/>
      <c r="B234" s="107"/>
      <c r="C234" s="107"/>
      <c r="D234" s="107"/>
      <c r="E234" s="107"/>
      <c r="F234" s="107"/>
      <c r="G234" s="107"/>
    </row>
    <row r="235" spans="1:7" x14ac:dyDescent="0.2">
      <c r="A235" s="107"/>
      <c r="B235" s="107"/>
      <c r="C235" s="107"/>
      <c r="D235" s="107"/>
      <c r="E235" s="107"/>
      <c r="F235" s="107"/>
      <c r="G235" s="107"/>
    </row>
  </sheetData>
  <mergeCells count="46">
    <mergeCell ref="A148:D148"/>
    <mergeCell ref="A149:D149"/>
    <mergeCell ref="A150:D150"/>
    <mergeCell ref="A151:D151"/>
    <mergeCell ref="A137:D137"/>
    <mergeCell ref="A138:D138"/>
    <mergeCell ref="A140:D140"/>
    <mergeCell ref="A141:D141"/>
    <mergeCell ref="A142:D142"/>
    <mergeCell ref="A143:D143"/>
    <mergeCell ref="A127:D127"/>
    <mergeCell ref="A128:D128"/>
    <mergeCell ref="A130:G130"/>
    <mergeCell ref="A134:D134"/>
    <mergeCell ref="A135:D135"/>
    <mergeCell ref="A136:D136"/>
    <mergeCell ref="A103:D103"/>
    <mergeCell ref="A104:D104"/>
    <mergeCell ref="A105:D105"/>
    <mergeCell ref="A106:D106"/>
    <mergeCell ref="A107:D107"/>
    <mergeCell ref="A112:G112"/>
    <mergeCell ref="A75:D75"/>
    <mergeCell ref="A78:D78"/>
    <mergeCell ref="A79:D79"/>
    <mergeCell ref="A80:D80"/>
    <mergeCell ref="A85:G85"/>
    <mergeCell ref="A99:D99"/>
    <mergeCell ref="A65:D65"/>
    <mergeCell ref="A67:D67"/>
    <mergeCell ref="A68:D68"/>
    <mergeCell ref="A69:D69"/>
    <mergeCell ref="A70:D70"/>
    <mergeCell ref="A74:D74"/>
    <mergeCell ref="A41:D41"/>
    <mergeCell ref="A42:D42"/>
    <mergeCell ref="A43:D43"/>
    <mergeCell ref="A48:G48"/>
    <mergeCell ref="A63:D63"/>
    <mergeCell ref="A64:D64"/>
    <mergeCell ref="A4:G4"/>
    <mergeCell ref="A18:D18"/>
    <mergeCell ref="A28:D28"/>
    <mergeCell ref="A30:D30"/>
    <mergeCell ref="A37:D37"/>
    <mergeCell ref="A40:D40"/>
  </mergeCell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4"/>
  <sheetViews>
    <sheetView workbookViewId="0">
      <selection activeCell="B1" sqref="B1"/>
    </sheetView>
  </sheetViews>
  <sheetFormatPr baseColWidth="10" defaultRowHeight="15" x14ac:dyDescent="0.2"/>
  <cols>
    <col min="1" max="1" width="46.83203125" style="106" customWidth="1"/>
    <col min="2" max="2" width="10.83203125" style="106"/>
    <col min="3" max="3" width="4.6640625" style="106" customWidth="1"/>
    <col min="4" max="4" width="4.83203125" style="106" customWidth="1"/>
    <col min="5" max="5" width="10.83203125" style="106"/>
    <col min="6" max="6" width="7" style="106" customWidth="1"/>
    <col min="7" max="7" width="5" style="106" customWidth="1"/>
    <col min="8" max="16384" width="10.83203125" style="106"/>
  </cols>
  <sheetData>
    <row r="1" spans="1:7" x14ac:dyDescent="0.2">
      <c r="A1" s="458" t="s">
        <v>3731</v>
      </c>
    </row>
    <row r="3" spans="1:7" x14ac:dyDescent="0.2">
      <c r="A3" s="113" t="s">
        <v>1111</v>
      </c>
    </row>
    <row r="4" spans="1:7" ht="33" customHeight="1" x14ac:dyDescent="0.2">
      <c r="A4" s="953" t="s">
        <v>3699</v>
      </c>
      <c r="B4" s="954"/>
      <c r="C4" s="954"/>
      <c r="D4" s="954"/>
      <c r="E4" s="954"/>
      <c r="F4" s="954"/>
      <c r="G4" s="955"/>
    </row>
    <row r="5" spans="1:7" x14ac:dyDescent="0.2">
      <c r="A5" s="131" t="s">
        <v>3609</v>
      </c>
      <c r="B5" s="145">
        <v>2146719</v>
      </c>
      <c r="C5" s="145">
        <v>800</v>
      </c>
      <c r="D5" s="145"/>
      <c r="E5" s="145"/>
      <c r="F5" s="145"/>
      <c r="G5" s="307"/>
    </row>
    <row r="6" spans="1:7" x14ac:dyDescent="0.2">
      <c r="A6" s="131" t="s">
        <v>1573</v>
      </c>
      <c r="B6" s="145">
        <v>4219</v>
      </c>
      <c r="C6" s="145">
        <v>778</v>
      </c>
      <c r="D6" s="145"/>
      <c r="E6" s="145"/>
      <c r="F6" s="145"/>
      <c r="G6" s="307"/>
    </row>
    <row r="7" spans="1:7" x14ac:dyDescent="0.2">
      <c r="A7" s="140" t="s">
        <v>1175</v>
      </c>
      <c r="B7" s="145">
        <v>35896</v>
      </c>
      <c r="C7" s="145">
        <v>345</v>
      </c>
      <c r="D7" s="145"/>
      <c r="E7" s="145"/>
      <c r="F7" s="145"/>
      <c r="G7" s="307"/>
    </row>
    <row r="8" spans="1:7" x14ac:dyDescent="0.2">
      <c r="A8" s="140" t="s">
        <v>3287</v>
      </c>
      <c r="B8" s="145">
        <v>7513</v>
      </c>
      <c r="C8" s="145">
        <v>895</v>
      </c>
      <c r="D8" s="145"/>
      <c r="E8" s="145"/>
      <c r="F8" s="145"/>
      <c r="G8" s="307"/>
    </row>
    <row r="9" spans="1:7" x14ac:dyDescent="0.2">
      <c r="A9" s="140" t="s">
        <v>1808</v>
      </c>
      <c r="B9" s="145">
        <v>52397</v>
      </c>
      <c r="C9" s="145">
        <v>875</v>
      </c>
      <c r="D9" s="145"/>
      <c r="E9" s="145"/>
      <c r="F9" s="145"/>
      <c r="G9" s="307"/>
    </row>
    <row r="10" spans="1:7" x14ac:dyDescent="0.2">
      <c r="A10" s="140" t="s">
        <v>1991</v>
      </c>
      <c r="B10" s="145">
        <v>250000</v>
      </c>
      <c r="C10" s="145"/>
      <c r="D10" s="145"/>
      <c r="E10" s="145"/>
      <c r="F10" s="145"/>
      <c r="G10" s="307"/>
    </row>
    <row r="11" spans="1:7" x14ac:dyDescent="0.2">
      <c r="A11" s="140" t="s">
        <v>1569</v>
      </c>
      <c r="B11" s="145">
        <v>1049995</v>
      </c>
      <c r="C11" s="145">
        <v>450</v>
      </c>
      <c r="D11" s="145"/>
      <c r="E11" s="145"/>
      <c r="F11" s="145"/>
      <c r="G11" s="307"/>
    </row>
    <row r="12" spans="1:7" x14ac:dyDescent="0.2">
      <c r="A12" s="140" t="s">
        <v>3612</v>
      </c>
      <c r="B12" s="145">
        <v>37502</v>
      </c>
      <c r="C12" s="145">
        <v>900</v>
      </c>
      <c r="D12" s="145"/>
      <c r="E12" s="145"/>
      <c r="F12" s="145"/>
      <c r="G12" s="307"/>
    </row>
    <row r="13" spans="1:7" x14ac:dyDescent="0.2">
      <c r="A13" s="140" t="s">
        <v>2763</v>
      </c>
      <c r="B13" s="145">
        <v>279379</v>
      </c>
      <c r="C13" s="145">
        <v>800</v>
      </c>
      <c r="D13" s="145"/>
      <c r="E13" s="145"/>
      <c r="F13" s="145"/>
      <c r="G13" s="307"/>
    </row>
    <row r="14" spans="1:7" x14ac:dyDescent="0.2">
      <c r="A14" s="140" t="s">
        <v>3675</v>
      </c>
      <c r="B14" s="145">
        <v>92796</v>
      </c>
      <c r="C14" s="145">
        <v>900</v>
      </c>
      <c r="D14" s="145"/>
      <c r="E14" s="145"/>
      <c r="F14" s="145"/>
      <c r="G14" s="307"/>
    </row>
    <row r="15" spans="1:7" ht="16" thickBot="1" x14ac:dyDescent="0.25">
      <c r="A15" s="140" t="s">
        <v>3701</v>
      </c>
      <c r="B15" s="187">
        <v>13758</v>
      </c>
      <c r="C15" s="187">
        <v>350</v>
      </c>
      <c r="D15" s="187"/>
      <c r="E15" s="187">
        <v>3970181</v>
      </c>
      <c r="F15" s="187">
        <v>93</v>
      </c>
      <c r="G15" s="444"/>
    </row>
    <row r="16" spans="1:7" ht="16" thickBot="1" x14ac:dyDescent="0.25">
      <c r="A16" s="140"/>
      <c r="B16" s="145"/>
      <c r="C16" s="145"/>
      <c r="D16" s="145"/>
      <c r="E16" s="866">
        <f>+SUM(B5:B15)</f>
        <v>3970174</v>
      </c>
      <c r="F16" s="866">
        <f>+SUM(C5:C15)</f>
        <v>7093</v>
      </c>
      <c r="G16" s="866">
        <f>+SUM(D5:D15)</f>
        <v>0</v>
      </c>
    </row>
    <row r="17" spans="1:8" ht="16" thickBot="1" x14ac:dyDescent="0.25">
      <c r="A17" s="797" t="s">
        <v>3732</v>
      </c>
      <c r="B17" s="798"/>
      <c r="C17" s="798"/>
      <c r="D17" s="798"/>
      <c r="E17" s="187">
        <v>3991625</v>
      </c>
      <c r="F17" s="187">
        <v>808</v>
      </c>
      <c r="G17" s="444"/>
    </row>
    <row r="18" spans="1:8" x14ac:dyDescent="0.2">
      <c r="A18" s="797"/>
      <c r="B18" s="798"/>
      <c r="C18" s="798"/>
      <c r="D18" s="798"/>
      <c r="E18" s="145"/>
      <c r="F18" s="145"/>
      <c r="G18" s="307"/>
    </row>
    <row r="19" spans="1:8" ht="29.5" customHeight="1" x14ac:dyDescent="0.2">
      <c r="A19" s="585" t="s">
        <v>3733</v>
      </c>
      <c r="B19" s="586"/>
      <c r="C19" s="586"/>
      <c r="D19" s="586"/>
      <c r="E19" s="586"/>
      <c r="F19" s="586"/>
      <c r="G19" s="587"/>
    </row>
    <row r="20" spans="1:8" x14ac:dyDescent="0.2">
      <c r="A20" s="897" t="s">
        <v>3734</v>
      </c>
      <c r="B20" s="657"/>
      <c r="C20" s="657"/>
      <c r="D20" s="657"/>
      <c r="E20" s="145"/>
      <c r="F20" s="145"/>
      <c r="G20" s="307"/>
    </row>
    <row r="21" spans="1:8" x14ac:dyDescent="0.2">
      <c r="A21" s="908" t="s">
        <v>1175</v>
      </c>
      <c r="B21" s="657">
        <v>54</v>
      </c>
      <c r="C21" s="657">
        <v>850</v>
      </c>
      <c r="D21" s="657"/>
      <c r="E21" s="145"/>
      <c r="F21" s="145"/>
      <c r="G21" s="307"/>
    </row>
    <row r="22" spans="1:8" ht="16" thickBot="1" x14ac:dyDescent="0.25">
      <c r="A22" s="908" t="s">
        <v>2763</v>
      </c>
      <c r="B22" s="1085">
        <v>9</v>
      </c>
      <c r="C22" s="1085">
        <v>300</v>
      </c>
      <c r="D22" s="1085"/>
      <c r="E22" s="145">
        <v>64</v>
      </c>
      <c r="F22" s="145">
        <v>150</v>
      </c>
      <c r="G22" s="307"/>
    </row>
    <row r="23" spans="1:8" x14ac:dyDescent="0.2">
      <c r="A23" s="897" t="s">
        <v>3735</v>
      </c>
      <c r="B23" s="657"/>
      <c r="C23" s="657"/>
      <c r="D23" s="657"/>
      <c r="E23" s="145"/>
      <c r="F23" s="145"/>
      <c r="G23" s="307"/>
    </row>
    <row r="24" spans="1:8" ht="16" thickBot="1" x14ac:dyDescent="0.25">
      <c r="A24" s="908" t="s">
        <v>1174</v>
      </c>
      <c r="B24" s="1085">
        <v>45</v>
      </c>
      <c r="C24" s="1085">
        <v>600</v>
      </c>
      <c r="D24" s="1085"/>
      <c r="E24" s="145"/>
      <c r="F24" s="145"/>
      <c r="G24" s="307"/>
    </row>
    <row r="25" spans="1:8" x14ac:dyDescent="0.2">
      <c r="A25" s="897" t="s">
        <v>3736</v>
      </c>
      <c r="B25" s="657"/>
      <c r="C25" s="657"/>
      <c r="D25" s="657"/>
      <c r="E25" s="145"/>
      <c r="F25" s="145"/>
      <c r="G25" s="307"/>
    </row>
    <row r="26" spans="1:8" x14ac:dyDescent="0.2">
      <c r="A26" s="908" t="s">
        <v>1174</v>
      </c>
      <c r="B26" s="657">
        <v>101</v>
      </c>
      <c r="C26" s="657">
        <v>650</v>
      </c>
      <c r="D26" s="657"/>
      <c r="E26" s="145"/>
      <c r="F26" s="145"/>
      <c r="G26" s="307"/>
    </row>
    <row r="27" spans="1:8" x14ac:dyDescent="0.2">
      <c r="A27" s="908" t="s">
        <v>3287</v>
      </c>
      <c r="B27" s="657">
        <v>20</v>
      </c>
      <c r="C27" s="657">
        <v>925</v>
      </c>
      <c r="D27" s="657"/>
      <c r="E27" s="145"/>
      <c r="F27" s="145"/>
      <c r="G27" s="307"/>
    </row>
    <row r="28" spans="1:8" x14ac:dyDescent="0.2">
      <c r="A28" s="908" t="s">
        <v>3612</v>
      </c>
      <c r="B28" s="657">
        <v>178</v>
      </c>
      <c r="C28" s="657"/>
      <c r="D28" s="657"/>
      <c r="E28" s="145"/>
      <c r="F28" s="145"/>
      <c r="G28" s="307"/>
    </row>
    <row r="29" spans="1:8" ht="16" thickBot="1" x14ac:dyDescent="0.25">
      <c r="A29" s="908" t="s">
        <v>2763</v>
      </c>
      <c r="B29" s="1085">
        <v>126</v>
      </c>
      <c r="C29" s="1085">
        <v>100</v>
      </c>
      <c r="D29" s="1085"/>
      <c r="E29" s="145"/>
      <c r="F29" s="145"/>
      <c r="G29" s="307"/>
    </row>
    <row r="30" spans="1:8" x14ac:dyDescent="0.2">
      <c r="A30" s="897" t="s">
        <v>3737</v>
      </c>
      <c r="B30" s="657"/>
      <c r="C30" s="657"/>
      <c r="D30" s="657"/>
      <c r="E30" s="145"/>
      <c r="F30" s="145"/>
      <c r="G30" s="307"/>
      <c r="H30" s="107"/>
    </row>
    <row r="31" spans="1:8" x14ac:dyDescent="0.2">
      <c r="A31" s="908" t="s">
        <v>1174</v>
      </c>
      <c r="B31" s="657">
        <v>62974</v>
      </c>
      <c r="C31" s="657">
        <v>300</v>
      </c>
      <c r="D31" s="657"/>
      <c r="E31" s="145"/>
      <c r="F31" s="145"/>
      <c r="G31" s="307"/>
    </row>
    <row r="32" spans="1:8" x14ac:dyDescent="0.2">
      <c r="A32" s="908" t="s">
        <v>1175</v>
      </c>
      <c r="B32" s="657">
        <v>1643</v>
      </c>
      <c r="C32" s="657">
        <v>140</v>
      </c>
      <c r="D32" s="657"/>
      <c r="E32" s="145"/>
      <c r="F32" s="145"/>
      <c r="G32" s="307"/>
    </row>
    <row r="33" spans="1:7" x14ac:dyDescent="0.2">
      <c r="A33" s="908" t="s">
        <v>3287</v>
      </c>
      <c r="B33" s="657">
        <v>2415</v>
      </c>
      <c r="C33" s="657">
        <v>25</v>
      </c>
      <c r="D33" s="657"/>
      <c r="E33" s="145"/>
      <c r="F33" s="145"/>
      <c r="G33" s="307"/>
    </row>
    <row r="34" spans="1:7" x14ac:dyDescent="0.2">
      <c r="A34" s="908" t="s">
        <v>1808</v>
      </c>
      <c r="B34" s="657">
        <v>232</v>
      </c>
      <c r="C34" s="657">
        <v>400</v>
      </c>
      <c r="D34" s="657"/>
      <c r="E34" s="145"/>
      <c r="F34" s="145"/>
      <c r="G34" s="307"/>
    </row>
    <row r="35" spans="1:7" x14ac:dyDescent="0.2">
      <c r="A35" s="908" t="s">
        <v>1569</v>
      </c>
      <c r="B35" s="657">
        <v>8321</v>
      </c>
      <c r="C35" s="657">
        <v>800</v>
      </c>
      <c r="D35" s="657"/>
      <c r="E35" s="145"/>
      <c r="F35" s="145"/>
      <c r="G35" s="307"/>
    </row>
    <row r="36" spans="1:7" x14ac:dyDescent="0.2">
      <c r="A36" s="908" t="s">
        <v>3612</v>
      </c>
      <c r="B36" s="657">
        <v>198</v>
      </c>
      <c r="C36" s="657"/>
      <c r="D36" s="657"/>
      <c r="E36" s="145"/>
      <c r="F36" s="145"/>
      <c r="G36" s="307"/>
    </row>
    <row r="37" spans="1:7" x14ac:dyDescent="0.2">
      <c r="A37" s="908" t="s">
        <v>2763</v>
      </c>
      <c r="B37" s="657">
        <v>7525</v>
      </c>
      <c r="C37" s="657">
        <v>570</v>
      </c>
      <c r="D37" s="657"/>
      <c r="E37" s="145"/>
      <c r="F37" s="145"/>
      <c r="G37" s="307"/>
    </row>
    <row r="38" spans="1:7" ht="16" thickBot="1" x14ac:dyDescent="0.25">
      <c r="A38" s="908" t="s">
        <v>3675</v>
      </c>
      <c r="B38" s="1085">
        <v>163</v>
      </c>
      <c r="C38" s="1085"/>
      <c r="D38" s="1085"/>
      <c r="E38" s="145">
        <v>83473</v>
      </c>
      <c r="F38" s="145">
        <v>235</v>
      </c>
      <c r="G38" s="307"/>
    </row>
    <row r="39" spans="1:7" x14ac:dyDescent="0.2">
      <c r="A39" s="897" t="s">
        <v>3738</v>
      </c>
      <c r="B39" s="657"/>
      <c r="C39" s="657"/>
      <c r="D39" s="657"/>
      <c r="E39" s="145"/>
      <c r="F39" s="145"/>
      <c r="G39" s="307"/>
    </row>
    <row r="40" spans="1:7" x14ac:dyDescent="0.2">
      <c r="A40" s="908" t="s">
        <v>1174</v>
      </c>
      <c r="B40" s="657">
        <v>2035080</v>
      </c>
      <c r="C40" s="657">
        <v>250</v>
      </c>
      <c r="D40" s="657"/>
      <c r="E40" s="145"/>
      <c r="F40" s="145"/>
      <c r="G40" s="307"/>
    </row>
    <row r="41" spans="1:7" x14ac:dyDescent="0.2">
      <c r="A41" s="908" t="s">
        <v>1573</v>
      </c>
      <c r="B41" s="657">
        <v>4219</v>
      </c>
      <c r="C41" s="657">
        <v>778</v>
      </c>
      <c r="D41" s="657"/>
      <c r="E41" s="145"/>
      <c r="F41" s="145"/>
      <c r="G41" s="307"/>
    </row>
    <row r="42" spans="1:7" x14ac:dyDescent="0.2">
      <c r="A42" s="908" t="s">
        <v>1175</v>
      </c>
      <c r="B42" s="657">
        <v>35833</v>
      </c>
      <c r="C42" s="657">
        <v>370</v>
      </c>
      <c r="D42" s="657"/>
      <c r="E42" s="145"/>
      <c r="F42" s="145"/>
      <c r="G42" s="307"/>
    </row>
    <row r="43" spans="1:7" x14ac:dyDescent="0.2">
      <c r="A43" s="908" t="s">
        <v>3287</v>
      </c>
      <c r="B43" s="657">
        <v>7493</v>
      </c>
      <c r="C43" s="657">
        <v>245</v>
      </c>
      <c r="D43" s="657"/>
      <c r="E43" s="145"/>
      <c r="F43" s="145"/>
      <c r="G43" s="307"/>
    </row>
    <row r="44" spans="1:7" x14ac:dyDescent="0.2">
      <c r="A44" s="908" t="s">
        <v>1808</v>
      </c>
      <c r="B44" s="657">
        <v>49139</v>
      </c>
      <c r="C44" s="657">
        <v>500</v>
      </c>
      <c r="D44" s="657"/>
      <c r="E44" s="145"/>
      <c r="F44" s="145"/>
      <c r="G44" s="307"/>
    </row>
    <row r="45" spans="1:7" x14ac:dyDescent="0.2">
      <c r="A45" s="908" t="s">
        <v>1991</v>
      </c>
      <c r="B45" s="657">
        <v>250000</v>
      </c>
      <c r="C45" s="657"/>
      <c r="D45" s="657"/>
      <c r="E45" s="145"/>
      <c r="F45" s="145"/>
      <c r="G45" s="307"/>
    </row>
    <row r="46" spans="1:7" x14ac:dyDescent="0.2">
      <c r="A46" s="908" t="s">
        <v>1569</v>
      </c>
      <c r="B46" s="657">
        <v>1049995</v>
      </c>
      <c r="C46" s="657">
        <v>450</v>
      </c>
      <c r="D46" s="657"/>
      <c r="E46" s="145"/>
      <c r="F46" s="145"/>
      <c r="G46" s="307"/>
    </row>
    <row r="47" spans="1:7" x14ac:dyDescent="0.2">
      <c r="A47" s="908" t="s">
        <v>3612</v>
      </c>
      <c r="B47" s="657">
        <v>37502</v>
      </c>
      <c r="C47" s="657">
        <v>900</v>
      </c>
      <c r="D47" s="657"/>
      <c r="E47" s="145"/>
      <c r="F47" s="145"/>
      <c r="G47" s="307"/>
    </row>
    <row r="48" spans="1:7" x14ac:dyDescent="0.2">
      <c r="A48" s="908" t="s">
        <v>2763</v>
      </c>
      <c r="B48" s="657">
        <v>276363</v>
      </c>
      <c r="C48" s="657">
        <v>375</v>
      </c>
      <c r="D48" s="657"/>
      <c r="E48" s="145"/>
      <c r="F48" s="145"/>
      <c r="G48" s="307"/>
    </row>
    <row r="49" spans="1:7" x14ac:dyDescent="0.2">
      <c r="A49" s="908" t="s">
        <v>3675</v>
      </c>
      <c r="B49" s="657">
        <v>92796</v>
      </c>
      <c r="C49" s="657">
        <v>900</v>
      </c>
      <c r="D49" s="657"/>
      <c r="E49" s="145"/>
      <c r="F49" s="145"/>
      <c r="G49" s="307"/>
    </row>
    <row r="50" spans="1:7" ht="16" thickBot="1" x14ac:dyDescent="0.25">
      <c r="A50" s="908" t="s">
        <v>3701</v>
      </c>
      <c r="B50" s="1085">
        <v>5450</v>
      </c>
      <c r="C50" s="1085">
        <v>350</v>
      </c>
      <c r="D50" s="1085"/>
      <c r="E50" s="187">
        <v>3843875</v>
      </c>
      <c r="F50" s="187">
        <v>118</v>
      </c>
      <c r="G50" s="444"/>
    </row>
    <row r="51" spans="1:7" ht="16" thickBot="1" x14ac:dyDescent="0.25">
      <c r="A51" s="908"/>
      <c r="B51" s="657"/>
      <c r="C51" s="657"/>
      <c r="D51" s="657"/>
      <c r="E51" s="584">
        <f>+SUM(B40:B50)</f>
        <v>3843870</v>
      </c>
      <c r="F51" s="584">
        <f>+SUM(C40:C50)</f>
        <v>5118</v>
      </c>
      <c r="G51" s="584">
        <f>+SUM(D40:D50)</f>
        <v>0</v>
      </c>
    </row>
    <row r="52" spans="1:7" ht="23" customHeight="1" thickBot="1" x14ac:dyDescent="0.25">
      <c r="A52" s="797" t="s">
        <v>3739</v>
      </c>
      <c r="B52" s="798"/>
      <c r="C52" s="798"/>
      <c r="D52" s="798"/>
      <c r="E52" s="448">
        <v>3927804</v>
      </c>
      <c r="F52" s="448">
        <v>778</v>
      </c>
      <c r="G52" s="449"/>
    </row>
    <row r="53" spans="1:7" ht="32.5" customHeight="1" x14ac:dyDescent="0.2">
      <c r="A53" s="585" t="s">
        <v>3740</v>
      </c>
      <c r="B53" s="586"/>
      <c r="C53" s="586"/>
      <c r="D53" s="586"/>
      <c r="E53" s="586"/>
      <c r="F53" s="586"/>
      <c r="G53" s="587"/>
    </row>
    <row r="54" spans="1:7" x14ac:dyDescent="0.2">
      <c r="A54" s="588" t="s">
        <v>3741</v>
      </c>
      <c r="B54" s="589"/>
      <c r="C54" s="589"/>
      <c r="D54" s="589"/>
      <c r="E54" s="145">
        <v>234702</v>
      </c>
      <c r="F54" s="145">
        <v>60</v>
      </c>
      <c r="G54" s="307"/>
    </row>
    <row r="55" spans="1:7" ht="16" thickBot="1" x14ac:dyDescent="0.25">
      <c r="A55" s="588" t="s">
        <v>3742</v>
      </c>
      <c r="B55" s="589"/>
      <c r="C55" s="589"/>
      <c r="D55" s="589"/>
      <c r="E55" s="145">
        <v>393106</v>
      </c>
      <c r="F55" s="145">
        <v>150</v>
      </c>
      <c r="G55" s="307"/>
    </row>
    <row r="56" spans="1:7" ht="16" thickBot="1" x14ac:dyDescent="0.25">
      <c r="A56" s="772" t="s">
        <v>3677</v>
      </c>
      <c r="B56" s="773"/>
      <c r="C56" s="773"/>
      <c r="D56" s="773"/>
      <c r="E56" s="448">
        <v>627808</v>
      </c>
      <c r="F56" s="448">
        <v>210</v>
      </c>
      <c r="G56" s="449"/>
    </row>
    <row r="57" spans="1:7" x14ac:dyDescent="0.2">
      <c r="A57" s="107"/>
      <c r="B57" s="107"/>
      <c r="C57" s="107"/>
      <c r="D57" s="107"/>
      <c r="E57" s="107"/>
      <c r="F57" s="107"/>
      <c r="G57" s="107"/>
    </row>
    <row r="58" spans="1:7" x14ac:dyDescent="0.2">
      <c r="A58" s="107"/>
      <c r="B58" s="107"/>
      <c r="C58" s="107"/>
      <c r="D58" s="107"/>
      <c r="E58" s="107"/>
      <c r="F58" s="107"/>
      <c r="G58" s="107"/>
    </row>
    <row r="59" spans="1:7" x14ac:dyDescent="0.2">
      <c r="A59" s="107"/>
      <c r="B59" s="107"/>
      <c r="C59" s="107"/>
      <c r="D59" s="107"/>
      <c r="E59" s="107"/>
      <c r="F59" s="107"/>
      <c r="G59" s="107"/>
    </row>
    <row r="60" spans="1:7" x14ac:dyDescent="0.2">
      <c r="A60" s="526" t="s">
        <v>3626</v>
      </c>
      <c r="B60" s="107"/>
      <c r="C60" s="107"/>
      <c r="D60" s="107"/>
      <c r="E60" s="107"/>
      <c r="F60" s="107"/>
      <c r="G60" s="107"/>
    </row>
    <row r="61" spans="1:7" ht="38.5" customHeight="1" x14ac:dyDescent="0.2">
      <c r="A61" s="953" t="s">
        <v>3710</v>
      </c>
      <c r="B61" s="954"/>
      <c r="C61" s="954"/>
      <c r="D61" s="954"/>
      <c r="E61" s="954"/>
      <c r="F61" s="954"/>
      <c r="G61" s="955"/>
    </row>
    <row r="62" spans="1:7" ht="16" x14ac:dyDescent="0.2">
      <c r="A62" s="131" t="s">
        <v>2043</v>
      </c>
      <c r="B62" s="145">
        <v>176776</v>
      </c>
      <c r="C62" s="145">
        <v>250</v>
      </c>
      <c r="D62" s="1081"/>
      <c r="E62" s="1081"/>
      <c r="F62" s="1081"/>
      <c r="G62" s="1082"/>
    </row>
    <row r="63" spans="1:7" ht="16" x14ac:dyDescent="0.2">
      <c r="A63" s="131" t="s">
        <v>2044</v>
      </c>
      <c r="B63" s="145">
        <v>32106</v>
      </c>
      <c r="C63" s="145">
        <v>950</v>
      </c>
      <c r="D63" s="1081"/>
      <c r="E63" s="1081"/>
      <c r="F63" s="1081"/>
      <c r="G63" s="1082"/>
    </row>
    <row r="64" spans="1:7" ht="16" x14ac:dyDescent="0.2">
      <c r="A64" s="131" t="s">
        <v>2042</v>
      </c>
      <c r="B64" s="145">
        <v>50557</v>
      </c>
      <c r="C64" s="145">
        <v>750</v>
      </c>
      <c r="D64" s="1081"/>
      <c r="E64" s="1081"/>
      <c r="F64" s="1081"/>
      <c r="G64" s="1082"/>
    </row>
    <row r="65" spans="1:7" ht="16" x14ac:dyDescent="0.2">
      <c r="A65" s="131" t="s">
        <v>2047</v>
      </c>
      <c r="B65" s="145">
        <v>25009</v>
      </c>
      <c r="C65" s="145">
        <v>710</v>
      </c>
      <c r="D65" s="1081"/>
      <c r="E65" s="1081"/>
      <c r="F65" s="1081"/>
      <c r="G65" s="1082"/>
    </row>
    <row r="66" spans="1:7" ht="16" x14ac:dyDescent="0.2">
      <c r="A66" s="131" t="s">
        <v>2464</v>
      </c>
      <c r="B66" s="145">
        <v>75333</v>
      </c>
      <c r="C66" s="145">
        <v>550</v>
      </c>
      <c r="D66" s="1081"/>
      <c r="E66" s="1081"/>
      <c r="F66" s="1081"/>
      <c r="G66" s="1082"/>
    </row>
    <row r="67" spans="1:7" ht="16" x14ac:dyDescent="0.2">
      <c r="A67" s="131" t="s">
        <v>2045</v>
      </c>
      <c r="B67" s="145">
        <v>820023</v>
      </c>
      <c r="C67" s="145">
        <v>460</v>
      </c>
      <c r="D67" s="1081"/>
      <c r="E67" s="1081"/>
      <c r="F67" s="1081"/>
      <c r="G67" s="1082"/>
    </row>
    <row r="68" spans="1:7" ht="16" x14ac:dyDescent="0.2">
      <c r="A68" s="131" t="s">
        <v>1175</v>
      </c>
      <c r="B68" s="145">
        <v>140914</v>
      </c>
      <c r="C68" s="145">
        <v>315</v>
      </c>
      <c r="D68" s="1081"/>
      <c r="E68" s="1081"/>
      <c r="F68" s="1081"/>
      <c r="G68" s="1082"/>
    </row>
    <row r="69" spans="1:7" x14ac:dyDescent="0.2">
      <c r="A69" s="131" t="s">
        <v>3628</v>
      </c>
      <c r="B69" s="145">
        <v>412419</v>
      </c>
      <c r="C69" s="145">
        <v>613</v>
      </c>
      <c r="D69" s="145"/>
      <c r="E69" s="145"/>
      <c r="F69" s="145"/>
      <c r="G69" s="307"/>
    </row>
    <row r="70" spans="1:7" x14ac:dyDescent="0.2">
      <c r="A70" s="131" t="s">
        <v>2886</v>
      </c>
      <c r="B70" s="145">
        <v>3039</v>
      </c>
      <c r="C70" s="145">
        <v>650</v>
      </c>
      <c r="D70" s="145"/>
      <c r="E70" s="145"/>
      <c r="F70" s="145"/>
      <c r="G70" s="307"/>
    </row>
    <row r="71" spans="1:7" x14ac:dyDescent="0.2">
      <c r="A71" s="131" t="s">
        <v>2040</v>
      </c>
      <c r="B71" s="145">
        <v>310023</v>
      </c>
      <c r="C71" s="145">
        <v>500</v>
      </c>
      <c r="D71" s="145"/>
      <c r="E71" s="145"/>
      <c r="F71" s="145"/>
      <c r="G71" s="307"/>
    </row>
    <row r="72" spans="1:7" x14ac:dyDescent="0.2">
      <c r="A72" s="131" t="s">
        <v>2869</v>
      </c>
      <c r="B72" s="145">
        <v>43962</v>
      </c>
      <c r="C72" s="145">
        <v>275</v>
      </c>
      <c r="D72" s="145"/>
      <c r="E72" s="145"/>
      <c r="F72" s="145"/>
      <c r="G72" s="307"/>
    </row>
    <row r="73" spans="1:7" x14ac:dyDescent="0.2">
      <c r="A73" s="131" t="s">
        <v>2761</v>
      </c>
      <c r="B73" s="145">
        <v>3727</v>
      </c>
      <c r="C73" s="145">
        <v>400</v>
      </c>
      <c r="D73" s="145"/>
      <c r="E73" s="145"/>
      <c r="F73" s="145"/>
      <c r="G73" s="307"/>
    </row>
    <row r="74" spans="1:7" ht="16" thickBot="1" x14ac:dyDescent="0.25">
      <c r="A74" s="131" t="s">
        <v>2046</v>
      </c>
      <c r="B74" s="187">
        <v>5058</v>
      </c>
      <c r="C74" s="187">
        <v>600</v>
      </c>
      <c r="D74" s="187"/>
      <c r="E74" s="187">
        <v>2089823</v>
      </c>
      <c r="F74" s="187">
        <v>23</v>
      </c>
      <c r="G74" s="444"/>
    </row>
    <row r="75" spans="1:7" x14ac:dyDescent="0.2">
      <c r="A75" s="131"/>
      <c r="B75" s="145"/>
      <c r="C75" s="145"/>
      <c r="D75" s="145"/>
      <c r="E75" s="413">
        <f>+SUM(B62:B74)</f>
        <v>2098946</v>
      </c>
      <c r="F75" s="413">
        <f>+SUM(C62:C74)</f>
        <v>7023</v>
      </c>
      <c r="G75" s="413">
        <f>+SUM(D62:D74)</f>
        <v>0</v>
      </c>
    </row>
    <row r="76" spans="1:7" x14ac:dyDescent="0.2">
      <c r="A76" s="480" t="s">
        <v>3743</v>
      </c>
      <c r="B76" s="481"/>
      <c r="C76" s="481"/>
      <c r="D76" s="481"/>
      <c r="E76" s="145"/>
      <c r="F76" s="145"/>
      <c r="G76" s="307"/>
    </row>
    <row r="77" spans="1:7" x14ac:dyDescent="0.2">
      <c r="A77" s="480" t="s">
        <v>3744</v>
      </c>
      <c r="B77" s="481"/>
      <c r="C77" s="481"/>
      <c r="D77" s="481"/>
      <c r="E77" s="145">
        <v>298359</v>
      </c>
      <c r="F77" s="145">
        <v>285</v>
      </c>
      <c r="G77" s="307"/>
    </row>
    <row r="78" spans="1:7" x14ac:dyDescent="0.2">
      <c r="A78" s="480" t="s">
        <v>3745</v>
      </c>
      <c r="B78" s="481"/>
      <c r="C78" s="481"/>
      <c r="D78" s="481"/>
      <c r="E78" s="145">
        <v>225000</v>
      </c>
      <c r="F78" s="145"/>
      <c r="G78" s="307"/>
    </row>
    <row r="79" spans="1:7" x14ac:dyDescent="0.2">
      <c r="A79" s="480" t="s">
        <v>3746</v>
      </c>
      <c r="B79" s="481"/>
      <c r="C79" s="481"/>
      <c r="D79" s="481"/>
      <c r="E79" s="145">
        <v>300000</v>
      </c>
      <c r="F79" s="145"/>
      <c r="G79" s="307"/>
    </row>
    <row r="80" spans="1:7" x14ac:dyDescent="0.2">
      <c r="A80" s="480" t="s">
        <v>3747</v>
      </c>
      <c r="B80" s="481"/>
      <c r="C80" s="481"/>
      <c r="D80" s="481"/>
      <c r="E80" s="145">
        <v>1972240</v>
      </c>
      <c r="F80" s="145">
        <v>630</v>
      </c>
      <c r="G80" s="307"/>
    </row>
    <row r="81" spans="1:8" x14ac:dyDescent="0.2">
      <c r="A81" s="480" t="s">
        <v>3748</v>
      </c>
      <c r="B81" s="481"/>
      <c r="C81" s="481"/>
      <c r="D81" s="481"/>
      <c r="E81" s="145">
        <v>218299</v>
      </c>
      <c r="F81" s="145">
        <v>975</v>
      </c>
      <c r="G81" s="307"/>
    </row>
    <row r="82" spans="1:8" x14ac:dyDescent="0.2">
      <c r="A82" s="480" t="s">
        <v>3749</v>
      </c>
      <c r="B82" s="481"/>
      <c r="C82" s="481"/>
      <c r="D82" s="481"/>
      <c r="E82" s="145">
        <v>10320</v>
      </c>
      <c r="F82" s="145"/>
      <c r="G82" s="307"/>
    </row>
    <row r="83" spans="1:8" x14ac:dyDescent="0.2">
      <c r="A83" s="480" t="s">
        <v>3750</v>
      </c>
      <c r="B83" s="481"/>
      <c r="C83" s="481"/>
      <c r="D83" s="481"/>
      <c r="E83" s="145">
        <v>327895</v>
      </c>
      <c r="F83" s="145">
        <v>875</v>
      </c>
      <c r="G83" s="307"/>
    </row>
    <row r="84" spans="1:8" ht="16" thickBot="1" x14ac:dyDescent="0.25">
      <c r="A84" s="489" t="s">
        <v>3687</v>
      </c>
      <c r="B84" s="493"/>
      <c r="C84" s="493"/>
      <c r="D84" s="493"/>
      <c r="E84" s="187">
        <v>5441938</v>
      </c>
      <c r="F84" s="187">
        <v>788</v>
      </c>
      <c r="G84" s="444"/>
    </row>
    <row r="85" spans="1:8" x14ac:dyDescent="0.2">
      <c r="A85" s="622"/>
      <c r="B85" s="623"/>
      <c r="C85" s="623"/>
      <c r="D85" s="623"/>
      <c r="E85" s="138">
        <f>+E74+E77+E78+E79+E80+E81+E82+E83</f>
        <v>5441936</v>
      </c>
      <c r="F85" s="138">
        <f>+F74+F77+F78+F79+F80+F81+F82+F83</f>
        <v>2788</v>
      </c>
      <c r="G85" s="138">
        <f>+G74+G77+G78+G79+G80+G81+G82+G83</f>
        <v>0</v>
      </c>
      <c r="H85" s="107"/>
    </row>
    <row r="86" spans="1:8" x14ac:dyDescent="0.2">
      <c r="A86" s="480" t="s">
        <v>3751</v>
      </c>
      <c r="B86" s="481"/>
      <c r="C86" s="481"/>
      <c r="D86" s="481"/>
      <c r="E86" s="481"/>
      <c r="F86" s="481"/>
      <c r="G86" s="676"/>
    </row>
    <row r="87" spans="1:8" x14ac:dyDescent="0.2">
      <c r="A87" s="489" t="s">
        <v>3713</v>
      </c>
      <c r="B87" s="493"/>
      <c r="C87" s="493"/>
      <c r="D87" s="493"/>
      <c r="E87" s="145">
        <v>4555692</v>
      </c>
      <c r="F87" s="145">
        <v>998</v>
      </c>
      <c r="G87" s="307"/>
    </row>
    <row r="88" spans="1:8" x14ac:dyDescent="0.2">
      <c r="A88" s="489" t="s">
        <v>3714</v>
      </c>
      <c r="B88" s="493"/>
      <c r="C88" s="493"/>
      <c r="D88" s="493"/>
      <c r="E88" s="145">
        <v>5441938</v>
      </c>
      <c r="F88" s="145">
        <v>788</v>
      </c>
      <c r="G88" s="307"/>
    </row>
    <row r="89" spans="1:8" x14ac:dyDescent="0.2">
      <c r="A89" s="772" t="s">
        <v>3723</v>
      </c>
      <c r="B89" s="773"/>
      <c r="C89" s="773"/>
      <c r="D89" s="773"/>
      <c r="E89" s="309">
        <v>886245</v>
      </c>
      <c r="F89" s="309">
        <v>790</v>
      </c>
      <c r="G89" s="364"/>
    </row>
    <row r="90" spans="1:8" x14ac:dyDescent="0.2">
      <c r="A90" s="107"/>
      <c r="B90" s="107"/>
      <c r="C90" s="107"/>
      <c r="D90" s="107"/>
      <c r="E90" s="107"/>
      <c r="F90" s="107"/>
      <c r="G90" s="107"/>
    </row>
    <row r="91" spans="1:8" x14ac:dyDescent="0.2">
      <c r="A91" s="107"/>
      <c r="B91" s="107"/>
      <c r="C91" s="107"/>
      <c r="D91" s="107"/>
      <c r="E91" s="107"/>
      <c r="F91" s="107"/>
      <c r="G91" s="107"/>
    </row>
    <row r="92" spans="1:8" x14ac:dyDescent="0.2">
      <c r="A92" s="107"/>
      <c r="B92" s="107"/>
      <c r="C92" s="107"/>
      <c r="D92" s="107"/>
      <c r="E92" s="107"/>
      <c r="F92" s="107"/>
      <c r="G92" s="107"/>
    </row>
    <row r="93" spans="1:8" x14ac:dyDescent="0.2">
      <c r="A93" s="526" t="s">
        <v>1853</v>
      </c>
      <c r="B93" s="107"/>
      <c r="C93" s="107"/>
      <c r="D93" s="107"/>
      <c r="E93" s="107"/>
      <c r="F93" s="107"/>
      <c r="G93" s="107"/>
    </row>
    <row r="94" spans="1:8" ht="44" customHeight="1" x14ac:dyDescent="0.2">
      <c r="A94" s="953" t="s">
        <v>3752</v>
      </c>
      <c r="B94" s="954"/>
      <c r="C94" s="954"/>
      <c r="D94" s="954"/>
      <c r="E94" s="954"/>
      <c r="F94" s="954"/>
      <c r="G94" s="955"/>
    </row>
    <row r="95" spans="1:8" x14ac:dyDescent="0.2">
      <c r="A95" s="131" t="s">
        <v>3609</v>
      </c>
      <c r="B95" s="145">
        <v>3864532</v>
      </c>
      <c r="C95" s="145">
        <v>50</v>
      </c>
      <c r="D95" s="145"/>
      <c r="E95" s="145"/>
      <c r="F95" s="145"/>
      <c r="G95" s="307"/>
    </row>
    <row r="96" spans="1:8" x14ac:dyDescent="0.2">
      <c r="A96" s="131" t="s">
        <v>1573</v>
      </c>
      <c r="B96" s="145">
        <v>9162</v>
      </c>
      <c r="C96" s="145">
        <v>959</v>
      </c>
      <c r="D96" s="145"/>
      <c r="E96" s="145"/>
      <c r="F96" s="145"/>
      <c r="G96" s="307"/>
    </row>
    <row r="97" spans="1:7" x14ac:dyDescent="0.2">
      <c r="A97" s="140" t="s">
        <v>1175</v>
      </c>
      <c r="B97" s="145">
        <v>83376</v>
      </c>
      <c r="C97" s="145">
        <v>215</v>
      </c>
      <c r="D97" s="145"/>
      <c r="E97" s="145"/>
      <c r="F97" s="145"/>
      <c r="G97" s="307"/>
    </row>
    <row r="98" spans="1:7" x14ac:dyDescent="0.2">
      <c r="A98" s="140" t="s">
        <v>3287</v>
      </c>
      <c r="B98" s="145">
        <v>22252</v>
      </c>
      <c r="C98" s="145">
        <v>985</v>
      </c>
      <c r="D98" s="145"/>
      <c r="E98" s="145"/>
      <c r="F98" s="145"/>
      <c r="G98" s="307"/>
    </row>
    <row r="99" spans="1:7" x14ac:dyDescent="0.2">
      <c r="A99" s="140" t="s">
        <v>1808</v>
      </c>
      <c r="B99" s="145">
        <v>10032</v>
      </c>
      <c r="C99" s="145">
        <v>325</v>
      </c>
      <c r="D99" s="145"/>
      <c r="E99" s="145"/>
      <c r="F99" s="145"/>
      <c r="G99" s="307"/>
    </row>
    <row r="100" spans="1:7" x14ac:dyDescent="0.2">
      <c r="A100" s="140" t="s">
        <v>1991</v>
      </c>
      <c r="B100" s="145">
        <v>250000</v>
      </c>
      <c r="C100" s="145"/>
      <c r="D100" s="145"/>
      <c r="E100" s="145"/>
      <c r="F100" s="145"/>
      <c r="G100" s="307"/>
    </row>
    <row r="101" spans="1:7" x14ac:dyDescent="0.2">
      <c r="A101" s="140" t="s">
        <v>1569</v>
      </c>
      <c r="B101" s="145">
        <v>1415805</v>
      </c>
      <c r="C101" s="145">
        <v>150</v>
      </c>
      <c r="D101" s="145"/>
      <c r="E101" s="145"/>
      <c r="F101" s="145"/>
      <c r="G101" s="307"/>
    </row>
    <row r="102" spans="1:7" x14ac:dyDescent="0.2">
      <c r="A102" s="140" t="s">
        <v>2761</v>
      </c>
      <c r="B102" s="145">
        <v>82987</v>
      </c>
      <c r="C102" s="145">
        <v>925</v>
      </c>
      <c r="D102" s="145"/>
      <c r="E102" s="145"/>
      <c r="F102" s="145"/>
      <c r="G102" s="307"/>
    </row>
    <row r="103" spans="1:7" x14ac:dyDescent="0.2">
      <c r="A103" s="140" t="s">
        <v>2763</v>
      </c>
      <c r="B103" s="145">
        <v>883479</v>
      </c>
      <c r="C103" s="145">
        <v>450</v>
      </c>
      <c r="D103" s="145"/>
      <c r="E103" s="145"/>
      <c r="F103" s="145"/>
      <c r="G103" s="307"/>
    </row>
    <row r="104" spans="1:7" ht="16" thickBot="1" x14ac:dyDescent="0.25">
      <c r="A104" s="140" t="s">
        <v>3675</v>
      </c>
      <c r="B104" s="187">
        <v>129953</v>
      </c>
      <c r="C104" s="187">
        <v>850</v>
      </c>
      <c r="D104" s="187"/>
      <c r="E104" s="145">
        <v>6787582</v>
      </c>
      <c r="F104" s="145">
        <v>909</v>
      </c>
      <c r="G104" s="307"/>
    </row>
    <row r="105" spans="1:7" x14ac:dyDescent="0.2">
      <c r="A105" s="140"/>
      <c r="B105" s="145"/>
      <c r="C105" s="145"/>
      <c r="D105" s="145"/>
      <c r="E105" s="413">
        <f>+SUM(B95:B104)</f>
        <v>6751578</v>
      </c>
      <c r="F105" s="413">
        <f>+SUM(C95:C104)</f>
        <v>4909</v>
      </c>
      <c r="G105" s="413">
        <f>+SUM(D95:D104)</f>
        <v>0</v>
      </c>
    </row>
    <row r="106" spans="1:7" ht="16" thickBot="1" x14ac:dyDescent="0.25">
      <c r="A106" s="797" t="s">
        <v>3753</v>
      </c>
      <c r="B106" s="798"/>
      <c r="C106" s="798"/>
      <c r="D106" s="798"/>
      <c r="E106" s="187">
        <v>234297</v>
      </c>
      <c r="F106" s="187">
        <v>125</v>
      </c>
      <c r="G106" s="444"/>
    </row>
    <row r="107" spans="1:7" x14ac:dyDescent="0.2">
      <c r="A107" s="797" t="s">
        <v>3703</v>
      </c>
      <c r="B107" s="798"/>
      <c r="C107" s="798"/>
      <c r="D107" s="798"/>
      <c r="E107" s="145">
        <v>6553285</v>
      </c>
      <c r="F107" s="145">
        <v>784</v>
      </c>
      <c r="G107" s="307"/>
    </row>
    <row r="108" spans="1:7" ht="71" customHeight="1" x14ac:dyDescent="0.2">
      <c r="A108" s="585" t="s">
        <v>3754</v>
      </c>
      <c r="B108" s="586"/>
      <c r="C108" s="586"/>
      <c r="D108" s="586"/>
      <c r="E108" s="145"/>
      <c r="F108" s="145"/>
      <c r="G108" s="307"/>
    </row>
    <row r="109" spans="1:7" ht="30" x14ac:dyDescent="0.2">
      <c r="A109" s="1087" t="s">
        <v>3755</v>
      </c>
      <c r="B109" s="657"/>
      <c r="C109" s="657"/>
      <c r="D109" s="657"/>
      <c r="E109" s="145"/>
      <c r="F109" s="145"/>
      <c r="G109" s="307"/>
    </row>
    <row r="110" spans="1:7" x14ac:dyDescent="0.2">
      <c r="A110" s="1087" t="s">
        <v>3756</v>
      </c>
      <c r="B110" s="657">
        <v>207891</v>
      </c>
      <c r="C110" s="657">
        <v>450</v>
      </c>
      <c r="D110" s="657"/>
      <c r="E110" s="145"/>
      <c r="F110" s="145"/>
      <c r="G110" s="307"/>
    </row>
    <row r="111" spans="1:7" x14ac:dyDescent="0.2">
      <c r="A111" s="908" t="s">
        <v>3746</v>
      </c>
      <c r="B111" s="657">
        <v>150000</v>
      </c>
      <c r="C111" s="657"/>
      <c r="D111" s="657"/>
      <c r="E111" s="145"/>
      <c r="F111" s="145"/>
      <c r="G111" s="307"/>
    </row>
    <row r="112" spans="1:7" ht="16" thickBot="1" x14ac:dyDescent="0.25">
      <c r="A112" s="908" t="s">
        <v>3757</v>
      </c>
      <c r="B112" s="1085">
        <v>39684</v>
      </c>
      <c r="C112" s="1085">
        <v>850</v>
      </c>
      <c r="D112" s="1085"/>
      <c r="E112" s="187">
        <v>397576</v>
      </c>
      <c r="F112" s="187">
        <v>300</v>
      </c>
      <c r="G112" s="444"/>
    </row>
    <row r="113" spans="1:7" ht="16" thickBot="1" x14ac:dyDescent="0.25">
      <c r="A113" s="772" t="s">
        <v>3677</v>
      </c>
      <c r="B113" s="773"/>
      <c r="C113" s="773"/>
      <c r="D113" s="773"/>
      <c r="E113" s="448">
        <v>6950962</v>
      </c>
      <c r="F113" s="448">
        <v>84</v>
      </c>
      <c r="G113" s="449"/>
    </row>
    <row r="114" spans="1:7" x14ac:dyDescent="0.2">
      <c r="A114" s="107"/>
      <c r="B114" s="107"/>
      <c r="C114" s="107"/>
      <c r="D114" s="107"/>
      <c r="E114" s="393">
        <f>+E107+E112</f>
        <v>6950861</v>
      </c>
      <c r="F114" s="393">
        <f>+F107+F112</f>
        <v>1084</v>
      </c>
      <c r="G114" s="107"/>
    </row>
    <row r="115" spans="1:7" x14ac:dyDescent="0.2">
      <c r="A115" s="107"/>
      <c r="B115" s="107"/>
      <c r="C115" s="107"/>
      <c r="D115" s="107"/>
      <c r="E115" s="107"/>
      <c r="F115" s="107"/>
      <c r="G115" s="107"/>
    </row>
    <row r="116" spans="1:7" x14ac:dyDescent="0.2">
      <c r="A116" s="107"/>
      <c r="B116" s="107"/>
      <c r="C116" s="107"/>
      <c r="D116" s="107"/>
      <c r="E116" s="107"/>
      <c r="F116" s="107"/>
      <c r="G116" s="107"/>
    </row>
    <row r="117" spans="1:7" x14ac:dyDescent="0.2">
      <c r="A117" s="526" t="s">
        <v>3655</v>
      </c>
      <c r="B117" s="107"/>
      <c r="C117" s="107"/>
      <c r="D117" s="107"/>
      <c r="E117" s="107"/>
      <c r="F117" s="107"/>
      <c r="G117" s="107"/>
    </row>
    <row r="118" spans="1:7" ht="38" customHeight="1" x14ac:dyDescent="0.2">
      <c r="A118" s="953" t="s">
        <v>3758</v>
      </c>
      <c r="B118" s="954"/>
      <c r="C118" s="954"/>
      <c r="D118" s="954"/>
      <c r="E118" s="954"/>
      <c r="F118" s="954"/>
      <c r="G118" s="955"/>
    </row>
    <row r="119" spans="1:7" ht="16" x14ac:dyDescent="0.2">
      <c r="A119" s="131" t="s">
        <v>2043</v>
      </c>
      <c r="B119" s="145">
        <v>244653</v>
      </c>
      <c r="C119" s="145">
        <v>650</v>
      </c>
      <c r="D119" s="145"/>
      <c r="E119" s="1081"/>
      <c r="F119" s="1081"/>
      <c r="G119" s="1082"/>
    </row>
    <row r="120" spans="1:7" ht="16" x14ac:dyDescent="0.2">
      <c r="A120" s="131" t="s">
        <v>2044</v>
      </c>
      <c r="B120" s="145">
        <v>21533</v>
      </c>
      <c r="C120" s="145">
        <v>950</v>
      </c>
      <c r="D120" s="145"/>
      <c r="E120" s="1081"/>
      <c r="F120" s="1081"/>
      <c r="G120" s="1082"/>
    </row>
    <row r="121" spans="1:7" ht="16" x14ac:dyDescent="0.2">
      <c r="A121" s="131" t="s">
        <v>2042</v>
      </c>
      <c r="B121" s="145">
        <v>102740</v>
      </c>
      <c r="C121" s="145">
        <v>650</v>
      </c>
      <c r="D121" s="145"/>
      <c r="E121" s="1081"/>
      <c r="F121" s="1081"/>
      <c r="G121" s="1082"/>
    </row>
    <row r="122" spans="1:7" ht="16" x14ac:dyDescent="0.2">
      <c r="A122" s="131" t="s">
        <v>2047</v>
      </c>
      <c r="B122" s="145">
        <v>136833</v>
      </c>
      <c r="C122" s="145">
        <v>500</v>
      </c>
      <c r="D122" s="145"/>
      <c r="E122" s="1081"/>
      <c r="F122" s="1081"/>
      <c r="G122" s="1082"/>
    </row>
    <row r="123" spans="1:7" ht="16" x14ac:dyDescent="0.2">
      <c r="A123" s="131" t="s">
        <v>2464</v>
      </c>
      <c r="B123" s="145">
        <v>53355</v>
      </c>
      <c r="C123" s="145">
        <v>950</v>
      </c>
      <c r="D123" s="145"/>
      <c r="E123" s="1081"/>
      <c r="F123" s="1081"/>
      <c r="G123" s="1082"/>
    </row>
    <row r="124" spans="1:7" ht="16" x14ac:dyDescent="0.2">
      <c r="A124" s="131" t="s">
        <v>2045</v>
      </c>
      <c r="B124" s="145">
        <v>513028</v>
      </c>
      <c r="C124" s="145">
        <v>987</v>
      </c>
      <c r="D124" s="180">
        <v>0.5</v>
      </c>
      <c r="E124" s="1081"/>
      <c r="F124" s="1081"/>
      <c r="G124" s="1082"/>
    </row>
    <row r="125" spans="1:7" ht="16" x14ac:dyDescent="0.2">
      <c r="A125" s="131" t="s">
        <v>3628</v>
      </c>
      <c r="B125" s="145">
        <v>648245</v>
      </c>
      <c r="C125" s="145">
        <v>452</v>
      </c>
      <c r="D125" s="180"/>
      <c r="E125" s="1081"/>
      <c r="F125" s="1081"/>
      <c r="G125" s="1082"/>
    </row>
    <row r="126" spans="1:7" ht="16" x14ac:dyDescent="0.2">
      <c r="A126" s="131" t="s">
        <v>2886</v>
      </c>
      <c r="B126" s="145">
        <v>44755</v>
      </c>
      <c r="C126" s="145">
        <v>800</v>
      </c>
      <c r="D126" s="180"/>
      <c r="E126" s="1081"/>
      <c r="F126" s="1081"/>
      <c r="G126" s="1082"/>
    </row>
    <row r="127" spans="1:7" x14ac:dyDescent="0.2">
      <c r="A127" s="131" t="s">
        <v>1175</v>
      </c>
      <c r="B127" s="145">
        <v>248535</v>
      </c>
      <c r="C127" s="145">
        <v>715</v>
      </c>
      <c r="D127" s="180"/>
      <c r="E127" s="145"/>
      <c r="F127" s="145"/>
      <c r="G127" s="307"/>
    </row>
    <row r="128" spans="1:7" x14ac:dyDescent="0.2">
      <c r="A128" s="131" t="s">
        <v>2040</v>
      </c>
      <c r="B128" s="145">
        <v>752876</v>
      </c>
      <c r="C128" s="145">
        <v>600</v>
      </c>
      <c r="D128" s="180"/>
      <c r="E128" s="145"/>
      <c r="F128" s="145"/>
      <c r="G128" s="307"/>
    </row>
    <row r="129" spans="1:7" x14ac:dyDescent="0.2">
      <c r="A129" s="131" t="s">
        <v>2869</v>
      </c>
      <c r="B129" s="145">
        <v>53508</v>
      </c>
      <c r="C129" s="145"/>
      <c r="D129" s="180"/>
      <c r="E129" s="145"/>
      <c r="F129" s="145"/>
      <c r="G129" s="307"/>
    </row>
    <row r="130" spans="1:7" x14ac:dyDescent="0.2">
      <c r="A130" s="131" t="s">
        <v>2761</v>
      </c>
      <c r="B130" s="145">
        <v>3158</v>
      </c>
      <c r="C130" s="145">
        <v>200</v>
      </c>
      <c r="D130" s="180"/>
      <c r="E130" s="145"/>
      <c r="F130" s="145"/>
      <c r="G130" s="307"/>
    </row>
    <row r="131" spans="1:7" ht="16" thickBot="1" x14ac:dyDescent="0.25">
      <c r="A131" s="131" t="s">
        <v>2046</v>
      </c>
      <c r="B131" s="187">
        <v>41712</v>
      </c>
      <c r="C131" s="187">
        <v>450</v>
      </c>
      <c r="D131" s="190"/>
      <c r="E131" s="187">
        <v>2864959</v>
      </c>
      <c r="F131" s="187">
        <v>904</v>
      </c>
      <c r="G131" s="189">
        <v>0.5</v>
      </c>
    </row>
    <row r="132" spans="1:7" x14ac:dyDescent="0.2">
      <c r="A132" s="131"/>
      <c r="B132" s="145"/>
      <c r="C132" s="145"/>
      <c r="D132" s="180"/>
      <c r="E132" s="413">
        <f>+SUM(B119:B131)</f>
        <v>2864931</v>
      </c>
      <c r="F132" s="413">
        <f>+SUM(C119:C131)</f>
        <v>7904</v>
      </c>
      <c r="G132" s="1088">
        <f>+SUM(D119:D131)</f>
        <v>0.5</v>
      </c>
    </row>
    <row r="133" spans="1:7" x14ac:dyDescent="0.2">
      <c r="A133" s="131" t="s">
        <v>3759</v>
      </c>
      <c r="B133" s="145"/>
      <c r="C133" s="145"/>
      <c r="D133" s="180"/>
      <c r="E133" s="145"/>
      <c r="F133" s="145"/>
      <c r="G133" s="133"/>
    </row>
    <row r="134" spans="1:7" x14ac:dyDescent="0.2">
      <c r="A134" s="131" t="s">
        <v>3760</v>
      </c>
      <c r="B134" s="145">
        <v>1289159</v>
      </c>
      <c r="C134" s="145">
        <v>924</v>
      </c>
      <c r="D134" s="180"/>
      <c r="E134" s="145"/>
      <c r="F134" s="145"/>
      <c r="G134" s="133"/>
    </row>
    <row r="135" spans="1:7" x14ac:dyDescent="0.2">
      <c r="A135" s="131" t="s">
        <v>2981</v>
      </c>
      <c r="B135" s="145">
        <v>83559</v>
      </c>
      <c r="C135" s="145">
        <v>900</v>
      </c>
      <c r="D135" s="180"/>
      <c r="E135" s="145"/>
      <c r="F135" s="145"/>
      <c r="G135" s="133"/>
    </row>
    <row r="136" spans="1:7" x14ac:dyDescent="0.2">
      <c r="A136" s="131" t="s">
        <v>3761</v>
      </c>
      <c r="B136" s="145">
        <v>225000</v>
      </c>
      <c r="C136" s="145"/>
      <c r="D136" s="180"/>
      <c r="E136" s="145"/>
      <c r="F136" s="145"/>
      <c r="G136" s="133"/>
    </row>
    <row r="137" spans="1:7" x14ac:dyDescent="0.2">
      <c r="A137" s="131" t="s">
        <v>3762</v>
      </c>
      <c r="B137" s="145">
        <v>25851</v>
      </c>
      <c r="C137" s="145"/>
      <c r="D137" s="180"/>
      <c r="E137" s="145"/>
      <c r="F137" s="145"/>
      <c r="G137" s="133"/>
    </row>
    <row r="138" spans="1:7" x14ac:dyDescent="0.2">
      <c r="A138" s="131" t="s">
        <v>3763</v>
      </c>
      <c r="B138" s="145">
        <v>141435</v>
      </c>
      <c r="C138" s="145">
        <v>550</v>
      </c>
      <c r="D138" s="180"/>
      <c r="E138" s="145"/>
      <c r="F138" s="145"/>
      <c r="G138" s="133"/>
    </row>
    <row r="139" spans="1:7" x14ac:dyDescent="0.2">
      <c r="A139" s="131" t="s">
        <v>3764</v>
      </c>
      <c r="B139" s="145">
        <v>1949</v>
      </c>
      <c r="C139" s="145">
        <v>240</v>
      </c>
      <c r="D139" s="180"/>
      <c r="E139" s="145"/>
      <c r="F139" s="145"/>
      <c r="G139" s="133"/>
    </row>
    <row r="140" spans="1:7" x14ac:dyDescent="0.2">
      <c r="A140" s="131" t="s">
        <v>3765</v>
      </c>
      <c r="B140" s="145">
        <v>93752</v>
      </c>
      <c r="C140" s="145">
        <v>500</v>
      </c>
      <c r="D140" s="180"/>
      <c r="E140" s="145"/>
      <c r="F140" s="145"/>
      <c r="G140" s="133"/>
    </row>
    <row r="141" spans="1:7" ht="16" thickBot="1" x14ac:dyDescent="0.25">
      <c r="A141" s="131" t="s">
        <v>3766</v>
      </c>
      <c r="B141" s="187">
        <v>1626560</v>
      </c>
      <c r="C141" s="187">
        <v>325</v>
      </c>
      <c r="D141" s="187"/>
      <c r="E141" s="187">
        <v>3487268</v>
      </c>
      <c r="F141" s="187">
        <v>449</v>
      </c>
      <c r="G141" s="189"/>
    </row>
    <row r="142" spans="1:7" ht="16" thickBot="1" x14ac:dyDescent="0.25">
      <c r="A142" s="131"/>
      <c r="B142" s="145"/>
      <c r="C142" s="145"/>
      <c r="D142" s="145"/>
      <c r="E142" s="584">
        <f>+SUM(B134:B141)</f>
        <v>3487265</v>
      </c>
      <c r="F142" s="584">
        <f>+SUM(C134:C141)</f>
        <v>3439</v>
      </c>
      <c r="G142" s="1089">
        <f>+SUM(D134:D141)</f>
        <v>0</v>
      </c>
    </row>
    <row r="143" spans="1:7" ht="16" thickBot="1" x14ac:dyDescent="0.25">
      <c r="A143" s="489" t="s">
        <v>3687</v>
      </c>
      <c r="B143" s="493"/>
      <c r="C143" s="493"/>
      <c r="D143" s="493"/>
      <c r="E143" s="187">
        <v>6352228</v>
      </c>
      <c r="F143" s="187">
        <v>353</v>
      </c>
      <c r="G143" s="189">
        <v>0.5</v>
      </c>
    </row>
    <row r="144" spans="1:7" ht="45.5" customHeight="1" thickBot="1" x14ac:dyDescent="0.25">
      <c r="A144" s="516" t="s">
        <v>3767</v>
      </c>
      <c r="B144" s="517"/>
      <c r="C144" s="517"/>
      <c r="D144" s="517"/>
      <c r="E144" s="448">
        <v>218158</v>
      </c>
      <c r="F144" s="448">
        <v>11</v>
      </c>
      <c r="G144" s="889">
        <v>0.5</v>
      </c>
    </row>
    <row r="145" spans="1:7" x14ac:dyDescent="0.2">
      <c r="A145" s="480" t="s">
        <v>3768</v>
      </c>
      <c r="B145" s="481"/>
      <c r="C145" s="481"/>
      <c r="D145" s="481"/>
      <c r="E145" s="145">
        <v>6570386</v>
      </c>
      <c r="F145" s="145">
        <v>365</v>
      </c>
      <c r="G145" s="133"/>
    </row>
    <row r="146" spans="1:7" x14ac:dyDescent="0.2">
      <c r="A146" s="480" t="s">
        <v>3769</v>
      </c>
      <c r="B146" s="481"/>
      <c r="C146" s="481"/>
      <c r="D146" s="481"/>
      <c r="E146" s="145"/>
      <c r="F146" s="145"/>
      <c r="G146" s="133"/>
    </row>
    <row r="147" spans="1:7" x14ac:dyDescent="0.2">
      <c r="A147" s="131" t="s">
        <v>3770</v>
      </c>
      <c r="B147" s="145">
        <v>6950862</v>
      </c>
      <c r="C147" s="145">
        <v>84</v>
      </c>
      <c r="D147" s="145"/>
      <c r="E147" s="145"/>
      <c r="F147" s="145"/>
      <c r="G147" s="133"/>
    </row>
    <row r="148" spans="1:7" ht="16" thickBot="1" x14ac:dyDescent="0.25">
      <c r="A148" s="131" t="s">
        <v>3771</v>
      </c>
      <c r="B148" s="187">
        <v>597170</v>
      </c>
      <c r="C148" s="187">
        <v>81</v>
      </c>
      <c r="D148" s="190">
        <v>0.5</v>
      </c>
      <c r="E148" s="145">
        <v>7448032</v>
      </c>
      <c r="F148" s="145">
        <v>165</v>
      </c>
      <c r="G148" s="133">
        <v>0.5</v>
      </c>
    </row>
    <row r="149" spans="1:7" ht="16" thickBot="1" x14ac:dyDescent="0.25">
      <c r="A149" s="480">
        <v>0</v>
      </c>
      <c r="B149" s="481"/>
      <c r="C149" s="481"/>
      <c r="D149" s="481"/>
      <c r="E149" s="187">
        <v>6570386</v>
      </c>
      <c r="F149" s="187">
        <v>365</v>
      </c>
      <c r="G149" s="189"/>
    </row>
    <row r="150" spans="1:7" ht="16" thickBot="1" x14ac:dyDescent="0.25">
      <c r="A150" s="489" t="s">
        <v>3772</v>
      </c>
      <c r="B150" s="493"/>
      <c r="C150" s="493"/>
      <c r="D150" s="493"/>
      <c r="E150" s="187">
        <v>877645</v>
      </c>
      <c r="F150" s="187">
        <v>800</v>
      </c>
      <c r="G150" s="189">
        <v>0.5</v>
      </c>
    </row>
    <row r="151" spans="1:7" x14ac:dyDescent="0.2">
      <c r="A151" s="355" t="s">
        <v>3773</v>
      </c>
      <c r="B151" s="356"/>
      <c r="C151" s="356"/>
      <c r="D151" s="356"/>
      <c r="E151" s="356"/>
      <c r="F151" s="356"/>
      <c r="G151" s="357"/>
    </row>
    <row r="152" spans="1:7" x14ac:dyDescent="0.2">
      <c r="A152" s="107"/>
      <c r="B152" s="107"/>
      <c r="C152" s="107"/>
      <c r="D152" s="107"/>
      <c r="E152" s="107"/>
      <c r="F152" s="107"/>
      <c r="G152" s="107"/>
    </row>
    <row r="153" spans="1:7" x14ac:dyDescent="0.2">
      <c r="A153" s="107"/>
      <c r="B153" s="107"/>
      <c r="C153" s="107"/>
      <c r="D153" s="107"/>
      <c r="E153" s="107"/>
      <c r="F153" s="107"/>
      <c r="G153" s="107"/>
    </row>
    <row r="154" spans="1:7" x14ac:dyDescent="0.2">
      <c r="A154" s="107"/>
      <c r="B154" s="107"/>
      <c r="C154" s="107"/>
      <c r="D154" s="107"/>
      <c r="E154" s="107"/>
      <c r="F154" s="107"/>
      <c r="G154" s="107"/>
    </row>
  </sheetData>
  <mergeCells count="36">
    <mergeCell ref="A144:D144"/>
    <mergeCell ref="A145:D145"/>
    <mergeCell ref="A146:D146"/>
    <mergeCell ref="A149:D149"/>
    <mergeCell ref="A150:D150"/>
    <mergeCell ref="A151:G151"/>
    <mergeCell ref="A106:D106"/>
    <mergeCell ref="A107:D107"/>
    <mergeCell ref="A108:D108"/>
    <mergeCell ref="A113:D113"/>
    <mergeCell ref="A118:G118"/>
    <mergeCell ref="A143:D143"/>
    <mergeCell ref="A84:D84"/>
    <mergeCell ref="A86:G86"/>
    <mergeCell ref="A87:D87"/>
    <mergeCell ref="A88:D88"/>
    <mergeCell ref="A89:D89"/>
    <mergeCell ref="A94:G94"/>
    <mergeCell ref="A78:D78"/>
    <mergeCell ref="A79:D79"/>
    <mergeCell ref="A80:D80"/>
    <mergeCell ref="A81:D81"/>
    <mergeCell ref="A82:D82"/>
    <mergeCell ref="A83:D83"/>
    <mergeCell ref="A54:D54"/>
    <mergeCell ref="A55:D55"/>
    <mergeCell ref="A56:D56"/>
    <mergeCell ref="A61:G61"/>
    <mergeCell ref="A76:D76"/>
    <mergeCell ref="A77:D77"/>
    <mergeCell ref="A4:G4"/>
    <mergeCell ref="A17:D17"/>
    <mergeCell ref="A18:D18"/>
    <mergeCell ref="A19:G19"/>
    <mergeCell ref="A52:D52"/>
    <mergeCell ref="A53:G53"/>
  </mergeCell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4"/>
  <sheetViews>
    <sheetView topLeftCell="A64" workbookViewId="0">
      <selection activeCell="B1" sqref="B1"/>
    </sheetView>
  </sheetViews>
  <sheetFormatPr baseColWidth="10" defaultRowHeight="15" x14ac:dyDescent="0.2"/>
  <cols>
    <col min="1" max="1" width="38.1640625" style="106" customWidth="1"/>
    <col min="2" max="2" width="10.83203125" style="106"/>
    <col min="3" max="3" width="6.1640625" style="106" customWidth="1"/>
    <col min="4" max="4" width="10.1640625" style="106" customWidth="1"/>
    <col min="5" max="5" width="5.83203125" style="106" customWidth="1"/>
    <col min="6" max="6" width="10.83203125" style="106"/>
    <col min="7" max="7" width="5.83203125" style="106" customWidth="1"/>
    <col min="8" max="8" width="10.83203125" style="106"/>
    <col min="9" max="9" width="5.1640625" style="106" customWidth="1"/>
    <col min="10" max="16384" width="10.83203125" style="106"/>
  </cols>
  <sheetData>
    <row r="1" spans="1:9" x14ac:dyDescent="0.2">
      <c r="A1" s="458" t="s">
        <v>3774</v>
      </c>
    </row>
    <row r="3" spans="1:9" x14ac:dyDescent="0.2">
      <c r="A3" s="113" t="s">
        <v>1111</v>
      </c>
    </row>
    <row r="4" spans="1:9" ht="32" customHeight="1" x14ac:dyDescent="0.2">
      <c r="A4" s="664" t="s">
        <v>3775</v>
      </c>
      <c r="B4" s="665"/>
      <c r="C4" s="665"/>
      <c r="D4" s="666"/>
      <c r="E4" s="107"/>
      <c r="F4" s="107"/>
      <c r="G4" s="107"/>
      <c r="H4" s="107"/>
      <c r="I4" s="107"/>
    </row>
    <row r="5" spans="1:9" ht="30.5" customHeight="1" x14ac:dyDescent="0.2">
      <c r="A5" s="516" t="s">
        <v>3776</v>
      </c>
      <c r="B5" s="517"/>
      <c r="C5" s="517"/>
      <c r="D5" s="540"/>
      <c r="E5" s="107"/>
      <c r="F5" s="107"/>
      <c r="G5" s="107"/>
      <c r="H5" s="107"/>
      <c r="I5" s="107"/>
    </row>
    <row r="6" spans="1:9" x14ac:dyDescent="0.2">
      <c r="A6" s="131" t="s">
        <v>1174</v>
      </c>
      <c r="B6" s="145">
        <v>4025112</v>
      </c>
      <c r="C6" s="145">
        <v>15</v>
      </c>
      <c r="D6" s="307"/>
      <c r="E6" s="107"/>
      <c r="F6" s="107"/>
      <c r="G6" s="107"/>
      <c r="H6" s="107"/>
      <c r="I6" s="107"/>
    </row>
    <row r="7" spans="1:9" x14ac:dyDescent="0.2">
      <c r="A7" s="131" t="s">
        <v>1569</v>
      </c>
      <c r="B7" s="145">
        <v>1451529</v>
      </c>
      <c r="C7" s="145"/>
      <c r="D7" s="133"/>
      <c r="E7" s="107"/>
      <c r="F7" s="107"/>
      <c r="G7" s="107"/>
      <c r="H7" s="107"/>
      <c r="I7" s="107"/>
    </row>
    <row r="8" spans="1:9" x14ac:dyDescent="0.2">
      <c r="A8" s="131" t="s">
        <v>1573</v>
      </c>
      <c r="B8" s="145">
        <v>11612</v>
      </c>
      <c r="C8" s="145">
        <v>95</v>
      </c>
      <c r="D8" s="133"/>
      <c r="E8" s="107"/>
      <c r="F8" s="107"/>
      <c r="G8" s="107"/>
      <c r="H8" s="107"/>
      <c r="I8" s="107"/>
    </row>
    <row r="9" spans="1:9" x14ac:dyDescent="0.2">
      <c r="A9" s="131" t="s">
        <v>1175</v>
      </c>
      <c r="B9" s="145">
        <v>84526</v>
      </c>
      <c r="C9" s="145">
        <v>23</v>
      </c>
      <c r="D9" s="133">
        <v>0.5</v>
      </c>
      <c r="E9" s="107"/>
      <c r="F9" s="107"/>
      <c r="G9" s="107"/>
      <c r="H9" s="107"/>
      <c r="I9" s="107"/>
    </row>
    <row r="10" spans="1:9" x14ac:dyDescent="0.2">
      <c r="A10" s="131" t="s">
        <v>3287</v>
      </c>
      <c r="B10" s="145">
        <v>29059</v>
      </c>
      <c r="C10" s="145">
        <v>60</v>
      </c>
      <c r="D10" s="133"/>
      <c r="E10" s="107"/>
      <c r="F10" s="107"/>
      <c r="G10" s="107"/>
      <c r="H10" s="107"/>
      <c r="I10" s="107"/>
    </row>
    <row r="11" spans="1:9" x14ac:dyDescent="0.2">
      <c r="A11" s="131" t="s">
        <v>1808</v>
      </c>
      <c r="B11" s="145">
        <v>9503</v>
      </c>
      <c r="C11" s="145">
        <v>20</v>
      </c>
      <c r="D11" s="133"/>
      <c r="E11" s="107"/>
      <c r="F11" s="107"/>
      <c r="G11" s="107"/>
      <c r="H11" s="107"/>
      <c r="I11" s="107"/>
    </row>
    <row r="12" spans="1:9" x14ac:dyDescent="0.2">
      <c r="A12" s="131" t="s">
        <v>1991</v>
      </c>
      <c r="B12" s="145">
        <v>250000</v>
      </c>
      <c r="C12" s="145"/>
      <c r="D12" s="133"/>
      <c r="E12" s="107"/>
      <c r="F12" s="107"/>
      <c r="G12" s="107"/>
      <c r="H12" s="107"/>
      <c r="I12" s="107"/>
    </row>
    <row r="13" spans="1:9" x14ac:dyDescent="0.2">
      <c r="A13" s="131" t="s">
        <v>3675</v>
      </c>
      <c r="B13" s="145">
        <v>134923</v>
      </c>
      <c r="C13" s="145">
        <v>95</v>
      </c>
      <c r="D13" s="133"/>
      <c r="E13" s="107"/>
      <c r="F13" s="107"/>
      <c r="G13" s="107"/>
      <c r="H13" s="107"/>
      <c r="I13" s="107"/>
    </row>
    <row r="14" spans="1:9" x14ac:dyDescent="0.2">
      <c r="A14" s="131" t="s">
        <v>2761</v>
      </c>
      <c r="B14" s="145">
        <v>27477</v>
      </c>
      <c r="C14" s="145"/>
      <c r="D14" s="133"/>
      <c r="E14" s="107"/>
      <c r="F14" s="107"/>
      <c r="G14" s="107"/>
      <c r="H14" s="107"/>
      <c r="I14" s="107"/>
    </row>
    <row r="15" spans="1:9" ht="16" thickBot="1" x14ac:dyDescent="0.25">
      <c r="A15" s="131" t="s">
        <v>2763</v>
      </c>
      <c r="B15" s="187">
        <v>848550</v>
      </c>
      <c r="C15" s="187">
        <v>95</v>
      </c>
      <c r="D15" s="189"/>
      <c r="E15" s="107"/>
      <c r="F15" s="107"/>
      <c r="G15" s="107"/>
      <c r="H15" s="107"/>
      <c r="I15" s="107"/>
    </row>
    <row r="16" spans="1:9" x14ac:dyDescent="0.2">
      <c r="A16" s="622" t="s">
        <v>3424</v>
      </c>
      <c r="B16" s="145">
        <v>6872295</v>
      </c>
      <c r="C16" s="145">
        <v>3</v>
      </c>
      <c r="D16" s="133">
        <v>0.5</v>
      </c>
      <c r="E16" s="107"/>
      <c r="F16" s="107"/>
      <c r="G16" s="107"/>
      <c r="H16" s="107"/>
      <c r="I16" s="107"/>
    </row>
    <row r="17" spans="1:9" x14ac:dyDescent="0.2">
      <c r="A17" s="622"/>
      <c r="B17" s="138">
        <f>+SUM(B6:B15)</f>
        <v>6872291</v>
      </c>
      <c r="C17" s="138">
        <f>+SUM(C6:C15)</f>
        <v>403</v>
      </c>
      <c r="D17" s="312">
        <f>+SUM(D6:D15)</f>
        <v>0.5</v>
      </c>
      <c r="E17" s="107"/>
      <c r="F17" s="107"/>
      <c r="G17" s="107"/>
      <c r="H17" s="107"/>
      <c r="I17" s="107"/>
    </row>
    <row r="18" spans="1:9" ht="16" thickBot="1" x14ac:dyDescent="0.25">
      <c r="A18" s="622" t="s">
        <v>3777</v>
      </c>
      <c r="B18" s="187">
        <v>813176</v>
      </c>
      <c r="C18" s="187">
        <v>91</v>
      </c>
      <c r="D18" s="189">
        <v>0.5</v>
      </c>
      <c r="E18" s="107"/>
      <c r="F18" s="107"/>
      <c r="G18" s="107"/>
      <c r="H18" s="107"/>
      <c r="I18" s="107"/>
    </row>
    <row r="19" spans="1:9" x14ac:dyDescent="0.2">
      <c r="A19" s="622" t="s">
        <v>3778</v>
      </c>
      <c r="B19" s="145">
        <v>6059118</v>
      </c>
      <c r="C19" s="145">
        <v>12</v>
      </c>
      <c r="D19" s="133"/>
      <c r="E19" s="107"/>
      <c r="F19" s="107"/>
      <c r="G19" s="107"/>
      <c r="H19" s="107"/>
      <c r="I19" s="107"/>
    </row>
    <row r="20" spans="1:9" x14ac:dyDescent="0.2">
      <c r="A20" s="622"/>
      <c r="B20" s="138">
        <f>+B16-B18</f>
        <v>6059119</v>
      </c>
      <c r="C20" s="138">
        <f>+C16-C18</f>
        <v>-88</v>
      </c>
      <c r="D20" s="138">
        <f>+D16-D18</f>
        <v>0</v>
      </c>
      <c r="E20" s="107"/>
      <c r="F20" s="107"/>
      <c r="G20" s="107"/>
      <c r="H20" s="107"/>
      <c r="I20" s="107"/>
    </row>
    <row r="21" spans="1:9" ht="76" thickBot="1" x14ac:dyDescent="0.25">
      <c r="A21" s="864" t="s">
        <v>3779</v>
      </c>
      <c r="B21" s="187">
        <v>751518</v>
      </c>
      <c r="C21" s="187">
        <v>75</v>
      </c>
      <c r="D21" s="189"/>
      <c r="E21" s="107"/>
      <c r="F21" s="107"/>
      <c r="G21" s="107"/>
      <c r="H21" s="107"/>
      <c r="I21" s="107"/>
    </row>
    <row r="22" spans="1:9" ht="16" thickBot="1" x14ac:dyDescent="0.25">
      <c r="A22" s="794" t="s">
        <v>3780</v>
      </c>
      <c r="B22" s="448">
        <v>5307599</v>
      </c>
      <c r="C22" s="448">
        <v>37</v>
      </c>
      <c r="D22" s="889"/>
      <c r="E22" s="107"/>
      <c r="F22" s="107"/>
      <c r="G22" s="107"/>
      <c r="H22" s="107"/>
      <c r="I22" s="107"/>
    </row>
    <row r="23" spans="1:9" x14ac:dyDescent="0.2">
      <c r="A23" s="107"/>
      <c r="B23" s="107"/>
      <c r="C23" s="107"/>
      <c r="D23" s="107"/>
      <c r="E23" s="107"/>
      <c r="F23" s="107"/>
      <c r="G23" s="107"/>
      <c r="H23" s="107"/>
      <c r="I23" s="107"/>
    </row>
    <row r="24" spans="1:9" x14ac:dyDescent="0.2">
      <c r="A24" s="107"/>
      <c r="B24" s="107"/>
      <c r="C24" s="107"/>
      <c r="D24" s="107"/>
      <c r="E24" s="107"/>
      <c r="F24" s="107"/>
      <c r="G24" s="107"/>
      <c r="H24" s="107"/>
      <c r="I24" s="107"/>
    </row>
    <row r="25" spans="1:9" x14ac:dyDescent="0.2">
      <c r="A25" s="107"/>
      <c r="B25" s="107"/>
      <c r="C25" s="107"/>
      <c r="D25" s="107"/>
      <c r="E25" s="107"/>
      <c r="F25" s="107"/>
      <c r="G25" s="107"/>
      <c r="H25" s="107"/>
      <c r="I25" s="107"/>
    </row>
    <row r="26" spans="1:9" x14ac:dyDescent="0.2">
      <c r="A26" s="526" t="s">
        <v>1171</v>
      </c>
      <c r="B26" s="107"/>
      <c r="C26" s="107"/>
      <c r="D26" s="107"/>
      <c r="E26" s="107"/>
      <c r="F26" s="107"/>
      <c r="G26" s="107"/>
      <c r="H26" s="107"/>
      <c r="I26" s="107"/>
    </row>
    <row r="27" spans="1:9" ht="32.5" customHeight="1" x14ac:dyDescent="0.2">
      <c r="A27" s="953" t="s">
        <v>3781</v>
      </c>
      <c r="B27" s="955"/>
      <c r="C27" s="107"/>
      <c r="D27" s="107"/>
      <c r="E27" s="107"/>
      <c r="F27" s="107"/>
      <c r="G27" s="107"/>
      <c r="H27" s="107"/>
      <c r="I27" s="107"/>
    </row>
    <row r="28" spans="1:9" x14ac:dyDescent="0.2">
      <c r="A28" s="622">
        <v>1832</v>
      </c>
      <c r="B28" s="307">
        <v>874330</v>
      </c>
      <c r="C28" s="107"/>
      <c r="D28" s="107"/>
      <c r="E28" s="107"/>
      <c r="F28" s="107"/>
      <c r="G28" s="107"/>
      <c r="H28" s="107"/>
      <c r="I28" s="107"/>
    </row>
    <row r="29" spans="1:9" x14ac:dyDescent="0.2">
      <c r="A29" s="622">
        <v>1833</v>
      </c>
      <c r="B29" s="307">
        <v>498324</v>
      </c>
      <c r="C29" s="107"/>
    </row>
    <row r="30" spans="1:9" x14ac:dyDescent="0.2">
      <c r="A30" s="622">
        <v>1844</v>
      </c>
      <c r="B30" s="307">
        <v>899476</v>
      </c>
      <c r="C30" s="107"/>
    </row>
    <row r="31" spans="1:9" x14ac:dyDescent="0.2">
      <c r="A31" s="622">
        <v>1845</v>
      </c>
      <c r="B31" s="307">
        <v>680932</v>
      </c>
      <c r="C31" s="107"/>
      <c r="F31" s="107"/>
      <c r="G31" s="107"/>
      <c r="H31" s="107"/>
      <c r="I31" s="107"/>
    </row>
    <row r="32" spans="1:9" x14ac:dyDescent="0.2">
      <c r="A32" s="622">
        <v>1856</v>
      </c>
      <c r="B32" s="307">
        <v>1097612</v>
      </c>
      <c r="C32" s="107"/>
      <c r="F32" s="107"/>
      <c r="G32" s="107"/>
      <c r="H32" s="107"/>
      <c r="I32" s="107"/>
    </row>
    <row r="33" spans="1:9" x14ac:dyDescent="0.2">
      <c r="A33" s="622">
        <v>1857</v>
      </c>
      <c r="B33" s="307">
        <v>979933</v>
      </c>
      <c r="C33" s="107"/>
      <c r="E33" s="107"/>
      <c r="F33" s="107"/>
      <c r="G33" s="107"/>
      <c r="H33" s="107"/>
      <c r="I33" s="107"/>
    </row>
    <row r="34" spans="1:9" x14ac:dyDescent="0.2">
      <c r="A34" s="622">
        <v>1863</v>
      </c>
      <c r="B34" s="307">
        <v>829610</v>
      </c>
      <c r="C34" s="107"/>
      <c r="E34" s="107"/>
      <c r="F34" s="107"/>
      <c r="G34" s="107"/>
      <c r="H34" s="107"/>
      <c r="I34" s="107"/>
    </row>
    <row r="35" spans="1:9" x14ac:dyDescent="0.2">
      <c r="A35" s="622">
        <v>1864</v>
      </c>
      <c r="B35" s="307">
        <v>636961</v>
      </c>
      <c r="C35" s="107"/>
      <c r="E35" s="107"/>
      <c r="F35" s="107"/>
      <c r="G35" s="107"/>
      <c r="H35" s="107"/>
      <c r="I35" s="107"/>
    </row>
    <row r="36" spans="1:9" x14ac:dyDescent="0.2">
      <c r="A36" s="622">
        <v>1869</v>
      </c>
      <c r="B36" s="307">
        <v>2089066</v>
      </c>
      <c r="C36" s="107"/>
      <c r="E36" s="107"/>
      <c r="F36" s="107"/>
      <c r="G36" s="107"/>
      <c r="H36" s="107"/>
      <c r="I36" s="107"/>
    </row>
    <row r="37" spans="1:9" x14ac:dyDescent="0.2">
      <c r="A37" s="622">
        <v>1870</v>
      </c>
      <c r="B37" s="307">
        <v>1575905</v>
      </c>
      <c r="C37" s="107"/>
      <c r="E37" s="107"/>
      <c r="F37" s="107"/>
      <c r="G37" s="107"/>
      <c r="H37" s="107"/>
      <c r="I37" s="107"/>
    </row>
    <row r="38" spans="1:9" x14ac:dyDescent="0.2">
      <c r="A38" s="622">
        <v>1874</v>
      </c>
      <c r="B38" s="307">
        <v>2811158</v>
      </c>
      <c r="C38" s="107"/>
      <c r="E38" s="107"/>
      <c r="F38" s="107"/>
      <c r="G38" s="107"/>
      <c r="H38" s="107"/>
      <c r="I38" s="107"/>
    </row>
    <row r="39" spans="1:9" x14ac:dyDescent="0.2">
      <c r="A39" s="622">
        <v>1875</v>
      </c>
      <c r="B39" s="307">
        <v>2574273</v>
      </c>
      <c r="C39" s="107"/>
      <c r="E39" s="107"/>
      <c r="F39" s="107"/>
      <c r="G39" s="107"/>
      <c r="H39" s="107"/>
      <c r="I39" s="107"/>
    </row>
    <row r="40" spans="1:9" ht="29" customHeight="1" x14ac:dyDescent="0.2">
      <c r="A40" s="953" t="s">
        <v>3782</v>
      </c>
      <c r="B40" s="955"/>
      <c r="C40" s="107"/>
      <c r="E40" s="107"/>
      <c r="F40" s="107"/>
      <c r="G40" s="107"/>
      <c r="H40" s="107"/>
      <c r="I40" s="107"/>
    </row>
    <row r="41" spans="1:9" x14ac:dyDescent="0.2">
      <c r="A41" s="131">
        <v>1832</v>
      </c>
      <c r="B41" s="307">
        <v>289515</v>
      </c>
      <c r="C41" s="107"/>
    </row>
    <row r="42" spans="1:9" x14ac:dyDescent="0.2">
      <c r="A42" s="131">
        <v>1833</v>
      </c>
      <c r="B42" s="307">
        <v>203202</v>
      </c>
      <c r="C42" s="107"/>
    </row>
    <row r="43" spans="1:9" x14ac:dyDescent="0.2">
      <c r="A43" s="131">
        <v>1851</v>
      </c>
      <c r="B43" s="307">
        <v>482594</v>
      </c>
      <c r="C43" s="107"/>
    </row>
    <row r="44" spans="1:9" x14ac:dyDescent="0.2">
      <c r="A44" s="131">
        <v>1852</v>
      </c>
      <c r="B44" s="307">
        <v>406370</v>
      </c>
      <c r="C44" s="107"/>
      <c r="E44" s="107"/>
      <c r="F44" s="107"/>
      <c r="G44" s="107"/>
      <c r="H44" s="107"/>
      <c r="I44" s="107"/>
    </row>
    <row r="45" spans="1:9" x14ac:dyDescent="0.2">
      <c r="A45" s="131">
        <v>1863</v>
      </c>
      <c r="B45" s="307">
        <v>852764</v>
      </c>
      <c r="C45" s="107"/>
      <c r="E45" s="107"/>
      <c r="F45" s="107"/>
      <c r="G45" s="107"/>
      <c r="H45" s="107"/>
      <c r="I45" s="107"/>
    </row>
    <row r="46" spans="1:9" x14ac:dyDescent="0.2">
      <c r="A46" s="131">
        <v>1864</v>
      </c>
      <c r="B46" s="307">
        <v>766626</v>
      </c>
      <c r="C46" s="107"/>
      <c r="E46" s="107"/>
      <c r="F46" s="107"/>
      <c r="G46" s="107"/>
      <c r="H46" s="107"/>
      <c r="I46" s="107"/>
    </row>
    <row r="47" spans="1:9" x14ac:dyDescent="0.2">
      <c r="A47" s="131">
        <v>1867</v>
      </c>
      <c r="B47" s="307">
        <v>1066614</v>
      </c>
      <c r="C47" s="107"/>
      <c r="E47" s="107"/>
      <c r="F47" s="107"/>
      <c r="G47" s="107"/>
      <c r="H47" s="107"/>
      <c r="I47" s="107"/>
    </row>
    <row r="48" spans="1:9" x14ac:dyDescent="0.2">
      <c r="A48" s="230">
        <v>1868</v>
      </c>
      <c r="B48" s="364">
        <v>728184</v>
      </c>
      <c r="C48" s="107"/>
      <c r="E48" s="107"/>
      <c r="F48" s="107"/>
      <c r="G48" s="107"/>
      <c r="H48" s="107"/>
      <c r="I48" s="107"/>
    </row>
    <row r="49" spans="1:9" x14ac:dyDescent="0.2">
      <c r="A49" s="107"/>
      <c r="B49" s="107"/>
      <c r="C49" s="107"/>
      <c r="D49" s="107"/>
      <c r="E49" s="107"/>
      <c r="F49" s="107"/>
      <c r="G49" s="107"/>
      <c r="H49" s="107"/>
      <c r="I49" s="107"/>
    </row>
    <row r="50" spans="1:9" x14ac:dyDescent="0.2">
      <c r="A50" s="107"/>
      <c r="B50" s="107"/>
      <c r="C50" s="107"/>
      <c r="D50" s="107"/>
      <c r="E50" s="107"/>
      <c r="F50" s="107"/>
      <c r="G50" s="107"/>
      <c r="H50" s="107"/>
      <c r="I50" s="107"/>
    </row>
    <row r="51" spans="1:9" x14ac:dyDescent="0.2">
      <c r="A51" s="107"/>
      <c r="B51" s="107"/>
      <c r="C51" s="107"/>
      <c r="D51" s="107"/>
      <c r="E51" s="107"/>
      <c r="F51" s="107"/>
      <c r="G51" s="107"/>
      <c r="H51" s="107"/>
      <c r="I51" s="107"/>
    </row>
    <row r="52" spans="1:9" x14ac:dyDescent="0.2">
      <c r="A52" s="526" t="s">
        <v>1853</v>
      </c>
      <c r="B52" s="107"/>
      <c r="C52" s="107"/>
      <c r="D52" s="107"/>
      <c r="E52" s="107"/>
      <c r="F52" s="107"/>
      <c r="G52" s="107"/>
      <c r="H52" s="107"/>
      <c r="I52" s="107"/>
    </row>
    <row r="53" spans="1:9" ht="26" customHeight="1" x14ac:dyDescent="0.2">
      <c r="A53" s="953" t="s">
        <v>3254</v>
      </c>
      <c r="B53" s="954"/>
      <c r="C53" s="955"/>
      <c r="D53" s="107"/>
      <c r="E53" s="107"/>
      <c r="F53" s="107"/>
      <c r="G53" s="107"/>
      <c r="H53" s="107"/>
      <c r="I53" s="107"/>
    </row>
    <row r="54" spans="1:9" x14ac:dyDescent="0.2">
      <c r="A54" s="131" t="s">
        <v>3783</v>
      </c>
      <c r="B54" s="145">
        <v>4025112</v>
      </c>
      <c r="C54" s="307">
        <v>15</v>
      </c>
      <c r="D54" s="107"/>
      <c r="E54" s="107"/>
      <c r="F54" s="107"/>
      <c r="G54" s="107"/>
      <c r="H54" s="107"/>
      <c r="I54" s="107"/>
    </row>
    <row r="55" spans="1:9" x14ac:dyDescent="0.2">
      <c r="A55" s="131" t="s">
        <v>3777</v>
      </c>
      <c r="B55" s="145">
        <v>211980</v>
      </c>
      <c r="C55" s="307">
        <v>30</v>
      </c>
      <c r="D55" s="107"/>
      <c r="E55" s="107"/>
      <c r="F55" s="107"/>
      <c r="G55" s="107"/>
      <c r="H55" s="107"/>
      <c r="I55" s="107"/>
    </row>
    <row r="56" spans="1:9" x14ac:dyDescent="0.2">
      <c r="A56" s="230" t="s">
        <v>3173</v>
      </c>
      <c r="B56" s="309">
        <v>3813131</v>
      </c>
      <c r="C56" s="364">
        <v>85</v>
      </c>
      <c r="D56" s="107"/>
      <c r="E56" s="107"/>
      <c r="F56" s="107"/>
      <c r="G56" s="107"/>
      <c r="H56" s="107"/>
      <c r="I56" s="107"/>
    </row>
    <row r="57" spans="1:9" x14ac:dyDescent="0.2">
      <c r="A57" s="107"/>
      <c r="B57" s="107"/>
      <c r="C57" s="107"/>
      <c r="D57" s="107"/>
      <c r="E57" s="107"/>
      <c r="F57" s="107"/>
      <c r="G57" s="107"/>
      <c r="H57" s="107"/>
      <c r="I57" s="107"/>
    </row>
    <row r="58" spans="1:9" x14ac:dyDescent="0.2">
      <c r="A58" s="107"/>
      <c r="B58" s="107"/>
      <c r="C58" s="107"/>
      <c r="D58" s="107"/>
      <c r="E58" s="107"/>
      <c r="F58" s="107"/>
      <c r="G58" s="107"/>
      <c r="H58" s="107"/>
      <c r="I58" s="107"/>
    </row>
    <row r="59" spans="1:9" x14ac:dyDescent="0.2">
      <c r="A59" s="107"/>
      <c r="B59" s="107"/>
      <c r="C59" s="107"/>
      <c r="D59" s="107"/>
      <c r="E59" s="107"/>
      <c r="F59" s="107"/>
      <c r="G59" s="107"/>
      <c r="H59" s="107"/>
      <c r="I59" s="107"/>
    </row>
    <row r="60" spans="1:9" x14ac:dyDescent="0.2">
      <c r="A60" s="526" t="s">
        <v>1226</v>
      </c>
      <c r="B60" s="107"/>
      <c r="C60" s="107"/>
      <c r="D60" s="107"/>
      <c r="E60" s="107"/>
      <c r="F60" s="107"/>
      <c r="G60" s="107"/>
      <c r="H60" s="107"/>
      <c r="I60" s="107"/>
    </row>
    <row r="61" spans="1:9" ht="43.25" customHeight="1" x14ac:dyDescent="0.2">
      <c r="A61" s="810" t="s">
        <v>3254</v>
      </c>
      <c r="B61" s="609" t="s">
        <v>3598</v>
      </c>
      <c r="C61" s="967"/>
      <c r="D61" s="967" t="s">
        <v>1882</v>
      </c>
      <c r="E61" s="967"/>
      <c r="F61" s="967" t="s">
        <v>3784</v>
      </c>
      <c r="G61" s="967"/>
      <c r="H61" s="967" t="s">
        <v>3785</v>
      </c>
      <c r="I61" s="967"/>
    </row>
    <row r="62" spans="1:9" x14ac:dyDescent="0.2">
      <c r="A62" s="533" t="s">
        <v>3668</v>
      </c>
      <c r="B62" s="349">
        <v>2811453</v>
      </c>
      <c r="C62" s="717">
        <v>15</v>
      </c>
      <c r="D62" s="349">
        <v>44607</v>
      </c>
      <c r="E62" s="717">
        <v>45</v>
      </c>
      <c r="F62" s="349">
        <v>2766845</v>
      </c>
      <c r="G62" s="717">
        <v>70</v>
      </c>
      <c r="H62" s="349"/>
      <c r="I62" s="717"/>
    </row>
    <row r="63" spans="1:9" x14ac:dyDescent="0.2">
      <c r="A63" s="534" t="s">
        <v>1517</v>
      </c>
      <c r="B63" s="131">
        <v>245541</v>
      </c>
      <c r="C63" s="307"/>
      <c r="D63" s="131">
        <v>35981</v>
      </c>
      <c r="E63" s="307">
        <v>10</v>
      </c>
      <c r="F63" s="131">
        <v>209559</v>
      </c>
      <c r="G63" s="307">
        <v>90</v>
      </c>
      <c r="H63" s="131"/>
      <c r="I63" s="307"/>
    </row>
    <row r="64" spans="1:9" x14ac:dyDescent="0.2">
      <c r="A64" s="534" t="s">
        <v>3266</v>
      </c>
      <c r="B64" s="131">
        <v>2872</v>
      </c>
      <c r="C64" s="307">
        <v>5</v>
      </c>
      <c r="D64" s="131">
        <v>6257</v>
      </c>
      <c r="E64" s="307">
        <v>15</v>
      </c>
      <c r="F64" s="131"/>
      <c r="G64" s="307"/>
      <c r="H64" s="131">
        <v>3385</v>
      </c>
      <c r="I64" s="307">
        <v>10</v>
      </c>
    </row>
    <row r="65" spans="1:9" x14ac:dyDescent="0.2">
      <c r="A65" s="534" t="s">
        <v>1369</v>
      </c>
      <c r="B65" s="131">
        <v>273134</v>
      </c>
      <c r="C65" s="307">
        <v>25</v>
      </c>
      <c r="D65" s="131">
        <v>31853</v>
      </c>
      <c r="E65" s="307">
        <v>95</v>
      </c>
      <c r="F65" s="131">
        <v>241280</v>
      </c>
      <c r="G65" s="307">
        <v>30</v>
      </c>
      <c r="H65" s="131"/>
      <c r="I65" s="307"/>
    </row>
    <row r="66" spans="1:9" x14ac:dyDescent="0.2">
      <c r="A66" s="534" t="s">
        <v>1519</v>
      </c>
      <c r="B66" s="131">
        <v>464991</v>
      </c>
      <c r="C66" s="307">
        <v>80</v>
      </c>
      <c r="D66" s="131">
        <v>38912</v>
      </c>
      <c r="E66" s="307">
        <v>55</v>
      </c>
      <c r="F66" s="131">
        <v>426079</v>
      </c>
      <c r="G66" s="307">
        <v>25</v>
      </c>
      <c r="H66" s="131"/>
      <c r="I66" s="307"/>
    </row>
    <row r="67" spans="1:9" x14ac:dyDescent="0.2">
      <c r="A67" s="534" t="s">
        <v>1526</v>
      </c>
      <c r="B67" s="131">
        <v>97259</v>
      </c>
      <c r="C67" s="307">
        <v>90</v>
      </c>
      <c r="D67" s="131">
        <v>13845</v>
      </c>
      <c r="E67" s="307">
        <v>90</v>
      </c>
      <c r="F67" s="131">
        <v>83414</v>
      </c>
      <c r="G67" s="307"/>
      <c r="H67" s="131"/>
      <c r="I67" s="307"/>
    </row>
    <row r="68" spans="1:9" x14ac:dyDescent="0.2">
      <c r="A68" s="534" t="s">
        <v>1373</v>
      </c>
      <c r="B68" s="131">
        <v>66506</v>
      </c>
      <c r="C68" s="307">
        <v>55</v>
      </c>
      <c r="D68" s="131">
        <v>24810</v>
      </c>
      <c r="E68" s="307">
        <v>20</v>
      </c>
      <c r="F68" s="131">
        <v>41696</v>
      </c>
      <c r="G68" s="307">
        <v>35</v>
      </c>
      <c r="H68" s="131"/>
      <c r="I68" s="307"/>
    </row>
    <row r="69" spans="1:9" x14ac:dyDescent="0.2">
      <c r="A69" s="534" t="s">
        <v>1527</v>
      </c>
      <c r="B69" s="131">
        <v>63353</v>
      </c>
      <c r="C69" s="307">
        <v>45</v>
      </c>
      <c r="D69" s="131">
        <v>15712</v>
      </c>
      <c r="E69" s="307"/>
      <c r="F69" s="131">
        <v>47641</v>
      </c>
      <c r="G69" s="307">
        <v>45</v>
      </c>
      <c r="H69" s="131"/>
      <c r="I69" s="307"/>
    </row>
    <row r="70" spans="1:9" x14ac:dyDescent="0.2">
      <c r="A70" s="823" t="s">
        <v>3786</v>
      </c>
      <c r="B70" s="240">
        <v>4025112</v>
      </c>
      <c r="C70" s="513">
        <v>15</v>
      </c>
      <c r="D70" s="240">
        <v>211980</v>
      </c>
      <c r="E70" s="513">
        <v>30</v>
      </c>
      <c r="F70" s="240">
        <v>3816516</v>
      </c>
      <c r="G70" s="513">
        <v>95</v>
      </c>
      <c r="H70" s="240">
        <v>3385</v>
      </c>
      <c r="I70" s="513">
        <v>10</v>
      </c>
    </row>
    <row r="71" spans="1:9" x14ac:dyDescent="0.2">
      <c r="A71" s="801"/>
      <c r="B71" s="417">
        <f>+SUM(B62:B69)+C71</f>
        <v>4025148.375</v>
      </c>
      <c r="C71" s="417">
        <f>+SUM(C62:C69)/8</f>
        <v>39.375</v>
      </c>
      <c r="D71" s="417">
        <f t="shared" ref="D71:I71" si="0">+SUM(D62:D69)</f>
        <v>211977</v>
      </c>
      <c r="E71" s="417">
        <f t="shared" si="0"/>
        <v>330</v>
      </c>
      <c r="F71" s="417">
        <f t="shared" si="0"/>
        <v>3816514</v>
      </c>
      <c r="G71" s="417">
        <f t="shared" si="0"/>
        <v>295</v>
      </c>
      <c r="H71" s="417">
        <f t="shared" si="0"/>
        <v>3385</v>
      </c>
      <c r="I71" s="417">
        <f t="shared" si="0"/>
        <v>10</v>
      </c>
    </row>
    <row r="72" spans="1:9" x14ac:dyDescent="0.2">
      <c r="A72" s="982" t="s">
        <v>3787</v>
      </c>
      <c r="B72" s="983"/>
      <c r="C72" s="983"/>
      <c r="D72" s="983"/>
      <c r="E72" s="983"/>
      <c r="F72" s="982">
        <v>3813131</v>
      </c>
      <c r="G72" s="983"/>
      <c r="H72" s="983"/>
      <c r="I72" s="995">
        <v>85</v>
      </c>
    </row>
    <row r="73" spans="1:9" x14ac:dyDescent="0.2">
      <c r="A73" s="107"/>
      <c r="B73" s="107"/>
      <c r="C73" s="107"/>
      <c r="D73" s="107"/>
      <c r="E73" s="107"/>
      <c r="F73" s="107"/>
      <c r="G73" s="107"/>
      <c r="H73" s="107"/>
      <c r="I73" s="107"/>
    </row>
    <row r="74" spans="1:9" x14ac:dyDescent="0.2">
      <c r="A74" s="107"/>
      <c r="B74" s="107"/>
      <c r="C74" s="107"/>
      <c r="D74" s="107"/>
      <c r="E74" s="107"/>
      <c r="F74" s="107"/>
      <c r="G74" s="107"/>
      <c r="H74" s="107"/>
      <c r="I74" s="107"/>
    </row>
    <row r="75" spans="1:9" x14ac:dyDescent="0.2">
      <c r="A75" s="107"/>
      <c r="B75" s="107"/>
      <c r="C75" s="107"/>
      <c r="D75" s="107"/>
      <c r="E75" s="107"/>
      <c r="F75" s="107"/>
      <c r="G75" s="107"/>
      <c r="H75" s="107"/>
      <c r="I75" s="107"/>
    </row>
    <row r="76" spans="1:9" x14ac:dyDescent="0.2">
      <c r="A76" s="526" t="s">
        <v>1272</v>
      </c>
      <c r="B76" s="107"/>
      <c r="C76" s="107"/>
      <c r="D76" s="107"/>
      <c r="E76" s="107"/>
      <c r="F76" s="107"/>
      <c r="G76" s="107"/>
      <c r="H76" s="107"/>
      <c r="I76" s="107"/>
    </row>
    <row r="77" spans="1:9" ht="47" customHeight="1" x14ac:dyDescent="0.2">
      <c r="A77" s="1090" t="s">
        <v>3788</v>
      </c>
      <c r="B77" s="1042"/>
      <c r="C77" s="1043"/>
      <c r="D77" s="107"/>
      <c r="E77" s="107"/>
      <c r="F77" s="107"/>
      <c r="G77" s="107"/>
      <c r="H77" s="107"/>
      <c r="I77" s="107"/>
    </row>
    <row r="78" spans="1:9" ht="18.5" customHeight="1" x14ac:dyDescent="0.2">
      <c r="A78" s="864"/>
      <c r="B78" s="865" t="s">
        <v>3789</v>
      </c>
      <c r="C78" s="1091" t="s">
        <v>3790</v>
      </c>
      <c r="D78" s="107"/>
      <c r="E78" s="107"/>
      <c r="F78" s="107"/>
      <c r="G78" s="107"/>
      <c r="H78" s="107"/>
      <c r="I78" s="107"/>
    </row>
    <row r="79" spans="1:9" x14ac:dyDescent="0.2">
      <c r="A79" s="131" t="s">
        <v>3791</v>
      </c>
      <c r="B79" s="145">
        <v>2919173</v>
      </c>
      <c r="C79" s="307">
        <v>654</v>
      </c>
      <c r="D79" s="107"/>
      <c r="E79" s="1080">
        <f>B79/B87</f>
        <v>0.16573916336490177</v>
      </c>
      <c r="F79" s="107"/>
      <c r="G79" s="107"/>
      <c r="H79" s="107"/>
      <c r="I79" s="107"/>
    </row>
    <row r="80" spans="1:9" x14ac:dyDescent="0.2">
      <c r="A80" s="131" t="s">
        <v>3792</v>
      </c>
      <c r="B80" s="145">
        <v>1107756</v>
      </c>
      <c r="C80" s="307">
        <v>330</v>
      </c>
      <c r="D80" s="107"/>
      <c r="E80" s="107"/>
      <c r="F80" s="107"/>
      <c r="G80" s="107"/>
      <c r="H80" s="107"/>
      <c r="I80" s="107"/>
    </row>
    <row r="81" spans="1:9" x14ac:dyDescent="0.2">
      <c r="A81" s="131" t="s">
        <v>3793</v>
      </c>
      <c r="B81" s="145">
        <v>3403272</v>
      </c>
      <c r="C81" s="307">
        <v>367</v>
      </c>
      <c r="D81" s="107"/>
      <c r="E81" s="107"/>
      <c r="F81" s="107"/>
      <c r="G81" s="107"/>
      <c r="H81" s="107"/>
      <c r="I81" s="107"/>
    </row>
    <row r="82" spans="1:9" x14ac:dyDescent="0.2">
      <c r="A82" s="131" t="s">
        <v>3794</v>
      </c>
      <c r="B82" s="145">
        <v>3998033</v>
      </c>
      <c r="C82" s="307">
        <v>679</v>
      </c>
      <c r="D82" s="107"/>
      <c r="E82" s="107"/>
      <c r="F82" s="107"/>
      <c r="G82" s="107"/>
      <c r="H82" s="107"/>
      <c r="I82" s="107"/>
    </row>
    <row r="83" spans="1:9" x14ac:dyDescent="0.2">
      <c r="A83" s="131" t="s">
        <v>3795</v>
      </c>
      <c r="B83" s="145">
        <v>2684664</v>
      </c>
      <c r="C83" s="307">
        <v>827</v>
      </c>
      <c r="D83" s="107"/>
      <c r="E83" s="107"/>
      <c r="F83" s="107"/>
      <c r="G83" s="107"/>
      <c r="H83" s="107"/>
      <c r="I83" s="107"/>
    </row>
    <row r="84" spans="1:9" x14ac:dyDescent="0.2">
      <c r="A84" s="131" t="s">
        <v>3796</v>
      </c>
      <c r="B84" s="145">
        <v>2873124</v>
      </c>
      <c r="C84" s="307">
        <v>116</v>
      </c>
      <c r="D84" s="107"/>
      <c r="E84" s="107"/>
      <c r="F84" s="107"/>
      <c r="G84" s="107"/>
      <c r="H84" s="107"/>
      <c r="I84" s="107"/>
    </row>
    <row r="85" spans="1:9" ht="16" thickBot="1" x14ac:dyDescent="0.25">
      <c r="A85" s="131" t="s">
        <v>3364</v>
      </c>
      <c r="B85" s="187">
        <v>627033</v>
      </c>
      <c r="C85" s="444"/>
      <c r="D85" s="107"/>
      <c r="E85" s="107"/>
      <c r="F85" s="107"/>
      <c r="G85" s="107"/>
      <c r="H85" s="107"/>
      <c r="I85" s="107"/>
    </row>
    <row r="86" spans="1:9" ht="16" thickBot="1" x14ac:dyDescent="0.25">
      <c r="A86" s="794" t="s">
        <v>3797</v>
      </c>
      <c r="B86" s="448">
        <v>17613057</v>
      </c>
      <c r="C86" s="449">
        <v>973</v>
      </c>
      <c r="D86" s="107"/>
      <c r="E86" s="107"/>
      <c r="F86" s="107"/>
      <c r="G86" s="107"/>
      <c r="H86" s="107"/>
      <c r="I86" s="107"/>
    </row>
    <row r="87" spans="1:9" x14ac:dyDescent="0.2">
      <c r="A87" s="107"/>
      <c r="B87" s="321">
        <f>+SUM(B79:B85)</f>
        <v>17613055</v>
      </c>
      <c r="C87" s="321">
        <f>+SUM(C79:C85)</f>
        <v>2973</v>
      </c>
      <c r="D87" s="107"/>
      <c r="E87" s="107"/>
      <c r="F87" s="107"/>
      <c r="G87" s="107"/>
      <c r="H87" s="107"/>
      <c r="I87" s="107"/>
    </row>
    <row r="88" spans="1:9" x14ac:dyDescent="0.2">
      <c r="A88" s="107"/>
      <c r="B88" s="107"/>
      <c r="C88" s="107"/>
      <c r="D88" s="107"/>
      <c r="E88" s="107"/>
      <c r="F88" s="107"/>
      <c r="G88" s="107"/>
      <c r="H88" s="107"/>
      <c r="I88" s="107"/>
    </row>
    <row r="89" spans="1:9" x14ac:dyDescent="0.2">
      <c r="A89" s="107"/>
      <c r="B89" s="107"/>
      <c r="C89" s="107"/>
      <c r="D89" s="107"/>
      <c r="E89" s="107"/>
      <c r="F89" s="107"/>
      <c r="G89" s="107"/>
      <c r="H89" s="107"/>
      <c r="I89" s="107"/>
    </row>
    <row r="90" spans="1:9" x14ac:dyDescent="0.2">
      <c r="A90" s="526" t="s">
        <v>1342</v>
      </c>
      <c r="B90" s="107"/>
      <c r="C90" s="107"/>
      <c r="D90" s="107"/>
      <c r="E90" s="107"/>
      <c r="F90" s="107"/>
      <c r="G90" s="107"/>
      <c r="H90" s="107"/>
      <c r="I90" s="107"/>
    </row>
    <row r="91" spans="1:9" ht="39" customHeight="1" x14ac:dyDescent="0.2">
      <c r="A91" s="998" t="s">
        <v>3798</v>
      </c>
      <c r="B91" s="998"/>
      <c r="C91" s="998"/>
      <c r="D91" s="998"/>
      <c r="E91" s="998"/>
      <c r="F91" s="998"/>
      <c r="G91" s="998"/>
      <c r="H91" s="998"/>
      <c r="I91" s="998"/>
    </row>
    <row r="92" spans="1:9" ht="27" customHeight="1" x14ac:dyDescent="0.2">
      <c r="A92" s="838" t="s">
        <v>3597</v>
      </c>
      <c r="B92" s="1036" t="s">
        <v>3799</v>
      </c>
      <c r="C92" s="1036"/>
      <c r="D92" s="1036" t="s">
        <v>3800</v>
      </c>
      <c r="E92" s="1036"/>
      <c r="F92" s="1036" t="s">
        <v>3801</v>
      </c>
      <c r="G92" s="1036"/>
      <c r="H92" s="1036" t="s">
        <v>3802</v>
      </c>
      <c r="I92" s="1036"/>
    </row>
    <row r="93" spans="1:9" ht="12.5" customHeight="1" x14ac:dyDescent="0.2">
      <c r="A93" s="838"/>
      <c r="B93" s="1092" t="s">
        <v>3803</v>
      </c>
      <c r="C93" s="1092" t="s">
        <v>3804</v>
      </c>
      <c r="D93" s="1092" t="s">
        <v>3803</v>
      </c>
      <c r="E93" s="1092" t="s">
        <v>3804</v>
      </c>
      <c r="F93" s="1092" t="s">
        <v>2508</v>
      </c>
      <c r="G93" s="1092" t="s">
        <v>3805</v>
      </c>
      <c r="H93" s="1092" t="s">
        <v>2508</v>
      </c>
      <c r="I93" s="1092" t="s">
        <v>3805</v>
      </c>
    </row>
    <row r="94" spans="1:9" x14ac:dyDescent="0.2">
      <c r="A94" s="716" t="s">
        <v>3586</v>
      </c>
      <c r="B94" s="349">
        <v>7864069</v>
      </c>
      <c r="C94" s="717">
        <v>500</v>
      </c>
      <c r="D94" s="349">
        <v>8458049</v>
      </c>
      <c r="E94" s="717">
        <v>500</v>
      </c>
      <c r="F94" s="349">
        <v>952270</v>
      </c>
      <c r="G94" s="717">
        <v>60</v>
      </c>
      <c r="H94" s="349">
        <v>881273</v>
      </c>
      <c r="I94" s="717">
        <v>40</v>
      </c>
    </row>
    <row r="95" spans="1:9" x14ac:dyDescent="0.2">
      <c r="A95" s="533" t="s">
        <v>3587</v>
      </c>
      <c r="B95" s="131">
        <v>278300</v>
      </c>
      <c r="C95" s="307"/>
      <c r="D95" s="131">
        <v>734800</v>
      </c>
      <c r="E95" s="307"/>
      <c r="F95" s="131">
        <v>35577</v>
      </c>
      <c r="G95" s="307">
        <v>60</v>
      </c>
      <c r="H95" s="131">
        <v>83159</v>
      </c>
      <c r="I95" s="307">
        <v>65</v>
      </c>
    </row>
    <row r="96" spans="1:9" x14ac:dyDescent="0.2">
      <c r="A96" s="533" t="s">
        <v>3588</v>
      </c>
      <c r="B96" s="131">
        <v>8262</v>
      </c>
      <c r="C96" s="307"/>
      <c r="D96" s="131">
        <v>839700</v>
      </c>
      <c r="E96" s="307"/>
      <c r="F96" s="131">
        <v>1055</v>
      </c>
      <c r="G96" s="307">
        <v>40</v>
      </c>
      <c r="H96" s="131">
        <v>95548</v>
      </c>
      <c r="I96" s="307">
        <v>80</v>
      </c>
    </row>
    <row r="97" spans="1:9" x14ac:dyDescent="0.2">
      <c r="A97" s="533" t="s">
        <v>3589</v>
      </c>
      <c r="B97" s="131">
        <v>48747</v>
      </c>
      <c r="C97" s="307">
        <v>500</v>
      </c>
      <c r="D97" s="131">
        <v>1241282</v>
      </c>
      <c r="E97" s="307"/>
      <c r="F97" s="131">
        <v>6239</v>
      </c>
      <c r="G97" s="307">
        <v>45</v>
      </c>
      <c r="H97" s="131">
        <v>142215</v>
      </c>
      <c r="I97" s="307">
        <v>50</v>
      </c>
    </row>
    <row r="98" spans="1:9" x14ac:dyDescent="0.2">
      <c r="A98" s="533" t="s">
        <v>3590</v>
      </c>
      <c r="B98" s="131">
        <v>134325</v>
      </c>
      <c r="C98" s="307"/>
      <c r="D98" s="131">
        <v>337372</v>
      </c>
      <c r="E98" s="307"/>
      <c r="F98" s="131">
        <v>1216</v>
      </c>
      <c r="G98" s="307">
        <v>75</v>
      </c>
      <c r="H98" s="131">
        <v>6595</v>
      </c>
      <c r="I98" s="307">
        <v>20</v>
      </c>
    </row>
    <row r="99" spans="1:9" x14ac:dyDescent="0.2">
      <c r="A99" s="1068" t="s">
        <v>3806</v>
      </c>
      <c r="B99" s="240">
        <v>8333704</v>
      </c>
      <c r="C99" s="513"/>
      <c r="D99" s="240">
        <v>11605203</v>
      </c>
      <c r="E99" s="513">
        <v>500</v>
      </c>
      <c r="F99" s="240">
        <v>996359</v>
      </c>
      <c r="G99" s="513">
        <v>80</v>
      </c>
      <c r="H99" s="240">
        <v>1208792</v>
      </c>
      <c r="I99" s="513">
        <v>55</v>
      </c>
    </row>
    <row r="100" spans="1:9" x14ac:dyDescent="0.2">
      <c r="A100" s="533" t="s">
        <v>3591</v>
      </c>
      <c r="B100" s="131"/>
      <c r="C100" s="307"/>
      <c r="D100" s="131">
        <v>1316444</v>
      </c>
      <c r="E100" s="307">
        <v>250</v>
      </c>
      <c r="F100" s="131"/>
      <c r="G100" s="307"/>
      <c r="H100" s="131">
        <v>149220</v>
      </c>
      <c r="I100" s="307">
        <v>40</v>
      </c>
    </row>
    <row r="101" spans="1:9" x14ac:dyDescent="0.2">
      <c r="A101" s="533" t="s">
        <v>3592</v>
      </c>
      <c r="B101" s="131">
        <v>206868</v>
      </c>
      <c r="C101" s="307">
        <v>750</v>
      </c>
      <c r="D101" s="131">
        <v>75918</v>
      </c>
      <c r="E101" s="307">
        <v>750</v>
      </c>
      <c r="F101" s="131">
        <v>19520</v>
      </c>
      <c r="G101" s="307">
        <v>70</v>
      </c>
      <c r="H101" s="131">
        <v>7295</v>
      </c>
      <c r="I101" s="307">
        <v>40</v>
      </c>
    </row>
    <row r="102" spans="1:9" x14ac:dyDescent="0.2">
      <c r="A102" s="533" t="s">
        <v>3807</v>
      </c>
      <c r="B102" s="131">
        <v>123062</v>
      </c>
      <c r="C102" s="307">
        <v>500</v>
      </c>
      <c r="D102" s="131">
        <v>172862</v>
      </c>
      <c r="E102" s="307">
        <v>500</v>
      </c>
      <c r="F102" s="131">
        <v>15754</v>
      </c>
      <c r="G102" s="307">
        <v>35</v>
      </c>
      <c r="H102" s="131">
        <v>20444</v>
      </c>
      <c r="I102" s="307">
        <v>70</v>
      </c>
    </row>
    <row r="103" spans="1:9" x14ac:dyDescent="0.2">
      <c r="A103" s="533" t="s">
        <v>3808</v>
      </c>
      <c r="B103" s="131">
        <v>150575</v>
      </c>
      <c r="C103" s="307"/>
      <c r="D103" s="131">
        <v>410224</v>
      </c>
      <c r="E103" s="307">
        <v>500</v>
      </c>
      <c r="F103" s="131">
        <v>15041</v>
      </c>
      <c r="G103" s="307">
        <v>75</v>
      </c>
      <c r="H103" s="131">
        <v>53035</v>
      </c>
      <c r="I103" s="307">
        <v>90</v>
      </c>
    </row>
    <row r="104" spans="1:9" x14ac:dyDescent="0.2">
      <c r="A104" s="1068" t="s">
        <v>3806</v>
      </c>
      <c r="B104" s="240">
        <v>480506</v>
      </c>
      <c r="C104" s="513">
        <v>250</v>
      </c>
      <c r="D104" s="240">
        <v>1975450</v>
      </c>
      <c r="E104" s="513"/>
      <c r="F104" s="240">
        <v>50316</v>
      </c>
      <c r="G104" s="513">
        <v>80</v>
      </c>
      <c r="H104" s="240">
        <v>229996</v>
      </c>
      <c r="I104" s="513">
        <v>40</v>
      </c>
    </row>
    <row r="105" spans="1:9" x14ac:dyDescent="0.2">
      <c r="A105" s="533" t="s">
        <v>3809</v>
      </c>
      <c r="B105" s="240">
        <v>113850</v>
      </c>
      <c r="C105" s="513"/>
      <c r="D105" s="240">
        <v>160525</v>
      </c>
      <c r="E105" s="513"/>
      <c r="F105" s="240">
        <v>9108</v>
      </c>
      <c r="G105" s="513"/>
      <c r="H105" s="240">
        <v>12740</v>
      </c>
      <c r="I105" s="513">
        <v>5</v>
      </c>
    </row>
    <row r="106" spans="1:9" x14ac:dyDescent="0.2">
      <c r="A106" s="533" t="s">
        <v>3810</v>
      </c>
      <c r="B106" s="131"/>
      <c r="C106" s="307"/>
      <c r="D106" s="131"/>
      <c r="E106" s="307"/>
      <c r="F106" s="131"/>
      <c r="G106" s="307"/>
      <c r="H106" s="131"/>
      <c r="I106" s="307"/>
    </row>
    <row r="107" spans="1:9" x14ac:dyDescent="0.2">
      <c r="A107" s="533" t="s">
        <v>2595</v>
      </c>
      <c r="B107" s="131">
        <v>8333704</v>
      </c>
      <c r="C107" s="307"/>
      <c r="D107" s="131">
        <v>11605203</v>
      </c>
      <c r="E107" s="307"/>
      <c r="F107" s="131">
        <v>996359</v>
      </c>
      <c r="G107" s="307">
        <v>80</v>
      </c>
      <c r="H107" s="131">
        <v>1208792</v>
      </c>
      <c r="I107" s="307">
        <v>55</v>
      </c>
    </row>
    <row r="108" spans="1:9" x14ac:dyDescent="0.2">
      <c r="A108" s="533" t="s">
        <v>2599</v>
      </c>
      <c r="B108" s="131">
        <v>480506</v>
      </c>
      <c r="C108" s="307">
        <v>250</v>
      </c>
      <c r="D108" s="131">
        <v>1975450</v>
      </c>
      <c r="E108" s="307"/>
      <c r="F108" s="131">
        <v>50316</v>
      </c>
      <c r="G108" s="307">
        <v>80</v>
      </c>
      <c r="H108" s="131">
        <v>229996</v>
      </c>
      <c r="I108" s="307">
        <v>40</v>
      </c>
    </row>
    <row r="109" spans="1:9" x14ac:dyDescent="0.2">
      <c r="A109" s="533" t="s">
        <v>3811</v>
      </c>
      <c r="B109" s="131">
        <v>113850</v>
      </c>
      <c r="C109" s="307"/>
      <c r="D109" s="131">
        <v>160525</v>
      </c>
      <c r="E109" s="307"/>
      <c r="F109" s="131">
        <v>9108</v>
      </c>
      <c r="G109" s="307"/>
      <c r="H109" s="131">
        <v>12740</v>
      </c>
      <c r="I109" s="307">
        <v>5</v>
      </c>
    </row>
    <row r="110" spans="1:9" x14ac:dyDescent="0.2">
      <c r="A110" s="785" t="s">
        <v>3812</v>
      </c>
      <c r="B110" s="240">
        <v>8928060</v>
      </c>
      <c r="C110" s="513">
        <v>250</v>
      </c>
      <c r="D110" s="240">
        <v>13741178</v>
      </c>
      <c r="E110" s="513">
        <v>500</v>
      </c>
      <c r="F110" s="240">
        <v>1055784</v>
      </c>
      <c r="G110" s="513">
        <v>60</v>
      </c>
      <c r="H110" s="240">
        <v>1451529</v>
      </c>
      <c r="I110" s="513"/>
    </row>
    <row r="111" spans="1:9" x14ac:dyDescent="0.2">
      <c r="A111" s="107"/>
      <c r="B111" s="321">
        <f>+SUM(B94+B95+B96+B97+B98+B100+B101+B102+B103+B105)</f>
        <v>8928058</v>
      </c>
      <c r="C111" s="321">
        <f t="shared" ref="C111:I111" si="1">+SUM(C94+C95+C96+C97+C98+C100+C101+C102+C103+C105)</f>
        <v>2250</v>
      </c>
      <c r="D111" s="321">
        <f t="shared" si="1"/>
        <v>13747176</v>
      </c>
      <c r="E111" s="321">
        <f t="shared" si="1"/>
        <v>2500</v>
      </c>
      <c r="F111" s="321">
        <f t="shared" si="1"/>
        <v>1055780</v>
      </c>
      <c r="G111" s="321">
        <f t="shared" si="1"/>
        <v>460</v>
      </c>
      <c r="H111" s="321">
        <f t="shared" si="1"/>
        <v>1451524</v>
      </c>
      <c r="I111" s="321">
        <f t="shared" si="1"/>
        <v>500</v>
      </c>
    </row>
    <row r="112" spans="1:9" x14ac:dyDescent="0.2">
      <c r="A112" s="107"/>
      <c r="B112" s="107"/>
      <c r="C112" s="107"/>
      <c r="D112" s="107"/>
      <c r="E112" s="107"/>
      <c r="F112" s="107"/>
      <c r="G112" s="107"/>
      <c r="H112" s="107"/>
      <c r="I112" s="107"/>
    </row>
    <row r="113" spans="1:9" x14ac:dyDescent="0.2">
      <c r="A113" s="107"/>
      <c r="B113" s="107"/>
      <c r="C113" s="107"/>
      <c r="D113" s="107"/>
      <c r="E113" s="107"/>
      <c r="F113" s="107"/>
      <c r="G113" s="107"/>
      <c r="H113" s="107"/>
      <c r="I113" s="107"/>
    </row>
    <row r="114" spans="1:9" x14ac:dyDescent="0.2">
      <c r="A114" s="526" t="s">
        <v>1358</v>
      </c>
      <c r="B114" s="107"/>
      <c r="C114" s="107"/>
      <c r="D114" s="107"/>
      <c r="E114" s="107"/>
      <c r="F114" s="107"/>
      <c r="G114" s="107"/>
      <c r="H114" s="107"/>
      <c r="I114" s="107"/>
    </row>
    <row r="115" spans="1:9" ht="35.5" customHeight="1" x14ac:dyDescent="0.2">
      <c r="A115" s="998" t="s">
        <v>3813</v>
      </c>
      <c r="B115" s="998"/>
      <c r="C115" s="998"/>
      <c r="D115" s="998"/>
      <c r="E115" s="998"/>
      <c r="F115" s="998"/>
      <c r="G115" s="998"/>
      <c r="H115" s="998"/>
      <c r="I115" s="998"/>
    </row>
    <row r="116" spans="1:9" ht="33.5" customHeight="1" x14ac:dyDescent="0.2">
      <c r="A116" s="751" t="s">
        <v>3597</v>
      </c>
      <c r="B116" s="1036" t="s">
        <v>3598</v>
      </c>
      <c r="C116" s="1036"/>
      <c r="D116" s="1054" t="s">
        <v>1882</v>
      </c>
      <c r="E116" s="1036"/>
      <c r="F116" s="1036" t="s">
        <v>3784</v>
      </c>
      <c r="G116" s="1036"/>
      <c r="H116" s="1036" t="s">
        <v>3814</v>
      </c>
      <c r="I116" s="1036"/>
    </row>
    <row r="117" spans="1:9" x14ac:dyDescent="0.2">
      <c r="A117" s="533" t="s">
        <v>3586</v>
      </c>
      <c r="B117" s="131">
        <v>881273</v>
      </c>
      <c r="C117" s="307">
        <v>40</v>
      </c>
      <c r="D117" s="131">
        <v>104825</v>
      </c>
      <c r="E117" s="307">
        <v>10</v>
      </c>
      <c r="F117" s="131">
        <v>776448</v>
      </c>
      <c r="G117" s="307">
        <v>30</v>
      </c>
      <c r="H117" s="131">
        <v>11</v>
      </c>
      <c r="I117" s="307">
        <v>89</v>
      </c>
    </row>
    <row r="118" spans="1:9" x14ac:dyDescent="0.2">
      <c r="A118" s="533" t="s">
        <v>3587</v>
      </c>
      <c r="B118" s="131">
        <v>83159</v>
      </c>
      <c r="C118" s="307">
        <v>65</v>
      </c>
      <c r="D118" s="131">
        <v>16269</v>
      </c>
      <c r="E118" s="307">
        <v>65</v>
      </c>
      <c r="F118" s="131">
        <v>66890</v>
      </c>
      <c r="G118" s="307"/>
      <c r="H118" s="131">
        <v>19</v>
      </c>
      <c r="I118" s="307">
        <v>56</v>
      </c>
    </row>
    <row r="119" spans="1:9" x14ac:dyDescent="0.2">
      <c r="A119" s="533" t="s">
        <v>3588</v>
      </c>
      <c r="B119" s="131">
        <v>95548</v>
      </c>
      <c r="C119" s="307">
        <v>80</v>
      </c>
      <c r="D119" s="131">
        <v>10001</v>
      </c>
      <c r="E119" s="307"/>
      <c r="F119" s="131">
        <v>85547</v>
      </c>
      <c r="G119" s="307">
        <v>80</v>
      </c>
      <c r="H119" s="131">
        <v>10</v>
      </c>
      <c r="I119" s="307">
        <v>46</v>
      </c>
    </row>
    <row r="120" spans="1:9" x14ac:dyDescent="0.2">
      <c r="A120" s="533" t="s">
        <v>3589</v>
      </c>
      <c r="B120" s="131">
        <v>142215</v>
      </c>
      <c r="C120" s="307">
        <v>50</v>
      </c>
      <c r="D120" s="131">
        <v>27627</v>
      </c>
      <c r="E120" s="307">
        <v>55</v>
      </c>
      <c r="F120" s="131">
        <v>114587</v>
      </c>
      <c r="G120" s="307">
        <v>95</v>
      </c>
      <c r="H120" s="131">
        <v>19</v>
      </c>
      <c r="I120" s="307">
        <v>42</v>
      </c>
    </row>
    <row r="121" spans="1:9" x14ac:dyDescent="0.2">
      <c r="A121" s="533" t="s">
        <v>3590</v>
      </c>
      <c r="B121" s="131">
        <v>6595</v>
      </c>
      <c r="C121" s="307">
        <v>20</v>
      </c>
      <c r="D121" s="131">
        <v>1621</v>
      </c>
      <c r="E121" s="307">
        <v>10</v>
      </c>
      <c r="F121" s="131">
        <v>4974</v>
      </c>
      <c r="G121" s="307">
        <v>10</v>
      </c>
      <c r="H121" s="131">
        <v>24</v>
      </c>
      <c r="I121" s="307">
        <v>57</v>
      </c>
    </row>
    <row r="122" spans="1:9" x14ac:dyDescent="0.2">
      <c r="A122" s="533" t="s">
        <v>3591</v>
      </c>
      <c r="B122" s="131">
        <v>149220</v>
      </c>
      <c r="C122" s="307">
        <v>40</v>
      </c>
      <c r="D122" s="131">
        <v>62019</v>
      </c>
      <c r="E122" s="307">
        <v>5</v>
      </c>
      <c r="F122" s="131">
        <v>87201</v>
      </c>
      <c r="G122" s="307">
        <v>35</v>
      </c>
      <c r="H122" s="131">
        <v>41</v>
      </c>
      <c r="I122" s="307">
        <v>57</v>
      </c>
    </row>
    <row r="123" spans="1:9" x14ac:dyDescent="0.2">
      <c r="A123" s="533" t="s">
        <v>3592</v>
      </c>
      <c r="B123" s="131">
        <v>7295</v>
      </c>
      <c r="C123" s="307">
        <v>40</v>
      </c>
      <c r="D123" s="131">
        <v>3595</v>
      </c>
      <c r="E123" s="307">
        <v>30</v>
      </c>
      <c r="F123" s="131">
        <v>3700</v>
      </c>
      <c r="G123" s="307">
        <v>10</v>
      </c>
      <c r="H123" s="131">
        <v>49</v>
      </c>
      <c r="I123" s="307">
        <v>28</v>
      </c>
    </row>
    <row r="124" spans="1:9" x14ac:dyDescent="0.2">
      <c r="A124" s="533" t="s">
        <v>3807</v>
      </c>
      <c r="B124" s="131">
        <v>20444</v>
      </c>
      <c r="C124" s="307">
        <v>70</v>
      </c>
      <c r="D124" s="131">
        <v>12083</v>
      </c>
      <c r="E124" s="307">
        <v>55</v>
      </c>
      <c r="F124" s="131">
        <v>8361</v>
      </c>
      <c r="G124" s="307">
        <v>15</v>
      </c>
      <c r="H124" s="131">
        <v>58</v>
      </c>
      <c r="I124" s="307"/>
    </row>
    <row r="125" spans="1:9" x14ac:dyDescent="0.2">
      <c r="A125" s="533" t="s">
        <v>3808</v>
      </c>
      <c r="B125" s="131">
        <v>53035</v>
      </c>
      <c r="C125" s="307">
        <v>90</v>
      </c>
      <c r="D125" s="131">
        <v>5828</v>
      </c>
      <c r="E125" s="307">
        <v>65</v>
      </c>
      <c r="F125" s="131">
        <v>47207</v>
      </c>
      <c r="G125" s="307">
        <v>25</v>
      </c>
      <c r="H125" s="131">
        <v>10</v>
      </c>
      <c r="I125" s="307">
        <v>99</v>
      </c>
    </row>
    <row r="126" spans="1:9" x14ac:dyDescent="0.2">
      <c r="A126" s="533" t="s">
        <v>3809</v>
      </c>
      <c r="B126" s="131">
        <v>12740</v>
      </c>
      <c r="C126" s="307">
        <v>5</v>
      </c>
      <c r="D126" s="131">
        <v>2834</v>
      </c>
      <c r="E126" s="307">
        <v>10</v>
      </c>
      <c r="F126" s="131">
        <v>9905</v>
      </c>
      <c r="G126" s="307">
        <v>95</v>
      </c>
      <c r="H126" s="131">
        <v>22</v>
      </c>
      <c r="I126" s="307">
        <v>24</v>
      </c>
    </row>
    <row r="127" spans="1:9" x14ac:dyDescent="0.2">
      <c r="A127" s="823" t="s">
        <v>3815</v>
      </c>
      <c r="B127" s="240">
        <v>1451529</v>
      </c>
      <c r="C127" s="513"/>
      <c r="D127" s="240">
        <v>246705</v>
      </c>
      <c r="E127" s="513">
        <v>5</v>
      </c>
      <c r="F127" s="240">
        <v>1204823</v>
      </c>
      <c r="G127" s="513">
        <v>95</v>
      </c>
      <c r="H127" s="240">
        <v>17</v>
      </c>
      <c r="I127" s="513"/>
    </row>
    <row r="128" spans="1:9" x14ac:dyDescent="0.2">
      <c r="A128" s="107"/>
      <c r="B128" s="321">
        <f t="shared" ref="B128:G128" si="2">+SUM(B117:B126)</f>
        <v>1451524</v>
      </c>
      <c r="C128" s="321">
        <f t="shared" si="2"/>
        <v>500</v>
      </c>
      <c r="D128" s="321">
        <f t="shared" si="2"/>
        <v>246702</v>
      </c>
      <c r="E128" s="321">
        <f t="shared" si="2"/>
        <v>305</v>
      </c>
      <c r="F128" s="321">
        <f t="shared" si="2"/>
        <v>1204820</v>
      </c>
      <c r="G128" s="321">
        <f t="shared" si="2"/>
        <v>395</v>
      </c>
      <c r="H128" s="321"/>
      <c r="I128" s="321"/>
    </row>
    <row r="129" spans="1:9" x14ac:dyDescent="0.2">
      <c r="A129" s="107"/>
      <c r="B129" s="107"/>
      <c r="C129" s="107"/>
      <c r="D129" s="107"/>
      <c r="E129" s="107"/>
      <c r="F129" s="107"/>
      <c r="G129" s="107"/>
      <c r="H129" s="107"/>
      <c r="I129" s="107"/>
    </row>
    <row r="130" spans="1:9" x14ac:dyDescent="0.2">
      <c r="A130" s="107"/>
      <c r="B130" s="107"/>
      <c r="C130" s="107"/>
      <c r="D130" s="107"/>
      <c r="E130" s="107"/>
      <c r="F130" s="107"/>
      <c r="G130" s="107"/>
      <c r="H130" s="107"/>
      <c r="I130" s="107"/>
    </row>
    <row r="131" spans="1:9" x14ac:dyDescent="0.2">
      <c r="A131" s="107"/>
      <c r="B131" s="107"/>
      <c r="C131" s="107"/>
      <c r="D131" s="107"/>
      <c r="E131" s="107"/>
      <c r="F131" s="107"/>
      <c r="G131" s="107"/>
      <c r="H131" s="107"/>
      <c r="I131" s="107"/>
    </row>
    <row r="132" spans="1:9" x14ac:dyDescent="0.2">
      <c r="A132" s="107"/>
      <c r="B132" s="107"/>
      <c r="C132" s="107"/>
      <c r="D132" s="107"/>
      <c r="E132" s="107"/>
      <c r="F132" s="107"/>
      <c r="G132" s="107"/>
      <c r="H132" s="107"/>
      <c r="I132" s="107"/>
    </row>
    <row r="133" spans="1:9" x14ac:dyDescent="0.2">
      <c r="A133" s="107"/>
      <c r="B133" s="107"/>
      <c r="C133" s="107"/>
      <c r="D133" s="107"/>
      <c r="E133" s="107"/>
      <c r="F133" s="107"/>
      <c r="G133" s="107"/>
      <c r="H133" s="107"/>
      <c r="I133" s="107"/>
    </row>
    <row r="134" spans="1:9" x14ac:dyDescent="0.2">
      <c r="A134" s="107"/>
      <c r="B134" s="107"/>
      <c r="C134" s="107"/>
      <c r="D134" s="107"/>
      <c r="E134" s="107"/>
      <c r="F134" s="107"/>
      <c r="G134" s="107"/>
      <c r="H134" s="107"/>
      <c r="I134" s="107"/>
    </row>
  </sheetData>
  <mergeCells count="23">
    <mergeCell ref="B116:C116"/>
    <mergeCell ref="D116:E116"/>
    <mergeCell ref="F116:G116"/>
    <mergeCell ref="H116:I116"/>
    <mergeCell ref="A92:A93"/>
    <mergeCell ref="B92:C92"/>
    <mergeCell ref="D92:E92"/>
    <mergeCell ref="F92:G92"/>
    <mergeCell ref="H92:I92"/>
    <mergeCell ref="A115:I115"/>
    <mergeCell ref="F61:G61"/>
    <mergeCell ref="H61:I61"/>
    <mergeCell ref="A72:E72"/>
    <mergeCell ref="F72:H72"/>
    <mergeCell ref="A77:C77"/>
    <mergeCell ref="A91:I91"/>
    <mergeCell ref="A4:D4"/>
    <mergeCell ref="A5:D5"/>
    <mergeCell ref="A27:B27"/>
    <mergeCell ref="A40:B40"/>
    <mergeCell ref="A53:C53"/>
    <mergeCell ref="B61:C61"/>
    <mergeCell ref="D61:E61"/>
  </mergeCells>
  <pageMargins left="0.7" right="0.7" top="0.75" bottom="0.75" header="0.3" footer="0.3"/>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6" tint="0.39997558519241921"/>
  </sheetPr>
  <dimension ref="A1:R812"/>
  <sheetViews>
    <sheetView workbookViewId="0">
      <selection activeCell="B1" sqref="B1"/>
    </sheetView>
  </sheetViews>
  <sheetFormatPr baseColWidth="10" defaultRowHeight="15" x14ac:dyDescent="0.2"/>
  <cols>
    <col min="1" max="1" width="55.83203125" style="106" customWidth="1"/>
    <col min="2" max="2" width="15.1640625" style="106" customWidth="1"/>
    <col min="3" max="3" width="9.6640625" style="106" customWidth="1"/>
    <col min="4" max="4" width="8.83203125" style="106" customWidth="1"/>
    <col min="5" max="5" width="10.83203125" style="106"/>
    <col min="6" max="6" width="5.83203125" style="106" customWidth="1"/>
    <col min="7" max="7" width="5.33203125" style="106" customWidth="1"/>
    <col min="8" max="8" width="10.83203125" style="106"/>
    <col min="9" max="9" width="5.83203125" style="106" customWidth="1"/>
    <col min="10" max="10" width="6.1640625" style="106" customWidth="1"/>
    <col min="11" max="11" width="11.6640625" style="106" customWidth="1"/>
    <col min="12" max="12" width="5.83203125" style="106" customWidth="1"/>
    <col min="13" max="13" width="6.1640625" style="106" customWidth="1"/>
    <col min="14" max="14" width="11.6640625" style="106" customWidth="1"/>
    <col min="15" max="15" width="5.83203125" style="106" customWidth="1"/>
    <col min="16" max="16" width="6.1640625" style="106" customWidth="1"/>
    <col min="17" max="17" width="11.6640625" style="106" customWidth="1"/>
    <col min="18" max="18" width="5.83203125" style="106" customWidth="1"/>
    <col min="19" max="19" width="6.1640625" style="106" customWidth="1"/>
    <col min="20" max="20" width="11.6640625" style="106" customWidth="1"/>
    <col min="21" max="21" width="5.83203125" style="106" customWidth="1"/>
    <col min="22" max="22" width="6.1640625" style="106" customWidth="1"/>
    <col min="23" max="16384" width="10.83203125" style="106"/>
  </cols>
  <sheetData>
    <row r="1" spans="1:16" x14ac:dyDescent="0.2">
      <c r="A1" s="458" t="s">
        <v>3816</v>
      </c>
    </row>
    <row r="3" spans="1:16" x14ac:dyDescent="0.2">
      <c r="A3" s="113" t="s">
        <v>1111</v>
      </c>
    </row>
    <row r="4" spans="1:16" ht="33.5" customHeight="1" x14ac:dyDescent="0.2">
      <c r="A4" s="953" t="s">
        <v>3752</v>
      </c>
      <c r="B4" s="954"/>
      <c r="C4" s="954"/>
      <c r="D4" s="954"/>
      <c r="E4" s="954"/>
      <c r="F4" s="954"/>
      <c r="G4" s="955"/>
      <c r="H4" s="107"/>
      <c r="I4" s="107"/>
      <c r="J4" s="107"/>
      <c r="K4" s="107"/>
      <c r="L4" s="107"/>
      <c r="M4" s="107"/>
      <c r="N4" s="107"/>
      <c r="O4" s="107"/>
      <c r="P4" s="107"/>
    </row>
    <row r="5" spans="1:16" x14ac:dyDescent="0.2">
      <c r="A5" s="585" t="s">
        <v>3817</v>
      </c>
      <c r="B5" s="586"/>
      <c r="C5" s="586"/>
      <c r="D5" s="586"/>
      <c r="E5" s="586"/>
      <c r="F5" s="586"/>
      <c r="G5" s="587"/>
      <c r="H5" s="107"/>
      <c r="I5" s="107"/>
      <c r="J5" s="107"/>
      <c r="K5" s="107"/>
      <c r="L5" s="107"/>
      <c r="M5" s="107"/>
      <c r="N5" s="107"/>
      <c r="O5" s="107"/>
      <c r="P5" s="107"/>
    </row>
    <row r="6" spans="1:16" x14ac:dyDescent="0.2">
      <c r="A6" s="897" t="s">
        <v>3736</v>
      </c>
      <c r="B6" s="657"/>
      <c r="C6" s="657"/>
      <c r="D6" s="657"/>
      <c r="E6" s="145"/>
      <c r="F6" s="145"/>
      <c r="G6" s="307"/>
      <c r="H6" s="107"/>
      <c r="I6" s="107"/>
      <c r="J6" s="107"/>
      <c r="K6" s="107"/>
      <c r="L6" s="107"/>
      <c r="M6" s="107"/>
      <c r="N6" s="107"/>
      <c r="O6" s="107"/>
      <c r="P6" s="107"/>
    </row>
    <row r="7" spans="1:16" ht="16" thickBot="1" x14ac:dyDescent="0.25">
      <c r="A7" s="908" t="s">
        <v>1174</v>
      </c>
      <c r="B7" s="1085">
        <v>206</v>
      </c>
      <c r="C7" s="1085">
        <v>800</v>
      </c>
      <c r="D7" s="1085"/>
      <c r="E7" s="145">
        <v>206</v>
      </c>
      <c r="F7" s="657">
        <v>800</v>
      </c>
      <c r="G7" s="307"/>
      <c r="H7" s="107"/>
      <c r="I7" s="107"/>
      <c r="J7" s="107"/>
      <c r="K7" s="107"/>
      <c r="L7" s="107"/>
      <c r="M7" s="107"/>
      <c r="N7" s="107"/>
      <c r="O7" s="107"/>
      <c r="P7" s="107"/>
    </row>
    <row r="8" spans="1:16" x14ac:dyDescent="0.2">
      <c r="A8" s="897" t="s">
        <v>3737</v>
      </c>
      <c r="B8" s="657"/>
      <c r="C8" s="657"/>
      <c r="D8" s="657"/>
      <c r="E8" s="145"/>
      <c r="F8" s="145"/>
      <c r="G8" s="307"/>
      <c r="H8" s="107"/>
      <c r="I8" s="107"/>
      <c r="J8" s="107"/>
      <c r="K8" s="107"/>
      <c r="L8" s="107"/>
      <c r="M8" s="107"/>
      <c r="N8" s="107"/>
      <c r="O8" s="107"/>
      <c r="P8" s="107"/>
    </row>
    <row r="9" spans="1:16" x14ac:dyDescent="0.2">
      <c r="A9" s="908" t="s">
        <v>1175</v>
      </c>
      <c r="B9" s="657">
        <v>447</v>
      </c>
      <c r="C9" s="657">
        <v>900</v>
      </c>
      <c r="D9" s="657"/>
      <c r="E9" s="145"/>
      <c r="F9" s="145"/>
      <c r="G9" s="307"/>
      <c r="H9" s="107"/>
      <c r="I9" s="107"/>
      <c r="J9" s="107"/>
      <c r="K9" s="107"/>
      <c r="L9" s="107"/>
      <c r="M9" s="107"/>
      <c r="N9" s="107"/>
      <c r="O9" s="107"/>
      <c r="P9" s="107"/>
    </row>
    <row r="10" spans="1:16" x14ac:dyDescent="0.2">
      <c r="A10" s="908" t="s">
        <v>3287</v>
      </c>
      <c r="B10" s="657">
        <v>144</v>
      </c>
      <c r="C10" s="657">
        <v>300</v>
      </c>
      <c r="D10" s="657"/>
      <c r="E10" s="145"/>
      <c r="F10" s="145"/>
      <c r="G10" s="307"/>
      <c r="H10" s="107"/>
      <c r="I10" s="107"/>
      <c r="J10" s="107"/>
      <c r="K10" s="107"/>
      <c r="L10" s="107"/>
      <c r="M10" s="107"/>
      <c r="N10" s="107"/>
      <c r="O10" s="107"/>
      <c r="P10" s="107"/>
    </row>
    <row r="11" spans="1:16" x14ac:dyDescent="0.2">
      <c r="A11" s="908" t="s">
        <v>3818</v>
      </c>
      <c r="B11" s="657">
        <v>3421</v>
      </c>
      <c r="C11" s="657">
        <v>550</v>
      </c>
      <c r="D11" s="657"/>
      <c r="E11" s="145"/>
      <c r="F11" s="145"/>
      <c r="G11" s="307"/>
      <c r="H11" s="107"/>
      <c r="I11" s="107"/>
      <c r="J11" s="107"/>
      <c r="K11" s="107"/>
      <c r="L11" s="107"/>
      <c r="M11" s="107"/>
      <c r="N11" s="107"/>
      <c r="O11" s="107"/>
      <c r="P11" s="107"/>
    </row>
    <row r="12" spans="1:16" ht="16" thickBot="1" x14ac:dyDescent="0.25">
      <c r="A12" s="908" t="s">
        <v>2763</v>
      </c>
      <c r="B12" s="1085">
        <v>45</v>
      </c>
      <c r="C12" s="1085">
        <v>50</v>
      </c>
      <c r="D12" s="1085"/>
      <c r="E12" s="145">
        <v>4058</v>
      </c>
      <c r="F12" s="657">
        <v>800</v>
      </c>
      <c r="G12" s="307"/>
      <c r="H12" s="107"/>
      <c r="I12" s="107"/>
      <c r="J12" s="107"/>
      <c r="K12" s="107"/>
      <c r="L12" s="107"/>
      <c r="M12" s="107"/>
      <c r="N12" s="107"/>
      <c r="O12" s="107"/>
      <c r="P12" s="107"/>
    </row>
    <row r="13" spans="1:16" x14ac:dyDescent="0.2">
      <c r="A13" s="908"/>
      <c r="B13" s="657"/>
      <c r="C13" s="657"/>
      <c r="D13" s="657"/>
      <c r="E13" s="1093">
        <f>+SUM(B9:B12)</f>
        <v>4057</v>
      </c>
      <c r="F13" s="1093">
        <f t="shared" ref="F13:G13" si="0">+SUM(C9:C12)</f>
        <v>1800</v>
      </c>
      <c r="G13" s="1093">
        <f t="shared" si="0"/>
        <v>0</v>
      </c>
      <c r="H13" s="107"/>
      <c r="I13" s="107"/>
      <c r="J13" s="107"/>
      <c r="K13" s="107"/>
      <c r="L13" s="107"/>
      <c r="M13" s="107"/>
      <c r="N13" s="107"/>
      <c r="O13" s="107"/>
      <c r="P13" s="107"/>
    </row>
    <row r="14" spans="1:16" x14ac:dyDescent="0.2">
      <c r="A14" s="897" t="s">
        <v>3738</v>
      </c>
      <c r="B14" s="657"/>
      <c r="C14" s="657"/>
      <c r="D14" s="657"/>
      <c r="E14" s="145"/>
      <c r="F14" s="145"/>
      <c r="G14" s="307"/>
      <c r="H14" s="107"/>
      <c r="I14" s="107"/>
      <c r="J14" s="107"/>
      <c r="K14" s="107"/>
      <c r="L14" s="107"/>
      <c r="M14" s="107"/>
      <c r="N14" s="107"/>
      <c r="O14" s="107"/>
      <c r="P14" s="107"/>
    </row>
    <row r="15" spans="1:16" x14ac:dyDescent="0.2">
      <c r="A15" s="908" t="s">
        <v>1174</v>
      </c>
      <c r="B15" s="657">
        <v>82904</v>
      </c>
      <c r="C15" s="657">
        <v>500</v>
      </c>
      <c r="D15" s="657"/>
      <c r="E15" s="145"/>
      <c r="F15" s="145"/>
      <c r="G15" s="307"/>
      <c r="H15" s="107"/>
      <c r="I15" s="107"/>
      <c r="J15" s="107"/>
      <c r="K15" s="107"/>
      <c r="L15" s="107"/>
      <c r="M15" s="107"/>
      <c r="N15" s="107"/>
      <c r="O15" s="107"/>
      <c r="P15" s="107"/>
    </row>
    <row r="16" spans="1:16" x14ac:dyDescent="0.2">
      <c r="A16" s="908" t="s">
        <v>1175</v>
      </c>
      <c r="B16" s="657">
        <v>3482</v>
      </c>
      <c r="C16" s="657">
        <v>375</v>
      </c>
      <c r="D16" s="657"/>
      <c r="E16" s="145"/>
      <c r="F16" s="145"/>
      <c r="G16" s="307"/>
      <c r="H16" s="107"/>
      <c r="I16" s="107"/>
      <c r="J16" s="107"/>
      <c r="K16" s="107"/>
      <c r="L16" s="107"/>
      <c r="M16" s="107"/>
      <c r="N16" s="107"/>
      <c r="O16" s="107"/>
      <c r="P16" s="107"/>
    </row>
    <row r="17" spans="1:16" x14ac:dyDescent="0.2">
      <c r="A17" s="908" t="s">
        <v>3287</v>
      </c>
      <c r="B17" s="657">
        <v>2645</v>
      </c>
      <c r="C17" s="657">
        <v>350</v>
      </c>
      <c r="D17" s="657"/>
      <c r="E17" s="145"/>
      <c r="F17" s="145"/>
      <c r="G17" s="307"/>
      <c r="H17" s="107"/>
      <c r="I17" s="107"/>
      <c r="J17" s="107"/>
      <c r="K17" s="107"/>
      <c r="L17" s="107"/>
      <c r="M17" s="107"/>
      <c r="N17" s="107"/>
      <c r="O17" s="107"/>
      <c r="P17" s="107"/>
    </row>
    <row r="18" spans="1:16" x14ac:dyDescent="0.2">
      <c r="A18" s="908" t="s">
        <v>1808</v>
      </c>
      <c r="B18" s="657">
        <v>601</v>
      </c>
      <c r="C18" s="657">
        <v>975</v>
      </c>
      <c r="D18" s="657"/>
      <c r="E18" s="145"/>
      <c r="F18" s="145"/>
      <c r="G18" s="307"/>
      <c r="H18" s="107"/>
      <c r="I18" s="107"/>
      <c r="J18" s="107"/>
      <c r="K18" s="107"/>
      <c r="L18" s="107"/>
      <c r="M18" s="107"/>
      <c r="N18" s="107"/>
      <c r="O18" s="107"/>
      <c r="P18" s="107"/>
    </row>
    <row r="19" spans="1:16" x14ac:dyDescent="0.2">
      <c r="A19" s="908" t="s">
        <v>2761</v>
      </c>
      <c r="B19" s="657">
        <v>2919</v>
      </c>
      <c r="C19" s="657">
        <v>500</v>
      </c>
      <c r="D19" s="657"/>
      <c r="E19" s="145"/>
      <c r="F19" s="145"/>
      <c r="G19" s="307"/>
      <c r="H19" s="107"/>
      <c r="I19" s="107"/>
      <c r="J19" s="107"/>
      <c r="K19" s="107"/>
      <c r="L19" s="107"/>
      <c r="M19" s="107"/>
      <c r="N19" s="107"/>
      <c r="O19" s="107"/>
      <c r="P19" s="107"/>
    </row>
    <row r="20" spans="1:16" x14ac:dyDescent="0.2">
      <c r="A20" s="908" t="s">
        <v>2763</v>
      </c>
      <c r="B20" s="657">
        <v>7132</v>
      </c>
      <c r="C20" s="657">
        <v>125</v>
      </c>
      <c r="D20" s="657"/>
      <c r="E20" s="145"/>
      <c r="F20" s="145"/>
      <c r="G20" s="307"/>
      <c r="H20" s="107"/>
      <c r="I20" s="107"/>
      <c r="J20" s="107"/>
      <c r="K20" s="107"/>
      <c r="L20" s="107"/>
      <c r="M20" s="107"/>
      <c r="N20" s="107"/>
      <c r="O20" s="107"/>
      <c r="P20" s="107"/>
    </row>
    <row r="21" spans="1:16" ht="16" thickBot="1" x14ac:dyDescent="0.25">
      <c r="A21" s="908" t="s">
        <v>3675</v>
      </c>
      <c r="B21" s="1085">
        <v>4888</v>
      </c>
      <c r="C21" s="1085">
        <v>450</v>
      </c>
      <c r="D21" s="1085"/>
      <c r="E21" s="145">
        <v>104574</v>
      </c>
      <c r="F21" s="657">
        <v>275</v>
      </c>
      <c r="G21" s="307"/>
      <c r="H21" s="107"/>
      <c r="I21" s="107"/>
      <c r="J21" s="107"/>
      <c r="K21" s="107"/>
      <c r="L21" s="107"/>
      <c r="M21" s="107"/>
      <c r="N21" s="107"/>
      <c r="O21" s="107"/>
      <c r="P21" s="107"/>
    </row>
    <row r="22" spans="1:16" x14ac:dyDescent="0.2">
      <c r="A22" s="908"/>
      <c r="B22" s="657"/>
      <c r="C22" s="657"/>
      <c r="D22" s="657"/>
      <c r="E22" s="1093">
        <f>+SUM(B15:B21)</f>
        <v>104571</v>
      </c>
      <c r="F22" s="1093">
        <f t="shared" ref="F22:G22" si="1">+SUM(C15:C21)</f>
        <v>3275</v>
      </c>
      <c r="G22" s="1093">
        <f t="shared" si="1"/>
        <v>0</v>
      </c>
      <c r="H22" s="107"/>
      <c r="I22" s="107"/>
      <c r="J22" s="107"/>
      <c r="K22" s="107"/>
      <c r="L22" s="107"/>
      <c r="M22" s="107"/>
      <c r="N22" s="107"/>
      <c r="O22" s="107"/>
      <c r="P22" s="107"/>
    </row>
    <row r="23" spans="1:16" x14ac:dyDescent="0.2">
      <c r="A23" s="897" t="s">
        <v>3819</v>
      </c>
      <c r="B23" s="657"/>
      <c r="C23" s="657"/>
      <c r="D23" s="657"/>
      <c r="E23" s="145"/>
      <c r="F23" s="145"/>
      <c r="G23" s="307"/>
      <c r="H23" s="107"/>
      <c r="I23" s="107"/>
      <c r="J23" s="107"/>
      <c r="K23" s="107"/>
      <c r="L23" s="107"/>
      <c r="M23" s="107"/>
      <c r="N23" s="107"/>
      <c r="O23" s="107"/>
      <c r="P23" s="107"/>
    </row>
    <row r="24" spans="1:16" x14ac:dyDescent="0.2">
      <c r="A24" s="908" t="s">
        <v>1174</v>
      </c>
      <c r="B24" s="657">
        <v>3863360</v>
      </c>
      <c r="C24" s="657">
        <v>200</v>
      </c>
      <c r="D24" s="657"/>
      <c r="E24" s="145"/>
      <c r="F24" s="145"/>
      <c r="G24" s="307"/>
      <c r="I24" s="107"/>
      <c r="J24" s="107"/>
      <c r="K24" s="107"/>
      <c r="L24" s="107"/>
      <c r="M24" s="107"/>
      <c r="N24" s="107"/>
      <c r="O24" s="107"/>
      <c r="P24" s="107"/>
    </row>
    <row r="25" spans="1:16" x14ac:dyDescent="0.2">
      <c r="A25" s="908" t="s">
        <v>1573</v>
      </c>
      <c r="B25" s="657">
        <v>9222</v>
      </c>
      <c r="C25" s="657">
        <v>959</v>
      </c>
      <c r="D25" s="657"/>
      <c r="E25" s="145"/>
      <c r="F25" s="145"/>
      <c r="G25" s="307"/>
      <c r="I25" s="107"/>
      <c r="J25" s="107"/>
      <c r="K25" s="107"/>
      <c r="L25" s="107"/>
      <c r="M25" s="107"/>
      <c r="N25" s="107"/>
      <c r="O25" s="107"/>
      <c r="P25" s="107"/>
    </row>
    <row r="26" spans="1:16" x14ac:dyDescent="0.2">
      <c r="A26" s="908" t="s">
        <v>1175</v>
      </c>
      <c r="B26" s="657">
        <v>87452</v>
      </c>
      <c r="C26" s="657">
        <v>165</v>
      </c>
      <c r="D26" s="657"/>
      <c r="E26" s="145"/>
      <c r="F26" s="145"/>
      <c r="G26" s="307"/>
      <c r="H26" s="107"/>
      <c r="I26" s="107"/>
      <c r="J26" s="107"/>
      <c r="K26" s="107"/>
      <c r="L26" s="107"/>
      <c r="M26" s="107"/>
      <c r="N26" s="107"/>
      <c r="O26" s="107"/>
      <c r="P26" s="107"/>
    </row>
    <row r="27" spans="1:16" x14ac:dyDescent="0.2">
      <c r="A27" s="908" t="s">
        <v>3287</v>
      </c>
      <c r="B27" s="657">
        <v>22874</v>
      </c>
      <c r="C27" s="657">
        <v>535</v>
      </c>
      <c r="D27" s="657"/>
      <c r="E27" s="145"/>
      <c r="F27" s="145"/>
      <c r="G27" s="307"/>
      <c r="H27" s="107"/>
      <c r="I27" s="107"/>
      <c r="J27" s="107"/>
      <c r="K27" s="107"/>
      <c r="L27" s="107"/>
      <c r="M27" s="107"/>
      <c r="N27" s="107"/>
      <c r="O27" s="107"/>
      <c r="P27" s="107"/>
    </row>
    <row r="28" spans="1:16" x14ac:dyDescent="0.2">
      <c r="A28" s="908" t="s">
        <v>1808</v>
      </c>
      <c r="B28" s="657">
        <v>9932</v>
      </c>
      <c r="C28" s="657">
        <v>25</v>
      </c>
      <c r="D28" s="657"/>
      <c r="E28" s="145"/>
      <c r="F28" s="145"/>
      <c r="G28" s="307"/>
      <c r="I28" s="107"/>
      <c r="J28" s="107"/>
      <c r="K28" s="107"/>
      <c r="L28" s="107"/>
      <c r="M28" s="107"/>
      <c r="N28" s="107"/>
      <c r="O28" s="107"/>
      <c r="P28" s="107"/>
    </row>
    <row r="29" spans="1:16" x14ac:dyDescent="0.2">
      <c r="A29" s="908" t="s">
        <v>1991</v>
      </c>
      <c r="B29" s="657">
        <v>250000</v>
      </c>
      <c r="C29" s="657"/>
      <c r="D29" s="657"/>
      <c r="E29" s="145"/>
      <c r="F29" s="145"/>
      <c r="G29" s="307"/>
      <c r="H29" s="107"/>
      <c r="I29" s="107"/>
      <c r="J29" s="107"/>
      <c r="K29" s="107"/>
      <c r="L29" s="107"/>
      <c r="M29" s="107"/>
      <c r="N29" s="107"/>
      <c r="O29" s="107"/>
      <c r="P29" s="107"/>
    </row>
    <row r="30" spans="1:16" x14ac:dyDescent="0.2">
      <c r="A30" s="908" t="s">
        <v>1569</v>
      </c>
      <c r="B30" s="657">
        <v>1451557</v>
      </c>
      <c r="C30" s="657">
        <v>50</v>
      </c>
      <c r="D30" s="657"/>
      <c r="E30" s="145"/>
      <c r="F30" s="145"/>
      <c r="G30" s="307"/>
      <c r="H30" s="107"/>
      <c r="I30" s="107"/>
      <c r="J30" s="107"/>
      <c r="K30" s="107"/>
      <c r="L30" s="107"/>
      <c r="M30" s="107"/>
      <c r="N30" s="107"/>
      <c r="O30" s="107"/>
      <c r="P30" s="107"/>
    </row>
    <row r="31" spans="1:16" x14ac:dyDescent="0.2">
      <c r="A31" s="908" t="s">
        <v>2761</v>
      </c>
      <c r="B31" s="657">
        <v>82987</v>
      </c>
      <c r="C31" s="657">
        <v>925</v>
      </c>
      <c r="D31" s="657"/>
      <c r="E31" s="145"/>
      <c r="F31" s="145"/>
      <c r="G31" s="307"/>
      <c r="H31" s="107"/>
      <c r="I31" s="107"/>
      <c r="J31" s="107"/>
      <c r="K31" s="107"/>
      <c r="L31" s="107"/>
      <c r="M31" s="107"/>
      <c r="N31" s="107"/>
      <c r="O31" s="107"/>
      <c r="P31" s="107"/>
    </row>
    <row r="32" spans="1:16" x14ac:dyDescent="0.2">
      <c r="A32" s="908" t="s">
        <v>2763</v>
      </c>
      <c r="B32" s="657">
        <v>886167</v>
      </c>
      <c r="C32" s="657">
        <v>25</v>
      </c>
      <c r="D32" s="657"/>
      <c r="E32" s="145"/>
      <c r="F32" s="145"/>
      <c r="G32" s="307"/>
      <c r="H32" s="107"/>
      <c r="I32" s="107"/>
      <c r="J32" s="107"/>
      <c r="K32" s="107"/>
      <c r="L32" s="107"/>
      <c r="M32" s="107"/>
      <c r="N32" s="107"/>
      <c r="O32" s="107"/>
      <c r="P32" s="107"/>
    </row>
    <row r="33" spans="1:16" ht="16" thickBot="1" x14ac:dyDescent="0.25">
      <c r="A33" s="908" t="s">
        <v>3675</v>
      </c>
      <c r="B33" s="1085">
        <v>129953</v>
      </c>
      <c r="C33" s="1085">
        <v>850</v>
      </c>
      <c r="D33" s="1085"/>
      <c r="E33" s="145">
        <v>6793507</v>
      </c>
      <c r="F33" s="145">
        <v>734</v>
      </c>
      <c r="G33" s="307"/>
      <c r="H33" s="107"/>
      <c r="I33" s="107"/>
      <c r="J33" s="107"/>
      <c r="K33" s="107"/>
      <c r="L33" s="107"/>
      <c r="M33" s="107"/>
      <c r="N33" s="107"/>
      <c r="O33" s="107"/>
      <c r="P33" s="107"/>
    </row>
    <row r="34" spans="1:16" ht="16" thickBot="1" x14ac:dyDescent="0.25">
      <c r="A34" s="908"/>
      <c r="B34" s="657"/>
      <c r="C34" s="657"/>
      <c r="D34" s="657"/>
      <c r="E34" s="1093">
        <f>+SUM(B24:B33)</f>
        <v>6793504</v>
      </c>
      <c r="F34" s="1093">
        <f t="shared" ref="F34:G34" si="2">+SUM(C24:C33)</f>
        <v>3734</v>
      </c>
      <c r="G34" s="1093">
        <f t="shared" si="2"/>
        <v>0</v>
      </c>
      <c r="H34" s="107"/>
      <c r="I34" s="107"/>
      <c r="J34" s="107"/>
      <c r="K34" s="107"/>
      <c r="L34" s="107"/>
      <c r="M34" s="107"/>
      <c r="N34" s="107"/>
      <c r="O34" s="107"/>
      <c r="P34" s="107"/>
    </row>
    <row r="35" spans="1:16" ht="16" thickBot="1" x14ac:dyDescent="0.25">
      <c r="A35" s="797" t="s">
        <v>3457</v>
      </c>
      <c r="B35" s="798"/>
      <c r="C35" s="798"/>
      <c r="D35" s="798"/>
      <c r="E35" s="448">
        <v>6902347</v>
      </c>
      <c r="F35" s="448">
        <v>609</v>
      </c>
      <c r="G35" s="449"/>
      <c r="H35" s="107"/>
      <c r="I35" s="107"/>
      <c r="J35" s="107"/>
      <c r="K35" s="107"/>
      <c r="L35" s="107"/>
      <c r="M35" s="107"/>
      <c r="N35" s="107"/>
      <c r="O35" s="107"/>
      <c r="P35" s="107"/>
    </row>
    <row r="36" spans="1:16" x14ac:dyDescent="0.2">
      <c r="A36" s="897"/>
      <c r="B36" s="657"/>
      <c r="C36" s="657"/>
      <c r="D36" s="657"/>
      <c r="E36" s="1093">
        <f>+SUM(B24:B33)+E21+E12+E7</f>
        <v>6902342</v>
      </c>
      <c r="F36" s="1093">
        <f>+SUM(C24:C33)+F21+F12+F7</f>
        <v>5609</v>
      </c>
      <c r="G36" s="1093">
        <f>+SUM(D24:D33)+G21+G12+G7</f>
        <v>0</v>
      </c>
      <c r="H36" s="107"/>
      <c r="I36" s="107"/>
      <c r="J36" s="107"/>
      <c r="K36" s="107"/>
      <c r="L36" s="107"/>
      <c r="M36" s="107"/>
      <c r="N36" s="107"/>
      <c r="O36" s="107"/>
      <c r="P36" s="107"/>
    </row>
    <row r="37" spans="1:16" x14ac:dyDescent="0.2">
      <c r="A37" s="1094" t="s">
        <v>3735</v>
      </c>
      <c r="B37" s="1095"/>
      <c r="C37" s="1095"/>
      <c r="D37" s="1095"/>
      <c r="E37" s="350"/>
      <c r="F37" s="350"/>
      <c r="G37" s="717"/>
      <c r="H37" s="107"/>
      <c r="I37" s="107"/>
      <c r="J37" s="107"/>
      <c r="K37" s="107"/>
      <c r="L37" s="107"/>
      <c r="M37" s="107"/>
      <c r="N37" s="107"/>
      <c r="O37" s="107"/>
      <c r="P37" s="107"/>
    </row>
    <row r="38" spans="1:16" x14ac:dyDescent="0.2">
      <c r="A38" s="908" t="s">
        <v>3287</v>
      </c>
      <c r="B38" s="657">
        <v>29</v>
      </c>
      <c r="C38" s="657">
        <v>500</v>
      </c>
      <c r="D38" s="657"/>
      <c r="E38" s="145"/>
      <c r="F38" s="145"/>
      <c r="G38" s="307"/>
      <c r="H38" s="107"/>
      <c r="I38" s="107"/>
      <c r="J38" s="107"/>
      <c r="K38" s="107"/>
      <c r="L38" s="107"/>
      <c r="M38" s="107"/>
      <c r="N38" s="107"/>
      <c r="O38" s="107"/>
      <c r="P38" s="107"/>
    </row>
    <row r="39" spans="1:16" ht="16" thickBot="1" x14ac:dyDescent="0.25">
      <c r="A39" s="908" t="s">
        <v>2763</v>
      </c>
      <c r="B39" s="1085">
        <v>426</v>
      </c>
      <c r="C39" s="1085"/>
      <c r="D39" s="1085"/>
      <c r="E39" s="145">
        <v>455</v>
      </c>
      <c r="F39" s="145">
        <v>500</v>
      </c>
      <c r="G39" s="307"/>
      <c r="H39" s="107"/>
      <c r="I39" s="107"/>
      <c r="J39" s="107"/>
      <c r="K39" s="107"/>
      <c r="L39" s="107"/>
      <c r="M39" s="107"/>
      <c r="N39" s="107"/>
      <c r="O39" s="107"/>
      <c r="P39" s="107"/>
    </row>
    <row r="40" spans="1:16" x14ac:dyDescent="0.2">
      <c r="A40" s="897" t="s">
        <v>3736</v>
      </c>
      <c r="B40" s="657"/>
      <c r="C40" s="657"/>
      <c r="D40" s="657"/>
      <c r="E40" s="145"/>
      <c r="F40" s="145"/>
      <c r="G40" s="307"/>
      <c r="H40" s="107"/>
      <c r="I40" s="107"/>
      <c r="J40" s="107"/>
      <c r="K40" s="107"/>
      <c r="L40" s="107"/>
      <c r="M40" s="107"/>
      <c r="N40" s="107"/>
      <c r="O40" s="107"/>
      <c r="P40" s="107"/>
    </row>
    <row r="41" spans="1:16" x14ac:dyDescent="0.2">
      <c r="A41" s="908" t="s">
        <v>1175</v>
      </c>
      <c r="B41" s="145">
        <v>6</v>
      </c>
      <c r="C41" s="145">
        <v>900</v>
      </c>
      <c r="D41" s="145"/>
      <c r="E41" s="145"/>
      <c r="F41" s="145"/>
      <c r="G41" s="307"/>
      <c r="H41" s="107"/>
      <c r="I41" s="107"/>
      <c r="J41" s="107"/>
      <c r="K41" s="107"/>
      <c r="L41" s="107"/>
      <c r="M41" s="107"/>
      <c r="N41" s="107"/>
      <c r="O41" s="107"/>
      <c r="P41" s="107"/>
    </row>
    <row r="42" spans="1:16" ht="16" thickBot="1" x14ac:dyDescent="0.25">
      <c r="A42" s="908" t="s">
        <v>2763</v>
      </c>
      <c r="B42" s="1085">
        <v>673</v>
      </c>
      <c r="C42" s="1085">
        <v>325</v>
      </c>
      <c r="D42" s="1085"/>
      <c r="E42" s="145">
        <v>680</v>
      </c>
      <c r="F42" s="145">
        <v>225</v>
      </c>
      <c r="G42" s="307"/>
      <c r="H42" s="107"/>
      <c r="I42" s="107"/>
      <c r="J42" s="107"/>
      <c r="K42" s="107"/>
      <c r="L42" s="107"/>
      <c r="M42" s="107"/>
      <c r="N42" s="107"/>
      <c r="O42" s="107"/>
      <c r="P42" s="107"/>
    </row>
    <row r="43" spans="1:16" x14ac:dyDescent="0.2">
      <c r="A43" s="897" t="s">
        <v>3737</v>
      </c>
      <c r="B43" s="657"/>
      <c r="C43" s="657"/>
      <c r="D43" s="657"/>
      <c r="E43" s="145"/>
      <c r="F43" s="145"/>
      <c r="G43" s="307"/>
      <c r="H43" s="107"/>
      <c r="I43" s="107"/>
      <c r="J43" s="107"/>
      <c r="K43" s="107"/>
      <c r="L43" s="107"/>
      <c r="M43" s="107"/>
      <c r="N43" s="107"/>
      <c r="O43" s="107"/>
      <c r="P43" s="107"/>
    </row>
    <row r="44" spans="1:16" x14ac:dyDescent="0.2">
      <c r="A44" s="908" t="s">
        <v>1174</v>
      </c>
      <c r="B44" s="657">
        <v>516</v>
      </c>
      <c r="C44" s="657">
        <v>100</v>
      </c>
      <c r="D44" s="657"/>
      <c r="E44" s="145"/>
      <c r="F44" s="145"/>
      <c r="G44" s="307"/>
      <c r="H44" s="107"/>
      <c r="I44" s="107"/>
      <c r="J44" s="107"/>
      <c r="K44" s="107"/>
      <c r="L44" s="107"/>
      <c r="M44" s="107"/>
      <c r="N44" s="107"/>
      <c r="O44" s="107"/>
      <c r="P44" s="107"/>
    </row>
    <row r="45" spans="1:16" x14ac:dyDescent="0.2">
      <c r="A45" s="908" t="s">
        <v>1175</v>
      </c>
      <c r="B45" s="657">
        <v>316</v>
      </c>
      <c r="C45" s="657">
        <v>525</v>
      </c>
      <c r="D45" s="657"/>
      <c r="E45" s="145"/>
      <c r="F45" s="145"/>
      <c r="G45" s="307"/>
      <c r="H45" s="107"/>
      <c r="I45" s="107"/>
      <c r="J45" s="107"/>
      <c r="K45" s="107"/>
      <c r="L45" s="107"/>
      <c r="M45" s="107"/>
      <c r="N45" s="107"/>
      <c r="O45" s="107"/>
      <c r="P45" s="107"/>
    </row>
    <row r="46" spans="1:16" x14ac:dyDescent="0.2">
      <c r="A46" s="908" t="s">
        <v>3287</v>
      </c>
      <c r="B46" s="657">
        <v>86</v>
      </c>
      <c r="C46" s="657">
        <v>300</v>
      </c>
      <c r="D46" s="657"/>
      <c r="E46" s="145"/>
      <c r="F46" s="145"/>
      <c r="G46" s="307"/>
      <c r="H46" s="107"/>
      <c r="I46" s="107"/>
      <c r="J46" s="107"/>
      <c r="K46" s="107"/>
      <c r="L46" s="107"/>
      <c r="M46" s="107"/>
      <c r="N46" s="107"/>
      <c r="O46" s="107"/>
      <c r="P46" s="107"/>
    </row>
    <row r="47" spans="1:16" x14ac:dyDescent="0.2">
      <c r="A47" s="908" t="s">
        <v>1808</v>
      </c>
      <c r="B47" s="145">
        <v>41</v>
      </c>
      <c r="C47" s="145"/>
      <c r="D47" s="145"/>
      <c r="E47" s="145"/>
      <c r="F47" s="145"/>
      <c r="G47" s="307"/>
      <c r="H47" s="107"/>
      <c r="I47" s="107"/>
      <c r="J47" s="107"/>
      <c r="K47" s="107"/>
      <c r="L47" s="107"/>
      <c r="M47" s="107"/>
      <c r="N47" s="107"/>
      <c r="O47" s="107"/>
      <c r="P47" s="107"/>
    </row>
    <row r="48" spans="1:16" ht="16" thickBot="1" x14ac:dyDescent="0.25">
      <c r="A48" s="908" t="s">
        <v>2763</v>
      </c>
      <c r="B48" s="1085">
        <v>2201</v>
      </c>
      <c r="C48" s="1085">
        <v>350</v>
      </c>
      <c r="D48" s="1085"/>
      <c r="E48" s="145">
        <v>3161</v>
      </c>
      <c r="F48" s="145">
        <v>275</v>
      </c>
      <c r="G48" s="307"/>
      <c r="H48" s="107"/>
      <c r="I48" s="107"/>
      <c r="J48" s="107"/>
      <c r="K48" s="107"/>
      <c r="L48" s="107"/>
      <c r="M48" s="107"/>
      <c r="N48" s="107"/>
      <c r="O48" s="107"/>
      <c r="P48" s="107"/>
    </row>
    <row r="49" spans="1:16" x14ac:dyDescent="0.2">
      <c r="A49" s="908"/>
      <c r="B49" s="657"/>
      <c r="C49" s="657"/>
      <c r="D49" s="657"/>
      <c r="E49" s="1096">
        <f>+SUM(B44:B48)</f>
        <v>3160</v>
      </c>
      <c r="F49" s="1096">
        <f>+SUM(C44:C48)</f>
        <v>1275</v>
      </c>
      <c r="G49" s="1097">
        <f>+SUM(D44:D48)</f>
        <v>0</v>
      </c>
      <c r="H49" s="107"/>
      <c r="I49" s="107"/>
      <c r="J49" s="107"/>
      <c r="K49" s="107"/>
      <c r="L49" s="107"/>
      <c r="M49" s="107"/>
      <c r="N49" s="107"/>
      <c r="O49" s="107"/>
      <c r="P49" s="107"/>
    </row>
    <row r="50" spans="1:16" x14ac:dyDescent="0.2">
      <c r="A50" s="897" t="s">
        <v>3738</v>
      </c>
      <c r="B50" s="657"/>
      <c r="C50" s="657"/>
      <c r="D50" s="657"/>
      <c r="E50" s="145"/>
      <c r="F50" s="145"/>
      <c r="G50" s="307"/>
      <c r="H50" s="107"/>
      <c r="I50" s="107"/>
      <c r="J50" s="107"/>
      <c r="K50" s="107"/>
      <c r="L50" s="107"/>
      <c r="M50" s="107"/>
      <c r="N50" s="107"/>
      <c r="O50" s="107"/>
      <c r="P50" s="107"/>
    </row>
    <row r="51" spans="1:16" x14ac:dyDescent="0.2">
      <c r="A51" s="908" t="s">
        <v>1174</v>
      </c>
      <c r="B51" s="657">
        <v>190144</v>
      </c>
      <c r="C51" s="657">
        <v>500</v>
      </c>
      <c r="D51" s="657"/>
      <c r="E51" s="145"/>
      <c r="F51" s="145"/>
      <c r="G51" s="307"/>
      <c r="H51" s="107"/>
      <c r="I51" s="107"/>
      <c r="J51" s="107"/>
      <c r="K51" s="107"/>
      <c r="L51" s="107"/>
      <c r="M51" s="107"/>
      <c r="N51" s="107"/>
      <c r="O51" s="107"/>
      <c r="P51" s="107"/>
    </row>
    <row r="52" spans="1:16" x14ac:dyDescent="0.2">
      <c r="A52" s="908" t="s">
        <v>1175</v>
      </c>
      <c r="B52" s="657">
        <v>3527</v>
      </c>
      <c r="C52" s="657">
        <v>650</v>
      </c>
      <c r="D52" s="657"/>
      <c r="E52" s="145"/>
      <c r="F52" s="145"/>
      <c r="G52" s="307"/>
      <c r="H52" s="107"/>
      <c r="I52" s="107"/>
      <c r="J52" s="107"/>
      <c r="K52" s="107"/>
      <c r="L52" s="107"/>
      <c r="M52" s="107"/>
      <c r="N52" s="107"/>
      <c r="O52" s="107"/>
      <c r="P52" s="107"/>
    </row>
    <row r="53" spans="1:16" x14ac:dyDescent="0.2">
      <c r="A53" s="908" t="s">
        <v>3287</v>
      </c>
      <c r="B53" s="657">
        <v>2638</v>
      </c>
      <c r="C53" s="657">
        <v>450</v>
      </c>
      <c r="D53" s="657"/>
      <c r="E53" s="145"/>
      <c r="F53" s="145"/>
      <c r="G53" s="307"/>
      <c r="H53" s="107"/>
      <c r="I53" s="107"/>
      <c r="J53" s="107"/>
      <c r="K53" s="107"/>
      <c r="L53" s="107"/>
      <c r="M53" s="107"/>
      <c r="N53" s="107"/>
      <c r="O53" s="107"/>
      <c r="P53" s="107"/>
    </row>
    <row r="54" spans="1:16" x14ac:dyDescent="0.2">
      <c r="A54" s="908" t="s">
        <v>1808</v>
      </c>
      <c r="B54" s="657">
        <v>2366</v>
      </c>
      <c r="C54" s="657">
        <v>950</v>
      </c>
      <c r="D54" s="657"/>
      <c r="E54" s="145"/>
      <c r="F54" s="145"/>
      <c r="G54" s="307"/>
      <c r="H54" s="107"/>
      <c r="I54" s="107"/>
      <c r="J54" s="107"/>
      <c r="K54" s="107"/>
      <c r="L54" s="107"/>
      <c r="M54" s="107"/>
      <c r="N54" s="107"/>
      <c r="O54" s="107"/>
      <c r="P54" s="107"/>
    </row>
    <row r="55" spans="1:16" x14ac:dyDescent="0.2">
      <c r="A55" s="908" t="s">
        <v>1991</v>
      </c>
      <c r="B55" s="657">
        <v>225000</v>
      </c>
      <c r="C55" s="657"/>
      <c r="D55" s="657"/>
      <c r="E55" s="145"/>
      <c r="F55" s="145"/>
      <c r="G55" s="307"/>
      <c r="H55" s="107"/>
      <c r="I55" s="107"/>
      <c r="J55" s="107"/>
      <c r="K55" s="107"/>
      <c r="L55" s="107"/>
      <c r="M55" s="107"/>
      <c r="N55" s="107"/>
      <c r="O55" s="107"/>
      <c r="P55" s="107"/>
    </row>
    <row r="56" spans="1:16" x14ac:dyDescent="0.2">
      <c r="A56" s="908" t="s">
        <v>2761</v>
      </c>
      <c r="B56" s="657">
        <v>2919</v>
      </c>
      <c r="C56" s="657">
        <v>500</v>
      </c>
      <c r="D56" s="657"/>
      <c r="E56" s="145"/>
      <c r="F56" s="145"/>
      <c r="G56" s="307"/>
      <c r="H56" s="107"/>
      <c r="I56" s="107"/>
      <c r="J56" s="107"/>
      <c r="K56" s="107"/>
      <c r="L56" s="107"/>
      <c r="M56" s="107"/>
      <c r="N56" s="107"/>
      <c r="O56" s="107"/>
      <c r="P56" s="107"/>
    </row>
    <row r="57" spans="1:16" x14ac:dyDescent="0.2">
      <c r="A57" s="908" t="s">
        <v>2763</v>
      </c>
      <c r="B57" s="657">
        <v>6428</v>
      </c>
      <c r="C57" s="657">
        <v>100</v>
      </c>
      <c r="D57" s="657"/>
      <c r="E57" s="145"/>
      <c r="F57" s="145"/>
      <c r="G57" s="307"/>
      <c r="H57" s="107"/>
      <c r="I57" s="107"/>
      <c r="J57" s="107"/>
      <c r="K57" s="107"/>
      <c r="L57" s="107"/>
      <c r="M57" s="107"/>
      <c r="N57" s="107"/>
      <c r="O57" s="107"/>
      <c r="P57" s="107"/>
    </row>
    <row r="58" spans="1:16" ht="16" thickBot="1" x14ac:dyDescent="0.25">
      <c r="A58" s="908" t="s">
        <v>3675</v>
      </c>
      <c r="B58" s="1085">
        <v>4888</v>
      </c>
      <c r="C58" s="1085">
        <v>450</v>
      </c>
      <c r="D58" s="1085"/>
      <c r="E58" s="145">
        <v>437913</v>
      </c>
      <c r="F58" s="145">
        <v>600</v>
      </c>
      <c r="G58" s="307"/>
      <c r="H58" s="107"/>
      <c r="I58" s="107"/>
      <c r="J58" s="107"/>
      <c r="K58" s="107"/>
      <c r="L58" s="107"/>
      <c r="M58" s="107"/>
      <c r="N58" s="107"/>
      <c r="O58" s="107"/>
      <c r="P58" s="107"/>
    </row>
    <row r="59" spans="1:16" x14ac:dyDescent="0.2">
      <c r="A59" s="908"/>
      <c r="B59" s="657"/>
      <c r="C59" s="657"/>
      <c r="D59" s="657"/>
      <c r="E59" s="1096">
        <f>+SUM(B51:B58)</f>
        <v>437910</v>
      </c>
      <c r="F59" s="1096">
        <f>+SUM(C51:C58)</f>
        <v>3600</v>
      </c>
      <c r="G59" s="1097">
        <f>+SUM(D51:D58)</f>
        <v>0</v>
      </c>
      <c r="H59" s="107"/>
      <c r="I59" s="107"/>
      <c r="J59" s="107"/>
      <c r="K59" s="107"/>
      <c r="L59" s="107"/>
      <c r="M59" s="107"/>
      <c r="N59" s="107"/>
      <c r="O59" s="107"/>
      <c r="P59" s="107"/>
    </row>
    <row r="60" spans="1:16" x14ac:dyDescent="0.2">
      <c r="A60" s="908"/>
      <c r="B60" s="657"/>
      <c r="C60" s="657"/>
      <c r="D60" s="657"/>
      <c r="E60" s="1096"/>
      <c r="F60" s="1096"/>
      <c r="G60" s="1097"/>
      <c r="H60" s="107"/>
      <c r="I60" s="107"/>
      <c r="J60" s="107"/>
      <c r="K60" s="107"/>
      <c r="L60" s="107"/>
      <c r="M60" s="107"/>
      <c r="N60" s="107"/>
      <c r="O60" s="107"/>
      <c r="P60" s="107"/>
    </row>
    <row r="61" spans="1:16" x14ac:dyDescent="0.2">
      <c r="A61" s="1098" t="s">
        <v>3820</v>
      </c>
      <c r="B61" s="1099"/>
      <c r="C61" s="1099"/>
      <c r="D61" s="1099"/>
      <c r="E61" s="1096">
        <f>+E39+E42+E48+E58</f>
        <v>442209</v>
      </c>
      <c r="F61" s="1096">
        <f>+F39+F42+F48+F58</f>
        <v>1600</v>
      </c>
      <c r="G61" s="1097">
        <f>+G39+G42+G48</f>
        <v>0</v>
      </c>
      <c r="H61" s="107"/>
      <c r="I61" s="107"/>
      <c r="J61" s="107"/>
      <c r="K61" s="107"/>
      <c r="L61" s="107"/>
      <c r="M61" s="107"/>
      <c r="N61" s="107"/>
      <c r="O61" s="107"/>
      <c r="P61" s="107"/>
    </row>
    <row r="62" spans="1:16" x14ac:dyDescent="0.2">
      <c r="A62" s="897" t="s">
        <v>3819</v>
      </c>
      <c r="B62" s="657"/>
      <c r="C62" s="657"/>
      <c r="D62" s="657"/>
      <c r="E62" s="145"/>
      <c r="F62" s="145"/>
      <c r="G62" s="307"/>
      <c r="H62" s="107"/>
      <c r="I62" s="107"/>
      <c r="J62" s="107"/>
      <c r="K62" s="107"/>
      <c r="L62" s="107"/>
      <c r="M62" s="107"/>
      <c r="N62" s="107"/>
      <c r="O62" s="107"/>
      <c r="P62" s="107"/>
    </row>
    <row r="63" spans="1:16" x14ac:dyDescent="0.2">
      <c r="A63" s="908" t="s">
        <v>1174</v>
      </c>
      <c r="B63" s="657">
        <v>3706182</v>
      </c>
      <c r="C63" s="657">
        <v>50</v>
      </c>
      <c r="D63" s="657"/>
      <c r="E63" s="145"/>
      <c r="F63" s="145"/>
      <c r="G63" s="307"/>
      <c r="H63" s="107">
        <f>B63+B51+B44</f>
        <v>3896842</v>
      </c>
      <c r="I63" s="107"/>
      <c r="J63" s="107"/>
      <c r="K63" s="107"/>
      <c r="L63" s="107"/>
      <c r="M63" s="107"/>
      <c r="N63" s="107"/>
      <c r="O63" s="107"/>
      <c r="P63" s="107"/>
    </row>
    <row r="64" spans="1:16" x14ac:dyDescent="0.2">
      <c r="A64" s="908" t="s">
        <v>1573</v>
      </c>
      <c r="B64" s="657">
        <v>9222</v>
      </c>
      <c r="C64" s="657">
        <v>959</v>
      </c>
      <c r="D64" s="657"/>
      <c r="E64" s="145"/>
      <c r="F64" s="145"/>
      <c r="G64" s="307"/>
      <c r="H64" s="107"/>
      <c r="I64" s="107"/>
      <c r="J64" s="107"/>
      <c r="K64" s="107"/>
      <c r="L64" s="107"/>
      <c r="M64" s="107"/>
      <c r="N64" s="107"/>
      <c r="O64" s="107"/>
      <c r="P64" s="107"/>
    </row>
    <row r="65" spans="1:16" x14ac:dyDescent="0.2">
      <c r="A65" s="908" t="s">
        <v>1175</v>
      </c>
      <c r="B65" s="657">
        <v>87118</v>
      </c>
      <c r="C65" s="657">
        <v>490</v>
      </c>
      <c r="D65" s="657"/>
      <c r="E65" s="145"/>
      <c r="F65" s="145"/>
      <c r="G65" s="307"/>
      <c r="H65" s="107"/>
      <c r="I65" s="107"/>
      <c r="J65" s="107"/>
      <c r="K65" s="107"/>
      <c r="L65" s="107"/>
      <c r="M65" s="107"/>
      <c r="N65" s="107"/>
      <c r="O65" s="107"/>
      <c r="P65" s="107"/>
    </row>
    <row r="66" spans="1:16" x14ac:dyDescent="0.2">
      <c r="A66" s="908" t="s">
        <v>3287</v>
      </c>
      <c r="B66" s="657">
        <v>22438</v>
      </c>
      <c r="C66" s="657">
        <v>385</v>
      </c>
      <c r="D66" s="657"/>
      <c r="E66" s="145"/>
      <c r="F66" s="145"/>
      <c r="G66" s="307"/>
      <c r="H66" s="107"/>
      <c r="I66" s="107"/>
      <c r="J66" s="107"/>
      <c r="K66" s="107"/>
      <c r="L66" s="107"/>
      <c r="M66" s="107"/>
      <c r="N66" s="107"/>
      <c r="O66" s="107"/>
      <c r="P66" s="107"/>
    </row>
    <row r="67" spans="1:16" x14ac:dyDescent="0.2">
      <c r="A67" s="908" t="s">
        <v>1808</v>
      </c>
      <c r="B67" s="657">
        <v>7890</v>
      </c>
      <c r="C67" s="657">
        <v>475</v>
      </c>
      <c r="D67" s="657"/>
      <c r="E67" s="145"/>
      <c r="F67" s="145"/>
      <c r="G67" s="307"/>
      <c r="H67" s="107"/>
      <c r="I67" s="107"/>
      <c r="J67" s="107"/>
      <c r="K67" s="107"/>
      <c r="L67" s="107"/>
      <c r="M67" s="107"/>
      <c r="N67" s="107"/>
      <c r="O67" s="107"/>
      <c r="P67" s="107"/>
    </row>
    <row r="68" spans="1:16" x14ac:dyDescent="0.2">
      <c r="A68" s="908" t="s">
        <v>1991</v>
      </c>
      <c r="B68" s="657">
        <v>250000</v>
      </c>
      <c r="C68" s="657"/>
      <c r="D68" s="657"/>
      <c r="E68" s="145"/>
      <c r="F68" s="145"/>
      <c r="G68" s="307"/>
      <c r="H68" s="107"/>
      <c r="I68" s="107"/>
      <c r="J68" s="107"/>
      <c r="K68" s="107"/>
      <c r="L68" s="107"/>
      <c r="M68" s="107"/>
      <c r="N68" s="107"/>
      <c r="O68" s="107"/>
      <c r="P68" s="107"/>
    </row>
    <row r="69" spans="1:16" x14ac:dyDescent="0.2">
      <c r="A69" s="908" t="s">
        <v>1569</v>
      </c>
      <c r="B69" s="657">
        <v>1451557</v>
      </c>
      <c r="C69" s="657">
        <v>50</v>
      </c>
      <c r="D69" s="657"/>
      <c r="E69" s="145"/>
      <c r="F69" s="145"/>
      <c r="G69" s="307"/>
      <c r="H69" s="107"/>
      <c r="I69" s="107"/>
      <c r="J69" s="107"/>
      <c r="K69" s="107"/>
      <c r="L69" s="107"/>
      <c r="M69" s="107"/>
      <c r="N69" s="107"/>
      <c r="O69" s="107"/>
      <c r="P69" s="107"/>
    </row>
    <row r="70" spans="1:16" x14ac:dyDescent="0.2">
      <c r="A70" s="908" t="s">
        <v>2761</v>
      </c>
      <c r="B70" s="657">
        <v>82987</v>
      </c>
      <c r="C70" s="657">
        <v>925</v>
      </c>
      <c r="D70" s="657"/>
      <c r="E70" s="145"/>
      <c r="F70" s="145"/>
      <c r="G70" s="307"/>
      <c r="H70" s="107"/>
      <c r="I70" s="107"/>
      <c r="J70" s="107"/>
      <c r="K70" s="107"/>
      <c r="L70" s="107"/>
      <c r="M70" s="107"/>
      <c r="N70" s="107"/>
      <c r="O70" s="107"/>
      <c r="P70" s="107"/>
    </row>
    <row r="71" spans="1:16" x14ac:dyDescent="0.2">
      <c r="A71" s="908" t="s">
        <v>2763</v>
      </c>
      <c r="B71" s="657">
        <v>809375</v>
      </c>
      <c r="C71" s="657">
        <v>275</v>
      </c>
      <c r="D71" s="657"/>
      <c r="E71" s="145"/>
      <c r="F71" s="145"/>
      <c r="G71" s="307"/>
      <c r="H71" s="107"/>
      <c r="I71" s="107"/>
      <c r="J71" s="107"/>
      <c r="K71" s="107"/>
      <c r="L71" s="107"/>
      <c r="M71" s="107"/>
      <c r="N71" s="107"/>
      <c r="O71" s="107"/>
      <c r="P71" s="107"/>
    </row>
    <row r="72" spans="1:16" ht="16" thickBot="1" x14ac:dyDescent="0.25">
      <c r="A72" s="908" t="s">
        <v>3675</v>
      </c>
      <c r="B72" s="1085">
        <v>129953</v>
      </c>
      <c r="C72" s="1085">
        <v>850</v>
      </c>
      <c r="D72" s="1085"/>
      <c r="E72" s="145">
        <v>6556726</v>
      </c>
      <c r="F72" s="145">
        <v>459</v>
      </c>
      <c r="G72" s="307"/>
      <c r="H72" s="107"/>
      <c r="I72" s="107"/>
      <c r="J72" s="107"/>
      <c r="K72" s="107"/>
      <c r="L72" s="107"/>
      <c r="M72" s="107"/>
      <c r="N72" s="107"/>
      <c r="O72" s="107"/>
      <c r="P72" s="107"/>
    </row>
    <row r="73" spans="1:16" ht="16" thickBot="1" x14ac:dyDescent="0.25">
      <c r="A73" s="908"/>
      <c r="B73" s="657"/>
      <c r="C73" s="657"/>
      <c r="D73" s="657"/>
      <c r="E73" s="1093">
        <f>+SUM(B63:B72)</f>
        <v>6556722</v>
      </c>
      <c r="F73" s="1093">
        <f>+SUM(C63:C72)</f>
        <v>4459</v>
      </c>
      <c r="G73" s="1100">
        <f>+SUM(D63:D72)</f>
        <v>0</v>
      </c>
      <c r="H73" s="107"/>
      <c r="I73" s="107"/>
      <c r="J73" s="107"/>
      <c r="K73" s="107"/>
      <c r="L73" s="107"/>
      <c r="M73" s="107"/>
      <c r="N73" s="107"/>
      <c r="O73" s="107"/>
      <c r="P73" s="107"/>
    </row>
    <row r="74" spans="1:16" ht="16" thickBot="1" x14ac:dyDescent="0.25">
      <c r="A74" s="797" t="s">
        <v>3457</v>
      </c>
      <c r="B74" s="798"/>
      <c r="C74" s="798"/>
      <c r="D74" s="798"/>
      <c r="E74" s="1101">
        <v>6998937</v>
      </c>
      <c r="F74" s="1101">
        <v>59</v>
      </c>
      <c r="G74" s="1102"/>
      <c r="H74" s="107"/>
      <c r="I74" s="107"/>
      <c r="J74" s="107"/>
      <c r="K74" s="107"/>
      <c r="L74" s="107"/>
      <c r="M74" s="107"/>
      <c r="N74" s="107"/>
      <c r="O74" s="107"/>
      <c r="P74" s="107"/>
    </row>
    <row r="75" spans="1:16" x14ac:dyDescent="0.2">
      <c r="A75" s="897"/>
      <c r="B75" s="657"/>
      <c r="C75" s="657"/>
      <c r="D75" s="657"/>
      <c r="E75" s="1096">
        <f>+SUM(B63:B72)+E58+E48+E39+E42</f>
        <v>6998931</v>
      </c>
      <c r="F75" s="1096">
        <f>+SUM(C63:C72)+F58+F48+F39+F42</f>
        <v>6059</v>
      </c>
      <c r="G75" s="1097">
        <f>+SUM(D63:D72)+G58+G48+G39+G42</f>
        <v>0</v>
      </c>
      <c r="H75" s="107"/>
      <c r="I75" s="107"/>
      <c r="J75" s="107"/>
      <c r="K75" s="107"/>
      <c r="L75" s="107"/>
      <c r="M75" s="107"/>
      <c r="N75" s="107"/>
      <c r="O75" s="107"/>
      <c r="P75" s="107"/>
    </row>
    <row r="76" spans="1:16" x14ac:dyDescent="0.2">
      <c r="A76" s="588" t="s">
        <v>3821</v>
      </c>
      <c r="B76" s="589"/>
      <c r="C76" s="589"/>
      <c r="D76" s="589"/>
      <c r="E76" s="145"/>
      <c r="F76" s="145"/>
      <c r="G76" s="307"/>
      <c r="H76" s="107"/>
      <c r="I76" s="107"/>
      <c r="J76" s="107"/>
      <c r="K76" s="107"/>
      <c r="L76" s="107"/>
      <c r="M76" s="107"/>
      <c r="N76" s="107"/>
      <c r="O76" s="107"/>
      <c r="P76" s="107"/>
    </row>
    <row r="77" spans="1:16" ht="27" customHeight="1" x14ac:dyDescent="0.2">
      <c r="A77" s="585" t="s">
        <v>3822</v>
      </c>
      <c r="B77" s="586"/>
      <c r="C77" s="586"/>
      <c r="D77" s="586"/>
      <c r="E77" s="145">
        <v>6793507</v>
      </c>
      <c r="F77" s="145">
        <v>734</v>
      </c>
      <c r="G77" s="307"/>
      <c r="H77" s="107"/>
      <c r="I77" s="107"/>
      <c r="J77" s="107"/>
      <c r="K77" s="107"/>
      <c r="L77" s="107"/>
      <c r="M77" s="107"/>
      <c r="N77" s="107"/>
      <c r="O77" s="107"/>
      <c r="P77" s="107"/>
    </row>
    <row r="78" spans="1:16" ht="16" thickBot="1" x14ac:dyDescent="0.25">
      <c r="A78" s="131" t="s">
        <v>3823</v>
      </c>
      <c r="B78" s="145"/>
      <c r="C78" s="145"/>
      <c r="D78" s="145"/>
      <c r="E78" s="187">
        <v>4838800</v>
      </c>
      <c r="F78" s="187"/>
      <c r="G78" s="444"/>
      <c r="H78" s="107"/>
      <c r="I78" s="107"/>
      <c r="J78" s="107"/>
      <c r="K78" s="107"/>
      <c r="L78" s="107"/>
      <c r="M78" s="107"/>
      <c r="N78" s="107"/>
      <c r="O78" s="107"/>
      <c r="P78" s="107"/>
    </row>
    <row r="79" spans="1:16" ht="24.5" customHeight="1" x14ac:dyDescent="0.2">
      <c r="A79" s="230" t="s">
        <v>3824</v>
      </c>
      <c r="B79" s="309"/>
      <c r="C79" s="309"/>
      <c r="D79" s="309"/>
      <c r="E79" s="701">
        <v>1954707</v>
      </c>
      <c r="F79" s="701">
        <v>734</v>
      </c>
      <c r="G79" s="702"/>
      <c r="H79" s="107"/>
      <c r="I79" s="107"/>
      <c r="J79" s="107"/>
      <c r="K79" s="107"/>
      <c r="L79" s="107"/>
      <c r="M79" s="107"/>
      <c r="N79" s="107"/>
      <c r="O79" s="107"/>
      <c r="P79" s="107"/>
    </row>
    <row r="80" spans="1:16" x14ac:dyDescent="0.2">
      <c r="A80" s="107"/>
      <c r="B80" s="107"/>
      <c r="C80" s="107"/>
      <c r="D80" s="107"/>
      <c r="E80" s="107"/>
      <c r="F80" s="107"/>
      <c r="G80" s="107"/>
      <c r="H80" s="107"/>
      <c r="I80" s="107"/>
      <c r="J80" s="107"/>
      <c r="K80" s="107"/>
      <c r="L80" s="107"/>
      <c r="M80" s="107"/>
      <c r="N80" s="107"/>
      <c r="O80" s="107"/>
      <c r="P80" s="107"/>
    </row>
    <row r="81" spans="1:16" x14ac:dyDescent="0.2">
      <c r="A81" s="107"/>
      <c r="B81" s="107"/>
      <c r="C81" s="107"/>
      <c r="D81" s="107"/>
      <c r="E81" s="107"/>
      <c r="F81" s="107"/>
      <c r="G81" s="107"/>
      <c r="H81" s="107"/>
      <c r="I81" s="107"/>
      <c r="J81" s="107"/>
      <c r="K81" s="107"/>
      <c r="L81" s="107"/>
      <c r="M81" s="107"/>
      <c r="N81" s="107"/>
      <c r="O81" s="107"/>
      <c r="P81" s="107"/>
    </row>
    <row r="82" spans="1:16" x14ac:dyDescent="0.2">
      <c r="A82" s="107"/>
      <c r="B82" s="107"/>
      <c r="C82" s="107"/>
      <c r="D82" s="107"/>
      <c r="E82" s="107"/>
      <c r="F82" s="107"/>
      <c r="G82" s="107"/>
      <c r="H82" s="107"/>
      <c r="I82" s="107"/>
      <c r="J82" s="107"/>
      <c r="K82" s="107"/>
      <c r="L82" s="107"/>
      <c r="M82" s="107"/>
      <c r="N82" s="107"/>
      <c r="O82" s="107"/>
      <c r="P82" s="107"/>
    </row>
    <row r="83" spans="1:16" x14ac:dyDescent="0.2">
      <c r="A83" s="526" t="s">
        <v>3626</v>
      </c>
      <c r="B83" s="107"/>
      <c r="C83" s="107"/>
      <c r="D83" s="107"/>
      <c r="E83" s="107"/>
      <c r="F83" s="107"/>
      <c r="G83" s="107"/>
      <c r="H83" s="107"/>
      <c r="I83" s="107"/>
      <c r="J83" s="107"/>
      <c r="K83" s="107"/>
      <c r="L83" s="107"/>
      <c r="M83" s="107"/>
      <c r="N83" s="107"/>
      <c r="O83" s="107"/>
      <c r="P83" s="107"/>
    </row>
    <row r="84" spans="1:16" ht="33" customHeight="1" x14ac:dyDescent="0.2">
      <c r="A84" s="953" t="s">
        <v>3758</v>
      </c>
      <c r="B84" s="954"/>
      <c r="C84" s="954"/>
      <c r="D84" s="954"/>
      <c r="E84" s="954"/>
      <c r="F84" s="954"/>
      <c r="G84" s="955"/>
      <c r="H84" s="107"/>
      <c r="I84" s="107"/>
      <c r="J84" s="107"/>
      <c r="K84" s="107"/>
      <c r="L84" s="107"/>
      <c r="M84" s="107"/>
      <c r="N84" s="107"/>
      <c r="O84" s="107"/>
      <c r="P84" s="107"/>
    </row>
    <row r="85" spans="1:16" ht="16" x14ac:dyDescent="0.2">
      <c r="A85" s="131" t="s">
        <v>2043</v>
      </c>
      <c r="B85" s="145">
        <v>237648</v>
      </c>
      <c r="C85" s="145">
        <v>200</v>
      </c>
      <c r="D85" s="1081"/>
      <c r="E85" s="1081"/>
      <c r="F85" s="1081"/>
      <c r="G85" s="1082"/>
      <c r="H85" s="107"/>
      <c r="I85" s="107"/>
      <c r="J85" s="107"/>
      <c r="K85" s="107"/>
      <c r="L85" s="107"/>
      <c r="M85" s="107"/>
      <c r="N85" s="107"/>
      <c r="O85" s="107"/>
      <c r="P85" s="107"/>
    </row>
    <row r="86" spans="1:16" ht="16" x14ac:dyDescent="0.2">
      <c r="A86" s="131" t="s">
        <v>2044</v>
      </c>
      <c r="B86" s="145">
        <v>23291</v>
      </c>
      <c r="C86" s="145">
        <v>300</v>
      </c>
      <c r="D86" s="1081"/>
      <c r="E86" s="1081"/>
      <c r="F86" s="1081"/>
      <c r="G86" s="1082"/>
      <c r="H86" s="107"/>
      <c r="I86" s="107"/>
      <c r="J86" s="107"/>
      <c r="K86" s="107"/>
      <c r="L86" s="107"/>
      <c r="M86" s="107"/>
      <c r="N86" s="107"/>
      <c r="O86" s="107"/>
      <c r="P86" s="107"/>
    </row>
    <row r="87" spans="1:16" ht="16" x14ac:dyDescent="0.2">
      <c r="A87" s="131" t="s">
        <v>2042</v>
      </c>
      <c r="B87" s="145">
        <v>145457</v>
      </c>
      <c r="C87" s="145">
        <v>750</v>
      </c>
      <c r="D87" s="1081"/>
      <c r="E87" s="1081"/>
      <c r="F87" s="1081"/>
      <c r="G87" s="1082"/>
      <c r="H87" s="107"/>
      <c r="I87" s="107"/>
      <c r="J87" s="107"/>
      <c r="K87" s="107"/>
      <c r="L87" s="107"/>
      <c r="M87" s="107"/>
      <c r="N87" s="107"/>
      <c r="O87" s="107"/>
      <c r="P87" s="107"/>
    </row>
    <row r="88" spans="1:16" ht="16" x14ac:dyDescent="0.2">
      <c r="A88" s="131" t="s">
        <v>2047</v>
      </c>
      <c r="B88" s="145">
        <v>110529</v>
      </c>
      <c r="C88" s="145">
        <v>450</v>
      </c>
      <c r="D88" s="1081"/>
      <c r="E88" s="1081"/>
      <c r="F88" s="1081"/>
      <c r="G88" s="1082"/>
      <c r="H88" s="107"/>
      <c r="I88" s="107"/>
      <c r="J88" s="107"/>
      <c r="K88" s="107"/>
      <c r="L88" s="107"/>
      <c r="M88" s="107"/>
      <c r="N88" s="107"/>
      <c r="O88" s="107"/>
      <c r="P88" s="107"/>
    </row>
    <row r="89" spans="1:16" ht="16" x14ac:dyDescent="0.2">
      <c r="A89" s="131" t="s">
        <v>2464</v>
      </c>
      <c r="B89" s="145">
        <v>111429</v>
      </c>
      <c r="C89" s="145">
        <v>250</v>
      </c>
      <c r="D89" s="1081"/>
      <c r="E89" s="1081"/>
      <c r="F89" s="1081"/>
      <c r="G89" s="1082"/>
      <c r="H89" s="107"/>
      <c r="I89" s="107"/>
      <c r="J89" s="107"/>
      <c r="K89" s="107"/>
      <c r="L89" s="107"/>
      <c r="M89" s="107"/>
      <c r="N89" s="107"/>
      <c r="O89" s="107"/>
      <c r="P89" s="107"/>
    </row>
    <row r="90" spans="1:16" ht="16" x14ac:dyDescent="0.2">
      <c r="A90" s="131" t="s">
        <v>2045</v>
      </c>
      <c r="B90" s="145">
        <v>985023</v>
      </c>
      <c r="C90" s="145">
        <v>800</v>
      </c>
      <c r="D90" s="1081"/>
      <c r="E90" s="1081"/>
      <c r="F90" s="1081"/>
      <c r="G90" s="1082"/>
      <c r="H90" s="107"/>
      <c r="I90" s="107"/>
      <c r="J90" s="107"/>
      <c r="K90" s="107"/>
      <c r="L90" s="107"/>
      <c r="M90" s="107"/>
      <c r="N90" s="107"/>
      <c r="O90" s="107"/>
      <c r="P90" s="107"/>
    </row>
    <row r="91" spans="1:16" ht="16" x14ac:dyDescent="0.2">
      <c r="A91" s="131" t="s">
        <v>3628</v>
      </c>
      <c r="B91" s="145">
        <v>317814</v>
      </c>
      <c r="C91" s="145">
        <v>55</v>
      </c>
      <c r="D91" s="1081"/>
      <c r="E91" s="1081"/>
      <c r="F91" s="1081"/>
      <c r="G91" s="1082"/>
      <c r="H91" s="107"/>
      <c r="I91" s="107"/>
      <c r="J91" s="107"/>
      <c r="K91" s="107"/>
      <c r="L91" s="107"/>
      <c r="M91" s="107"/>
      <c r="N91" s="107"/>
      <c r="O91" s="107"/>
      <c r="P91" s="107"/>
    </row>
    <row r="92" spans="1:16" ht="16" x14ac:dyDescent="0.2">
      <c r="A92" s="131" t="s">
        <v>2886</v>
      </c>
      <c r="B92" s="145">
        <v>68423</v>
      </c>
      <c r="C92" s="145">
        <v>600</v>
      </c>
      <c r="D92" s="1081"/>
      <c r="E92" s="1081"/>
      <c r="F92" s="1081"/>
      <c r="G92" s="1082"/>
      <c r="H92" s="107"/>
      <c r="I92" s="107"/>
      <c r="J92" s="107"/>
      <c r="K92" s="107"/>
      <c r="L92" s="107"/>
      <c r="M92" s="107"/>
      <c r="N92" s="107"/>
      <c r="O92" s="107"/>
      <c r="P92" s="107"/>
    </row>
    <row r="93" spans="1:16" x14ac:dyDescent="0.2">
      <c r="A93" s="131" t="s">
        <v>1175</v>
      </c>
      <c r="B93" s="145">
        <v>180639</v>
      </c>
      <c r="C93" s="145">
        <v>780</v>
      </c>
      <c r="D93" s="145"/>
      <c r="E93" s="145"/>
      <c r="F93" s="145"/>
      <c r="G93" s="307"/>
      <c r="H93" s="107"/>
      <c r="I93" s="107"/>
      <c r="J93" s="107"/>
      <c r="K93" s="107"/>
      <c r="L93" s="107"/>
      <c r="M93" s="107"/>
      <c r="N93" s="107"/>
      <c r="O93" s="107"/>
      <c r="P93" s="107"/>
    </row>
    <row r="94" spans="1:16" x14ac:dyDescent="0.2">
      <c r="A94" s="131" t="s">
        <v>2040</v>
      </c>
      <c r="B94" s="145">
        <v>1385682</v>
      </c>
      <c r="C94" s="145">
        <v>450</v>
      </c>
      <c r="D94" s="145"/>
      <c r="E94" s="145"/>
      <c r="F94" s="145"/>
      <c r="G94" s="307"/>
      <c r="H94" s="107"/>
      <c r="I94" s="107"/>
      <c r="J94" s="107"/>
      <c r="K94" s="107"/>
      <c r="L94" s="107"/>
      <c r="M94" s="107"/>
      <c r="N94" s="107"/>
      <c r="O94" s="107"/>
      <c r="P94" s="107"/>
    </row>
    <row r="95" spans="1:16" x14ac:dyDescent="0.2">
      <c r="A95" s="131" t="s">
        <v>2869</v>
      </c>
      <c r="B95" s="145">
        <v>59699</v>
      </c>
      <c r="C95" s="145">
        <v>100</v>
      </c>
      <c r="D95" s="145"/>
      <c r="E95" s="145"/>
      <c r="F95" s="145"/>
      <c r="G95" s="307"/>
      <c r="H95" s="107"/>
      <c r="I95" s="107"/>
      <c r="J95" s="107"/>
      <c r="K95" s="107"/>
      <c r="L95" s="107"/>
      <c r="M95" s="107"/>
      <c r="N95" s="107"/>
      <c r="O95" s="107"/>
      <c r="P95" s="107"/>
    </row>
    <row r="96" spans="1:16" x14ac:dyDescent="0.2">
      <c r="A96" s="131" t="s">
        <v>2761</v>
      </c>
      <c r="B96" s="145">
        <v>4949</v>
      </c>
      <c r="C96" s="145">
        <v>850</v>
      </c>
      <c r="D96" s="145"/>
      <c r="E96" s="145"/>
      <c r="F96" s="145"/>
      <c r="G96" s="307"/>
      <c r="H96" s="107"/>
      <c r="I96" s="107"/>
      <c r="J96" s="107"/>
      <c r="K96" s="107"/>
      <c r="L96" s="107"/>
      <c r="M96" s="107"/>
      <c r="N96" s="107"/>
      <c r="O96" s="107"/>
      <c r="P96" s="107"/>
    </row>
    <row r="97" spans="1:16" ht="16" thickBot="1" x14ac:dyDescent="0.25">
      <c r="A97" s="131" t="s">
        <v>2046</v>
      </c>
      <c r="B97" s="187">
        <v>41221</v>
      </c>
      <c r="C97" s="187">
        <v>400</v>
      </c>
      <c r="D97" s="187"/>
      <c r="E97" s="187">
        <v>3671629</v>
      </c>
      <c r="F97" s="187">
        <v>985</v>
      </c>
      <c r="G97" s="444"/>
      <c r="H97" s="107"/>
      <c r="I97" s="107"/>
      <c r="J97" s="107"/>
      <c r="K97" s="107"/>
      <c r="L97" s="107"/>
      <c r="M97" s="107"/>
      <c r="N97" s="107"/>
      <c r="O97" s="107"/>
      <c r="P97" s="107"/>
    </row>
    <row r="98" spans="1:16" ht="16" thickBot="1" x14ac:dyDescent="0.25">
      <c r="A98" s="131"/>
      <c r="B98" s="145"/>
      <c r="C98" s="145"/>
      <c r="D98" s="145"/>
      <c r="E98" s="1103">
        <f>+SUM(B85:B97)</f>
        <v>3671804</v>
      </c>
      <c r="F98" s="1103">
        <f>+SUM(C85:C97)</f>
        <v>5985</v>
      </c>
      <c r="G98" s="1103">
        <f>+SUM(D85:D97)</f>
        <v>0</v>
      </c>
      <c r="H98" s="107"/>
      <c r="I98" s="107"/>
      <c r="J98" s="107"/>
      <c r="K98" s="107"/>
      <c r="L98" s="107"/>
      <c r="M98" s="107"/>
      <c r="N98" s="107"/>
      <c r="O98" s="107"/>
      <c r="P98" s="107"/>
    </row>
    <row r="99" spans="1:16" ht="34.25" customHeight="1" thickBot="1" x14ac:dyDescent="0.25">
      <c r="A99" s="516" t="s">
        <v>3825</v>
      </c>
      <c r="B99" s="517"/>
      <c r="C99" s="517"/>
      <c r="D99" s="517"/>
      <c r="E99" s="448">
        <v>260908</v>
      </c>
      <c r="F99" s="448">
        <v>450</v>
      </c>
      <c r="G99" s="449"/>
      <c r="H99" s="107"/>
      <c r="I99" s="107"/>
      <c r="J99" s="107"/>
      <c r="K99" s="107"/>
      <c r="L99" s="107"/>
      <c r="M99" s="107"/>
      <c r="N99" s="107"/>
      <c r="O99" s="107"/>
      <c r="P99" s="107"/>
    </row>
    <row r="100" spans="1:16" ht="21.5" customHeight="1" x14ac:dyDescent="0.2">
      <c r="A100" s="489" t="s">
        <v>3826</v>
      </c>
      <c r="B100" s="493"/>
      <c r="C100" s="493"/>
      <c r="D100" s="493"/>
      <c r="E100" s="145">
        <v>3410721</v>
      </c>
      <c r="F100" s="145">
        <v>535</v>
      </c>
      <c r="G100" s="307"/>
      <c r="H100" s="107"/>
      <c r="I100" s="107"/>
      <c r="J100" s="107"/>
      <c r="K100" s="107"/>
      <c r="L100" s="107"/>
      <c r="M100" s="107"/>
      <c r="N100" s="107"/>
      <c r="O100" s="107"/>
      <c r="P100" s="107"/>
    </row>
    <row r="101" spans="1:16" x14ac:dyDescent="0.2">
      <c r="A101" s="480" t="s">
        <v>3827</v>
      </c>
      <c r="B101" s="481"/>
      <c r="C101" s="481"/>
      <c r="D101" s="481"/>
      <c r="E101" s="145"/>
      <c r="F101" s="145"/>
      <c r="G101" s="133"/>
      <c r="H101" s="107"/>
      <c r="I101" s="107"/>
      <c r="J101" s="107"/>
      <c r="K101" s="107"/>
      <c r="L101" s="107"/>
      <c r="M101" s="107"/>
      <c r="N101" s="107"/>
      <c r="O101" s="107"/>
      <c r="P101" s="107"/>
    </row>
    <row r="102" spans="1:16" ht="27.5" customHeight="1" x14ac:dyDescent="0.2">
      <c r="A102" s="516" t="s">
        <v>3828</v>
      </c>
      <c r="B102" s="517"/>
      <c r="C102" s="517"/>
      <c r="D102" s="517"/>
      <c r="E102" s="145">
        <v>884689</v>
      </c>
      <c r="F102" s="145">
        <v>248</v>
      </c>
      <c r="G102" s="133">
        <v>0.5</v>
      </c>
      <c r="H102" s="107"/>
      <c r="I102" s="107"/>
      <c r="J102" s="107"/>
      <c r="K102" s="107"/>
      <c r="L102" s="107"/>
      <c r="M102" s="107"/>
      <c r="N102" s="107"/>
      <c r="O102" s="107"/>
      <c r="P102" s="107"/>
    </row>
    <row r="103" spans="1:16" x14ac:dyDescent="0.2">
      <c r="A103" s="480" t="s">
        <v>3829</v>
      </c>
      <c r="B103" s="481"/>
      <c r="C103" s="481"/>
      <c r="D103" s="481"/>
      <c r="E103" s="145">
        <v>83559</v>
      </c>
      <c r="F103" s="145">
        <v>900</v>
      </c>
      <c r="G103" s="133"/>
      <c r="H103" s="107"/>
      <c r="I103" s="107"/>
      <c r="J103" s="107"/>
      <c r="K103" s="107"/>
      <c r="L103" s="107"/>
      <c r="M103" s="107"/>
      <c r="N103" s="107"/>
      <c r="O103" s="107"/>
      <c r="P103" s="107"/>
    </row>
    <row r="104" spans="1:16" x14ac:dyDescent="0.2">
      <c r="A104" s="480" t="s">
        <v>3830</v>
      </c>
      <c r="B104" s="481"/>
      <c r="C104" s="481"/>
      <c r="D104" s="481"/>
      <c r="E104" s="145">
        <v>475851</v>
      </c>
      <c r="F104" s="145"/>
      <c r="G104" s="133"/>
      <c r="H104" s="107"/>
      <c r="I104" s="107"/>
      <c r="J104" s="107"/>
      <c r="K104" s="107"/>
      <c r="L104" s="107"/>
      <c r="M104" s="107"/>
      <c r="N104" s="107"/>
      <c r="O104" s="107"/>
      <c r="P104" s="107"/>
    </row>
    <row r="105" spans="1:16" x14ac:dyDescent="0.2">
      <c r="A105" s="480" t="s">
        <v>3831</v>
      </c>
      <c r="B105" s="481"/>
      <c r="C105" s="481"/>
      <c r="D105" s="481"/>
      <c r="E105" s="145">
        <v>93752</v>
      </c>
      <c r="F105" s="145">
        <v>500</v>
      </c>
      <c r="G105" s="133"/>
      <c r="H105" s="107"/>
      <c r="I105" s="107"/>
      <c r="J105" s="107"/>
      <c r="K105" s="107"/>
      <c r="L105" s="107"/>
      <c r="M105" s="107"/>
      <c r="N105" s="107"/>
      <c r="O105" s="107"/>
      <c r="P105" s="107"/>
    </row>
    <row r="106" spans="1:16" x14ac:dyDescent="0.2">
      <c r="A106" s="480" t="s">
        <v>3832</v>
      </c>
      <c r="B106" s="481"/>
      <c r="C106" s="481"/>
      <c r="D106" s="481"/>
      <c r="E106" s="145">
        <v>1645278</v>
      </c>
      <c r="F106" s="145">
        <v>725</v>
      </c>
      <c r="G106" s="133"/>
      <c r="H106" s="107"/>
      <c r="I106" s="107"/>
      <c r="J106" s="107"/>
      <c r="K106" s="107"/>
      <c r="L106" s="107"/>
      <c r="M106" s="107"/>
      <c r="N106" s="107"/>
      <c r="O106" s="107"/>
      <c r="P106" s="107"/>
    </row>
    <row r="107" spans="1:16" x14ac:dyDescent="0.2">
      <c r="A107" s="480" t="s">
        <v>3763</v>
      </c>
      <c r="B107" s="481"/>
      <c r="C107" s="481"/>
      <c r="D107" s="481"/>
      <c r="E107" s="145">
        <v>145535</v>
      </c>
      <c r="F107" s="145">
        <v>550</v>
      </c>
      <c r="G107" s="133"/>
      <c r="H107" s="107"/>
      <c r="I107" s="107"/>
      <c r="J107" s="107"/>
      <c r="K107" s="107"/>
      <c r="L107" s="107"/>
      <c r="M107" s="107"/>
      <c r="N107" s="107"/>
      <c r="O107" s="107"/>
      <c r="P107" s="107"/>
    </row>
    <row r="108" spans="1:16" ht="28.25" customHeight="1" thickBot="1" x14ac:dyDescent="0.25">
      <c r="A108" s="516" t="s">
        <v>3833</v>
      </c>
      <c r="B108" s="517"/>
      <c r="C108" s="517"/>
      <c r="D108" s="517"/>
      <c r="E108" s="187">
        <v>6091</v>
      </c>
      <c r="F108" s="187">
        <v>11</v>
      </c>
      <c r="G108" s="189">
        <v>0.5</v>
      </c>
      <c r="H108" s="107"/>
      <c r="I108" s="107"/>
      <c r="J108" s="107"/>
      <c r="K108" s="107"/>
      <c r="L108" s="107"/>
      <c r="M108" s="107"/>
      <c r="N108" s="107"/>
      <c r="O108" s="107"/>
      <c r="P108" s="107"/>
    </row>
    <row r="109" spans="1:16" ht="16" thickBot="1" x14ac:dyDescent="0.25">
      <c r="A109" s="489" t="s">
        <v>3687</v>
      </c>
      <c r="B109" s="493"/>
      <c r="C109" s="493"/>
      <c r="D109" s="493"/>
      <c r="E109" s="187">
        <v>6745479</v>
      </c>
      <c r="F109" s="187">
        <v>470</v>
      </c>
      <c r="G109" s="444"/>
      <c r="H109" s="107"/>
      <c r="I109" s="107"/>
      <c r="J109" s="107"/>
      <c r="K109" s="107"/>
      <c r="L109" s="107"/>
      <c r="M109" s="107"/>
      <c r="N109" s="107"/>
      <c r="O109" s="107"/>
      <c r="P109" s="107"/>
    </row>
    <row r="110" spans="1:16" x14ac:dyDescent="0.2">
      <c r="A110" s="622"/>
      <c r="B110" s="623"/>
      <c r="C110" s="623"/>
      <c r="D110" s="623"/>
      <c r="E110" s="1093">
        <f>+SUM(E102:E108)+E100</f>
        <v>6745476</v>
      </c>
      <c r="F110" s="1093">
        <f>+SUM(F102:F108)+F100</f>
        <v>3469</v>
      </c>
      <c r="G110" s="1093">
        <f>+SUM(G102:G108)+G100</f>
        <v>1</v>
      </c>
      <c r="H110" s="107"/>
      <c r="I110" s="107"/>
      <c r="J110" s="107"/>
      <c r="K110" s="107"/>
      <c r="L110" s="107"/>
      <c r="M110" s="107"/>
      <c r="N110" s="107"/>
      <c r="O110" s="107"/>
      <c r="P110" s="107"/>
    </row>
    <row r="111" spans="1:16" ht="33.5" customHeight="1" x14ac:dyDescent="0.2">
      <c r="A111" s="516" t="s">
        <v>3834</v>
      </c>
      <c r="B111" s="517"/>
      <c r="C111" s="517"/>
      <c r="D111" s="517"/>
      <c r="E111" s="517"/>
      <c r="F111" s="517"/>
      <c r="G111" s="540"/>
      <c r="H111" s="107"/>
      <c r="I111" s="107"/>
      <c r="J111" s="107"/>
      <c r="K111" s="107"/>
      <c r="L111" s="107"/>
      <c r="M111" s="107"/>
      <c r="N111" s="107"/>
      <c r="O111" s="107"/>
      <c r="P111" s="107"/>
    </row>
    <row r="112" spans="1:16" x14ac:dyDescent="0.2">
      <c r="A112" s="479" t="s">
        <v>3835</v>
      </c>
      <c r="B112" s="565">
        <v>6998937</v>
      </c>
      <c r="C112" s="565">
        <v>59</v>
      </c>
      <c r="D112" s="565"/>
      <c r="E112" s="145"/>
      <c r="F112" s="145"/>
      <c r="G112" s="307"/>
      <c r="H112" s="107"/>
      <c r="I112" s="107"/>
      <c r="J112" s="107"/>
      <c r="K112" s="107"/>
      <c r="L112" s="107"/>
      <c r="M112" s="107"/>
      <c r="N112" s="107"/>
      <c r="O112" s="107"/>
      <c r="P112" s="107"/>
    </row>
    <row r="113" spans="1:16" x14ac:dyDescent="0.2">
      <c r="A113" s="479" t="s">
        <v>3746</v>
      </c>
      <c r="B113" s="565">
        <v>150000</v>
      </c>
      <c r="C113" s="565"/>
      <c r="D113" s="565"/>
      <c r="E113" s="145"/>
      <c r="F113" s="145"/>
      <c r="G113" s="133"/>
      <c r="H113" s="107"/>
      <c r="I113" s="107"/>
      <c r="J113" s="107"/>
      <c r="K113" s="107"/>
      <c r="L113" s="107"/>
      <c r="M113" s="107"/>
      <c r="N113" s="107"/>
      <c r="O113" s="107"/>
      <c r="P113" s="107"/>
    </row>
    <row r="114" spans="1:16" ht="16" thickBot="1" x14ac:dyDescent="0.25">
      <c r="A114" s="864" t="s">
        <v>3836</v>
      </c>
      <c r="B114" s="904">
        <v>497167</v>
      </c>
      <c r="C114" s="904">
        <v>311</v>
      </c>
      <c r="D114" s="189">
        <v>0.5</v>
      </c>
      <c r="E114" s="145">
        <v>7646104</v>
      </c>
      <c r="F114" s="145">
        <v>370</v>
      </c>
      <c r="G114" s="133">
        <v>0.5</v>
      </c>
      <c r="H114" s="107"/>
      <c r="I114" s="107"/>
      <c r="J114" s="107"/>
      <c r="K114" s="107"/>
      <c r="L114" s="107"/>
      <c r="M114" s="107"/>
      <c r="N114" s="107"/>
      <c r="O114" s="107"/>
      <c r="P114" s="107"/>
    </row>
    <row r="115" spans="1:16" ht="16" thickBot="1" x14ac:dyDescent="0.25">
      <c r="A115" s="480" t="s">
        <v>3837</v>
      </c>
      <c r="B115" s="481"/>
      <c r="C115" s="481"/>
      <c r="D115" s="481"/>
      <c r="E115" s="187">
        <v>6745479</v>
      </c>
      <c r="F115" s="187">
        <v>470</v>
      </c>
      <c r="G115" s="189"/>
      <c r="H115" s="107"/>
      <c r="I115" s="107"/>
      <c r="J115" s="107"/>
      <c r="K115" s="107"/>
      <c r="L115" s="107"/>
      <c r="M115" s="107"/>
      <c r="N115" s="107"/>
      <c r="O115" s="107"/>
      <c r="P115" s="107"/>
    </row>
    <row r="116" spans="1:16" ht="16" thickBot="1" x14ac:dyDescent="0.25">
      <c r="A116" s="489" t="s">
        <v>3838</v>
      </c>
      <c r="B116" s="493"/>
      <c r="C116" s="493"/>
      <c r="D116" s="493"/>
      <c r="E116" s="187">
        <v>900624</v>
      </c>
      <c r="F116" s="187">
        <v>900</v>
      </c>
      <c r="G116" s="189">
        <v>0.5</v>
      </c>
      <c r="H116" s="107"/>
      <c r="I116" s="107"/>
      <c r="J116" s="107"/>
      <c r="K116" s="107"/>
      <c r="L116" s="107"/>
      <c r="M116" s="107"/>
      <c r="N116" s="107"/>
      <c r="O116" s="107"/>
      <c r="P116" s="107"/>
    </row>
    <row r="117" spans="1:16" x14ac:dyDescent="0.2">
      <c r="A117" s="514" t="s">
        <v>3839</v>
      </c>
      <c r="B117" s="515"/>
      <c r="C117" s="515"/>
      <c r="D117" s="515"/>
      <c r="E117" s="515"/>
      <c r="F117" s="515"/>
      <c r="G117" s="1029"/>
      <c r="H117" s="107"/>
      <c r="I117" s="107"/>
      <c r="J117" s="107"/>
      <c r="K117" s="107"/>
      <c r="L117" s="107"/>
      <c r="M117" s="107"/>
      <c r="N117" s="107"/>
      <c r="O117" s="107"/>
      <c r="P117" s="107"/>
    </row>
    <row r="118" spans="1:16" x14ac:dyDescent="0.2">
      <c r="A118" s="107"/>
      <c r="B118" s="107"/>
      <c r="C118" s="107"/>
      <c r="D118" s="107"/>
      <c r="E118" s="107"/>
      <c r="F118" s="107"/>
      <c r="G118" s="107"/>
      <c r="H118" s="107"/>
      <c r="I118" s="107"/>
      <c r="J118" s="107"/>
      <c r="K118" s="107"/>
      <c r="L118" s="107"/>
      <c r="M118" s="107"/>
      <c r="N118" s="107"/>
      <c r="O118" s="107"/>
      <c r="P118" s="107"/>
    </row>
    <row r="119" spans="1:16" x14ac:dyDescent="0.2">
      <c r="A119" s="107"/>
      <c r="B119" s="107"/>
      <c r="C119" s="107"/>
      <c r="D119" s="107"/>
      <c r="E119" s="107"/>
      <c r="F119" s="107"/>
      <c r="G119" s="107"/>
      <c r="H119" s="107"/>
      <c r="I119" s="107"/>
      <c r="J119" s="107"/>
      <c r="K119" s="107"/>
      <c r="L119" s="107"/>
      <c r="M119" s="107"/>
      <c r="N119" s="107"/>
      <c r="O119" s="107"/>
      <c r="P119" s="107"/>
    </row>
    <row r="120" spans="1:16" x14ac:dyDescent="0.2">
      <c r="A120" s="107"/>
      <c r="B120" s="107"/>
      <c r="C120" s="107"/>
      <c r="D120" s="107"/>
      <c r="E120" s="107"/>
      <c r="F120" s="107"/>
      <c r="G120" s="107"/>
      <c r="H120" s="107"/>
      <c r="I120" s="107"/>
      <c r="J120" s="107"/>
      <c r="K120" s="107"/>
      <c r="L120" s="107"/>
      <c r="M120" s="107"/>
      <c r="N120" s="107"/>
      <c r="O120" s="107"/>
      <c r="P120" s="107"/>
    </row>
    <row r="121" spans="1:16" x14ac:dyDescent="0.2">
      <c r="A121" s="526" t="s">
        <v>3840</v>
      </c>
      <c r="B121" s="107"/>
      <c r="C121" s="107"/>
      <c r="D121" s="107"/>
      <c r="E121" s="107"/>
      <c r="F121" s="107"/>
      <c r="G121" s="107"/>
      <c r="H121" s="107"/>
      <c r="I121" s="107"/>
      <c r="J121" s="107"/>
      <c r="K121" s="107"/>
      <c r="L121" s="107"/>
      <c r="M121" s="107"/>
      <c r="N121" s="107"/>
      <c r="O121" s="107"/>
      <c r="P121" s="107"/>
    </row>
    <row r="122" spans="1:16" ht="32" customHeight="1" x14ac:dyDescent="0.2">
      <c r="A122" s="953" t="s">
        <v>3841</v>
      </c>
      <c r="B122" s="954"/>
      <c r="C122" s="954"/>
      <c r="D122" s="954"/>
      <c r="E122" s="954"/>
      <c r="F122" s="954"/>
      <c r="G122" s="955"/>
      <c r="H122" s="107"/>
      <c r="I122" s="107"/>
      <c r="J122" s="107"/>
      <c r="K122" s="107"/>
      <c r="L122" s="107"/>
      <c r="M122" s="107"/>
      <c r="N122" s="107"/>
      <c r="O122" s="107"/>
      <c r="P122" s="107"/>
    </row>
    <row r="123" spans="1:16" x14ac:dyDescent="0.2">
      <c r="A123" s="131" t="s">
        <v>3609</v>
      </c>
      <c r="B123" s="145">
        <v>3633647</v>
      </c>
      <c r="C123" s="145">
        <v>800</v>
      </c>
      <c r="D123" s="145"/>
      <c r="E123" s="145"/>
      <c r="F123" s="145"/>
      <c r="G123" s="307"/>
      <c r="H123" s="107"/>
      <c r="I123" s="107"/>
      <c r="J123" s="107"/>
      <c r="K123" s="107"/>
      <c r="L123" s="107"/>
      <c r="M123" s="107"/>
      <c r="N123" s="107"/>
      <c r="O123" s="107"/>
      <c r="P123" s="107"/>
    </row>
    <row r="124" spans="1:16" x14ac:dyDescent="0.2">
      <c r="A124" s="140" t="s">
        <v>1569</v>
      </c>
      <c r="B124" s="145">
        <v>1337477</v>
      </c>
      <c r="C124" s="145">
        <v>200</v>
      </c>
      <c r="D124" s="145"/>
      <c r="E124" s="145"/>
      <c r="F124" s="145"/>
      <c r="G124" s="307"/>
      <c r="H124" s="107"/>
      <c r="I124" s="107"/>
      <c r="J124" s="107"/>
      <c r="K124" s="107"/>
      <c r="L124" s="107"/>
      <c r="M124" s="107"/>
      <c r="N124" s="107"/>
      <c r="O124" s="107"/>
      <c r="P124" s="107"/>
    </row>
    <row r="125" spans="1:16" x14ac:dyDescent="0.2">
      <c r="A125" s="140" t="s">
        <v>1808</v>
      </c>
      <c r="B125" s="145">
        <v>39758</v>
      </c>
      <c r="C125" s="145">
        <v>615</v>
      </c>
      <c r="D125" s="145"/>
      <c r="E125" s="145"/>
      <c r="F125" s="145"/>
      <c r="G125" s="307"/>
      <c r="H125" s="107"/>
      <c r="I125" s="107"/>
      <c r="J125" s="107"/>
      <c r="K125" s="107"/>
      <c r="L125" s="107"/>
      <c r="M125" s="107"/>
      <c r="N125" s="107"/>
      <c r="O125" s="107"/>
      <c r="P125" s="107"/>
    </row>
    <row r="126" spans="1:16" x14ac:dyDescent="0.2">
      <c r="A126" s="140" t="s">
        <v>1991</v>
      </c>
      <c r="B126" s="145">
        <v>250000</v>
      </c>
      <c r="C126" s="145"/>
      <c r="D126" s="145"/>
      <c r="E126" s="145"/>
      <c r="F126" s="145"/>
      <c r="G126" s="307"/>
      <c r="H126" s="107"/>
      <c r="I126" s="107"/>
      <c r="J126" s="107"/>
      <c r="K126" s="107"/>
      <c r="L126" s="107"/>
      <c r="M126" s="107"/>
      <c r="N126" s="107"/>
      <c r="O126" s="107"/>
      <c r="P126" s="107"/>
    </row>
    <row r="127" spans="1:16" x14ac:dyDescent="0.2">
      <c r="A127" s="140" t="s">
        <v>3675</v>
      </c>
      <c r="B127" s="145">
        <v>137975</v>
      </c>
      <c r="C127" s="145">
        <v>500</v>
      </c>
      <c r="D127" s="145"/>
      <c r="E127" s="145"/>
      <c r="F127" s="145"/>
      <c r="G127" s="307"/>
      <c r="H127" s="107"/>
      <c r="I127" s="107"/>
      <c r="J127" s="107"/>
      <c r="K127" s="107"/>
      <c r="L127" s="107"/>
      <c r="M127" s="107"/>
      <c r="N127" s="107"/>
      <c r="O127" s="107"/>
      <c r="P127" s="107"/>
    </row>
    <row r="128" spans="1:16" x14ac:dyDescent="0.2">
      <c r="A128" s="140" t="s">
        <v>2761</v>
      </c>
      <c r="B128" s="145">
        <v>12395</v>
      </c>
      <c r="C128" s="145">
        <v>200</v>
      </c>
      <c r="D128" s="145"/>
      <c r="E128" s="145"/>
      <c r="F128" s="145"/>
      <c r="G128" s="307"/>
      <c r="H128" s="107"/>
      <c r="I128" s="107"/>
      <c r="J128" s="107"/>
      <c r="K128" s="107"/>
      <c r="L128" s="107"/>
      <c r="M128" s="107"/>
      <c r="N128" s="107"/>
      <c r="O128" s="107"/>
      <c r="P128" s="107"/>
    </row>
    <row r="129" spans="1:16" x14ac:dyDescent="0.2">
      <c r="A129" s="131" t="s">
        <v>1573</v>
      </c>
      <c r="B129" s="145">
        <v>7618</v>
      </c>
      <c r="C129" s="145">
        <v>821</v>
      </c>
      <c r="D129" s="145"/>
      <c r="E129" s="145"/>
      <c r="F129" s="145"/>
      <c r="G129" s="307"/>
      <c r="H129" s="107"/>
      <c r="I129" s="107"/>
      <c r="J129" s="107"/>
      <c r="K129" s="107"/>
      <c r="L129" s="107"/>
      <c r="M129" s="107"/>
      <c r="N129" s="107"/>
      <c r="O129" s="107"/>
      <c r="P129" s="107"/>
    </row>
    <row r="130" spans="1:16" x14ac:dyDescent="0.2">
      <c r="A130" s="140" t="s">
        <v>1175</v>
      </c>
      <c r="B130" s="145">
        <v>85532</v>
      </c>
      <c r="C130" s="145">
        <v>970</v>
      </c>
      <c r="D130" s="145"/>
      <c r="E130" s="145"/>
      <c r="F130" s="145"/>
      <c r="G130" s="307"/>
      <c r="H130" s="107"/>
      <c r="I130" s="107"/>
      <c r="J130" s="107"/>
      <c r="K130" s="107"/>
      <c r="L130" s="107"/>
      <c r="M130" s="107"/>
      <c r="N130" s="107"/>
      <c r="O130" s="107"/>
      <c r="P130" s="107"/>
    </row>
    <row r="131" spans="1:16" x14ac:dyDescent="0.2">
      <c r="A131" s="140" t="s">
        <v>3287</v>
      </c>
      <c r="B131" s="145">
        <v>23299</v>
      </c>
      <c r="C131" s="145">
        <v>700</v>
      </c>
      <c r="D131" s="145"/>
      <c r="E131" s="145"/>
      <c r="F131" s="145"/>
      <c r="G131" s="307"/>
      <c r="H131" s="107"/>
      <c r="I131" s="107"/>
      <c r="J131" s="107"/>
      <c r="K131" s="107"/>
      <c r="L131" s="107"/>
      <c r="M131" s="107"/>
      <c r="N131" s="107"/>
      <c r="O131" s="107"/>
      <c r="P131" s="107"/>
    </row>
    <row r="132" spans="1:16" x14ac:dyDescent="0.2">
      <c r="A132" s="140" t="s">
        <v>2763</v>
      </c>
      <c r="B132" s="145">
        <v>327073</v>
      </c>
      <c r="C132" s="145">
        <v>399</v>
      </c>
      <c r="D132" s="145"/>
      <c r="E132" s="145"/>
      <c r="F132" s="145"/>
      <c r="G132" s="307"/>
      <c r="H132" s="107"/>
      <c r="I132" s="107"/>
      <c r="J132" s="107"/>
      <c r="K132" s="107"/>
      <c r="L132" s="107"/>
      <c r="M132" s="107"/>
      <c r="N132" s="107"/>
      <c r="O132" s="107"/>
      <c r="P132" s="107"/>
    </row>
    <row r="133" spans="1:16" x14ac:dyDescent="0.2">
      <c r="A133" s="140" t="s">
        <v>3842</v>
      </c>
      <c r="B133" s="145">
        <v>9989</v>
      </c>
      <c r="C133" s="145">
        <v>800</v>
      </c>
      <c r="D133" s="145"/>
      <c r="E133" s="145">
        <v>5864769</v>
      </c>
      <c r="F133" s="145">
        <v>5</v>
      </c>
      <c r="G133" s="307"/>
      <c r="H133" s="107"/>
      <c r="I133" s="107"/>
      <c r="J133" s="107"/>
      <c r="K133" s="107"/>
      <c r="L133" s="107"/>
      <c r="M133" s="107"/>
      <c r="N133" s="107"/>
      <c r="O133" s="107"/>
      <c r="P133" s="107"/>
    </row>
    <row r="134" spans="1:16" ht="16" thickBot="1" x14ac:dyDescent="0.25">
      <c r="A134" s="480" t="s">
        <v>3843</v>
      </c>
      <c r="B134" s="481"/>
      <c r="C134" s="481"/>
      <c r="D134" s="481"/>
      <c r="E134" s="187">
        <v>2455</v>
      </c>
      <c r="F134" s="187">
        <v>700</v>
      </c>
      <c r="G134" s="444"/>
      <c r="H134" s="107"/>
      <c r="I134" s="107"/>
      <c r="J134" s="107"/>
      <c r="K134" s="107"/>
      <c r="L134" s="107"/>
      <c r="M134" s="107"/>
      <c r="N134" s="107"/>
      <c r="O134" s="107"/>
      <c r="P134" s="107"/>
    </row>
    <row r="135" spans="1:16" x14ac:dyDescent="0.2">
      <c r="A135" s="489" t="s">
        <v>3844</v>
      </c>
      <c r="B135" s="493"/>
      <c r="C135" s="493"/>
      <c r="D135" s="493"/>
      <c r="E135" s="145">
        <v>5862313</v>
      </c>
      <c r="F135" s="145">
        <v>305</v>
      </c>
      <c r="G135" s="307"/>
      <c r="H135" s="107"/>
      <c r="I135" s="107"/>
      <c r="J135" s="107"/>
      <c r="K135" s="107"/>
      <c r="L135" s="107"/>
      <c r="M135" s="107"/>
      <c r="N135" s="107"/>
      <c r="O135" s="107"/>
      <c r="P135" s="107"/>
    </row>
    <row r="136" spans="1:16" x14ac:dyDescent="0.2">
      <c r="A136" s="622"/>
      <c r="B136" s="623"/>
      <c r="C136" s="623"/>
      <c r="D136" s="623"/>
      <c r="E136" s="1093">
        <f>+SUM(B123:B133)-E134</f>
        <v>5862308</v>
      </c>
      <c r="F136" s="1093">
        <f>+SUM(C123:C133)-F134</f>
        <v>5305</v>
      </c>
      <c r="G136" s="1093">
        <f>+SUM(D123:D133)-G134</f>
        <v>0</v>
      </c>
      <c r="H136" s="107"/>
      <c r="I136" s="107"/>
      <c r="J136" s="107"/>
      <c r="K136" s="107"/>
      <c r="L136" s="107"/>
      <c r="M136" s="107"/>
      <c r="N136" s="107"/>
      <c r="O136" s="107"/>
      <c r="P136" s="107"/>
    </row>
    <row r="137" spans="1:16" ht="32" customHeight="1" x14ac:dyDescent="0.2">
      <c r="A137" s="585" t="s">
        <v>3845</v>
      </c>
      <c r="B137" s="586"/>
      <c r="C137" s="586"/>
      <c r="D137" s="586"/>
      <c r="E137" s="145"/>
      <c r="F137" s="145"/>
      <c r="G137" s="307"/>
      <c r="H137" s="107"/>
      <c r="I137" s="107"/>
      <c r="J137" s="107"/>
      <c r="K137" s="107"/>
      <c r="L137" s="107"/>
      <c r="M137" s="107"/>
      <c r="N137" s="107"/>
      <c r="O137" s="107"/>
      <c r="P137" s="107"/>
    </row>
    <row r="138" spans="1:16" ht="33.5" customHeight="1" x14ac:dyDescent="0.2">
      <c r="A138" s="1087" t="s">
        <v>3846</v>
      </c>
      <c r="B138" s="1104">
        <v>393809</v>
      </c>
      <c r="C138" s="1104">
        <v>645</v>
      </c>
      <c r="D138" s="1104"/>
      <c r="E138" s="145"/>
      <c r="F138" s="145"/>
      <c r="G138" s="307"/>
      <c r="H138" s="107"/>
      <c r="I138" s="107"/>
      <c r="J138" s="107"/>
      <c r="K138" s="107"/>
      <c r="L138" s="107"/>
      <c r="M138" s="107"/>
      <c r="N138" s="107"/>
      <c r="O138" s="107"/>
      <c r="P138" s="107"/>
    </row>
    <row r="139" spans="1:16" ht="16.25" customHeight="1" thickBot="1" x14ac:dyDescent="0.25">
      <c r="A139" s="1087" t="s">
        <v>3847</v>
      </c>
      <c r="B139" s="1105">
        <v>329234</v>
      </c>
      <c r="C139" s="1105">
        <v>200</v>
      </c>
      <c r="D139" s="1105"/>
      <c r="E139" s="187">
        <v>723043</v>
      </c>
      <c r="F139" s="187">
        <v>845</v>
      </c>
      <c r="G139" s="444"/>
      <c r="H139" s="107"/>
      <c r="I139" s="107"/>
      <c r="J139" s="107"/>
      <c r="K139" s="107"/>
      <c r="L139" s="107"/>
      <c r="M139" s="107"/>
      <c r="N139" s="107"/>
      <c r="O139" s="107"/>
      <c r="P139" s="107"/>
    </row>
    <row r="140" spans="1:16" ht="16.25" customHeight="1" thickBot="1" x14ac:dyDescent="0.25">
      <c r="A140" s="797" t="s">
        <v>3739</v>
      </c>
      <c r="B140" s="798"/>
      <c r="C140" s="798"/>
      <c r="D140" s="798"/>
      <c r="E140" s="1101">
        <v>6585357</v>
      </c>
      <c r="F140" s="1101">
        <v>150</v>
      </c>
      <c r="G140" s="449"/>
      <c r="H140" s="107"/>
      <c r="I140" s="107"/>
      <c r="J140" s="107"/>
      <c r="K140" s="107"/>
      <c r="L140" s="107"/>
      <c r="M140" s="107"/>
      <c r="N140" s="107"/>
      <c r="O140" s="107"/>
      <c r="P140" s="107"/>
    </row>
    <row r="141" spans="1:16" ht="16.25" customHeight="1" x14ac:dyDescent="0.2">
      <c r="A141" s="897"/>
      <c r="B141" s="657"/>
      <c r="C141" s="657"/>
      <c r="D141" s="657"/>
      <c r="E141" s="1106">
        <f>+E135+E139</f>
        <v>6585356</v>
      </c>
      <c r="F141" s="1106">
        <f t="shared" ref="F141:G141" si="3">+F135+F139</f>
        <v>1150</v>
      </c>
      <c r="G141" s="1106">
        <f t="shared" si="3"/>
        <v>0</v>
      </c>
      <c r="H141" s="107"/>
      <c r="I141" s="107"/>
      <c r="J141" s="107"/>
      <c r="K141" s="107"/>
      <c r="L141" s="107"/>
      <c r="M141" s="107"/>
      <c r="N141" s="107"/>
      <c r="O141" s="107"/>
      <c r="P141" s="107"/>
    </row>
    <row r="142" spans="1:16" ht="16.25" customHeight="1" x14ac:dyDescent="0.2">
      <c r="A142" s="585" t="s">
        <v>3848</v>
      </c>
      <c r="B142" s="586"/>
      <c r="C142" s="586"/>
      <c r="D142" s="586"/>
      <c r="E142" s="145">
        <v>4938800</v>
      </c>
      <c r="F142" s="145"/>
      <c r="G142" s="307"/>
      <c r="H142" s="107"/>
      <c r="I142" s="107"/>
      <c r="J142" s="107"/>
      <c r="K142" s="107"/>
      <c r="L142" s="107"/>
      <c r="M142" s="107"/>
      <c r="N142" s="107"/>
      <c r="O142" s="107"/>
      <c r="P142" s="107"/>
    </row>
    <row r="143" spans="1:16" ht="31.25" customHeight="1" thickBot="1" x14ac:dyDescent="0.25">
      <c r="A143" s="585" t="s">
        <v>3849</v>
      </c>
      <c r="B143" s="586"/>
      <c r="C143" s="586"/>
      <c r="D143" s="586"/>
      <c r="E143" s="145">
        <v>5864769</v>
      </c>
      <c r="F143" s="145">
        <v>5</v>
      </c>
      <c r="G143" s="307"/>
      <c r="H143" s="107"/>
      <c r="I143" s="107"/>
      <c r="J143" s="107"/>
      <c r="K143" s="107"/>
      <c r="L143" s="107"/>
      <c r="M143" s="107"/>
      <c r="N143" s="107"/>
      <c r="O143" s="107"/>
      <c r="P143" s="107"/>
    </row>
    <row r="144" spans="1:16" ht="16.25" customHeight="1" thickBot="1" x14ac:dyDescent="0.25">
      <c r="A144" s="797" t="s">
        <v>3844</v>
      </c>
      <c r="B144" s="798"/>
      <c r="C144" s="798"/>
      <c r="D144" s="798"/>
      <c r="E144" s="448">
        <v>925969</v>
      </c>
      <c r="F144" s="448">
        <v>5</v>
      </c>
      <c r="G144" s="449"/>
      <c r="H144" s="107"/>
      <c r="I144" s="107"/>
      <c r="J144" s="107"/>
      <c r="K144" s="107"/>
      <c r="L144" s="107"/>
      <c r="M144" s="107"/>
      <c r="N144" s="107"/>
      <c r="O144" s="107"/>
      <c r="P144" s="107"/>
    </row>
    <row r="145" spans="1:16" ht="30.5" customHeight="1" x14ac:dyDescent="0.2">
      <c r="A145" s="524" t="s">
        <v>3850</v>
      </c>
      <c r="B145" s="525"/>
      <c r="C145" s="525"/>
      <c r="D145" s="525"/>
      <c r="E145" s="525"/>
      <c r="F145" s="525"/>
      <c r="G145" s="543"/>
      <c r="H145" s="107"/>
      <c r="I145" s="107"/>
      <c r="J145" s="107"/>
      <c r="K145" s="107"/>
      <c r="L145" s="107"/>
      <c r="M145" s="107"/>
      <c r="N145" s="107"/>
      <c r="O145" s="107"/>
      <c r="P145" s="107"/>
    </row>
    <row r="146" spans="1:16" x14ac:dyDescent="0.2">
      <c r="A146" s="107"/>
      <c r="B146" s="107"/>
      <c r="C146" s="107"/>
      <c r="D146" s="107"/>
      <c r="E146" s="107"/>
      <c r="F146" s="107"/>
      <c r="G146" s="107"/>
      <c r="H146" s="107"/>
      <c r="I146" s="107"/>
      <c r="J146" s="107"/>
      <c r="K146" s="107"/>
      <c r="L146" s="107"/>
      <c r="M146" s="107"/>
      <c r="N146" s="107"/>
      <c r="O146" s="107"/>
      <c r="P146" s="107"/>
    </row>
    <row r="147" spans="1:16" x14ac:dyDescent="0.2">
      <c r="A147" s="107"/>
      <c r="B147" s="107"/>
      <c r="C147" s="107"/>
      <c r="D147" s="107"/>
      <c r="E147" s="107"/>
      <c r="F147" s="107"/>
      <c r="G147" s="107"/>
      <c r="H147" s="107"/>
      <c r="I147" s="107"/>
      <c r="J147" s="107"/>
      <c r="K147" s="107"/>
      <c r="L147" s="107"/>
      <c r="M147" s="107"/>
      <c r="N147" s="107"/>
      <c r="O147" s="107"/>
      <c r="P147" s="107"/>
    </row>
    <row r="148" spans="1:16" x14ac:dyDescent="0.2">
      <c r="A148" s="107"/>
      <c r="B148" s="107"/>
      <c r="C148" s="107"/>
      <c r="D148" s="107"/>
      <c r="E148" s="107"/>
      <c r="F148" s="107"/>
      <c r="G148" s="107"/>
      <c r="H148" s="107"/>
      <c r="I148" s="107"/>
      <c r="J148" s="107"/>
      <c r="K148" s="107"/>
      <c r="L148" s="107"/>
      <c r="M148" s="107"/>
      <c r="N148" s="107"/>
      <c r="O148" s="107"/>
      <c r="P148" s="107"/>
    </row>
    <row r="149" spans="1:16" x14ac:dyDescent="0.2">
      <c r="A149" s="526" t="s">
        <v>3655</v>
      </c>
      <c r="B149" s="107"/>
      <c r="C149" s="107"/>
      <c r="D149" s="107"/>
      <c r="E149" s="107"/>
      <c r="F149" s="107"/>
      <c r="G149" s="107"/>
      <c r="H149" s="107"/>
      <c r="I149" s="107"/>
      <c r="J149" s="107"/>
      <c r="K149" s="107"/>
      <c r="L149" s="107"/>
      <c r="M149" s="107"/>
      <c r="N149" s="107"/>
      <c r="O149" s="107"/>
      <c r="P149" s="107"/>
    </row>
    <row r="150" spans="1:16" ht="39" customHeight="1" x14ac:dyDescent="0.2">
      <c r="A150" s="953" t="s">
        <v>3851</v>
      </c>
      <c r="B150" s="954"/>
      <c r="C150" s="954"/>
      <c r="D150" s="954"/>
      <c r="E150" s="954"/>
      <c r="F150" s="954"/>
      <c r="G150" s="955"/>
      <c r="H150" s="107"/>
      <c r="I150" s="107"/>
      <c r="J150" s="107"/>
      <c r="K150" s="107"/>
      <c r="L150" s="107"/>
      <c r="M150" s="107"/>
      <c r="N150" s="107"/>
      <c r="O150" s="107"/>
      <c r="P150" s="107"/>
    </row>
    <row r="151" spans="1:16" ht="16" x14ac:dyDescent="0.2">
      <c r="A151" s="131" t="s">
        <v>2043</v>
      </c>
      <c r="B151" s="145">
        <v>282085</v>
      </c>
      <c r="C151" s="145">
        <v>200</v>
      </c>
      <c r="D151" s="145"/>
      <c r="E151" s="1081"/>
      <c r="F151" s="1081"/>
      <c r="G151" s="1082"/>
      <c r="H151" s="107"/>
      <c r="I151" s="107"/>
      <c r="J151" s="107"/>
      <c r="K151" s="107"/>
      <c r="L151" s="107"/>
      <c r="M151" s="107"/>
      <c r="N151" s="107"/>
      <c r="O151" s="107"/>
      <c r="P151" s="107"/>
    </row>
    <row r="152" spans="1:16" ht="16" x14ac:dyDescent="0.2">
      <c r="A152" s="131" t="s">
        <v>2044</v>
      </c>
      <c r="B152" s="145">
        <v>23117</v>
      </c>
      <c r="C152" s="145">
        <v>700</v>
      </c>
      <c r="D152" s="145"/>
      <c r="E152" s="1081"/>
      <c r="F152" s="1081"/>
      <c r="G152" s="1082"/>
      <c r="H152" s="107"/>
      <c r="I152" s="107"/>
      <c r="J152" s="107"/>
      <c r="K152" s="107"/>
      <c r="L152" s="107"/>
      <c r="M152" s="107"/>
      <c r="N152" s="107"/>
      <c r="O152" s="107"/>
      <c r="P152" s="107"/>
    </row>
    <row r="153" spans="1:16" ht="16" x14ac:dyDescent="0.2">
      <c r="A153" s="131" t="s">
        <v>2042</v>
      </c>
      <c r="B153" s="145">
        <v>540090</v>
      </c>
      <c r="C153" s="145">
        <v>50</v>
      </c>
      <c r="D153" s="145"/>
      <c r="E153" s="1081"/>
      <c r="F153" s="1081"/>
      <c r="G153" s="1082"/>
      <c r="H153" s="107"/>
      <c r="I153" s="107"/>
      <c r="J153" s="107"/>
      <c r="K153" s="107"/>
      <c r="L153" s="107"/>
      <c r="M153" s="107"/>
      <c r="N153" s="107"/>
      <c r="O153" s="107"/>
      <c r="P153" s="107"/>
    </row>
    <row r="154" spans="1:16" ht="16" x14ac:dyDescent="0.2">
      <c r="A154" s="131" t="s">
        <v>2047</v>
      </c>
      <c r="B154" s="145">
        <v>154592</v>
      </c>
      <c r="C154" s="145">
        <v>60</v>
      </c>
      <c r="D154" s="145"/>
      <c r="E154" s="1081"/>
      <c r="F154" s="1081"/>
      <c r="G154" s="1082"/>
      <c r="H154" s="107"/>
      <c r="I154" s="107"/>
      <c r="J154" s="107"/>
      <c r="K154" s="107"/>
      <c r="L154" s="107"/>
      <c r="M154" s="107"/>
      <c r="N154" s="107"/>
      <c r="O154" s="107"/>
      <c r="P154" s="107"/>
    </row>
    <row r="155" spans="1:16" ht="16" x14ac:dyDescent="0.2">
      <c r="A155" s="131" t="s">
        <v>2464</v>
      </c>
      <c r="B155" s="145">
        <v>126510</v>
      </c>
      <c r="C155" s="145">
        <v>150</v>
      </c>
      <c r="D155" s="145"/>
      <c r="E155" s="1081"/>
      <c r="F155" s="1081"/>
      <c r="G155" s="1082"/>
      <c r="H155" s="107"/>
      <c r="I155" s="107"/>
      <c r="J155" s="107"/>
      <c r="K155" s="107"/>
      <c r="L155" s="107"/>
      <c r="M155" s="107"/>
      <c r="N155" s="107"/>
      <c r="O155" s="107"/>
      <c r="P155" s="107"/>
    </row>
    <row r="156" spans="1:16" ht="16" x14ac:dyDescent="0.2">
      <c r="A156" s="131" t="s">
        <v>2045</v>
      </c>
      <c r="B156" s="145">
        <v>923323</v>
      </c>
      <c r="C156" s="145">
        <v>810</v>
      </c>
      <c r="D156" s="145"/>
      <c r="E156" s="1081"/>
      <c r="F156" s="1081"/>
      <c r="G156" s="1082"/>
      <c r="H156" s="107"/>
      <c r="I156" s="107"/>
      <c r="J156" s="107"/>
      <c r="K156" s="107"/>
      <c r="L156" s="107"/>
      <c r="M156" s="107"/>
      <c r="N156" s="107"/>
      <c r="O156" s="107"/>
      <c r="P156" s="107"/>
    </row>
    <row r="157" spans="1:16" ht="16" x14ac:dyDescent="0.2">
      <c r="A157" s="131" t="s">
        <v>1175</v>
      </c>
      <c r="B157" s="145">
        <v>302826</v>
      </c>
      <c r="C157" s="145">
        <v>635</v>
      </c>
      <c r="D157" s="145"/>
      <c r="E157" s="1081"/>
      <c r="F157" s="1081"/>
      <c r="G157" s="1082"/>
      <c r="H157" s="107"/>
      <c r="I157" s="107"/>
      <c r="J157" s="107"/>
      <c r="K157" s="107"/>
      <c r="L157" s="107"/>
      <c r="M157" s="107"/>
      <c r="N157" s="107"/>
      <c r="O157" s="107"/>
      <c r="P157" s="107"/>
    </row>
    <row r="158" spans="1:16" ht="16" x14ac:dyDescent="0.2">
      <c r="A158" s="131" t="s">
        <v>3420</v>
      </c>
      <c r="B158" s="145">
        <v>801210</v>
      </c>
      <c r="C158" s="145">
        <v>290</v>
      </c>
      <c r="D158" s="145"/>
      <c r="E158" s="1081"/>
      <c r="F158" s="1081"/>
      <c r="G158" s="1082"/>
      <c r="H158" s="107"/>
      <c r="I158" s="107"/>
      <c r="J158" s="107"/>
      <c r="K158" s="107"/>
      <c r="L158" s="107"/>
      <c r="M158" s="107"/>
      <c r="N158" s="107"/>
      <c r="O158" s="107"/>
      <c r="P158" s="107"/>
    </row>
    <row r="159" spans="1:16" ht="16" x14ac:dyDescent="0.2">
      <c r="A159" s="131" t="s">
        <v>2886</v>
      </c>
      <c r="B159" s="145">
        <v>143256</v>
      </c>
      <c r="C159" s="145">
        <v>800</v>
      </c>
      <c r="D159" s="145"/>
      <c r="E159" s="1081"/>
      <c r="F159" s="1081"/>
      <c r="G159" s="1082"/>
      <c r="H159" s="107"/>
      <c r="I159" s="107"/>
      <c r="J159" s="107"/>
      <c r="K159" s="107"/>
      <c r="L159" s="107"/>
      <c r="M159" s="107"/>
      <c r="N159" s="107"/>
      <c r="O159" s="107"/>
      <c r="P159" s="107"/>
    </row>
    <row r="160" spans="1:16" ht="16" x14ac:dyDescent="0.2">
      <c r="A160" s="131" t="s">
        <v>2869</v>
      </c>
      <c r="B160" s="145">
        <v>130305</v>
      </c>
      <c r="C160" s="145">
        <v>650</v>
      </c>
      <c r="D160" s="145"/>
      <c r="E160" s="1081"/>
      <c r="F160" s="1081"/>
      <c r="G160" s="1082"/>
      <c r="H160" s="107"/>
      <c r="I160" s="107"/>
      <c r="J160" s="107"/>
      <c r="K160" s="107"/>
      <c r="L160" s="107"/>
      <c r="M160" s="107"/>
      <c r="N160" s="107"/>
      <c r="O160" s="107"/>
      <c r="P160" s="107"/>
    </row>
    <row r="161" spans="1:16" ht="16" x14ac:dyDescent="0.2">
      <c r="A161" s="131" t="s">
        <v>2040</v>
      </c>
      <c r="B161" s="145">
        <v>2009449</v>
      </c>
      <c r="C161" s="145">
        <v>675</v>
      </c>
      <c r="D161" s="145"/>
      <c r="E161" s="1081"/>
      <c r="F161" s="1081"/>
      <c r="G161" s="1082"/>
      <c r="H161" s="107"/>
      <c r="I161" s="107"/>
      <c r="J161" s="107"/>
      <c r="K161" s="107"/>
      <c r="L161" s="107"/>
      <c r="M161" s="107"/>
      <c r="N161" s="107"/>
      <c r="O161" s="107"/>
      <c r="P161" s="107"/>
    </row>
    <row r="162" spans="1:16" x14ac:dyDescent="0.2">
      <c r="A162" s="131" t="s">
        <v>2761</v>
      </c>
      <c r="B162" s="145">
        <v>4977</v>
      </c>
      <c r="C162" s="145">
        <v>600</v>
      </c>
      <c r="D162" s="145"/>
      <c r="E162" s="145"/>
      <c r="F162" s="145"/>
      <c r="G162" s="307"/>
      <c r="H162" s="107"/>
      <c r="I162" s="107"/>
      <c r="J162" s="107"/>
      <c r="K162" s="107"/>
      <c r="L162" s="107"/>
      <c r="M162" s="107"/>
      <c r="N162" s="107"/>
      <c r="O162" s="107"/>
      <c r="P162" s="107"/>
    </row>
    <row r="163" spans="1:16" x14ac:dyDescent="0.2">
      <c r="A163" s="131" t="s">
        <v>2046</v>
      </c>
      <c r="B163" s="145">
        <v>72282</v>
      </c>
      <c r="C163" s="145">
        <v>300</v>
      </c>
      <c r="D163" s="145"/>
      <c r="E163" s="145"/>
      <c r="F163" s="145"/>
      <c r="G163" s="307"/>
      <c r="H163" s="107"/>
      <c r="I163" s="107"/>
      <c r="J163" s="107"/>
      <c r="K163" s="107"/>
      <c r="L163" s="107"/>
      <c r="M163" s="107"/>
      <c r="N163" s="107"/>
      <c r="O163" s="107"/>
      <c r="P163" s="107"/>
    </row>
    <row r="164" spans="1:16" ht="16" thickBot="1" x14ac:dyDescent="0.25">
      <c r="A164" s="140" t="s">
        <v>3852</v>
      </c>
      <c r="B164" s="187">
        <v>9018</v>
      </c>
      <c r="C164" s="187">
        <v>800</v>
      </c>
      <c r="D164" s="187"/>
      <c r="E164" s="145">
        <v>5523046</v>
      </c>
      <c r="F164" s="145">
        <v>720</v>
      </c>
      <c r="G164" s="307"/>
      <c r="H164" s="107"/>
      <c r="I164" s="107"/>
      <c r="J164" s="107"/>
      <c r="K164" s="107"/>
      <c r="L164" s="107"/>
      <c r="M164" s="107"/>
      <c r="N164" s="107"/>
      <c r="O164" s="107"/>
      <c r="P164" s="107"/>
    </row>
    <row r="165" spans="1:16" x14ac:dyDescent="0.2">
      <c r="A165" s="140"/>
      <c r="B165" s="145"/>
      <c r="C165" s="145"/>
      <c r="D165" s="145"/>
      <c r="E165" s="1093">
        <f>+SUM(B151:B164)</f>
        <v>5523040</v>
      </c>
      <c r="F165" s="1093">
        <f>+SUM(C151:C164)</f>
        <v>6720</v>
      </c>
      <c r="G165" s="1093">
        <f>+SUM(D151:D164)</f>
        <v>0</v>
      </c>
      <c r="H165" s="107"/>
      <c r="I165" s="107"/>
      <c r="J165" s="107"/>
      <c r="K165" s="107"/>
      <c r="L165" s="107"/>
      <c r="M165" s="107"/>
      <c r="N165" s="107"/>
      <c r="O165" s="107"/>
      <c r="P165" s="107"/>
    </row>
    <row r="166" spans="1:16" x14ac:dyDescent="0.2">
      <c r="A166" s="588" t="s">
        <v>3853</v>
      </c>
      <c r="B166" s="589"/>
      <c r="C166" s="589"/>
      <c r="D166" s="589"/>
      <c r="E166" s="145"/>
      <c r="F166" s="145"/>
      <c r="G166" s="307"/>
      <c r="H166" s="107"/>
      <c r="I166" s="107"/>
      <c r="J166" s="107"/>
      <c r="K166" s="107"/>
      <c r="L166" s="107"/>
      <c r="M166" s="107"/>
      <c r="N166" s="107"/>
      <c r="O166" s="107"/>
      <c r="P166" s="107"/>
    </row>
    <row r="167" spans="1:16" x14ac:dyDescent="0.2">
      <c r="A167" s="576" t="s">
        <v>3854</v>
      </c>
      <c r="B167" s="145">
        <v>132754</v>
      </c>
      <c r="C167" s="145">
        <v>400</v>
      </c>
      <c r="D167" s="145"/>
      <c r="E167" s="145"/>
      <c r="F167" s="145"/>
      <c r="G167" s="307"/>
      <c r="H167" s="107"/>
      <c r="I167" s="107"/>
      <c r="J167" s="107"/>
      <c r="K167" s="107"/>
      <c r="L167" s="107"/>
      <c r="M167" s="107"/>
      <c r="N167" s="107"/>
      <c r="O167" s="107"/>
      <c r="P167" s="107"/>
    </row>
    <row r="168" spans="1:16" x14ac:dyDescent="0.2">
      <c r="A168" s="140" t="s">
        <v>3855</v>
      </c>
      <c r="B168" s="145">
        <v>329259</v>
      </c>
      <c r="C168" s="145">
        <v>200</v>
      </c>
      <c r="D168" s="145"/>
      <c r="E168" s="145"/>
      <c r="F168" s="145"/>
      <c r="G168" s="307"/>
      <c r="H168" s="107"/>
      <c r="I168" s="107"/>
      <c r="J168" s="107"/>
      <c r="K168" s="107"/>
      <c r="L168" s="107"/>
      <c r="M168" s="107"/>
      <c r="N168" s="107"/>
      <c r="O168" s="107"/>
      <c r="P168" s="107"/>
    </row>
    <row r="169" spans="1:16" x14ac:dyDescent="0.2">
      <c r="A169" s="140" t="s">
        <v>3856</v>
      </c>
      <c r="B169" s="145">
        <v>4255</v>
      </c>
      <c r="C169" s="145">
        <v>650</v>
      </c>
      <c r="D169" s="145"/>
      <c r="E169" s="145"/>
      <c r="F169" s="145"/>
      <c r="G169" s="307"/>
      <c r="H169" s="107"/>
      <c r="I169" s="107"/>
      <c r="J169" s="107"/>
      <c r="K169" s="107"/>
      <c r="L169" s="107"/>
      <c r="M169" s="107"/>
      <c r="N169" s="107"/>
      <c r="O169" s="107"/>
      <c r="P169" s="107"/>
    </row>
    <row r="170" spans="1:16" ht="16" thickBot="1" x14ac:dyDescent="0.25">
      <c r="A170" s="140" t="s">
        <v>2977</v>
      </c>
      <c r="B170" s="187">
        <v>467423</v>
      </c>
      <c r="C170" s="187">
        <v>900</v>
      </c>
      <c r="D170" s="187"/>
      <c r="E170" s="187">
        <v>933693</v>
      </c>
      <c r="F170" s="187">
        <v>150</v>
      </c>
      <c r="G170" s="444"/>
      <c r="H170" s="107"/>
      <c r="I170" s="107"/>
      <c r="J170" s="107"/>
      <c r="K170" s="107"/>
      <c r="L170" s="107"/>
      <c r="M170" s="107"/>
      <c r="N170" s="107"/>
      <c r="O170" s="107"/>
      <c r="P170" s="107"/>
    </row>
    <row r="171" spans="1:16" ht="16" thickBot="1" x14ac:dyDescent="0.25">
      <c r="A171" s="489" t="s">
        <v>3687</v>
      </c>
      <c r="B171" s="493"/>
      <c r="C171" s="493"/>
      <c r="D171" s="493"/>
      <c r="E171" s="187">
        <v>6456739</v>
      </c>
      <c r="F171" s="187">
        <v>870</v>
      </c>
      <c r="G171" s="444"/>
      <c r="H171" s="107"/>
      <c r="I171" s="107"/>
      <c r="J171" s="107"/>
      <c r="K171" s="107"/>
      <c r="L171" s="107"/>
      <c r="M171" s="107"/>
      <c r="N171" s="107"/>
      <c r="O171" s="107"/>
      <c r="P171" s="107"/>
    </row>
    <row r="172" spans="1:16" ht="42.5" customHeight="1" thickBot="1" x14ac:dyDescent="0.25">
      <c r="A172" s="516" t="s">
        <v>3857</v>
      </c>
      <c r="B172" s="517"/>
      <c r="C172" s="517"/>
      <c r="D172" s="517"/>
      <c r="E172" s="448">
        <v>16807</v>
      </c>
      <c r="F172" s="448">
        <v>943</v>
      </c>
      <c r="G172" s="889">
        <v>0.5</v>
      </c>
      <c r="H172" s="107"/>
      <c r="I172" s="107"/>
      <c r="J172" s="107"/>
      <c r="K172" s="107"/>
      <c r="L172" s="107"/>
      <c r="M172" s="107"/>
      <c r="N172" s="107"/>
      <c r="O172" s="107"/>
      <c r="P172" s="107"/>
    </row>
    <row r="173" spans="1:16" ht="16" thickBot="1" x14ac:dyDescent="0.25">
      <c r="A173" s="489" t="s">
        <v>3858</v>
      </c>
      <c r="B173" s="493"/>
      <c r="C173" s="493"/>
      <c r="D173" s="493"/>
      <c r="E173" s="187">
        <v>6473547</v>
      </c>
      <c r="F173" s="187">
        <v>813</v>
      </c>
      <c r="G173" s="189">
        <v>0.5</v>
      </c>
      <c r="H173" s="107"/>
      <c r="I173" s="107"/>
      <c r="J173" s="107"/>
      <c r="K173" s="107"/>
      <c r="L173" s="107"/>
      <c r="M173" s="107"/>
      <c r="N173" s="107"/>
      <c r="O173" s="107"/>
      <c r="P173" s="107"/>
    </row>
    <row r="174" spans="1:16" x14ac:dyDescent="0.2">
      <c r="A174" s="622"/>
      <c r="B174" s="623"/>
      <c r="C174" s="623"/>
      <c r="D174" s="623"/>
      <c r="E174" s="1093">
        <f>+SUM(E164+E170+E172)</f>
        <v>6473546</v>
      </c>
      <c r="F174" s="1093">
        <f>+SUM(F164+F170+F172)</f>
        <v>1813</v>
      </c>
      <c r="G174" s="1107">
        <f>+SUM(G164+G170+G172)</f>
        <v>0.5</v>
      </c>
      <c r="H174" s="107"/>
      <c r="I174" s="107"/>
      <c r="J174" s="107"/>
      <c r="K174" s="107"/>
      <c r="L174" s="107"/>
      <c r="M174" s="107"/>
      <c r="N174" s="107"/>
      <c r="O174" s="107"/>
      <c r="P174" s="107"/>
    </row>
    <row r="175" spans="1:16" x14ac:dyDescent="0.2">
      <c r="A175" s="480" t="s">
        <v>3859</v>
      </c>
      <c r="B175" s="481"/>
      <c r="C175" s="481"/>
      <c r="D175" s="481"/>
      <c r="E175" s="481"/>
      <c r="F175" s="481"/>
      <c r="G175" s="676"/>
      <c r="H175" s="107"/>
      <c r="I175" s="107"/>
      <c r="J175" s="107"/>
      <c r="K175" s="107"/>
      <c r="L175" s="107"/>
      <c r="M175" s="107"/>
      <c r="N175" s="107"/>
      <c r="O175" s="107"/>
      <c r="P175" s="107"/>
    </row>
    <row r="176" spans="1:16" x14ac:dyDescent="0.2">
      <c r="A176" s="864" t="s">
        <v>3770</v>
      </c>
      <c r="B176" s="623">
        <v>6585357</v>
      </c>
      <c r="C176" s="623">
        <v>150</v>
      </c>
      <c r="D176" s="623"/>
      <c r="E176" s="145"/>
      <c r="F176" s="145"/>
      <c r="G176" s="307"/>
      <c r="H176" s="107"/>
      <c r="I176" s="107"/>
      <c r="J176" s="107"/>
      <c r="K176" s="107"/>
      <c r="L176" s="107"/>
      <c r="M176" s="107"/>
      <c r="N176" s="107"/>
      <c r="O176" s="107"/>
      <c r="P176" s="107"/>
    </row>
    <row r="177" spans="1:18" ht="16" thickBot="1" x14ac:dyDescent="0.25">
      <c r="A177" s="864" t="s">
        <v>3860</v>
      </c>
      <c r="B177" s="1083">
        <v>900624</v>
      </c>
      <c r="C177" s="1083">
        <v>900</v>
      </c>
      <c r="D177" s="1108">
        <v>0.5</v>
      </c>
      <c r="E177" s="145">
        <v>7485982</v>
      </c>
      <c r="F177" s="145">
        <v>50</v>
      </c>
      <c r="G177" s="133">
        <v>0.5</v>
      </c>
      <c r="H177" s="107"/>
      <c r="I177" s="107"/>
      <c r="J177" s="107"/>
      <c r="K177" s="107"/>
      <c r="L177" s="107"/>
      <c r="M177" s="107"/>
      <c r="N177" s="107"/>
      <c r="O177" s="107"/>
      <c r="P177" s="107"/>
    </row>
    <row r="178" spans="1:18" x14ac:dyDescent="0.2">
      <c r="A178" s="479" t="s">
        <v>3861</v>
      </c>
      <c r="B178" s="623"/>
      <c r="C178" s="623"/>
      <c r="D178" s="623"/>
      <c r="E178" s="145">
        <v>6473547</v>
      </c>
      <c r="F178" s="145">
        <v>813</v>
      </c>
      <c r="G178" s="133">
        <v>0.5</v>
      </c>
      <c r="H178" s="107"/>
      <c r="I178" s="107"/>
      <c r="J178" s="107"/>
      <c r="K178" s="107"/>
      <c r="L178" s="107"/>
      <c r="M178" s="107"/>
      <c r="N178" s="107"/>
      <c r="O178" s="107"/>
      <c r="P178" s="107"/>
    </row>
    <row r="179" spans="1:18" ht="16" thickBot="1" x14ac:dyDescent="0.25">
      <c r="A179" s="489" t="s">
        <v>3838</v>
      </c>
      <c r="B179" s="493"/>
      <c r="C179" s="493"/>
      <c r="D179" s="493"/>
      <c r="E179" s="187">
        <v>1012434</v>
      </c>
      <c r="F179" s="187">
        <v>237</v>
      </c>
      <c r="G179" s="189"/>
      <c r="H179" s="107"/>
      <c r="I179" s="107"/>
      <c r="J179" s="107"/>
      <c r="K179" s="107"/>
      <c r="L179" s="107"/>
      <c r="M179" s="107"/>
      <c r="N179" s="107"/>
      <c r="O179" s="107"/>
      <c r="P179" s="107"/>
    </row>
    <row r="180" spans="1:18" x14ac:dyDescent="0.2">
      <c r="A180" s="597" t="s">
        <v>3862</v>
      </c>
      <c r="B180" s="309"/>
      <c r="C180" s="309"/>
      <c r="D180" s="309"/>
      <c r="E180" s="309"/>
      <c r="F180" s="309"/>
      <c r="G180" s="364"/>
      <c r="H180" s="107"/>
      <c r="I180" s="107"/>
      <c r="J180" s="107"/>
      <c r="K180" s="107"/>
      <c r="L180" s="107"/>
      <c r="M180" s="107"/>
      <c r="N180" s="107"/>
      <c r="O180" s="107"/>
      <c r="P180" s="107"/>
    </row>
    <row r="181" spans="1:18" x14ac:dyDescent="0.2">
      <c r="A181" s="107"/>
      <c r="B181" s="107"/>
      <c r="C181" s="107"/>
      <c r="D181" s="107"/>
      <c r="E181" s="107"/>
      <c r="F181" s="107"/>
      <c r="G181" s="107"/>
      <c r="H181" s="107"/>
      <c r="I181" s="107"/>
      <c r="J181" s="107"/>
      <c r="K181" s="107"/>
      <c r="L181" s="107"/>
      <c r="M181" s="107"/>
      <c r="N181" s="107"/>
      <c r="O181" s="107"/>
      <c r="P181" s="107"/>
    </row>
    <row r="182" spans="1:18" x14ac:dyDescent="0.2">
      <c r="A182" s="107"/>
      <c r="B182" s="107"/>
      <c r="C182" s="107"/>
      <c r="D182" s="107"/>
      <c r="E182" s="107"/>
      <c r="F182" s="107"/>
      <c r="G182" s="107"/>
      <c r="H182" s="107"/>
      <c r="I182" s="107"/>
      <c r="J182" s="107"/>
      <c r="K182" s="107"/>
      <c r="L182" s="107"/>
      <c r="M182" s="107"/>
      <c r="N182" s="107"/>
      <c r="O182" s="107"/>
      <c r="P182" s="107"/>
    </row>
    <row r="183" spans="1:18" x14ac:dyDescent="0.2">
      <c r="A183" s="107"/>
      <c r="B183" s="107"/>
      <c r="D183" s="107"/>
      <c r="E183" s="107"/>
      <c r="F183" s="107"/>
      <c r="G183" s="107"/>
      <c r="H183" s="107"/>
      <c r="I183" s="107"/>
      <c r="J183" s="107"/>
      <c r="K183" s="107"/>
      <c r="L183" s="107"/>
      <c r="M183" s="107"/>
      <c r="N183" s="107"/>
      <c r="O183" s="107"/>
      <c r="P183" s="107"/>
    </row>
    <row r="184" spans="1:18" x14ac:dyDescent="0.2">
      <c r="A184" s="526" t="s">
        <v>3863</v>
      </c>
      <c r="B184" s="107"/>
      <c r="C184" s="107"/>
      <c r="D184" s="107"/>
      <c r="E184" s="107"/>
      <c r="F184" s="107"/>
      <c r="G184" s="107"/>
      <c r="H184" s="107"/>
      <c r="I184" s="107"/>
      <c r="J184" s="107"/>
      <c r="K184" s="107"/>
      <c r="L184" s="107"/>
      <c r="M184" s="107"/>
      <c r="N184" s="107"/>
      <c r="O184" s="107"/>
      <c r="P184" s="107"/>
    </row>
    <row r="185" spans="1:18" ht="32.5" customHeight="1" x14ac:dyDescent="0.2">
      <c r="A185" s="953" t="s">
        <v>3864</v>
      </c>
      <c r="B185" s="954"/>
      <c r="C185" s="954"/>
      <c r="D185" s="954"/>
      <c r="E185" s="954"/>
      <c r="F185" s="955"/>
      <c r="G185" s="107"/>
      <c r="H185" s="107"/>
      <c r="I185" s="107"/>
      <c r="J185" s="107"/>
      <c r="K185" s="107"/>
      <c r="L185" s="107"/>
      <c r="M185" s="107"/>
      <c r="N185" s="107"/>
      <c r="O185" s="107"/>
      <c r="P185" s="107"/>
    </row>
    <row r="186" spans="1:18" ht="36" customHeight="1" x14ac:dyDescent="0.2">
      <c r="A186" s="151"/>
      <c r="B186" s="950" t="s">
        <v>3865</v>
      </c>
      <c r="C186" s="1047" t="s">
        <v>3866</v>
      </c>
      <c r="D186" s="1049"/>
      <c r="E186" s="1047" t="s">
        <v>3867</v>
      </c>
      <c r="F186" s="1049"/>
      <c r="G186" s="107"/>
      <c r="H186" s="107"/>
      <c r="I186" s="107"/>
      <c r="J186" s="107"/>
      <c r="K186" s="107"/>
      <c r="L186" s="107"/>
      <c r="M186" s="107"/>
      <c r="N186" s="107"/>
      <c r="O186" s="107"/>
      <c r="P186" s="107"/>
      <c r="Q186" s="107"/>
      <c r="R186" s="107"/>
    </row>
    <row r="187" spans="1:18" x14ac:dyDescent="0.2">
      <c r="A187" s="131" t="s">
        <v>3868</v>
      </c>
      <c r="B187" s="131">
        <v>57</v>
      </c>
      <c r="C187" s="349">
        <v>2740</v>
      </c>
      <c r="D187" s="717">
        <v>80</v>
      </c>
      <c r="E187" s="349">
        <v>32889</v>
      </c>
      <c r="F187" s="717">
        <v>60</v>
      </c>
      <c r="G187" s="107"/>
      <c r="H187" s="107"/>
      <c r="I187" s="107"/>
      <c r="J187" s="107"/>
      <c r="K187" s="107"/>
      <c r="L187" s="107"/>
      <c r="M187" s="107"/>
      <c r="N187" s="107"/>
      <c r="O187" s="107"/>
      <c r="P187" s="107"/>
      <c r="Q187" s="107"/>
      <c r="R187" s="107"/>
    </row>
    <row r="188" spans="1:18" x14ac:dyDescent="0.2">
      <c r="A188" s="131" t="s">
        <v>3869</v>
      </c>
      <c r="B188" s="131">
        <v>304</v>
      </c>
      <c r="C188" s="131">
        <v>6200</v>
      </c>
      <c r="D188" s="307">
        <v>85</v>
      </c>
      <c r="E188" s="131">
        <v>74410</v>
      </c>
      <c r="F188" s="307">
        <v>20</v>
      </c>
      <c r="G188" s="107"/>
      <c r="H188" s="141"/>
      <c r="I188" s="107"/>
      <c r="J188" s="107"/>
      <c r="K188" s="107"/>
      <c r="L188" s="107"/>
      <c r="M188" s="107"/>
      <c r="N188" s="107"/>
      <c r="O188" s="107"/>
      <c r="P188" s="107"/>
      <c r="Q188" s="107"/>
      <c r="R188" s="107"/>
    </row>
    <row r="189" spans="1:18" ht="88.25" customHeight="1" x14ac:dyDescent="0.2">
      <c r="A189" s="539" t="s">
        <v>3870</v>
      </c>
      <c r="B189" s="131">
        <v>67</v>
      </c>
      <c r="C189" s="131">
        <v>882</v>
      </c>
      <c r="D189" s="307">
        <v>65</v>
      </c>
      <c r="E189" s="131">
        <v>10591</v>
      </c>
      <c r="F189" s="307">
        <v>80</v>
      </c>
      <c r="G189" s="107"/>
      <c r="H189" s="107"/>
      <c r="I189" s="107"/>
      <c r="J189" s="107"/>
      <c r="K189" s="107"/>
      <c r="L189" s="107"/>
      <c r="M189" s="107"/>
      <c r="N189" s="107"/>
      <c r="O189" s="107"/>
      <c r="P189" s="107"/>
      <c r="Q189" s="107"/>
      <c r="R189" s="107"/>
    </row>
    <row r="190" spans="1:18" x14ac:dyDescent="0.2">
      <c r="A190" s="131" t="s">
        <v>3871</v>
      </c>
      <c r="B190" s="131">
        <v>172</v>
      </c>
      <c r="C190" s="131">
        <v>3440</v>
      </c>
      <c r="D190" s="307"/>
      <c r="E190" s="131">
        <v>41280</v>
      </c>
      <c r="F190" s="307"/>
      <c r="G190" s="107"/>
      <c r="H190" s="107"/>
      <c r="I190" s="107"/>
      <c r="J190" s="107"/>
      <c r="K190" s="107"/>
      <c r="L190" s="107"/>
      <c r="M190" s="107"/>
      <c r="N190" s="107"/>
      <c r="O190" s="107"/>
      <c r="P190" s="107"/>
      <c r="Q190" s="107"/>
      <c r="R190" s="107"/>
    </row>
    <row r="191" spans="1:18" x14ac:dyDescent="0.2">
      <c r="A191" s="131" t="s">
        <v>3872</v>
      </c>
      <c r="B191" s="131">
        <v>2</v>
      </c>
      <c r="C191" s="131">
        <v>113</v>
      </c>
      <c r="D191" s="307">
        <v>35</v>
      </c>
      <c r="E191" s="131">
        <v>1360</v>
      </c>
      <c r="F191" s="307">
        <v>20</v>
      </c>
      <c r="G191" s="107"/>
      <c r="H191" s="107"/>
      <c r="I191" s="107"/>
      <c r="J191" s="107"/>
      <c r="K191" s="107"/>
      <c r="L191" s="107"/>
      <c r="M191" s="107"/>
      <c r="N191" s="107"/>
      <c r="O191" s="107"/>
      <c r="P191" s="107"/>
      <c r="Q191" s="107"/>
      <c r="R191" s="107"/>
    </row>
    <row r="192" spans="1:18" x14ac:dyDescent="0.2">
      <c r="A192" s="131" t="s">
        <v>3873</v>
      </c>
      <c r="B192" s="131">
        <v>764</v>
      </c>
      <c r="C192" s="131">
        <v>14146</v>
      </c>
      <c r="D192" s="307">
        <v>46</v>
      </c>
      <c r="E192" s="131">
        <v>169757</v>
      </c>
      <c r="F192" s="307">
        <v>52</v>
      </c>
      <c r="G192" s="107"/>
      <c r="H192" s="107"/>
      <c r="I192" s="107"/>
      <c r="J192" s="107"/>
      <c r="K192" s="107"/>
      <c r="L192" s="107"/>
      <c r="M192" s="107"/>
      <c r="N192" s="107"/>
      <c r="O192" s="107"/>
      <c r="P192" s="107"/>
      <c r="Q192" s="107"/>
      <c r="R192" s="107"/>
    </row>
    <row r="193" spans="1:18" x14ac:dyDescent="0.2">
      <c r="A193" s="131" t="s">
        <v>3874</v>
      </c>
      <c r="B193" s="131">
        <v>104</v>
      </c>
      <c r="C193" s="131">
        <v>3455</v>
      </c>
      <c r="D193" s="307">
        <v>40</v>
      </c>
      <c r="E193" s="131">
        <v>41464</v>
      </c>
      <c r="F193" s="307">
        <v>80</v>
      </c>
      <c r="G193" s="107"/>
      <c r="H193" s="107"/>
      <c r="I193" s="107"/>
      <c r="J193" s="107"/>
      <c r="K193" s="107"/>
      <c r="L193" s="107"/>
      <c r="M193" s="107"/>
      <c r="N193" s="107"/>
      <c r="O193" s="107"/>
      <c r="P193" s="107"/>
      <c r="Q193" s="107"/>
      <c r="R193" s="107"/>
    </row>
    <row r="194" spans="1:18" ht="50" customHeight="1" x14ac:dyDescent="0.2">
      <c r="A194" s="1109" t="s">
        <v>3875</v>
      </c>
      <c r="B194" s="230">
        <v>34</v>
      </c>
      <c r="C194" s="230">
        <v>1208</v>
      </c>
      <c r="D194" s="364">
        <v>75</v>
      </c>
      <c r="E194" s="230">
        <v>14505</v>
      </c>
      <c r="F194" s="364"/>
      <c r="G194" s="107"/>
      <c r="H194" s="107"/>
      <c r="I194" s="107"/>
      <c r="J194" s="107"/>
      <c r="K194" s="107"/>
      <c r="L194" s="107"/>
      <c r="M194" s="107"/>
      <c r="N194" s="107"/>
      <c r="O194" s="107"/>
      <c r="P194" s="107"/>
      <c r="Q194" s="107"/>
      <c r="R194" s="107"/>
    </row>
    <row r="195" spans="1:18" x14ac:dyDescent="0.2">
      <c r="A195" s="107"/>
      <c r="B195" s="107"/>
      <c r="C195" s="107"/>
      <c r="D195" s="107"/>
      <c r="E195" s="107"/>
      <c r="F195" s="107"/>
      <c r="G195" s="107"/>
      <c r="H195" s="107"/>
      <c r="I195" s="107"/>
      <c r="J195" s="107"/>
      <c r="K195" s="107"/>
      <c r="L195" s="107"/>
      <c r="M195" s="107"/>
      <c r="N195" s="107"/>
      <c r="O195" s="107"/>
      <c r="P195" s="107"/>
    </row>
    <row r="196" spans="1:18" x14ac:dyDescent="0.2">
      <c r="A196" s="107"/>
      <c r="B196" s="107"/>
      <c r="C196" s="107"/>
      <c r="D196" s="107"/>
      <c r="E196" s="107"/>
      <c r="F196" s="107"/>
      <c r="G196" s="107"/>
      <c r="H196" s="107"/>
      <c r="I196" s="107"/>
      <c r="J196" s="107"/>
      <c r="K196" s="107"/>
      <c r="L196" s="107"/>
      <c r="M196" s="107"/>
      <c r="N196" s="107"/>
      <c r="O196" s="107"/>
      <c r="P196" s="107"/>
    </row>
    <row r="197" spans="1:18" x14ac:dyDescent="0.2">
      <c r="A197" s="107"/>
      <c r="B197" s="107"/>
      <c r="C197" s="107"/>
      <c r="D197" s="107"/>
      <c r="E197" s="107"/>
      <c r="F197" s="107"/>
      <c r="G197" s="107"/>
      <c r="H197" s="107"/>
      <c r="I197" s="107"/>
      <c r="J197" s="107"/>
      <c r="K197" s="107"/>
      <c r="L197" s="107"/>
      <c r="M197" s="107"/>
      <c r="N197" s="107"/>
      <c r="O197" s="107"/>
      <c r="P197" s="107"/>
    </row>
    <row r="198" spans="1:18" x14ac:dyDescent="0.2">
      <c r="A198" s="526" t="s">
        <v>3876</v>
      </c>
      <c r="B198" s="107"/>
      <c r="C198" s="107"/>
      <c r="D198" s="107"/>
      <c r="E198" s="107"/>
      <c r="F198" s="107"/>
      <c r="G198" s="107"/>
      <c r="H198" s="107"/>
      <c r="I198" s="107"/>
      <c r="J198" s="107"/>
      <c r="K198" s="107"/>
      <c r="L198" s="107"/>
      <c r="M198" s="107"/>
      <c r="N198" s="107"/>
      <c r="O198" s="107"/>
      <c r="P198" s="107"/>
    </row>
    <row r="199" spans="1:18" ht="30" customHeight="1" x14ac:dyDescent="0.2">
      <c r="A199" s="1110" t="s">
        <v>3877</v>
      </c>
      <c r="B199" s="1111"/>
      <c r="C199" s="1111"/>
      <c r="D199" s="1111"/>
      <c r="E199" s="1111"/>
      <c r="F199" s="1112"/>
      <c r="G199" s="107"/>
      <c r="H199" s="107"/>
      <c r="I199" s="107"/>
      <c r="J199" s="107"/>
      <c r="K199" s="107"/>
      <c r="L199" s="107"/>
      <c r="M199" s="107"/>
      <c r="N199" s="107"/>
      <c r="O199" s="107"/>
      <c r="P199" s="107"/>
      <c r="Q199" s="107"/>
    </row>
    <row r="200" spans="1:18" ht="34.25" customHeight="1" x14ac:dyDescent="0.2">
      <c r="A200" s="806" t="s">
        <v>3878</v>
      </c>
      <c r="B200" s="978" t="s">
        <v>3866</v>
      </c>
      <c r="C200" s="979"/>
      <c r="D200" s="980"/>
      <c r="E200" s="979" t="s">
        <v>3867</v>
      </c>
      <c r="F200" s="980"/>
      <c r="G200" s="107"/>
      <c r="H200" s="107"/>
      <c r="I200" s="107"/>
      <c r="J200" s="107"/>
      <c r="K200" s="107"/>
      <c r="L200" s="107"/>
      <c r="M200" s="107"/>
      <c r="N200" s="107"/>
      <c r="O200" s="107"/>
      <c r="P200" s="107"/>
      <c r="Q200" s="107"/>
    </row>
    <row r="201" spans="1:18" x14ac:dyDescent="0.2">
      <c r="A201" s="131" t="s">
        <v>3868</v>
      </c>
      <c r="B201" s="131">
        <v>2740</v>
      </c>
      <c r="C201" s="145">
        <v>80</v>
      </c>
      <c r="D201" s="133"/>
      <c r="E201" s="145">
        <v>32889</v>
      </c>
      <c r="F201" s="307">
        <v>60</v>
      </c>
      <c r="G201" s="107"/>
      <c r="H201" s="107"/>
      <c r="I201" s="107"/>
      <c r="J201" s="107"/>
      <c r="K201" s="107"/>
      <c r="L201" s="107"/>
      <c r="M201" s="107"/>
      <c r="N201" s="107"/>
      <c r="O201" s="107"/>
      <c r="P201" s="107"/>
      <c r="Q201" s="107"/>
    </row>
    <row r="202" spans="1:18" x14ac:dyDescent="0.2">
      <c r="A202" s="131" t="s">
        <v>3879</v>
      </c>
      <c r="B202" s="131">
        <v>6200</v>
      </c>
      <c r="C202" s="145">
        <v>85</v>
      </c>
      <c r="D202" s="133"/>
      <c r="E202" s="145">
        <v>74410</v>
      </c>
      <c r="F202" s="307">
        <v>20</v>
      </c>
      <c r="G202" s="107"/>
      <c r="H202" s="107"/>
      <c r="I202" s="107"/>
      <c r="J202" s="107"/>
      <c r="K202" s="107"/>
      <c r="L202" s="107"/>
      <c r="M202" s="107"/>
      <c r="N202" s="107"/>
      <c r="O202" s="107"/>
      <c r="P202" s="107"/>
      <c r="Q202" s="107"/>
    </row>
    <row r="203" spans="1:18" ht="30" x14ac:dyDescent="0.2">
      <c r="A203" s="539" t="s">
        <v>3880</v>
      </c>
      <c r="B203" s="131">
        <v>416</v>
      </c>
      <c r="C203" s="145">
        <v>66</v>
      </c>
      <c r="D203" s="133">
        <v>0.66666666666666663</v>
      </c>
      <c r="E203" s="145">
        <v>5000</v>
      </c>
      <c r="F203" s="307"/>
      <c r="G203" s="107"/>
      <c r="H203" s="107"/>
      <c r="I203" s="107"/>
      <c r="J203" s="107"/>
      <c r="K203" s="107"/>
      <c r="L203" s="107"/>
      <c r="M203" s="107"/>
      <c r="N203" s="107"/>
      <c r="O203" s="107"/>
      <c r="P203" s="107"/>
      <c r="Q203" s="107"/>
    </row>
    <row r="204" spans="1:18" x14ac:dyDescent="0.2">
      <c r="A204" s="131" t="s">
        <v>3881</v>
      </c>
      <c r="B204" s="131">
        <v>3440</v>
      </c>
      <c r="C204" s="145"/>
      <c r="D204" s="133"/>
      <c r="E204" s="145">
        <v>41280</v>
      </c>
      <c r="F204" s="307"/>
      <c r="G204" s="107"/>
      <c r="H204" s="107"/>
      <c r="I204" s="107"/>
      <c r="J204" s="107"/>
      <c r="K204" s="107"/>
      <c r="L204" s="107"/>
      <c r="M204" s="107"/>
      <c r="N204" s="107"/>
      <c r="O204" s="107"/>
      <c r="P204" s="107"/>
      <c r="Q204" s="107"/>
    </row>
    <row r="205" spans="1:18" x14ac:dyDescent="0.2">
      <c r="A205" s="131" t="s">
        <v>3882</v>
      </c>
      <c r="B205" s="131">
        <v>113</v>
      </c>
      <c r="C205" s="145">
        <v>35</v>
      </c>
      <c r="D205" s="133"/>
      <c r="E205" s="145">
        <v>1360</v>
      </c>
      <c r="F205" s="307">
        <v>20</v>
      </c>
      <c r="G205" s="107"/>
      <c r="H205" s="107"/>
      <c r="I205" s="107"/>
      <c r="J205" s="107"/>
      <c r="K205" s="107"/>
      <c r="L205" s="107"/>
      <c r="M205" s="107"/>
      <c r="N205" s="107"/>
      <c r="O205" s="107"/>
      <c r="P205" s="107"/>
      <c r="Q205" s="107"/>
    </row>
    <row r="206" spans="1:18" x14ac:dyDescent="0.2">
      <c r="A206" s="131" t="s">
        <v>3883</v>
      </c>
      <c r="B206" s="131">
        <v>14146</v>
      </c>
      <c r="C206" s="145">
        <v>45</v>
      </c>
      <c r="D206" s="133"/>
      <c r="E206" s="145">
        <v>169757</v>
      </c>
      <c r="F206" s="307">
        <v>40</v>
      </c>
      <c r="G206" s="107"/>
      <c r="H206" s="107"/>
      <c r="I206" s="107"/>
      <c r="J206" s="107"/>
      <c r="K206" s="107"/>
      <c r="L206" s="107"/>
      <c r="M206" s="107"/>
      <c r="N206" s="107"/>
      <c r="O206" s="107"/>
      <c r="P206" s="107"/>
      <c r="Q206" s="107"/>
    </row>
    <row r="207" spans="1:18" x14ac:dyDescent="0.2">
      <c r="A207" s="794" t="s">
        <v>3884</v>
      </c>
      <c r="B207" s="240">
        <v>27058</v>
      </c>
      <c r="C207" s="318">
        <v>11</v>
      </c>
      <c r="D207" s="241">
        <v>0.66666666666666663</v>
      </c>
      <c r="E207" s="318">
        <v>324697</v>
      </c>
      <c r="F207" s="513">
        <v>40</v>
      </c>
      <c r="G207" s="107"/>
      <c r="H207" s="107"/>
      <c r="I207" s="107"/>
      <c r="J207" s="107"/>
      <c r="K207" s="107"/>
      <c r="L207" s="107"/>
      <c r="M207" s="107"/>
      <c r="N207" s="107"/>
      <c r="O207" s="107"/>
      <c r="P207" s="107"/>
      <c r="Q207" s="107"/>
    </row>
    <row r="208" spans="1:18" x14ac:dyDescent="0.2">
      <c r="A208" s="107"/>
      <c r="B208" s="321">
        <f>+SUM(B201:B206)</f>
        <v>27055</v>
      </c>
      <c r="C208" s="321">
        <f>+SUM(C201:C206)</f>
        <v>311</v>
      </c>
      <c r="D208" s="322">
        <f>+SUM(D201:D206)</f>
        <v>0.66666666666666663</v>
      </c>
      <c r="E208" s="321">
        <f>+SUM(E201:E206)</f>
        <v>324696</v>
      </c>
      <c r="F208" s="321">
        <f>+SUM(F201:F206)</f>
        <v>140</v>
      </c>
      <c r="G208" s="107"/>
      <c r="H208" s="107"/>
      <c r="I208" s="107"/>
      <c r="J208" s="107"/>
      <c r="K208" s="107"/>
      <c r="L208" s="107"/>
      <c r="M208" s="107"/>
      <c r="N208" s="107"/>
      <c r="O208" s="107"/>
      <c r="P208" s="107"/>
    </row>
    <row r="209" spans="1:16" x14ac:dyDescent="0.2">
      <c r="A209" s="107"/>
      <c r="B209" s="107"/>
      <c r="C209" s="107"/>
      <c r="D209" s="107"/>
      <c r="E209" s="107"/>
      <c r="F209" s="107"/>
      <c r="G209" s="107"/>
      <c r="H209" s="107"/>
      <c r="I209" s="107"/>
      <c r="J209" s="107"/>
      <c r="K209" s="107"/>
      <c r="L209" s="107"/>
      <c r="M209" s="107"/>
      <c r="N209" s="107"/>
      <c r="O209" s="107"/>
      <c r="P209" s="107"/>
    </row>
    <row r="210" spans="1:16" x14ac:dyDescent="0.2">
      <c r="A210" s="107"/>
      <c r="B210" s="107"/>
      <c r="C210" s="107"/>
      <c r="D210" s="107"/>
      <c r="E210" s="107"/>
      <c r="F210" s="107"/>
      <c r="G210" s="107"/>
      <c r="H210" s="107"/>
      <c r="I210" s="107"/>
      <c r="J210" s="107"/>
      <c r="K210" s="107"/>
      <c r="L210" s="107"/>
      <c r="M210" s="107"/>
      <c r="N210" s="107"/>
      <c r="O210" s="107"/>
      <c r="P210" s="107"/>
    </row>
    <row r="211" spans="1:16" x14ac:dyDescent="0.2">
      <c r="A211" s="526" t="s">
        <v>3885</v>
      </c>
      <c r="B211" s="107"/>
      <c r="C211" s="107"/>
      <c r="D211" s="107"/>
      <c r="E211" s="107"/>
      <c r="F211" s="107"/>
      <c r="G211" s="107"/>
      <c r="H211" s="107"/>
      <c r="I211" s="107"/>
      <c r="J211" s="107"/>
      <c r="K211" s="107"/>
      <c r="L211" s="107"/>
      <c r="M211" s="107"/>
      <c r="N211" s="107"/>
      <c r="O211" s="107"/>
      <c r="P211" s="107"/>
    </row>
    <row r="212" spans="1:16" ht="26" customHeight="1" x14ac:dyDescent="0.2">
      <c r="A212" s="1113" t="s">
        <v>3886</v>
      </c>
      <c r="B212" s="1113"/>
      <c r="C212" s="1113"/>
      <c r="D212" s="1113"/>
      <c r="E212" s="1113"/>
      <c r="F212" s="1113"/>
      <c r="G212" s="1113"/>
      <c r="H212" s="1113"/>
      <c r="I212" s="1113"/>
      <c r="J212" s="1113"/>
      <c r="K212" s="1113"/>
      <c r="L212" s="1113"/>
      <c r="M212" s="1113"/>
      <c r="N212" s="1113"/>
      <c r="O212" s="1113"/>
      <c r="P212" s="1113"/>
    </row>
    <row r="213" spans="1:16" ht="22.25" customHeight="1" x14ac:dyDescent="0.2">
      <c r="A213" s="838" t="s">
        <v>2798</v>
      </c>
      <c r="B213" s="838"/>
      <c r="C213" s="838"/>
      <c r="D213" s="838"/>
      <c r="E213" s="838"/>
      <c r="F213" s="838"/>
      <c r="G213" s="838"/>
      <c r="H213" s="838"/>
      <c r="I213" s="838"/>
      <c r="J213" s="838"/>
      <c r="K213" s="838"/>
      <c r="L213" s="838"/>
      <c r="M213" s="838"/>
      <c r="N213" s="838"/>
      <c r="O213" s="838"/>
      <c r="P213" s="838"/>
    </row>
    <row r="214" spans="1:16" ht="22.25" customHeight="1" x14ac:dyDescent="0.2">
      <c r="A214" s="806" t="s">
        <v>3887</v>
      </c>
      <c r="B214" s="977" t="s">
        <v>3888</v>
      </c>
      <c r="C214" s="977"/>
      <c r="D214" s="977"/>
      <c r="E214" s="977" t="s">
        <v>3889</v>
      </c>
      <c r="F214" s="977"/>
      <c r="G214" s="977"/>
      <c r="H214" s="977" t="s">
        <v>3890</v>
      </c>
      <c r="I214" s="977"/>
      <c r="J214" s="977"/>
      <c r="K214" s="977" t="s">
        <v>3891</v>
      </c>
      <c r="L214" s="977"/>
      <c r="M214" s="977"/>
      <c r="N214" s="977" t="s">
        <v>3892</v>
      </c>
      <c r="O214" s="977"/>
      <c r="P214" s="977"/>
    </row>
    <row r="215" spans="1:16" x14ac:dyDescent="0.2">
      <c r="A215" s="107" t="s">
        <v>3893</v>
      </c>
      <c r="B215" s="131">
        <v>32650</v>
      </c>
      <c r="C215" s="145">
        <v>80</v>
      </c>
      <c r="D215" s="307"/>
      <c r="E215" s="131">
        <v>28452</v>
      </c>
      <c r="F215" s="145">
        <v>5</v>
      </c>
      <c r="G215" s="307"/>
      <c r="H215" s="131">
        <v>28452</v>
      </c>
      <c r="I215" s="145">
        <v>5</v>
      </c>
      <c r="J215" s="307"/>
      <c r="K215" s="131">
        <v>4198</v>
      </c>
      <c r="L215" s="145">
        <v>75</v>
      </c>
      <c r="M215" s="307"/>
      <c r="N215" s="131"/>
      <c r="O215" s="145"/>
      <c r="P215" s="307"/>
    </row>
    <row r="216" spans="1:16" x14ac:dyDescent="0.2">
      <c r="A216" s="107" t="s">
        <v>3894</v>
      </c>
      <c r="B216" s="131">
        <v>400</v>
      </c>
      <c r="C216" s="145"/>
      <c r="D216" s="307"/>
      <c r="E216" s="131">
        <v>241</v>
      </c>
      <c r="F216" s="145">
        <v>5</v>
      </c>
      <c r="G216" s="307"/>
      <c r="H216" s="131">
        <v>241</v>
      </c>
      <c r="I216" s="145">
        <v>5</v>
      </c>
      <c r="J216" s="307"/>
      <c r="K216" s="131">
        <v>158</v>
      </c>
      <c r="L216" s="145">
        <v>95</v>
      </c>
      <c r="M216" s="307"/>
      <c r="N216" s="131"/>
      <c r="O216" s="145"/>
      <c r="P216" s="307"/>
    </row>
    <row r="217" spans="1:16" x14ac:dyDescent="0.2">
      <c r="A217" s="107" t="s">
        <v>3895</v>
      </c>
      <c r="B217" s="131">
        <v>70722</v>
      </c>
      <c r="C217" s="145">
        <v>40</v>
      </c>
      <c r="D217" s="307"/>
      <c r="E217" s="131">
        <v>65696</v>
      </c>
      <c r="F217" s="145">
        <v>50</v>
      </c>
      <c r="G217" s="307"/>
      <c r="H217" s="131">
        <v>65696</v>
      </c>
      <c r="I217" s="145">
        <v>50</v>
      </c>
      <c r="J217" s="307"/>
      <c r="K217" s="131">
        <v>5025</v>
      </c>
      <c r="L217" s="145">
        <v>90</v>
      </c>
      <c r="M217" s="307"/>
      <c r="N217" s="131"/>
      <c r="O217" s="145"/>
      <c r="P217" s="307"/>
    </row>
    <row r="218" spans="1:16" x14ac:dyDescent="0.2">
      <c r="A218" s="141" t="s">
        <v>3896</v>
      </c>
      <c r="B218" s="131">
        <v>400</v>
      </c>
      <c r="C218" s="145"/>
      <c r="D218" s="307"/>
      <c r="E218" s="131">
        <v>369</v>
      </c>
      <c r="F218" s="145"/>
      <c r="G218" s="307"/>
      <c r="H218" s="131">
        <v>369</v>
      </c>
      <c r="I218" s="145"/>
      <c r="J218" s="307"/>
      <c r="K218" s="131">
        <v>31</v>
      </c>
      <c r="L218" s="145"/>
      <c r="M218" s="307"/>
      <c r="N218" s="131"/>
      <c r="O218" s="145"/>
      <c r="P218" s="307"/>
    </row>
    <row r="219" spans="1:16" x14ac:dyDescent="0.2">
      <c r="A219" s="141" t="s">
        <v>3897</v>
      </c>
      <c r="B219" s="131">
        <v>82911</v>
      </c>
      <c r="C219" s="145"/>
      <c r="D219" s="307"/>
      <c r="E219" s="131">
        <v>74382</v>
      </c>
      <c r="F219" s="145"/>
      <c r="G219" s="307"/>
      <c r="H219" s="131">
        <v>69040</v>
      </c>
      <c r="I219" s="145"/>
      <c r="J219" s="307"/>
      <c r="K219" s="131">
        <v>8529</v>
      </c>
      <c r="L219" s="145"/>
      <c r="M219" s="307"/>
      <c r="N219" s="131">
        <v>5342</v>
      </c>
      <c r="O219" s="145"/>
      <c r="P219" s="307"/>
    </row>
    <row r="220" spans="1:16" x14ac:dyDescent="0.2">
      <c r="A220" s="141" t="s">
        <v>3898</v>
      </c>
      <c r="B220" s="131">
        <v>19612</v>
      </c>
      <c r="C220" s="145"/>
      <c r="D220" s="307"/>
      <c r="E220" s="131">
        <v>13612</v>
      </c>
      <c r="F220" s="145"/>
      <c r="G220" s="307"/>
      <c r="H220" s="131">
        <v>13612</v>
      </c>
      <c r="I220" s="145"/>
      <c r="J220" s="307"/>
      <c r="K220" s="131">
        <v>6000</v>
      </c>
      <c r="L220" s="145"/>
      <c r="M220" s="307"/>
      <c r="N220" s="131"/>
      <c r="O220" s="145"/>
      <c r="P220" s="307"/>
    </row>
    <row r="221" spans="1:16" x14ac:dyDescent="0.2">
      <c r="A221" s="141" t="s">
        <v>3899</v>
      </c>
      <c r="B221" s="131">
        <v>17755</v>
      </c>
      <c r="C221" s="145"/>
      <c r="D221" s="307"/>
      <c r="E221" s="131">
        <v>17283</v>
      </c>
      <c r="F221" s="145">
        <v>60</v>
      </c>
      <c r="G221" s="307"/>
      <c r="H221" s="131">
        <v>17283</v>
      </c>
      <c r="I221" s="145">
        <v>60</v>
      </c>
      <c r="J221" s="307"/>
      <c r="K221" s="131">
        <v>471</v>
      </c>
      <c r="L221" s="145">
        <v>40</v>
      </c>
      <c r="M221" s="307"/>
      <c r="N221" s="131"/>
      <c r="O221" s="145"/>
      <c r="P221" s="307"/>
    </row>
    <row r="222" spans="1:16" x14ac:dyDescent="0.2">
      <c r="A222" s="141" t="s">
        <v>3900</v>
      </c>
      <c r="B222" s="131">
        <v>618</v>
      </c>
      <c r="C222" s="145">
        <v>70</v>
      </c>
      <c r="D222" s="307"/>
      <c r="E222" s="131">
        <v>614</v>
      </c>
      <c r="F222" s="145">
        <v>85</v>
      </c>
      <c r="G222" s="307"/>
      <c r="H222" s="131">
        <v>614</v>
      </c>
      <c r="I222" s="145">
        <v>85</v>
      </c>
      <c r="J222" s="307"/>
      <c r="K222" s="131">
        <v>3</v>
      </c>
      <c r="L222" s="145">
        <v>85</v>
      </c>
      <c r="M222" s="307"/>
      <c r="N222" s="131"/>
      <c r="O222" s="145"/>
      <c r="P222" s="307"/>
    </row>
    <row r="223" spans="1:16" x14ac:dyDescent="0.2">
      <c r="A223" s="141" t="s">
        <v>3901</v>
      </c>
      <c r="B223" s="131">
        <v>21638</v>
      </c>
      <c r="C223" s="145">
        <v>90</v>
      </c>
      <c r="D223" s="307"/>
      <c r="E223" s="131">
        <v>21091</v>
      </c>
      <c r="F223" s="145">
        <v>80</v>
      </c>
      <c r="G223" s="307"/>
      <c r="H223" s="131">
        <v>21091</v>
      </c>
      <c r="I223" s="145">
        <v>80</v>
      </c>
      <c r="J223" s="307"/>
      <c r="K223" s="131">
        <v>547</v>
      </c>
      <c r="L223" s="145">
        <v>10</v>
      </c>
      <c r="M223" s="307"/>
      <c r="N223" s="131"/>
      <c r="O223" s="145"/>
      <c r="P223" s="307"/>
    </row>
    <row r="224" spans="1:16" x14ac:dyDescent="0.2">
      <c r="A224" s="141" t="s">
        <v>3902</v>
      </c>
      <c r="B224" s="131">
        <v>1000</v>
      </c>
      <c r="C224" s="145"/>
      <c r="D224" s="307"/>
      <c r="E224" s="131">
        <v>110</v>
      </c>
      <c r="F224" s="145">
        <v>65</v>
      </c>
      <c r="G224" s="307"/>
      <c r="H224" s="131">
        <v>110</v>
      </c>
      <c r="I224" s="145">
        <v>65</v>
      </c>
      <c r="J224" s="307"/>
      <c r="K224" s="131">
        <v>889</v>
      </c>
      <c r="L224" s="145">
        <v>35</v>
      </c>
      <c r="M224" s="307"/>
      <c r="N224" s="131"/>
      <c r="O224" s="145"/>
      <c r="P224" s="307"/>
    </row>
    <row r="225" spans="1:16" x14ac:dyDescent="0.2">
      <c r="A225" s="141" t="s">
        <v>3903</v>
      </c>
      <c r="B225" s="131">
        <v>37027</v>
      </c>
      <c r="C225" s="145">
        <v>75</v>
      </c>
      <c r="D225" s="307"/>
      <c r="E225" s="131">
        <v>24508</v>
      </c>
      <c r="F225" s="145">
        <v>25</v>
      </c>
      <c r="G225" s="307"/>
      <c r="H225" s="131">
        <v>24508</v>
      </c>
      <c r="I225" s="145">
        <v>25</v>
      </c>
      <c r="J225" s="307"/>
      <c r="K225" s="131">
        <v>12519</v>
      </c>
      <c r="L225" s="145">
        <v>50</v>
      </c>
      <c r="M225" s="307"/>
      <c r="N225" s="131"/>
      <c r="O225" s="145"/>
      <c r="P225" s="307"/>
    </row>
    <row r="226" spans="1:16" x14ac:dyDescent="0.2">
      <c r="A226" s="141" t="s">
        <v>3904</v>
      </c>
      <c r="B226" s="131">
        <v>5136</v>
      </c>
      <c r="C226" s="145"/>
      <c r="D226" s="307"/>
      <c r="E226" s="131">
        <v>1154</v>
      </c>
      <c r="F226" s="145">
        <v>35</v>
      </c>
      <c r="G226" s="307"/>
      <c r="H226" s="131">
        <v>1154</v>
      </c>
      <c r="I226" s="145">
        <v>35</v>
      </c>
      <c r="J226" s="307"/>
      <c r="K226" s="131">
        <v>3981</v>
      </c>
      <c r="L226" s="145">
        <v>65</v>
      </c>
      <c r="M226" s="307"/>
      <c r="N226" s="131"/>
      <c r="O226" s="145"/>
      <c r="P226" s="307"/>
    </row>
    <row r="227" spans="1:16" x14ac:dyDescent="0.2">
      <c r="A227" s="141" t="s">
        <v>3905</v>
      </c>
      <c r="B227" s="131">
        <v>1000</v>
      </c>
      <c r="C227" s="145"/>
      <c r="D227" s="307"/>
      <c r="E227" s="131">
        <v>307</v>
      </c>
      <c r="F227" s="145">
        <v>50</v>
      </c>
      <c r="G227" s="307"/>
      <c r="H227" s="131">
        <v>307</v>
      </c>
      <c r="I227" s="145">
        <v>50</v>
      </c>
      <c r="J227" s="307"/>
      <c r="K227" s="131">
        <v>692</v>
      </c>
      <c r="L227" s="145">
        <v>50</v>
      </c>
      <c r="M227" s="307"/>
      <c r="N227" s="131"/>
      <c r="O227" s="145"/>
      <c r="P227" s="307"/>
    </row>
    <row r="228" spans="1:16" x14ac:dyDescent="0.2">
      <c r="A228" s="1114" t="s">
        <v>3906</v>
      </c>
      <c r="B228" s="240">
        <v>290872</v>
      </c>
      <c r="C228" s="318">
        <v>55</v>
      </c>
      <c r="D228" s="513"/>
      <c r="E228" s="240">
        <v>247823</v>
      </c>
      <c r="F228" s="318">
        <v>60</v>
      </c>
      <c r="G228" s="513"/>
      <c r="H228" s="240">
        <v>242481</v>
      </c>
      <c r="I228" s="318">
        <v>60</v>
      </c>
      <c r="J228" s="513"/>
      <c r="K228" s="240">
        <v>43048</v>
      </c>
      <c r="L228" s="318">
        <v>95</v>
      </c>
      <c r="M228" s="513"/>
      <c r="N228" s="240">
        <v>5342</v>
      </c>
      <c r="O228" s="318"/>
      <c r="P228" s="513"/>
    </row>
    <row r="229" spans="1:16" x14ac:dyDescent="0.2">
      <c r="A229" s="1114"/>
      <c r="B229" s="246">
        <f>+SUM(B215:B227)</f>
        <v>290869</v>
      </c>
      <c r="C229" s="246">
        <f t="shared" ref="C229:P229" si="4">+SUM(C215:C227)</f>
        <v>355</v>
      </c>
      <c r="D229" s="246">
        <f t="shared" si="4"/>
        <v>0</v>
      </c>
      <c r="E229" s="246">
        <f t="shared" si="4"/>
        <v>247819</v>
      </c>
      <c r="F229" s="246">
        <f t="shared" si="4"/>
        <v>460</v>
      </c>
      <c r="G229" s="246">
        <f t="shared" si="4"/>
        <v>0</v>
      </c>
      <c r="H229" s="246">
        <f t="shared" si="4"/>
        <v>242477</v>
      </c>
      <c r="I229" s="246">
        <f t="shared" si="4"/>
        <v>460</v>
      </c>
      <c r="J229" s="246">
        <f t="shared" si="4"/>
        <v>0</v>
      </c>
      <c r="K229" s="246">
        <f t="shared" si="4"/>
        <v>43043</v>
      </c>
      <c r="L229" s="246">
        <f t="shared" si="4"/>
        <v>595</v>
      </c>
      <c r="M229" s="246">
        <f t="shared" si="4"/>
        <v>0</v>
      </c>
      <c r="N229" s="246">
        <f t="shared" si="4"/>
        <v>5342</v>
      </c>
      <c r="O229" s="246">
        <f t="shared" si="4"/>
        <v>0</v>
      </c>
      <c r="P229" s="246">
        <f t="shared" si="4"/>
        <v>0</v>
      </c>
    </row>
    <row r="230" spans="1:16" ht="23.5" customHeight="1" x14ac:dyDescent="0.2">
      <c r="A230" s="838" t="s">
        <v>2808</v>
      </c>
      <c r="B230" s="838"/>
      <c r="C230" s="838"/>
      <c r="D230" s="838"/>
      <c r="E230" s="838"/>
      <c r="F230" s="838"/>
      <c r="G230" s="838"/>
      <c r="H230" s="838"/>
      <c r="I230" s="838"/>
      <c r="J230" s="838"/>
      <c r="K230" s="838"/>
      <c r="L230" s="838"/>
      <c r="M230" s="838"/>
      <c r="N230" s="838"/>
      <c r="O230" s="838"/>
      <c r="P230" s="838"/>
    </row>
    <row r="231" spans="1:16" ht="22.25" customHeight="1" x14ac:dyDescent="0.2">
      <c r="A231" s="751" t="s">
        <v>3887</v>
      </c>
      <c r="B231" s="977" t="s">
        <v>3888</v>
      </c>
      <c r="C231" s="977"/>
      <c r="D231" s="977"/>
      <c r="E231" s="977" t="s">
        <v>3889</v>
      </c>
      <c r="F231" s="977"/>
      <c r="G231" s="977"/>
      <c r="H231" s="977" t="s">
        <v>3890</v>
      </c>
      <c r="I231" s="977"/>
      <c r="J231" s="977"/>
      <c r="K231" s="977" t="s">
        <v>3891</v>
      </c>
      <c r="L231" s="977"/>
      <c r="M231" s="977"/>
      <c r="N231" s="977" t="s">
        <v>3892</v>
      </c>
      <c r="O231" s="977"/>
      <c r="P231" s="977"/>
    </row>
    <row r="232" spans="1:16" x14ac:dyDescent="0.2">
      <c r="A232" s="107" t="s">
        <v>3907</v>
      </c>
      <c r="B232" s="349">
        <v>17240</v>
      </c>
      <c r="C232" s="350"/>
      <c r="D232" s="717"/>
      <c r="E232" s="349">
        <v>16227</v>
      </c>
      <c r="F232" s="350">
        <v>40</v>
      </c>
      <c r="G232" s="717"/>
      <c r="H232" s="349">
        <v>16227</v>
      </c>
      <c r="I232" s="350">
        <v>40</v>
      </c>
      <c r="J232" s="717"/>
      <c r="K232" s="349">
        <v>1012</v>
      </c>
      <c r="L232" s="350">
        <v>60</v>
      </c>
      <c r="M232" s="717"/>
      <c r="N232" s="349"/>
      <c r="O232" s="350"/>
      <c r="P232" s="717"/>
    </row>
    <row r="233" spans="1:16" x14ac:dyDescent="0.2">
      <c r="A233" s="107" t="s">
        <v>3908</v>
      </c>
      <c r="B233" s="131">
        <v>300</v>
      </c>
      <c r="C233" s="145"/>
      <c r="D233" s="307"/>
      <c r="E233" s="131">
        <v>300</v>
      </c>
      <c r="F233" s="145"/>
      <c r="G233" s="307"/>
      <c r="H233" s="131">
        <v>300</v>
      </c>
      <c r="I233" s="145"/>
      <c r="J233" s="307"/>
      <c r="K233" s="131"/>
      <c r="L233" s="145"/>
      <c r="M233" s="307"/>
      <c r="N233" s="131"/>
      <c r="O233" s="145"/>
      <c r="P233" s="307"/>
    </row>
    <row r="234" spans="1:16" x14ac:dyDescent="0.2">
      <c r="A234" s="107" t="s">
        <v>3909</v>
      </c>
      <c r="B234" s="131">
        <v>6192</v>
      </c>
      <c r="C234" s="145"/>
      <c r="D234" s="307"/>
      <c r="E234" s="131">
        <v>4888</v>
      </c>
      <c r="F234" s="145">
        <v>35</v>
      </c>
      <c r="G234" s="307"/>
      <c r="H234" s="131">
        <v>4888</v>
      </c>
      <c r="I234" s="145">
        <v>35</v>
      </c>
      <c r="J234" s="307"/>
      <c r="K234" s="131">
        <v>1303</v>
      </c>
      <c r="L234" s="145">
        <v>65</v>
      </c>
      <c r="M234" s="307"/>
      <c r="N234" s="131"/>
      <c r="O234" s="145"/>
      <c r="P234" s="307"/>
    </row>
    <row r="235" spans="1:16" x14ac:dyDescent="0.2">
      <c r="A235" s="141" t="s">
        <v>3910</v>
      </c>
      <c r="B235" s="131">
        <v>100</v>
      </c>
      <c r="C235" s="145"/>
      <c r="D235" s="307"/>
      <c r="E235" s="131">
        <v>100</v>
      </c>
      <c r="F235" s="145"/>
      <c r="G235" s="307"/>
      <c r="H235" s="131">
        <v>100</v>
      </c>
      <c r="I235" s="145"/>
      <c r="J235" s="307"/>
      <c r="K235" s="131"/>
      <c r="L235" s="145"/>
      <c r="M235" s="307"/>
      <c r="N235" s="131"/>
      <c r="O235" s="145"/>
      <c r="P235" s="307"/>
    </row>
    <row r="236" spans="1:16" x14ac:dyDescent="0.2">
      <c r="A236" s="141" t="s">
        <v>3911</v>
      </c>
      <c r="B236" s="131">
        <v>3018</v>
      </c>
      <c r="C236" s="145">
        <v>60</v>
      </c>
      <c r="D236" s="307"/>
      <c r="E236" s="131">
        <v>120</v>
      </c>
      <c r="F236" s="145"/>
      <c r="G236" s="307"/>
      <c r="H236" s="131">
        <v>120</v>
      </c>
      <c r="I236" s="145"/>
      <c r="J236" s="307"/>
      <c r="K236" s="131">
        <v>2898</v>
      </c>
      <c r="L236" s="145">
        <v>60</v>
      </c>
      <c r="M236" s="307"/>
      <c r="N236" s="131"/>
      <c r="O236" s="145"/>
      <c r="P236" s="307"/>
    </row>
    <row r="237" spans="1:16" x14ac:dyDescent="0.2">
      <c r="A237" s="141" t="s">
        <v>3912</v>
      </c>
      <c r="B237" s="131">
        <v>1000</v>
      </c>
      <c r="C237" s="145"/>
      <c r="D237" s="307"/>
      <c r="E237" s="131">
        <v>54</v>
      </c>
      <c r="F237" s="145">
        <v>60</v>
      </c>
      <c r="G237" s="307"/>
      <c r="H237" s="131">
        <v>54</v>
      </c>
      <c r="I237" s="145">
        <v>60</v>
      </c>
      <c r="J237" s="307"/>
      <c r="K237" s="131">
        <v>945</v>
      </c>
      <c r="L237" s="145">
        <v>40</v>
      </c>
      <c r="M237" s="307"/>
      <c r="N237" s="131"/>
      <c r="O237" s="145"/>
      <c r="P237" s="307"/>
    </row>
    <row r="238" spans="1:16" x14ac:dyDescent="0.2">
      <c r="A238" s="1114" t="s">
        <v>3906</v>
      </c>
      <c r="B238" s="240">
        <v>27850</v>
      </c>
      <c r="C238" s="318">
        <v>60</v>
      </c>
      <c r="D238" s="513"/>
      <c r="E238" s="240">
        <v>21690</v>
      </c>
      <c r="F238" s="318">
        <v>35</v>
      </c>
      <c r="G238" s="513"/>
      <c r="H238" s="240">
        <v>21690</v>
      </c>
      <c r="I238" s="318">
        <v>35</v>
      </c>
      <c r="J238" s="513"/>
      <c r="K238" s="240">
        <v>6160</v>
      </c>
      <c r="L238" s="318">
        <v>25</v>
      </c>
      <c r="M238" s="513"/>
      <c r="N238" s="240"/>
      <c r="O238" s="318"/>
      <c r="P238" s="513"/>
    </row>
    <row r="239" spans="1:16" x14ac:dyDescent="0.2">
      <c r="A239" s="1114"/>
      <c r="B239" s="246">
        <f>+SUM(B232:B237)</f>
        <v>27850</v>
      </c>
      <c r="C239" s="246">
        <f t="shared" ref="C239:P239" si="5">+SUM(C232:C237)</f>
        <v>60</v>
      </c>
      <c r="D239" s="246">
        <f t="shared" si="5"/>
        <v>0</v>
      </c>
      <c r="E239" s="246">
        <f t="shared" si="5"/>
        <v>21689</v>
      </c>
      <c r="F239" s="246">
        <f t="shared" si="5"/>
        <v>135</v>
      </c>
      <c r="G239" s="246">
        <f t="shared" si="5"/>
        <v>0</v>
      </c>
      <c r="H239" s="246">
        <f t="shared" si="5"/>
        <v>21689</v>
      </c>
      <c r="I239" s="246">
        <f t="shared" si="5"/>
        <v>135</v>
      </c>
      <c r="J239" s="246">
        <f t="shared" si="5"/>
        <v>0</v>
      </c>
      <c r="K239" s="246">
        <f t="shared" si="5"/>
        <v>6158</v>
      </c>
      <c r="L239" s="246">
        <f t="shared" si="5"/>
        <v>225</v>
      </c>
      <c r="M239" s="246">
        <f t="shared" si="5"/>
        <v>0</v>
      </c>
      <c r="N239" s="246">
        <f t="shared" si="5"/>
        <v>0</v>
      </c>
      <c r="O239" s="246">
        <f t="shared" si="5"/>
        <v>0</v>
      </c>
      <c r="P239" s="246">
        <f t="shared" si="5"/>
        <v>0</v>
      </c>
    </row>
    <row r="240" spans="1:16" ht="23.5" customHeight="1" x14ac:dyDescent="0.2">
      <c r="A240" s="838" t="s">
        <v>2805</v>
      </c>
      <c r="B240" s="838"/>
      <c r="C240" s="838"/>
      <c r="D240" s="838"/>
      <c r="E240" s="838"/>
      <c r="F240" s="838"/>
      <c r="G240" s="838"/>
      <c r="H240" s="838"/>
      <c r="I240" s="838"/>
      <c r="J240" s="838"/>
      <c r="K240" s="838"/>
      <c r="L240" s="838"/>
      <c r="M240" s="838"/>
      <c r="N240" s="838"/>
      <c r="O240" s="838"/>
      <c r="P240" s="838"/>
    </row>
    <row r="241" spans="1:16" ht="25.25" customHeight="1" x14ac:dyDescent="0.2">
      <c r="A241" s="751" t="s">
        <v>3887</v>
      </c>
      <c r="B241" s="977" t="s">
        <v>3888</v>
      </c>
      <c r="C241" s="977"/>
      <c r="D241" s="977"/>
      <c r="E241" s="977" t="s">
        <v>3889</v>
      </c>
      <c r="F241" s="977"/>
      <c r="G241" s="977"/>
      <c r="H241" s="977" t="s">
        <v>3890</v>
      </c>
      <c r="I241" s="977"/>
      <c r="J241" s="977"/>
      <c r="K241" s="977" t="s">
        <v>3891</v>
      </c>
      <c r="L241" s="977"/>
      <c r="M241" s="977"/>
      <c r="N241" s="977" t="s">
        <v>3892</v>
      </c>
      <c r="O241" s="977"/>
      <c r="P241" s="977"/>
    </row>
    <row r="242" spans="1:16" x14ac:dyDescent="0.2">
      <c r="A242" s="107" t="s">
        <v>3913</v>
      </c>
      <c r="B242" s="349">
        <v>40000</v>
      </c>
      <c r="C242" s="350"/>
      <c r="D242" s="717"/>
      <c r="E242" s="349">
        <v>24938</v>
      </c>
      <c r="F242" s="350">
        <v>5</v>
      </c>
      <c r="G242" s="717"/>
      <c r="H242" s="349">
        <v>24938</v>
      </c>
      <c r="I242" s="350">
        <v>5</v>
      </c>
      <c r="J242" s="717"/>
      <c r="K242" s="349">
        <v>15061</v>
      </c>
      <c r="L242" s="350">
        <v>95</v>
      </c>
      <c r="M242" s="717"/>
      <c r="N242" s="349"/>
      <c r="O242" s="350"/>
      <c r="P242" s="717"/>
    </row>
    <row r="243" spans="1:16" x14ac:dyDescent="0.2">
      <c r="A243" s="107" t="s">
        <v>3914</v>
      </c>
      <c r="B243" s="131">
        <v>30489</v>
      </c>
      <c r="C243" s="145">
        <v>60</v>
      </c>
      <c r="D243" s="307"/>
      <c r="E243" s="131">
        <v>30201</v>
      </c>
      <c r="F243" s="145">
        <v>60</v>
      </c>
      <c r="G243" s="307"/>
      <c r="H243" s="131">
        <v>30201</v>
      </c>
      <c r="I243" s="145">
        <v>60</v>
      </c>
      <c r="J243" s="307"/>
      <c r="K243" s="131">
        <v>288</v>
      </c>
      <c r="L243" s="145"/>
      <c r="M243" s="307"/>
      <c r="N243" s="131"/>
      <c r="O243" s="145"/>
      <c r="P243" s="307"/>
    </row>
    <row r="244" spans="1:16" x14ac:dyDescent="0.2">
      <c r="A244" s="107" t="s">
        <v>3915</v>
      </c>
      <c r="B244" s="131">
        <v>500</v>
      </c>
      <c r="C244" s="145"/>
      <c r="D244" s="307"/>
      <c r="E244" s="131"/>
      <c r="F244" s="145"/>
      <c r="G244" s="307"/>
      <c r="H244" s="131"/>
      <c r="I244" s="145"/>
      <c r="J244" s="307"/>
      <c r="K244" s="131">
        <v>500</v>
      </c>
      <c r="L244" s="145"/>
      <c r="M244" s="307"/>
      <c r="N244" s="131"/>
      <c r="O244" s="145"/>
      <c r="P244" s="307"/>
    </row>
    <row r="245" spans="1:16" x14ac:dyDescent="0.2">
      <c r="A245" s="141" t="s">
        <v>3916</v>
      </c>
      <c r="B245" s="131">
        <v>1000</v>
      </c>
      <c r="C245" s="145"/>
      <c r="D245" s="307"/>
      <c r="E245" s="131">
        <v>306</v>
      </c>
      <c r="F245" s="145">
        <v>90</v>
      </c>
      <c r="G245" s="307"/>
      <c r="H245" s="131">
        <v>306</v>
      </c>
      <c r="I245" s="145">
        <v>90</v>
      </c>
      <c r="J245" s="307"/>
      <c r="K245" s="131">
        <v>693</v>
      </c>
      <c r="L245" s="145">
        <v>10</v>
      </c>
      <c r="M245" s="307"/>
      <c r="N245" s="131"/>
      <c r="O245" s="145"/>
      <c r="P245" s="307"/>
    </row>
    <row r="246" spans="1:16" x14ac:dyDescent="0.2">
      <c r="A246" s="1114" t="s">
        <v>3906</v>
      </c>
      <c r="B246" s="240">
        <v>71989</v>
      </c>
      <c r="C246" s="318">
        <v>60</v>
      </c>
      <c r="D246" s="513"/>
      <c r="E246" s="240">
        <v>55446</v>
      </c>
      <c r="F246" s="318">
        <v>55</v>
      </c>
      <c r="G246" s="513"/>
      <c r="H246" s="240">
        <v>55446</v>
      </c>
      <c r="I246" s="318">
        <v>55</v>
      </c>
      <c r="J246" s="513"/>
      <c r="K246" s="240">
        <v>16543</v>
      </c>
      <c r="L246" s="318">
        <v>5</v>
      </c>
      <c r="M246" s="513"/>
      <c r="N246" s="240"/>
      <c r="O246" s="318"/>
      <c r="P246" s="513"/>
    </row>
    <row r="247" spans="1:16" x14ac:dyDescent="0.2">
      <c r="A247" s="1114"/>
      <c r="B247" s="246">
        <f>+SUM(B242:B245)</f>
        <v>71989</v>
      </c>
      <c r="C247" s="246">
        <f t="shared" ref="C247:P247" si="6">+SUM(C242:C245)</f>
        <v>60</v>
      </c>
      <c r="D247" s="246">
        <f t="shared" si="6"/>
        <v>0</v>
      </c>
      <c r="E247" s="246">
        <f t="shared" si="6"/>
        <v>55445</v>
      </c>
      <c r="F247" s="246">
        <f t="shared" si="6"/>
        <v>155</v>
      </c>
      <c r="G247" s="246">
        <f t="shared" si="6"/>
        <v>0</v>
      </c>
      <c r="H247" s="246">
        <f t="shared" si="6"/>
        <v>55445</v>
      </c>
      <c r="I247" s="246">
        <f t="shared" si="6"/>
        <v>155</v>
      </c>
      <c r="J247" s="246">
        <f t="shared" si="6"/>
        <v>0</v>
      </c>
      <c r="K247" s="246">
        <f t="shared" si="6"/>
        <v>16542</v>
      </c>
      <c r="L247" s="246">
        <f t="shared" si="6"/>
        <v>105</v>
      </c>
      <c r="M247" s="246">
        <f t="shared" si="6"/>
        <v>0</v>
      </c>
      <c r="N247" s="246">
        <f t="shared" si="6"/>
        <v>0</v>
      </c>
      <c r="O247" s="246">
        <f t="shared" si="6"/>
        <v>0</v>
      </c>
      <c r="P247" s="246">
        <f t="shared" si="6"/>
        <v>0</v>
      </c>
    </row>
    <row r="248" spans="1:16" ht="24" customHeight="1" x14ac:dyDescent="0.2">
      <c r="A248" s="838" t="s">
        <v>2811</v>
      </c>
      <c r="B248" s="838"/>
      <c r="C248" s="838"/>
      <c r="D248" s="838"/>
      <c r="E248" s="838"/>
      <c r="F248" s="838"/>
      <c r="G248" s="838"/>
      <c r="H248" s="838"/>
      <c r="I248" s="838"/>
      <c r="J248" s="838"/>
      <c r="K248" s="838"/>
      <c r="L248" s="838"/>
      <c r="M248" s="838"/>
      <c r="N248" s="838"/>
      <c r="O248" s="838"/>
      <c r="P248" s="838"/>
    </row>
    <row r="249" spans="1:16" ht="24" customHeight="1" x14ac:dyDescent="0.2">
      <c r="A249" s="751" t="s">
        <v>3887</v>
      </c>
      <c r="B249" s="977" t="s">
        <v>3888</v>
      </c>
      <c r="C249" s="977"/>
      <c r="D249" s="977"/>
      <c r="E249" s="977" t="s">
        <v>3889</v>
      </c>
      <c r="F249" s="977"/>
      <c r="G249" s="977"/>
      <c r="H249" s="977" t="s">
        <v>3890</v>
      </c>
      <c r="I249" s="977"/>
      <c r="J249" s="977"/>
      <c r="K249" s="977" t="s">
        <v>3891</v>
      </c>
      <c r="L249" s="977"/>
      <c r="M249" s="977"/>
      <c r="N249" s="977" t="s">
        <v>3892</v>
      </c>
      <c r="O249" s="977"/>
      <c r="P249" s="977"/>
    </row>
    <row r="250" spans="1:16" x14ac:dyDescent="0.2">
      <c r="A250" s="107" t="s">
        <v>3917</v>
      </c>
      <c r="B250" s="349">
        <v>106187</v>
      </c>
      <c r="C250" s="350">
        <v>15</v>
      </c>
      <c r="D250" s="717"/>
      <c r="E250" s="349">
        <v>41302</v>
      </c>
      <c r="F250" s="350">
        <v>35</v>
      </c>
      <c r="G250" s="717"/>
      <c r="H250" s="349">
        <v>41302</v>
      </c>
      <c r="I250" s="350">
        <v>35</v>
      </c>
      <c r="J250" s="717"/>
      <c r="K250" s="349">
        <v>64884</v>
      </c>
      <c r="L250" s="350">
        <v>80</v>
      </c>
      <c r="M250" s="717"/>
      <c r="N250" s="349"/>
      <c r="O250" s="350"/>
      <c r="P250" s="717"/>
    </row>
    <row r="251" spans="1:16" x14ac:dyDescent="0.2">
      <c r="A251" s="107" t="s">
        <v>3918</v>
      </c>
      <c r="B251" s="131">
        <v>213260</v>
      </c>
      <c r="C251" s="145">
        <v>35</v>
      </c>
      <c r="D251" s="307"/>
      <c r="E251" s="131">
        <v>96049</v>
      </c>
      <c r="F251" s="145">
        <v>40</v>
      </c>
      <c r="G251" s="307"/>
      <c r="H251" s="131">
        <v>95836</v>
      </c>
      <c r="I251" s="145">
        <v>20</v>
      </c>
      <c r="J251" s="307"/>
      <c r="K251" s="131">
        <v>117210</v>
      </c>
      <c r="L251" s="145">
        <v>95</v>
      </c>
      <c r="M251" s="307"/>
      <c r="N251" s="131">
        <v>213</v>
      </c>
      <c r="O251" s="145">
        <v>20</v>
      </c>
      <c r="P251" s="307"/>
    </row>
    <row r="252" spans="1:16" x14ac:dyDescent="0.2">
      <c r="A252" s="107" t="s">
        <v>3915</v>
      </c>
      <c r="B252" s="131">
        <v>61396</v>
      </c>
      <c r="C252" s="145">
        <v>67</v>
      </c>
      <c r="D252" s="133">
        <v>0.5</v>
      </c>
      <c r="E252" s="131">
        <v>18196</v>
      </c>
      <c r="F252" s="145">
        <v>20</v>
      </c>
      <c r="G252" s="307"/>
      <c r="H252" s="131">
        <v>18196</v>
      </c>
      <c r="I252" s="145">
        <v>20</v>
      </c>
      <c r="J252" s="307"/>
      <c r="K252" s="131">
        <v>43200</v>
      </c>
      <c r="L252" s="145">
        <v>47</v>
      </c>
      <c r="M252" s="307"/>
      <c r="N252" s="131"/>
      <c r="O252" s="145"/>
      <c r="P252" s="307"/>
    </row>
    <row r="253" spans="1:16" x14ac:dyDescent="0.2">
      <c r="A253" s="1114" t="s">
        <v>3906</v>
      </c>
      <c r="B253" s="240">
        <v>380844</v>
      </c>
      <c r="C253" s="318">
        <v>17</v>
      </c>
      <c r="D253" s="241">
        <v>0.5</v>
      </c>
      <c r="E253" s="240">
        <v>155547</v>
      </c>
      <c r="F253" s="318">
        <v>95</v>
      </c>
      <c r="G253" s="513"/>
      <c r="H253" s="240">
        <v>155334</v>
      </c>
      <c r="I253" s="318">
        <v>75</v>
      </c>
      <c r="J253" s="513"/>
      <c r="K253" s="240">
        <v>225296</v>
      </c>
      <c r="L253" s="318">
        <v>22</v>
      </c>
      <c r="M253" s="513"/>
      <c r="N253" s="240">
        <v>213</v>
      </c>
      <c r="O253" s="318">
        <v>20</v>
      </c>
      <c r="P253" s="513"/>
    </row>
    <row r="254" spans="1:16" x14ac:dyDescent="0.2">
      <c r="A254" s="1114"/>
      <c r="B254" s="246">
        <f>+SUM(B250:B252)</f>
        <v>380843</v>
      </c>
      <c r="C254" s="246">
        <f t="shared" ref="C254:P254" si="7">+SUM(C250:C252)</f>
        <v>117</v>
      </c>
      <c r="D254" s="1115">
        <f t="shared" si="7"/>
        <v>0.5</v>
      </c>
      <c r="E254" s="246">
        <f t="shared" si="7"/>
        <v>155547</v>
      </c>
      <c r="F254" s="246">
        <f t="shared" si="7"/>
        <v>95</v>
      </c>
      <c r="G254" s="246">
        <f t="shared" si="7"/>
        <v>0</v>
      </c>
      <c r="H254" s="246">
        <f t="shared" si="7"/>
        <v>155334</v>
      </c>
      <c r="I254" s="246">
        <f t="shared" si="7"/>
        <v>75</v>
      </c>
      <c r="J254" s="246">
        <f t="shared" si="7"/>
        <v>0</v>
      </c>
      <c r="K254" s="246">
        <f t="shared" si="7"/>
        <v>225294</v>
      </c>
      <c r="L254" s="246">
        <f t="shared" si="7"/>
        <v>222</v>
      </c>
      <c r="M254" s="246">
        <f t="shared" si="7"/>
        <v>0</v>
      </c>
      <c r="N254" s="246">
        <f t="shared" si="7"/>
        <v>213</v>
      </c>
      <c r="O254" s="246">
        <f t="shared" si="7"/>
        <v>20</v>
      </c>
      <c r="P254" s="246">
        <f t="shared" si="7"/>
        <v>0</v>
      </c>
    </row>
    <row r="255" spans="1:16" ht="25.25" customHeight="1" x14ac:dyDescent="0.2">
      <c r="A255" s="838" t="s">
        <v>2813</v>
      </c>
      <c r="B255" s="838"/>
      <c r="C255" s="838"/>
      <c r="D255" s="838"/>
      <c r="E255" s="838"/>
      <c r="F255" s="838"/>
      <c r="G255" s="838"/>
      <c r="H255" s="838"/>
      <c r="I255" s="838"/>
      <c r="J255" s="838"/>
      <c r="K255" s="838"/>
      <c r="L255" s="838"/>
      <c r="M255" s="838"/>
      <c r="N255" s="838"/>
      <c r="O255" s="838"/>
      <c r="P255" s="838"/>
    </row>
    <row r="256" spans="1:16" ht="26.5" customHeight="1" x14ac:dyDescent="0.2">
      <c r="A256" s="751" t="s">
        <v>3887</v>
      </c>
      <c r="B256" s="977" t="s">
        <v>3888</v>
      </c>
      <c r="C256" s="977"/>
      <c r="D256" s="977"/>
      <c r="E256" s="977" t="s">
        <v>3889</v>
      </c>
      <c r="F256" s="977"/>
      <c r="G256" s="977"/>
      <c r="H256" s="977" t="s">
        <v>3890</v>
      </c>
      <c r="I256" s="977"/>
      <c r="J256" s="977"/>
      <c r="K256" s="977" t="s">
        <v>3891</v>
      </c>
      <c r="L256" s="977"/>
      <c r="M256" s="977"/>
      <c r="N256" s="977" t="s">
        <v>3892</v>
      </c>
      <c r="O256" s="977"/>
      <c r="P256" s="977"/>
    </row>
    <row r="257" spans="1:16" x14ac:dyDescent="0.2">
      <c r="A257" s="107" t="s">
        <v>3919</v>
      </c>
      <c r="B257" s="349">
        <v>292854</v>
      </c>
      <c r="C257" s="350">
        <v>20</v>
      </c>
      <c r="D257" s="717"/>
      <c r="E257" s="349">
        <v>85480</v>
      </c>
      <c r="F257" s="350">
        <v>90</v>
      </c>
      <c r="G257" s="717"/>
      <c r="H257" s="349">
        <v>77750</v>
      </c>
      <c r="I257" s="350">
        <v>90</v>
      </c>
      <c r="J257" s="717"/>
      <c r="K257" s="349">
        <v>207373</v>
      </c>
      <c r="L257" s="350">
        <v>30</v>
      </c>
      <c r="M257" s="717"/>
      <c r="N257" s="349">
        <v>7730</v>
      </c>
      <c r="O257" s="350"/>
      <c r="P257" s="717"/>
    </row>
    <row r="258" spans="1:16" x14ac:dyDescent="0.2">
      <c r="A258" s="1114" t="s">
        <v>3920</v>
      </c>
      <c r="B258" s="349">
        <v>292854</v>
      </c>
      <c r="C258" s="350">
        <v>20</v>
      </c>
      <c r="D258" s="717"/>
      <c r="E258" s="349">
        <v>85480</v>
      </c>
      <c r="F258" s="350">
        <v>90</v>
      </c>
      <c r="G258" s="717"/>
      <c r="H258" s="349">
        <v>77750</v>
      </c>
      <c r="I258" s="350">
        <v>90</v>
      </c>
      <c r="J258" s="717"/>
      <c r="K258" s="349">
        <v>207373</v>
      </c>
      <c r="L258" s="350">
        <v>30</v>
      </c>
      <c r="M258" s="717"/>
      <c r="N258" s="349">
        <v>7730</v>
      </c>
      <c r="O258" s="350"/>
      <c r="P258" s="513"/>
    </row>
    <row r="259" spans="1:16" ht="29.5" customHeight="1" x14ac:dyDescent="0.2">
      <c r="A259" s="838" t="s">
        <v>3921</v>
      </c>
      <c r="B259" s="838"/>
      <c r="C259" s="838"/>
      <c r="D259" s="838"/>
      <c r="E259" s="838"/>
      <c r="F259" s="838"/>
      <c r="G259" s="838"/>
      <c r="H259" s="838"/>
      <c r="I259" s="838"/>
      <c r="J259" s="838"/>
      <c r="K259" s="838"/>
      <c r="L259" s="838"/>
      <c r="M259" s="838"/>
      <c r="N259" s="838"/>
      <c r="O259" s="838"/>
      <c r="P259" s="838"/>
    </row>
    <row r="260" spans="1:16" ht="26.5" customHeight="1" x14ac:dyDescent="0.2">
      <c r="A260" s="751" t="s">
        <v>3887</v>
      </c>
      <c r="B260" s="977" t="s">
        <v>3888</v>
      </c>
      <c r="C260" s="977"/>
      <c r="D260" s="977"/>
      <c r="E260" s="977" t="s">
        <v>3889</v>
      </c>
      <c r="F260" s="977"/>
      <c r="G260" s="977"/>
      <c r="H260" s="977" t="s">
        <v>3890</v>
      </c>
      <c r="I260" s="977"/>
      <c r="J260" s="977"/>
      <c r="K260" s="977" t="s">
        <v>3891</v>
      </c>
      <c r="L260" s="977"/>
      <c r="M260" s="977"/>
      <c r="N260" s="977" t="s">
        <v>3892</v>
      </c>
      <c r="O260" s="977"/>
      <c r="P260" s="977"/>
    </row>
    <row r="261" spans="1:16" x14ac:dyDescent="0.2">
      <c r="A261" s="107" t="s">
        <v>3922</v>
      </c>
      <c r="B261" s="349">
        <v>22901</v>
      </c>
      <c r="C261" s="350">
        <v>45</v>
      </c>
      <c r="D261" s="717"/>
      <c r="E261" s="349">
        <v>22779</v>
      </c>
      <c r="F261" s="350">
        <v>25</v>
      </c>
      <c r="G261" s="717"/>
      <c r="H261" s="349">
        <v>22763</v>
      </c>
      <c r="I261" s="350"/>
      <c r="J261" s="717"/>
      <c r="K261" s="349">
        <v>122</v>
      </c>
      <c r="L261" s="350">
        <v>20</v>
      </c>
      <c r="M261" s="717"/>
      <c r="N261" s="349">
        <v>16</v>
      </c>
      <c r="O261" s="350">
        <v>25</v>
      </c>
      <c r="P261" s="717"/>
    </row>
    <row r="262" spans="1:16" x14ac:dyDescent="0.2">
      <c r="A262" s="107" t="s">
        <v>3923</v>
      </c>
      <c r="B262" s="131">
        <v>400</v>
      </c>
      <c r="C262" s="145"/>
      <c r="D262" s="307"/>
      <c r="E262" s="131">
        <v>399</v>
      </c>
      <c r="F262" s="145">
        <v>90</v>
      </c>
      <c r="G262" s="307"/>
      <c r="H262" s="131">
        <v>399</v>
      </c>
      <c r="I262" s="145">
        <v>90</v>
      </c>
      <c r="J262" s="307"/>
      <c r="K262" s="131"/>
      <c r="L262" s="145">
        <v>10</v>
      </c>
      <c r="M262" s="307"/>
      <c r="N262" s="131"/>
      <c r="O262" s="145"/>
      <c r="P262" s="307"/>
    </row>
    <row r="263" spans="1:16" x14ac:dyDescent="0.2">
      <c r="A263" s="107" t="s">
        <v>3924</v>
      </c>
      <c r="B263" s="131">
        <v>629408</v>
      </c>
      <c r="C263" s="145"/>
      <c r="D263" s="307"/>
      <c r="E263" s="131">
        <v>567441</v>
      </c>
      <c r="F263" s="145">
        <v>90</v>
      </c>
      <c r="G263" s="307"/>
      <c r="H263" s="131">
        <v>567441</v>
      </c>
      <c r="I263" s="145">
        <v>90</v>
      </c>
      <c r="J263" s="307"/>
      <c r="K263" s="131">
        <v>61966</v>
      </c>
      <c r="L263" s="145">
        <v>10</v>
      </c>
      <c r="M263" s="307"/>
      <c r="N263" s="131"/>
      <c r="O263" s="145"/>
      <c r="P263" s="307"/>
    </row>
    <row r="264" spans="1:16" x14ac:dyDescent="0.2">
      <c r="A264" s="141" t="s">
        <v>3925</v>
      </c>
      <c r="B264" s="131">
        <v>317701</v>
      </c>
      <c r="C264" s="145">
        <v>47</v>
      </c>
      <c r="D264" s="307"/>
      <c r="E264" s="131">
        <v>134471</v>
      </c>
      <c r="F264" s="145">
        <v>15</v>
      </c>
      <c r="G264" s="307"/>
      <c r="H264" s="131">
        <v>134471</v>
      </c>
      <c r="I264" s="145">
        <v>15</v>
      </c>
      <c r="J264" s="307"/>
      <c r="K264" s="131">
        <v>183230</v>
      </c>
      <c r="L264" s="145">
        <v>32</v>
      </c>
      <c r="M264" s="307"/>
      <c r="N264" s="131"/>
      <c r="O264" s="145"/>
      <c r="P264" s="307"/>
    </row>
    <row r="265" spans="1:16" x14ac:dyDescent="0.2">
      <c r="A265" s="141" t="s">
        <v>3926</v>
      </c>
      <c r="B265" s="131">
        <v>50000</v>
      </c>
      <c r="C265" s="145"/>
      <c r="D265" s="307"/>
      <c r="E265" s="131">
        <v>24834</v>
      </c>
      <c r="F265" s="145">
        <v>15</v>
      </c>
      <c r="G265" s="307"/>
      <c r="H265" s="131">
        <v>24834</v>
      </c>
      <c r="I265" s="145">
        <v>15</v>
      </c>
      <c r="J265" s="307"/>
      <c r="K265" s="131">
        <v>25165</v>
      </c>
      <c r="L265" s="145">
        <v>85</v>
      </c>
      <c r="M265" s="307"/>
      <c r="N265" s="131"/>
      <c r="O265" s="145"/>
      <c r="P265" s="307"/>
    </row>
    <row r="266" spans="1:16" x14ac:dyDescent="0.2">
      <c r="A266" s="141" t="s">
        <v>3927</v>
      </c>
      <c r="B266" s="131">
        <v>5500</v>
      </c>
      <c r="C266" s="145"/>
      <c r="D266" s="133"/>
      <c r="E266" s="131">
        <v>3497</v>
      </c>
      <c r="F266" s="145">
        <v>90</v>
      </c>
      <c r="G266" s="307"/>
      <c r="H266" s="131">
        <v>3497</v>
      </c>
      <c r="I266" s="145">
        <v>90</v>
      </c>
      <c r="J266" s="307"/>
      <c r="K266" s="131">
        <v>2002</v>
      </c>
      <c r="L266" s="145">
        <v>10</v>
      </c>
      <c r="M266" s="133"/>
      <c r="N266" s="131"/>
      <c r="O266" s="145"/>
      <c r="P266" s="307"/>
    </row>
    <row r="267" spans="1:16" x14ac:dyDescent="0.2">
      <c r="A267" s="141"/>
      <c r="B267" s="131"/>
      <c r="C267" s="145"/>
      <c r="D267" s="133"/>
      <c r="E267" s="131"/>
      <c r="F267" s="145"/>
      <c r="G267" s="307"/>
      <c r="H267" s="131"/>
      <c r="I267" s="145"/>
      <c r="J267" s="307"/>
      <c r="K267" s="131"/>
      <c r="L267" s="145"/>
      <c r="M267" s="133"/>
      <c r="N267" s="131"/>
      <c r="O267" s="145"/>
      <c r="P267" s="307"/>
    </row>
    <row r="268" spans="1:16" x14ac:dyDescent="0.2">
      <c r="A268" s="141" t="s">
        <v>3928</v>
      </c>
      <c r="B268" s="131">
        <v>657588</v>
      </c>
      <c r="C268" s="145">
        <v>12</v>
      </c>
      <c r="D268" s="133">
        <v>0.5</v>
      </c>
      <c r="E268" s="131">
        <v>520750</v>
      </c>
      <c r="F268" s="145">
        <v>30</v>
      </c>
      <c r="G268" s="307"/>
      <c r="H268" s="131">
        <v>520125</v>
      </c>
      <c r="I268" s="145">
        <v>50</v>
      </c>
      <c r="J268" s="307"/>
      <c r="K268" s="131">
        <v>136837</v>
      </c>
      <c r="L268" s="145">
        <v>82</v>
      </c>
      <c r="M268" s="133">
        <v>0.5</v>
      </c>
      <c r="N268" s="131">
        <v>624</v>
      </c>
      <c r="O268" s="145">
        <v>80</v>
      </c>
      <c r="P268" s="307"/>
    </row>
    <row r="269" spans="1:16" x14ac:dyDescent="0.2">
      <c r="A269" s="1114" t="s">
        <v>3906</v>
      </c>
      <c r="B269" s="240">
        <v>1683499</v>
      </c>
      <c r="C269" s="318">
        <v>4</v>
      </c>
      <c r="D269" s="241">
        <v>0.5</v>
      </c>
      <c r="E269" s="240">
        <v>1274174</v>
      </c>
      <c r="F269" s="318">
        <v>55</v>
      </c>
      <c r="G269" s="513"/>
      <c r="H269" s="240">
        <v>1273533</v>
      </c>
      <c r="I269" s="318">
        <v>50</v>
      </c>
      <c r="J269" s="513"/>
      <c r="K269" s="240">
        <v>409324</v>
      </c>
      <c r="L269" s="318">
        <v>49</v>
      </c>
      <c r="M269" s="241">
        <v>0.5</v>
      </c>
      <c r="N269" s="240">
        <v>641</v>
      </c>
      <c r="O269" s="318">
        <v>5</v>
      </c>
      <c r="P269" s="513"/>
    </row>
    <row r="270" spans="1:16" x14ac:dyDescent="0.2">
      <c r="A270" s="1114"/>
      <c r="B270" s="246">
        <f>+SUM(B261:B268)</f>
        <v>1683498</v>
      </c>
      <c r="C270" s="246">
        <f t="shared" ref="C270:P270" si="8">+SUM(C261:C268)</f>
        <v>104</v>
      </c>
      <c r="D270" s="1115">
        <f t="shared" si="8"/>
        <v>0.5</v>
      </c>
      <c r="E270" s="246">
        <f t="shared" si="8"/>
        <v>1274171</v>
      </c>
      <c r="F270" s="246">
        <f t="shared" si="8"/>
        <v>355</v>
      </c>
      <c r="G270" s="246">
        <f t="shared" si="8"/>
        <v>0</v>
      </c>
      <c r="H270" s="246">
        <f t="shared" si="8"/>
        <v>1273530</v>
      </c>
      <c r="I270" s="246">
        <f t="shared" si="8"/>
        <v>350</v>
      </c>
      <c r="J270" s="246">
        <f t="shared" si="8"/>
        <v>0</v>
      </c>
      <c r="K270" s="246">
        <f t="shared" si="8"/>
        <v>409322</v>
      </c>
      <c r="L270" s="246">
        <f t="shared" si="8"/>
        <v>249</v>
      </c>
      <c r="M270" s="1115">
        <f t="shared" si="8"/>
        <v>0.5</v>
      </c>
      <c r="N270" s="246">
        <f t="shared" si="8"/>
        <v>640</v>
      </c>
      <c r="O270" s="246">
        <f t="shared" si="8"/>
        <v>105</v>
      </c>
      <c r="P270" s="246">
        <f t="shared" si="8"/>
        <v>0</v>
      </c>
    </row>
    <row r="271" spans="1:16" ht="29.5" customHeight="1" x14ac:dyDescent="0.2">
      <c r="A271" s="838" t="s">
        <v>2826</v>
      </c>
      <c r="B271" s="838"/>
      <c r="C271" s="838"/>
      <c r="D271" s="838"/>
      <c r="E271" s="838"/>
      <c r="F271" s="838"/>
      <c r="G271" s="838"/>
      <c r="H271" s="838"/>
      <c r="I271" s="838"/>
      <c r="J271" s="838"/>
      <c r="K271" s="838"/>
      <c r="L271" s="838"/>
      <c r="M271" s="838"/>
      <c r="N271" s="838"/>
      <c r="O271" s="838"/>
      <c r="P271" s="838"/>
    </row>
    <row r="272" spans="1:16" ht="26" customHeight="1" x14ac:dyDescent="0.2">
      <c r="A272" s="751" t="s">
        <v>3887</v>
      </c>
      <c r="B272" s="977" t="s">
        <v>3888</v>
      </c>
      <c r="C272" s="977"/>
      <c r="D272" s="977"/>
      <c r="E272" s="977" t="s">
        <v>3889</v>
      </c>
      <c r="F272" s="977"/>
      <c r="G272" s="977"/>
      <c r="H272" s="977" t="s">
        <v>3890</v>
      </c>
      <c r="I272" s="977"/>
      <c r="J272" s="977"/>
      <c r="K272" s="977" t="s">
        <v>3891</v>
      </c>
      <c r="L272" s="977"/>
      <c r="M272" s="977"/>
      <c r="N272" s="977" t="s">
        <v>3892</v>
      </c>
      <c r="O272" s="977"/>
      <c r="P272" s="977"/>
    </row>
    <row r="273" spans="1:16" x14ac:dyDescent="0.2">
      <c r="A273" s="710" t="s">
        <v>3929</v>
      </c>
      <c r="B273" s="349">
        <v>71347</v>
      </c>
      <c r="C273" s="350">
        <v>50</v>
      </c>
      <c r="D273" s="717"/>
      <c r="E273" s="349">
        <v>57055</v>
      </c>
      <c r="F273" s="350">
        <v>19</v>
      </c>
      <c r="G273" s="717"/>
      <c r="H273" s="349">
        <v>57055</v>
      </c>
      <c r="I273" s="350">
        <v>19</v>
      </c>
      <c r="J273" s="717"/>
      <c r="K273" s="349">
        <v>14292</v>
      </c>
      <c r="L273" s="350">
        <v>31</v>
      </c>
      <c r="M273" s="717"/>
      <c r="N273" s="349"/>
      <c r="O273" s="350"/>
      <c r="P273" s="717"/>
    </row>
    <row r="274" spans="1:16" x14ac:dyDescent="0.2">
      <c r="A274" s="710" t="s">
        <v>3930</v>
      </c>
      <c r="B274" s="131">
        <v>11437</v>
      </c>
      <c r="C274" s="145">
        <v>40</v>
      </c>
      <c r="D274" s="307"/>
      <c r="E274" s="131">
        <v>8271</v>
      </c>
      <c r="F274" s="145">
        <v>35</v>
      </c>
      <c r="G274" s="307"/>
      <c r="H274" s="131">
        <v>8271</v>
      </c>
      <c r="I274" s="145">
        <v>35</v>
      </c>
      <c r="J274" s="307"/>
      <c r="K274" s="131">
        <v>3166</v>
      </c>
      <c r="L274" s="145">
        <v>5</v>
      </c>
      <c r="M274" s="307"/>
      <c r="N274" s="131"/>
      <c r="O274" s="145"/>
      <c r="P274" s="307"/>
    </row>
    <row r="275" spans="1:16" x14ac:dyDescent="0.2">
      <c r="A275" s="107" t="s">
        <v>3931</v>
      </c>
      <c r="B275" s="131">
        <v>65305</v>
      </c>
      <c r="C275" s="145"/>
      <c r="D275" s="307"/>
      <c r="E275" s="131">
        <v>57546</v>
      </c>
      <c r="F275" s="145">
        <v>50</v>
      </c>
      <c r="G275" s="307"/>
      <c r="H275" s="131">
        <v>57546</v>
      </c>
      <c r="I275" s="145">
        <v>50</v>
      </c>
      <c r="J275" s="307"/>
      <c r="K275" s="131">
        <v>7758</v>
      </c>
      <c r="L275" s="145">
        <v>50</v>
      </c>
      <c r="M275" s="307"/>
      <c r="N275" s="131"/>
      <c r="O275" s="145"/>
      <c r="P275" s="307"/>
    </row>
    <row r="276" spans="1:16" x14ac:dyDescent="0.2">
      <c r="A276" s="107" t="s">
        <v>3932</v>
      </c>
      <c r="B276" s="131">
        <v>2100</v>
      </c>
      <c r="C276" s="145"/>
      <c r="D276" s="307"/>
      <c r="E276" s="131">
        <v>1327</v>
      </c>
      <c r="F276" s="145">
        <v>10</v>
      </c>
      <c r="G276" s="307"/>
      <c r="H276" s="131">
        <v>1327</v>
      </c>
      <c r="I276" s="145">
        <v>10</v>
      </c>
      <c r="J276" s="307"/>
      <c r="K276" s="131">
        <v>772</v>
      </c>
      <c r="L276" s="145">
        <v>90</v>
      </c>
      <c r="M276" s="307"/>
      <c r="N276" s="131"/>
      <c r="O276" s="145"/>
      <c r="P276" s="307"/>
    </row>
    <row r="277" spans="1:16" x14ac:dyDescent="0.2">
      <c r="A277" s="107" t="s">
        <v>3933</v>
      </c>
      <c r="B277" s="131">
        <v>58100</v>
      </c>
      <c r="C277" s="145"/>
      <c r="D277" s="307"/>
      <c r="E277" s="131">
        <v>45605</v>
      </c>
      <c r="F277" s="145">
        <v>20</v>
      </c>
      <c r="G277" s="307"/>
      <c r="H277" s="131">
        <v>45605</v>
      </c>
      <c r="I277" s="145">
        <v>20</v>
      </c>
      <c r="J277" s="307"/>
      <c r="K277" s="131">
        <v>12494</v>
      </c>
      <c r="L277" s="145">
        <v>80</v>
      </c>
      <c r="M277" s="307"/>
      <c r="N277" s="131"/>
      <c r="O277" s="145"/>
      <c r="P277" s="307"/>
    </row>
    <row r="278" spans="1:16" x14ac:dyDescent="0.2">
      <c r="A278" s="107" t="s">
        <v>3912</v>
      </c>
      <c r="B278" s="131">
        <v>62280</v>
      </c>
      <c r="C278" s="145"/>
      <c r="D278" s="307"/>
      <c r="E278" s="131">
        <v>33195</v>
      </c>
      <c r="F278" s="145">
        <v>40</v>
      </c>
      <c r="G278" s="307"/>
      <c r="H278" s="131">
        <v>33195</v>
      </c>
      <c r="I278" s="145">
        <v>40</v>
      </c>
      <c r="J278" s="307"/>
      <c r="K278" s="131">
        <v>35084</v>
      </c>
      <c r="L278" s="145">
        <v>60</v>
      </c>
      <c r="M278" s="307"/>
      <c r="N278" s="131"/>
      <c r="O278" s="145"/>
      <c r="P278" s="307"/>
    </row>
    <row r="279" spans="1:16" x14ac:dyDescent="0.2">
      <c r="A279" s="107" t="s">
        <v>3934</v>
      </c>
      <c r="B279" s="131">
        <v>102567</v>
      </c>
      <c r="C279" s="145"/>
      <c r="D279" s="307"/>
      <c r="E279" s="131">
        <v>74015</v>
      </c>
      <c r="F279" s="145">
        <v>5</v>
      </c>
      <c r="G279" s="307"/>
      <c r="H279" s="131">
        <v>74015</v>
      </c>
      <c r="I279" s="145">
        <v>5</v>
      </c>
      <c r="J279" s="307"/>
      <c r="K279" s="131">
        <v>28551</v>
      </c>
      <c r="L279" s="145">
        <v>95</v>
      </c>
      <c r="M279" s="307"/>
      <c r="N279" s="131"/>
      <c r="O279" s="145"/>
      <c r="P279" s="307"/>
    </row>
    <row r="280" spans="1:16" x14ac:dyDescent="0.2">
      <c r="A280" s="107" t="s">
        <v>3935</v>
      </c>
      <c r="B280" s="131">
        <v>123095</v>
      </c>
      <c r="C280" s="145">
        <v>60</v>
      </c>
      <c r="D280" s="307"/>
      <c r="E280" s="131">
        <v>29391</v>
      </c>
      <c r="F280" s="145">
        <v>55</v>
      </c>
      <c r="G280" s="307"/>
      <c r="H280" s="131">
        <v>29391</v>
      </c>
      <c r="I280" s="145">
        <v>55</v>
      </c>
      <c r="J280" s="307"/>
      <c r="K280" s="131">
        <v>93704</v>
      </c>
      <c r="L280" s="145">
        <v>5</v>
      </c>
      <c r="M280" s="307"/>
      <c r="N280" s="131"/>
      <c r="O280" s="145"/>
      <c r="P280" s="307"/>
    </row>
    <row r="281" spans="1:16" x14ac:dyDescent="0.2">
      <c r="A281" s="1114" t="s">
        <v>3906</v>
      </c>
      <c r="B281" s="240">
        <v>502232</v>
      </c>
      <c r="C281" s="318">
        <v>50</v>
      </c>
      <c r="D281" s="513"/>
      <c r="E281" s="240">
        <v>306407</v>
      </c>
      <c r="F281" s="318">
        <v>34</v>
      </c>
      <c r="G281" s="513"/>
      <c r="H281" s="240">
        <v>306407</v>
      </c>
      <c r="I281" s="318">
        <v>34</v>
      </c>
      <c r="J281" s="513"/>
      <c r="K281" s="240">
        <v>195825</v>
      </c>
      <c r="L281" s="318">
        <v>16</v>
      </c>
      <c r="M281" s="513"/>
      <c r="N281" s="240"/>
      <c r="O281" s="318"/>
      <c r="P281" s="513"/>
    </row>
    <row r="282" spans="1:16" x14ac:dyDescent="0.2">
      <c r="A282" s="1114"/>
      <c r="B282" s="1116">
        <f>+SUM(B273:B280)</f>
        <v>496231</v>
      </c>
      <c r="C282" s="246">
        <f t="shared" ref="C282:M282" si="9">+SUM(C273:C280)</f>
        <v>150</v>
      </c>
      <c r="D282" s="246">
        <f t="shared" si="9"/>
        <v>0</v>
      </c>
      <c r="E282" s="246">
        <f t="shared" si="9"/>
        <v>306405</v>
      </c>
      <c r="F282" s="246">
        <f t="shared" si="9"/>
        <v>234</v>
      </c>
      <c r="G282" s="246">
        <f t="shared" si="9"/>
        <v>0</v>
      </c>
      <c r="H282" s="246">
        <f t="shared" si="9"/>
        <v>306405</v>
      </c>
      <c r="I282" s="246">
        <f t="shared" si="9"/>
        <v>234</v>
      </c>
      <c r="J282" s="246">
        <f t="shared" si="9"/>
        <v>0</v>
      </c>
      <c r="K282" s="246">
        <f t="shared" si="9"/>
        <v>195821</v>
      </c>
      <c r="L282" s="246">
        <f t="shared" si="9"/>
        <v>416</v>
      </c>
      <c r="M282" s="246">
        <f t="shared" si="9"/>
        <v>0</v>
      </c>
      <c r="N282" s="240"/>
      <c r="O282" s="318"/>
      <c r="P282" s="513"/>
    </row>
    <row r="283" spans="1:16" ht="27.5" customHeight="1" x14ac:dyDescent="0.2">
      <c r="A283" s="838" t="s">
        <v>2815</v>
      </c>
      <c r="B283" s="838"/>
      <c r="C283" s="838"/>
      <c r="D283" s="838"/>
      <c r="E283" s="838"/>
      <c r="F283" s="838"/>
      <c r="G283" s="838"/>
      <c r="H283" s="838"/>
      <c r="I283" s="838"/>
      <c r="J283" s="838"/>
      <c r="K283" s="838"/>
      <c r="L283" s="838"/>
      <c r="M283" s="838"/>
      <c r="N283" s="838"/>
      <c r="O283" s="838"/>
      <c r="P283" s="838"/>
    </row>
    <row r="284" spans="1:16" ht="34.25" customHeight="1" x14ac:dyDescent="0.2">
      <c r="A284" s="751" t="s">
        <v>3887</v>
      </c>
      <c r="B284" s="977" t="s">
        <v>3888</v>
      </c>
      <c r="C284" s="977"/>
      <c r="D284" s="977"/>
      <c r="E284" s="977" t="s">
        <v>3889</v>
      </c>
      <c r="F284" s="977"/>
      <c r="G284" s="977"/>
      <c r="H284" s="977" t="s">
        <v>3890</v>
      </c>
      <c r="I284" s="977"/>
      <c r="J284" s="977"/>
      <c r="K284" s="977" t="s">
        <v>3891</v>
      </c>
      <c r="L284" s="977"/>
      <c r="M284" s="977"/>
      <c r="N284" s="977" t="s">
        <v>3892</v>
      </c>
      <c r="O284" s="977"/>
      <c r="P284" s="977"/>
    </row>
    <row r="285" spans="1:16" x14ac:dyDescent="0.2">
      <c r="A285" s="107" t="s">
        <v>3936</v>
      </c>
      <c r="B285" s="349">
        <v>31860</v>
      </c>
      <c r="C285" s="350"/>
      <c r="D285" s="717"/>
      <c r="E285" s="349">
        <v>19984</v>
      </c>
      <c r="F285" s="350">
        <v>10</v>
      </c>
      <c r="G285" s="717"/>
      <c r="H285" s="349">
        <v>19984</v>
      </c>
      <c r="I285" s="350">
        <v>10</v>
      </c>
      <c r="J285" s="717"/>
      <c r="K285" s="349">
        <v>11875</v>
      </c>
      <c r="L285" s="350">
        <v>90</v>
      </c>
      <c r="M285" s="717"/>
      <c r="N285" s="349"/>
      <c r="O285" s="350"/>
      <c r="P285" s="717"/>
    </row>
    <row r="286" spans="1:16" x14ac:dyDescent="0.2">
      <c r="A286" s="107" t="s">
        <v>3937</v>
      </c>
      <c r="B286" s="131">
        <v>600</v>
      </c>
      <c r="C286" s="145"/>
      <c r="D286" s="307"/>
      <c r="E286" s="131">
        <v>550</v>
      </c>
      <c r="F286" s="145">
        <v>85</v>
      </c>
      <c r="G286" s="307"/>
      <c r="H286" s="131">
        <v>550</v>
      </c>
      <c r="I286" s="145">
        <v>85</v>
      </c>
      <c r="J286" s="307"/>
      <c r="K286" s="131">
        <v>49</v>
      </c>
      <c r="L286" s="145">
        <v>15</v>
      </c>
      <c r="M286" s="307"/>
      <c r="N286" s="131"/>
      <c r="O286" s="145"/>
      <c r="P286" s="307"/>
    </row>
    <row r="287" spans="1:16" x14ac:dyDescent="0.2">
      <c r="A287" s="107" t="s">
        <v>3938</v>
      </c>
      <c r="B287" s="131">
        <v>106318</v>
      </c>
      <c r="C287" s="145"/>
      <c r="D287" s="307"/>
      <c r="E287" s="131">
        <v>97639</v>
      </c>
      <c r="F287" s="145">
        <v>10</v>
      </c>
      <c r="G287" s="307"/>
      <c r="H287" s="131">
        <v>97639</v>
      </c>
      <c r="I287" s="145">
        <v>10</v>
      </c>
      <c r="J287" s="307"/>
      <c r="K287" s="131">
        <v>8678</v>
      </c>
      <c r="L287" s="145">
        <v>90</v>
      </c>
      <c r="M287" s="307"/>
      <c r="N287" s="131"/>
      <c r="O287" s="145"/>
      <c r="P287" s="307"/>
    </row>
    <row r="288" spans="1:16" x14ac:dyDescent="0.2">
      <c r="A288" s="141" t="s">
        <v>3939</v>
      </c>
      <c r="B288" s="131">
        <v>184998</v>
      </c>
      <c r="C288" s="145"/>
      <c r="D288" s="307"/>
      <c r="E288" s="131">
        <v>61493</v>
      </c>
      <c r="F288" s="145">
        <v>55</v>
      </c>
      <c r="G288" s="307"/>
      <c r="H288" s="131">
        <v>61493</v>
      </c>
      <c r="I288" s="145">
        <v>55</v>
      </c>
      <c r="J288" s="307"/>
      <c r="K288" s="131">
        <v>123504</v>
      </c>
      <c r="L288" s="145">
        <v>45</v>
      </c>
      <c r="M288" s="307"/>
      <c r="N288" s="131"/>
      <c r="O288" s="145"/>
      <c r="P288" s="307"/>
    </row>
    <row r="289" spans="1:16" x14ac:dyDescent="0.2">
      <c r="A289" s="141" t="s">
        <v>3940</v>
      </c>
      <c r="B289" s="131">
        <v>101000</v>
      </c>
      <c r="C289" s="145"/>
      <c r="D289" s="307"/>
      <c r="E289" s="131">
        <v>50549</v>
      </c>
      <c r="F289" s="145">
        <v>15</v>
      </c>
      <c r="G289" s="307"/>
      <c r="H289" s="131">
        <v>50549</v>
      </c>
      <c r="I289" s="145">
        <v>15</v>
      </c>
      <c r="J289" s="307"/>
      <c r="K289" s="131">
        <v>50450</v>
      </c>
      <c r="L289" s="145">
        <v>85</v>
      </c>
      <c r="M289" s="307"/>
      <c r="N289" s="131"/>
      <c r="O289" s="145"/>
      <c r="P289" s="307"/>
    </row>
    <row r="290" spans="1:16" x14ac:dyDescent="0.2">
      <c r="A290" s="141" t="s">
        <v>3941</v>
      </c>
      <c r="B290" s="131">
        <v>1080</v>
      </c>
      <c r="C290" s="145"/>
      <c r="D290" s="307"/>
      <c r="E290" s="131">
        <v>758</v>
      </c>
      <c r="F290" s="145">
        <v>95</v>
      </c>
      <c r="G290" s="307"/>
      <c r="H290" s="131">
        <v>758</v>
      </c>
      <c r="I290" s="145">
        <v>95</v>
      </c>
      <c r="J290" s="307"/>
      <c r="K290" s="131">
        <v>321</v>
      </c>
      <c r="L290" s="145">
        <v>5</v>
      </c>
      <c r="M290" s="307"/>
      <c r="N290" s="131"/>
      <c r="O290" s="145"/>
      <c r="P290" s="307"/>
    </row>
    <row r="291" spans="1:16" x14ac:dyDescent="0.2">
      <c r="A291" s="141" t="s">
        <v>3942</v>
      </c>
      <c r="B291" s="131">
        <v>75352</v>
      </c>
      <c r="C291" s="145"/>
      <c r="D291" s="307"/>
      <c r="E291" s="131">
        <v>45625</v>
      </c>
      <c r="F291" s="145"/>
      <c r="G291" s="307"/>
      <c r="H291" s="131">
        <v>45625</v>
      </c>
      <c r="I291" s="145"/>
      <c r="J291" s="307"/>
      <c r="K291" s="131">
        <v>29727</v>
      </c>
      <c r="L291" s="145"/>
      <c r="M291" s="307"/>
      <c r="N291" s="131"/>
      <c r="O291" s="145"/>
      <c r="P291" s="307"/>
    </row>
    <row r="292" spans="1:16" x14ac:dyDescent="0.2">
      <c r="A292" s="141" t="s">
        <v>3943</v>
      </c>
      <c r="B292" s="131">
        <v>293312</v>
      </c>
      <c r="C292" s="145"/>
      <c r="D292" s="307"/>
      <c r="E292" s="131">
        <v>164012</v>
      </c>
      <c r="F292" s="145"/>
      <c r="G292" s="307"/>
      <c r="H292" s="131">
        <v>164012</v>
      </c>
      <c r="I292" s="145"/>
      <c r="J292" s="307"/>
      <c r="K292" s="131">
        <v>129300</v>
      </c>
      <c r="L292" s="145"/>
      <c r="M292" s="307"/>
      <c r="N292" s="131"/>
      <c r="O292" s="145"/>
      <c r="P292" s="307"/>
    </row>
    <row r="293" spans="1:16" x14ac:dyDescent="0.2">
      <c r="A293" s="141" t="s">
        <v>3944</v>
      </c>
      <c r="B293" s="131">
        <v>9924</v>
      </c>
      <c r="C293" s="145"/>
      <c r="D293" s="307"/>
      <c r="E293" s="131">
        <v>9062</v>
      </c>
      <c r="F293" s="145">
        <v>30</v>
      </c>
      <c r="G293" s="307"/>
      <c r="H293" s="131">
        <v>9062</v>
      </c>
      <c r="I293" s="145">
        <v>30</v>
      </c>
      <c r="J293" s="307"/>
      <c r="K293" s="131">
        <v>861</v>
      </c>
      <c r="L293" s="145">
        <v>70</v>
      </c>
      <c r="M293" s="307"/>
      <c r="N293" s="131"/>
      <c r="O293" s="145"/>
      <c r="P293" s="307"/>
    </row>
    <row r="294" spans="1:16" x14ac:dyDescent="0.2">
      <c r="A294" s="141" t="s">
        <v>3945</v>
      </c>
      <c r="B294" s="131">
        <v>94970</v>
      </c>
      <c r="C294" s="145"/>
      <c r="D294" s="307"/>
      <c r="E294" s="131">
        <v>14180</v>
      </c>
      <c r="F294" s="145">
        <v>90</v>
      </c>
      <c r="G294" s="307"/>
      <c r="H294" s="131">
        <v>14180</v>
      </c>
      <c r="I294" s="145">
        <v>90</v>
      </c>
      <c r="J294" s="307"/>
      <c r="K294" s="131">
        <v>80789</v>
      </c>
      <c r="L294" s="145">
        <v>10</v>
      </c>
      <c r="M294" s="307"/>
      <c r="N294" s="131"/>
      <c r="O294" s="145"/>
      <c r="P294" s="307"/>
    </row>
    <row r="295" spans="1:16" x14ac:dyDescent="0.2">
      <c r="A295" s="141" t="s">
        <v>3946</v>
      </c>
      <c r="B295" s="131">
        <v>153686</v>
      </c>
      <c r="C295" s="145"/>
      <c r="D295" s="307"/>
      <c r="E295" s="131">
        <v>117891</v>
      </c>
      <c r="F295" s="145">
        <v>10</v>
      </c>
      <c r="G295" s="307"/>
      <c r="H295" s="131">
        <v>117891</v>
      </c>
      <c r="I295" s="145">
        <v>10</v>
      </c>
      <c r="J295" s="307"/>
      <c r="K295" s="131">
        <v>35794</v>
      </c>
      <c r="L295" s="145">
        <v>90</v>
      </c>
      <c r="M295" s="307"/>
      <c r="N295" s="131"/>
      <c r="O295" s="145"/>
      <c r="P295" s="307"/>
    </row>
    <row r="296" spans="1:16" x14ac:dyDescent="0.2">
      <c r="A296" s="141" t="s">
        <v>3947</v>
      </c>
      <c r="B296" s="131">
        <v>20410</v>
      </c>
      <c r="C296" s="145">
        <v>77</v>
      </c>
      <c r="D296" s="307"/>
      <c r="E296" s="131">
        <v>20388</v>
      </c>
      <c r="F296" s="145">
        <v>20</v>
      </c>
      <c r="G296" s="307"/>
      <c r="H296" s="131">
        <v>20388</v>
      </c>
      <c r="I296" s="145">
        <v>20</v>
      </c>
      <c r="J296" s="307"/>
      <c r="K296" s="131">
        <v>22</v>
      </c>
      <c r="L296" s="145">
        <v>57</v>
      </c>
      <c r="M296" s="307"/>
      <c r="N296" s="131"/>
      <c r="O296" s="145"/>
      <c r="P296" s="307"/>
    </row>
    <row r="297" spans="1:16" x14ac:dyDescent="0.2">
      <c r="A297" s="141" t="s">
        <v>3948</v>
      </c>
      <c r="B297" s="131">
        <v>396629</v>
      </c>
      <c r="C297" s="145">
        <v>40</v>
      </c>
      <c r="D297" s="307"/>
      <c r="E297" s="131">
        <v>137518</v>
      </c>
      <c r="F297" s="145">
        <v>50</v>
      </c>
      <c r="G297" s="307"/>
      <c r="H297" s="131">
        <v>137518</v>
      </c>
      <c r="I297" s="145">
        <v>50</v>
      </c>
      <c r="J297" s="307"/>
      <c r="K297" s="131">
        <v>259110</v>
      </c>
      <c r="L297" s="145">
        <v>90</v>
      </c>
      <c r="M297" s="307"/>
      <c r="N297" s="131"/>
      <c r="O297" s="145"/>
      <c r="P297" s="307"/>
    </row>
    <row r="298" spans="1:16" x14ac:dyDescent="0.2">
      <c r="A298" s="1114" t="s">
        <v>3906</v>
      </c>
      <c r="B298" s="240">
        <v>1470140</v>
      </c>
      <c r="C298" s="318">
        <v>17</v>
      </c>
      <c r="D298" s="513"/>
      <c r="E298" s="240">
        <v>739653</v>
      </c>
      <c r="F298" s="318">
        <v>70</v>
      </c>
      <c r="G298" s="513"/>
      <c r="H298" s="240">
        <v>739653</v>
      </c>
      <c r="I298" s="318">
        <v>70</v>
      </c>
      <c r="J298" s="513"/>
      <c r="K298" s="240">
        <v>730486</v>
      </c>
      <c r="L298" s="318">
        <v>47</v>
      </c>
      <c r="M298" s="513"/>
      <c r="N298" s="240"/>
      <c r="O298" s="318"/>
      <c r="P298" s="513"/>
    </row>
    <row r="299" spans="1:16" x14ac:dyDescent="0.2">
      <c r="A299" s="1114"/>
      <c r="B299" s="246">
        <f>+SUM(B285:B297)</f>
        <v>1470139</v>
      </c>
      <c r="C299" s="246">
        <f t="shared" ref="C299:N299" si="10">+SUM(C285:C297)</f>
        <v>117</v>
      </c>
      <c r="D299" s="246">
        <f t="shared" si="10"/>
        <v>0</v>
      </c>
      <c r="E299" s="246">
        <f t="shared" si="10"/>
        <v>739649</v>
      </c>
      <c r="F299" s="246">
        <f t="shared" si="10"/>
        <v>470</v>
      </c>
      <c r="G299" s="246">
        <f t="shared" si="10"/>
        <v>0</v>
      </c>
      <c r="H299" s="246">
        <f t="shared" si="10"/>
        <v>739649</v>
      </c>
      <c r="I299" s="246">
        <f t="shared" si="10"/>
        <v>470</v>
      </c>
      <c r="J299" s="246">
        <f t="shared" si="10"/>
        <v>0</v>
      </c>
      <c r="K299" s="246">
        <f t="shared" si="10"/>
        <v>730480</v>
      </c>
      <c r="L299" s="246">
        <f t="shared" si="10"/>
        <v>647</v>
      </c>
      <c r="M299" s="246">
        <f t="shared" si="10"/>
        <v>0</v>
      </c>
      <c r="N299" s="246">
        <f t="shared" si="10"/>
        <v>0</v>
      </c>
      <c r="O299" s="1117"/>
      <c r="P299" s="1118"/>
    </row>
    <row r="300" spans="1:16" ht="29.5" customHeight="1" x14ac:dyDescent="0.2">
      <c r="A300" s="838" t="s">
        <v>2824</v>
      </c>
      <c r="B300" s="838"/>
      <c r="C300" s="838"/>
      <c r="D300" s="838"/>
      <c r="E300" s="838"/>
      <c r="F300" s="838"/>
      <c r="G300" s="838"/>
      <c r="H300" s="838"/>
      <c r="I300" s="838"/>
      <c r="J300" s="838"/>
      <c r="K300" s="838"/>
      <c r="L300" s="838"/>
      <c r="M300" s="838"/>
      <c r="N300" s="838"/>
      <c r="O300" s="838"/>
      <c r="P300" s="838"/>
    </row>
    <row r="301" spans="1:16" ht="27" customHeight="1" x14ac:dyDescent="0.2">
      <c r="A301" s="751" t="s">
        <v>3887</v>
      </c>
      <c r="B301" s="977" t="s">
        <v>3888</v>
      </c>
      <c r="C301" s="977"/>
      <c r="D301" s="977"/>
      <c r="E301" s="977" t="s">
        <v>3889</v>
      </c>
      <c r="F301" s="977"/>
      <c r="G301" s="977"/>
      <c r="H301" s="977" t="s">
        <v>3890</v>
      </c>
      <c r="I301" s="977"/>
      <c r="J301" s="977"/>
      <c r="K301" s="977" t="s">
        <v>3891</v>
      </c>
      <c r="L301" s="977"/>
      <c r="M301" s="977"/>
      <c r="N301" s="977" t="s">
        <v>3892</v>
      </c>
      <c r="O301" s="977"/>
      <c r="P301" s="977"/>
    </row>
    <row r="302" spans="1:16" x14ac:dyDescent="0.2">
      <c r="A302" s="107" t="s">
        <v>3949</v>
      </c>
      <c r="B302" s="349">
        <v>2283383</v>
      </c>
      <c r="C302" s="350">
        <v>20</v>
      </c>
      <c r="D302" s="717"/>
      <c r="E302" s="349">
        <v>60105</v>
      </c>
      <c r="F302" s="350">
        <v>80</v>
      </c>
      <c r="G302" s="717"/>
      <c r="H302" s="349">
        <v>60105</v>
      </c>
      <c r="I302" s="350">
        <v>80</v>
      </c>
      <c r="J302" s="717"/>
      <c r="K302" s="349">
        <v>2223277</v>
      </c>
      <c r="L302" s="350">
        <v>40</v>
      </c>
      <c r="M302" s="717"/>
      <c r="N302" s="349"/>
      <c r="O302" s="350"/>
      <c r="P302" s="717"/>
    </row>
    <row r="303" spans="1:16" x14ac:dyDescent="0.2">
      <c r="A303" s="1114" t="s">
        <v>3906</v>
      </c>
      <c r="B303" s="349">
        <v>2283383</v>
      </c>
      <c r="C303" s="350">
        <v>20</v>
      </c>
      <c r="D303" s="717"/>
      <c r="E303" s="349">
        <v>60105</v>
      </c>
      <c r="F303" s="350">
        <v>80</v>
      </c>
      <c r="G303" s="717"/>
      <c r="H303" s="349">
        <v>60105</v>
      </c>
      <c r="I303" s="350">
        <v>80</v>
      </c>
      <c r="J303" s="717"/>
      <c r="K303" s="349">
        <v>2223277</v>
      </c>
      <c r="L303" s="350">
        <v>40</v>
      </c>
      <c r="M303" s="717"/>
      <c r="N303" s="240"/>
      <c r="O303" s="318"/>
      <c r="P303" s="513"/>
    </row>
    <row r="304" spans="1:16" ht="24" customHeight="1" x14ac:dyDescent="0.2">
      <c r="A304" s="838" t="s">
        <v>3950</v>
      </c>
      <c r="B304" s="838"/>
      <c r="C304" s="838"/>
      <c r="D304" s="838"/>
      <c r="E304" s="838"/>
      <c r="F304" s="838"/>
      <c r="G304" s="838"/>
      <c r="H304" s="838"/>
      <c r="I304" s="838"/>
      <c r="J304" s="838"/>
      <c r="K304" s="838"/>
      <c r="L304" s="838"/>
      <c r="M304" s="838"/>
      <c r="N304" s="838"/>
      <c r="O304" s="838"/>
      <c r="P304" s="838"/>
    </row>
    <row r="305" spans="1:16" ht="25.25" customHeight="1" x14ac:dyDescent="0.2">
      <c r="A305" s="751" t="s">
        <v>3887</v>
      </c>
      <c r="B305" s="977" t="s">
        <v>3888</v>
      </c>
      <c r="C305" s="977"/>
      <c r="D305" s="977"/>
      <c r="E305" s="977" t="s">
        <v>3889</v>
      </c>
      <c r="F305" s="977"/>
      <c r="G305" s="977"/>
      <c r="H305" s="977" t="s">
        <v>3890</v>
      </c>
      <c r="I305" s="977"/>
      <c r="J305" s="977"/>
      <c r="K305" s="977" t="s">
        <v>3891</v>
      </c>
      <c r="L305" s="977"/>
      <c r="M305" s="977"/>
      <c r="N305" s="977" t="s">
        <v>3892</v>
      </c>
      <c r="O305" s="977"/>
      <c r="P305" s="977"/>
    </row>
    <row r="306" spans="1:16" x14ac:dyDescent="0.2">
      <c r="A306" s="107" t="s">
        <v>3951</v>
      </c>
      <c r="B306" s="349">
        <v>524251</v>
      </c>
      <c r="C306" s="350">
        <v>80</v>
      </c>
      <c r="D306" s="717"/>
      <c r="E306" s="349">
        <v>519681</v>
      </c>
      <c r="F306" s="350">
        <v>80</v>
      </c>
      <c r="G306" s="717"/>
      <c r="H306" s="349">
        <v>519681</v>
      </c>
      <c r="I306" s="350">
        <v>80</v>
      </c>
      <c r="J306" s="717"/>
      <c r="K306" s="349">
        <v>4570</v>
      </c>
      <c r="L306" s="350"/>
      <c r="M306" s="717"/>
      <c r="N306" s="349"/>
      <c r="O306" s="350"/>
      <c r="P306" s="717"/>
    </row>
    <row r="307" spans="1:16" x14ac:dyDescent="0.2">
      <c r="A307" s="107" t="s">
        <v>3952</v>
      </c>
      <c r="B307" s="131">
        <v>622000</v>
      </c>
      <c r="C307" s="145"/>
      <c r="D307" s="307"/>
      <c r="E307" s="131">
        <v>42450</v>
      </c>
      <c r="F307" s="145"/>
      <c r="G307" s="307"/>
      <c r="H307" s="131">
        <v>42450</v>
      </c>
      <c r="I307" s="145"/>
      <c r="J307" s="307"/>
      <c r="K307" s="131">
        <v>579550</v>
      </c>
      <c r="L307" s="145"/>
      <c r="M307" s="307"/>
      <c r="N307" s="131"/>
      <c r="O307" s="145"/>
      <c r="P307" s="307"/>
    </row>
    <row r="308" spans="1:16" x14ac:dyDescent="0.2">
      <c r="A308" s="107" t="s">
        <v>3953</v>
      </c>
      <c r="B308" s="131">
        <v>155248</v>
      </c>
      <c r="C308" s="145">
        <v>50</v>
      </c>
      <c r="D308" s="307"/>
      <c r="E308" s="131">
        <v>136858</v>
      </c>
      <c r="F308" s="145">
        <v>20</v>
      </c>
      <c r="G308" s="307"/>
      <c r="H308" s="131">
        <v>126656</v>
      </c>
      <c r="I308" s="145">
        <v>40</v>
      </c>
      <c r="J308" s="307"/>
      <c r="K308" s="131">
        <v>18390</v>
      </c>
      <c r="L308" s="145">
        <v>30</v>
      </c>
      <c r="M308" s="307"/>
      <c r="N308" s="131">
        <v>10201</v>
      </c>
      <c r="O308" s="145">
        <v>80</v>
      </c>
      <c r="P308" s="307"/>
    </row>
    <row r="309" spans="1:16" x14ac:dyDescent="0.2">
      <c r="A309" s="141" t="s">
        <v>3954</v>
      </c>
      <c r="B309" s="131">
        <v>65867</v>
      </c>
      <c r="C309" s="145">
        <v>55</v>
      </c>
      <c r="D309" s="307"/>
      <c r="E309" s="131">
        <v>65109</v>
      </c>
      <c r="F309" s="145">
        <v>10</v>
      </c>
      <c r="G309" s="307"/>
      <c r="H309" s="131">
        <v>51529</v>
      </c>
      <c r="I309" s="145">
        <v>15</v>
      </c>
      <c r="J309" s="307"/>
      <c r="K309" s="131">
        <v>758</v>
      </c>
      <c r="L309" s="145">
        <v>45</v>
      </c>
      <c r="M309" s="307"/>
      <c r="N309" s="131">
        <v>13579</v>
      </c>
      <c r="O309" s="145">
        <v>95</v>
      </c>
      <c r="P309" s="307"/>
    </row>
    <row r="310" spans="1:16" x14ac:dyDescent="0.2">
      <c r="A310" s="141" t="s">
        <v>3955</v>
      </c>
      <c r="B310" s="131">
        <v>312632</v>
      </c>
      <c r="C310" s="145">
        <v>57</v>
      </c>
      <c r="D310" s="133">
        <v>0.5</v>
      </c>
      <c r="E310" s="131">
        <v>292555</v>
      </c>
      <c r="F310" s="145"/>
      <c r="G310" s="307"/>
      <c r="H310" s="131">
        <v>292555</v>
      </c>
      <c r="I310" s="145"/>
      <c r="J310" s="307"/>
      <c r="K310" s="131">
        <v>20077</v>
      </c>
      <c r="L310" s="145">
        <v>57</v>
      </c>
      <c r="M310" s="133">
        <v>0.5</v>
      </c>
      <c r="N310" s="131"/>
      <c r="O310" s="145"/>
      <c r="P310" s="307"/>
    </row>
    <row r="311" spans="1:16" x14ac:dyDescent="0.2">
      <c r="A311" s="141" t="s">
        <v>3956</v>
      </c>
      <c r="B311" s="131">
        <v>88644</v>
      </c>
      <c r="C311" s="145">
        <v>92</v>
      </c>
      <c r="D311" s="133">
        <v>0.5</v>
      </c>
      <c r="E311" s="131">
        <v>73471</v>
      </c>
      <c r="F311" s="145">
        <v>85</v>
      </c>
      <c r="G311" s="307"/>
      <c r="H311" s="131">
        <v>73471</v>
      </c>
      <c r="I311" s="145">
        <v>85</v>
      </c>
      <c r="J311" s="307"/>
      <c r="K311" s="131">
        <v>15173</v>
      </c>
      <c r="L311" s="145">
        <v>7</v>
      </c>
      <c r="M311" s="133">
        <v>0.5</v>
      </c>
      <c r="N311" s="131"/>
      <c r="O311" s="145"/>
      <c r="P311" s="307"/>
    </row>
    <row r="312" spans="1:16" x14ac:dyDescent="0.2">
      <c r="A312" s="141" t="s">
        <v>3928</v>
      </c>
      <c r="B312" s="131">
        <v>45076</v>
      </c>
      <c r="C312" s="145"/>
      <c r="D312" s="133"/>
      <c r="E312" s="131">
        <v>33713</v>
      </c>
      <c r="F312" s="145">
        <v>60</v>
      </c>
      <c r="G312" s="307"/>
      <c r="H312" s="131">
        <v>33713</v>
      </c>
      <c r="I312" s="145">
        <v>60</v>
      </c>
      <c r="J312" s="307"/>
      <c r="K312" s="131">
        <v>11362</v>
      </c>
      <c r="L312" s="145">
        <v>40</v>
      </c>
      <c r="M312" s="133"/>
      <c r="N312" s="131"/>
      <c r="O312" s="145"/>
      <c r="P312" s="307"/>
    </row>
    <row r="313" spans="1:16" x14ac:dyDescent="0.2">
      <c r="A313" s="1114" t="s">
        <v>3906</v>
      </c>
      <c r="B313" s="240">
        <v>1813721</v>
      </c>
      <c r="C313" s="318">
        <v>35</v>
      </c>
      <c r="D313" s="241"/>
      <c r="E313" s="240">
        <v>1163839</v>
      </c>
      <c r="F313" s="318">
        <v>55</v>
      </c>
      <c r="G313" s="513"/>
      <c r="H313" s="240">
        <v>1140057</v>
      </c>
      <c r="I313" s="318">
        <v>80</v>
      </c>
      <c r="J313" s="513"/>
      <c r="K313" s="240">
        <v>649881</v>
      </c>
      <c r="L313" s="318">
        <v>80</v>
      </c>
      <c r="M313" s="241"/>
      <c r="N313" s="240">
        <v>23781</v>
      </c>
      <c r="O313" s="318">
        <v>75</v>
      </c>
      <c r="P313" s="513"/>
    </row>
    <row r="314" spans="1:16" x14ac:dyDescent="0.2">
      <c r="A314" s="1114"/>
      <c r="B314" s="246">
        <f>+SUM(B306:B312)</f>
        <v>1813718</v>
      </c>
      <c r="C314" s="246">
        <f t="shared" ref="C314:P314" si="11">+SUM(C306:C312)</f>
        <v>334</v>
      </c>
      <c r="D314" s="1115">
        <f t="shared" si="11"/>
        <v>1</v>
      </c>
      <c r="E314" s="246">
        <f t="shared" si="11"/>
        <v>1163837</v>
      </c>
      <c r="F314" s="246">
        <f t="shared" si="11"/>
        <v>255</v>
      </c>
      <c r="G314" s="246">
        <f t="shared" si="11"/>
        <v>0</v>
      </c>
      <c r="H314" s="246">
        <f t="shared" si="11"/>
        <v>1140055</v>
      </c>
      <c r="I314" s="246">
        <f t="shared" si="11"/>
        <v>280</v>
      </c>
      <c r="J314" s="246">
        <f t="shared" si="11"/>
        <v>0</v>
      </c>
      <c r="K314" s="246">
        <f t="shared" si="11"/>
        <v>649880</v>
      </c>
      <c r="L314" s="246">
        <f t="shared" si="11"/>
        <v>179</v>
      </c>
      <c r="M314" s="1115">
        <f t="shared" si="11"/>
        <v>1</v>
      </c>
      <c r="N314" s="246">
        <f t="shared" si="11"/>
        <v>23780</v>
      </c>
      <c r="O314" s="246">
        <f t="shared" si="11"/>
        <v>175</v>
      </c>
      <c r="P314" s="246">
        <f t="shared" si="11"/>
        <v>0</v>
      </c>
    </row>
    <row r="315" spans="1:16" ht="30" customHeight="1" x14ac:dyDescent="0.2">
      <c r="A315" s="838" t="s">
        <v>2790</v>
      </c>
      <c r="B315" s="838"/>
      <c r="C315" s="838"/>
      <c r="D315" s="838"/>
      <c r="E315" s="838"/>
      <c r="F315" s="838"/>
      <c r="G315" s="838"/>
      <c r="H315" s="838"/>
      <c r="I315" s="838"/>
      <c r="J315" s="838"/>
      <c r="K315" s="838"/>
      <c r="L315" s="838"/>
      <c r="M315" s="838"/>
      <c r="N315" s="838"/>
      <c r="O315" s="838"/>
      <c r="P315" s="838"/>
    </row>
    <row r="316" spans="1:16" ht="30" customHeight="1" x14ac:dyDescent="0.2">
      <c r="A316" s="751" t="s">
        <v>3887</v>
      </c>
      <c r="B316" s="977" t="s">
        <v>3888</v>
      </c>
      <c r="C316" s="977"/>
      <c r="D316" s="977"/>
      <c r="E316" s="977" t="s">
        <v>3889</v>
      </c>
      <c r="F316" s="977"/>
      <c r="G316" s="977"/>
      <c r="H316" s="977" t="s">
        <v>3890</v>
      </c>
      <c r="I316" s="977"/>
      <c r="J316" s="977"/>
      <c r="K316" s="977" t="s">
        <v>3891</v>
      </c>
      <c r="L316" s="977"/>
      <c r="M316" s="977"/>
      <c r="N316" s="977" t="s">
        <v>3892</v>
      </c>
      <c r="O316" s="977"/>
      <c r="P316" s="977"/>
    </row>
    <row r="317" spans="1:16" x14ac:dyDescent="0.2">
      <c r="A317" s="107" t="s">
        <v>3957</v>
      </c>
      <c r="B317" s="349">
        <v>18648</v>
      </c>
      <c r="C317" s="350"/>
      <c r="D317" s="717"/>
      <c r="E317" s="349">
        <v>18527</v>
      </c>
      <c r="F317" s="350">
        <v>65</v>
      </c>
      <c r="G317" s="717"/>
      <c r="H317" s="349">
        <v>18527</v>
      </c>
      <c r="I317" s="350">
        <v>65</v>
      </c>
      <c r="J317" s="717"/>
      <c r="K317" s="349">
        <v>120</v>
      </c>
      <c r="L317" s="350">
        <v>35</v>
      </c>
      <c r="M317" s="717"/>
      <c r="N317" s="349"/>
      <c r="O317" s="350"/>
      <c r="P317" s="717"/>
    </row>
    <row r="318" spans="1:16" x14ac:dyDescent="0.2">
      <c r="A318" s="107" t="s">
        <v>3958</v>
      </c>
      <c r="B318" s="131">
        <v>1300</v>
      </c>
      <c r="C318" s="145"/>
      <c r="D318" s="307"/>
      <c r="E318" s="131">
        <v>1129</v>
      </c>
      <c r="F318" s="145">
        <v>20</v>
      </c>
      <c r="G318" s="307"/>
      <c r="H318" s="131">
        <v>1129</v>
      </c>
      <c r="I318" s="145">
        <v>20</v>
      </c>
      <c r="J318" s="307"/>
      <c r="K318" s="131">
        <v>170</v>
      </c>
      <c r="L318" s="145">
        <v>80</v>
      </c>
      <c r="M318" s="307"/>
      <c r="N318" s="131"/>
      <c r="O318" s="145"/>
      <c r="P318" s="307"/>
    </row>
    <row r="319" spans="1:16" x14ac:dyDescent="0.2">
      <c r="A319" s="107" t="s">
        <v>3959</v>
      </c>
      <c r="B319" s="131">
        <v>13068</v>
      </c>
      <c r="C319" s="145"/>
      <c r="D319" s="307"/>
      <c r="E319" s="131">
        <v>13051</v>
      </c>
      <c r="F319" s="145">
        <v>70</v>
      </c>
      <c r="G319" s="307"/>
      <c r="H319" s="131">
        <v>13051</v>
      </c>
      <c r="I319" s="145">
        <v>70</v>
      </c>
      <c r="J319" s="307"/>
      <c r="K319" s="131">
        <v>16</v>
      </c>
      <c r="L319" s="145">
        <v>30</v>
      </c>
      <c r="M319" s="307"/>
      <c r="N319" s="131"/>
      <c r="O319" s="145"/>
      <c r="P319" s="307"/>
    </row>
    <row r="320" spans="1:16" x14ac:dyDescent="0.2">
      <c r="A320" s="141" t="s">
        <v>3960</v>
      </c>
      <c r="B320" s="131">
        <v>240</v>
      </c>
      <c r="C320" s="145"/>
      <c r="D320" s="307"/>
      <c r="E320" s="131">
        <v>240</v>
      </c>
      <c r="F320" s="145"/>
      <c r="G320" s="307"/>
      <c r="H320" s="131">
        <v>240</v>
      </c>
      <c r="I320" s="145"/>
      <c r="J320" s="307"/>
      <c r="K320" s="131"/>
      <c r="L320" s="145"/>
      <c r="M320" s="307"/>
      <c r="N320" s="131"/>
      <c r="O320" s="145"/>
      <c r="P320" s="307"/>
    </row>
    <row r="321" spans="1:16" x14ac:dyDescent="0.2">
      <c r="A321" s="141" t="s">
        <v>3961</v>
      </c>
      <c r="B321" s="131">
        <v>11064</v>
      </c>
      <c r="C321" s="145"/>
      <c r="D321" s="307"/>
      <c r="E321" s="131">
        <v>11025</v>
      </c>
      <c r="F321" s="145">
        <v>75</v>
      </c>
      <c r="G321" s="307"/>
      <c r="H321" s="131">
        <v>11025</v>
      </c>
      <c r="I321" s="145">
        <v>75</v>
      </c>
      <c r="J321" s="307"/>
      <c r="K321" s="131">
        <v>38</v>
      </c>
      <c r="L321" s="145">
        <v>25</v>
      </c>
      <c r="M321" s="307"/>
      <c r="N321" s="131"/>
      <c r="O321" s="145"/>
      <c r="P321" s="307"/>
    </row>
    <row r="322" spans="1:16" x14ac:dyDescent="0.2">
      <c r="A322" s="141" t="s">
        <v>3962</v>
      </c>
      <c r="B322" s="131">
        <v>400</v>
      </c>
      <c r="C322" s="145"/>
      <c r="D322" s="307"/>
      <c r="E322" s="131">
        <v>308</v>
      </c>
      <c r="F322" s="145">
        <v>80</v>
      </c>
      <c r="G322" s="307"/>
      <c r="H322" s="131">
        <v>308</v>
      </c>
      <c r="I322" s="145">
        <v>80</v>
      </c>
      <c r="J322" s="307"/>
      <c r="K322" s="131">
        <v>91</v>
      </c>
      <c r="L322" s="145">
        <v>20</v>
      </c>
      <c r="M322" s="307"/>
      <c r="N322" s="131"/>
      <c r="O322" s="145"/>
      <c r="P322" s="307"/>
    </row>
    <row r="323" spans="1:16" x14ac:dyDescent="0.2">
      <c r="A323" s="141" t="s">
        <v>3963</v>
      </c>
      <c r="B323" s="131">
        <v>67654</v>
      </c>
      <c r="C323" s="145">
        <v>90</v>
      </c>
      <c r="D323" s="307"/>
      <c r="E323" s="131">
        <v>18553</v>
      </c>
      <c r="F323" s="145">
        <v>80</v>
      </c>
      <c r="G323" s="307"/>
      <c r="H323" s="131">
        <v>18533</v>
      </c>
      <c r="I323" s="145">
        <v>80</v>
      </c>
      <c r="J323" s="307"/>
      <c r="K323" s="131">
        <v>49121</v>
      </c>
      <c r="L323" s="145">
        <v>10</v>
      </c>
      <c r="M323" s="307"/>
      <c r="N323" s="131"/>
      <c r="O323" s="145"/>
      <c r="P323" s="307"/>
    </row>
    <row r="324" spans="1:16" x14ac:dyDescent="0.2">
      <c r="A324" s="1114" t="s">
        <v>3906</v>
      </c>
      <c r="B324" s="240">
        <v>112374</v>
      </c>
      <c r="C324" s="318">
        <v>90</v>
      </c>
      <c r="D324" s="513"/>
      <c r="E324" s="240">
        <v>62816</v>
      </c>
      <c r="F324" s="318">
        <v>90</v>
      </c>
      <c r="G324" s="513"/>
      <c r="H324" s="240">
        <v>62816</v>
      </c>
      <c r="I324" s="318">
        <v>90</v>
      </c>
      <c r="J324" s="513"/>
      <c r="K324" s="240">
        <v>49558</v>
      </c>
      <c r="L324" s="318"/>
      <c r="M324" s="513"/>
      <c r="N324" s="240"/>
      <c r="O324" s="318"/>
      <c r="P324" s="513"/>
    </row>
    <row r="325" spans="1:16" x14ac:dyDescent="0.2">
      <c r="A325" s="1114"/>
      <c r="B325" s="246">
        <f>+SUM(B317:B323)</f>
        <v>112374</v>
      </c>
      <c r="C325" s="246">
        <f t="shared" ref="C325:P325" si="12">+SUM(C317:C323)</f>
        <v>90</v>
      </c>
      <c r="D325" s="246">
        <f t="shared" si="12"/>
        <v>0</v>
      </c>
      <c r="E325" s="246">
        <f t="shared" si="12"/>
        <v>62833</v>
      </c>
      <c r="F325" s="246">
        <f t="shared" si="12"/>
        <v>390</v>
      </c>
      <c r="G325" s="246">
        <f t="shared" si="12"/>
        <v>0</v>
      </c>
      <c r="H325" s="246">
        <f t="shared" si="12"/>
        <v>62813</v>
      </c>
      <c r="I325" s="246">
        <f t="shared" si="12"/>
        <v>390</v>
      </c>
      <c r="J325" s="246">
        <f t="shared" si="12"/>
        <v>0</v>
      </c>
      <c r="K325" s="246">
        <f t="shared" si="12"/>
        <v>49556</v>
      </c>
      <c r="L325" s="246">
        <f t="shared" si="12"/>
        <v>200</v>
      </c>
      <c r="M325" s="246">
        <f t="shared" si="12"/>
        <v>0</v>
      </c>
      <c r="N325" s="246">
        <f t="shared" si="12"/>
        <v>0</v>
      </c>
      <c r="O325" s="246">
        <f t="shared" si="12"/>
        <v>0</v>
      </c>
      <c r="P325" s="246">
        <f t="shared" si="12"/>
        <v>0</v>
      </c>
    </row>
    <row r="326" spans="1:16" ht="23" customHeight="1" x14ac:dyDescent="0.2">
      <c r="A326" s="838" t="s">
        <v>2794</v>
      </c>
      <c r="B326" s="838"/>
      <c r="C326" s="838"/>
      <c r="D326" s="838"/>
      <c r="E326" s="838"/>
      <c r="F326" s="838"/>
      <c r="G326" s="838"/>
      <c r="H326" s="838"/>
      <c r="I326" s="838"/>
      <c r="J326" s="838"/>
      <c r="K326" s="838"/>
      <c r="L326" s="838"/>
      <c r="M326" s="838"/>
      <c r="N326" s="838"/>
      <c r="O326" s="838"/>
      <c r="P326" s="838"/>
    </row>
    <row r="327" spans="1:16" ht="26.5" customHeight="1" x14ac:dyDescent="0.2">
      <c r="A327" s="751" t="s">
        <v>3887</v>
      </c>
      <c r="B327" s="977" t="s">
        <v>3888</v>
      </c>
      <c r="C327" s="977"/>
      <c r="D327" s="977"/>
      <c r="E327" s="977" t="s">
        <v>3889</v>
      </c>
      <c r="F327" s="977"/>
      <c r="G327" s="977"/>
      <c r="H327" s="977" t="s">
        <v>3890</v>
      </c>
      <c r="I327" s="977"/>
      <c r="J327" s="977"/>
      <c r="K327" s="977" t="s">
        <v>3891</v>
      </c>
      <c r="L327" s="977"/>
      <c r="M327" s="977"/>
      <c r="N327" s="977" t="s">
        <v>3892</v>
      </c>
      <c r="O327" s="977"/>
      <c r="P327" s="977"/>
    </row>
    <row r="328" spans="1:16" x14ac:dyDescent="0.2">
      <c r="A328" s="107" t="s">
        <v>3964</v>
      </c>
      <c r="B328" s="349">
        <v>2000</v>
      </c>
      <c r="C328" s="350"/>
      <c r="D328" s="717"/>
      <c r="E328" s="349">
        <v>3</v>
      </c>
      <c r="F328" s="350">
        <v>80</v>
      </c>
      <c r="G328" s="717"/>
      <c r="H328" s="349">
        <v>3</v>
      </c>
      <c r="I328" s="350">
        <v>80</v>
      </c>
      <c r="J328" s="717"/>
      <c r="K328" s="349">
        <v>1996</v>
      </c>
      <c r="L328" s="350">
        <v>20</v>
      </c>
      <c r="M328" s="717"/>
      <c r="N328" s="349"/>
      <c r="O328" s="350"/>
      <c r="P328" s="717"/>
    </row>
    <row r="329" spans="1:16" x14ac:dyDescent="0.2">
      <c r="A329" s="107" t="s">
        <v>3965</v>
      </c>
      <c r="B329" s="131">
        <v>400</v>
      </c>
      <c r="C329" s="145"/>
      <c r="D329" s="307"/>
      <c r="E329" s="131">
        <v>3</v>
      </c>
      <c r="F329" s="145">
        <v>20</v>
      </c>
      <c r="G329" s="307"/>
      <c r="H329" s="131">
        <v>3</v>
      </c>
      <c r="I329" s="145">
        <v>20</v>
      </c>
      <c r="J329" s="307"/>
      <c r="K329" s="131">
        <v>396</v>
      </c>
      <c r="L329" s="145">
        <v>80</v>
      </c>
      <c r="M329" s="307"/>
      <c r="N329" s="131"/>
      <c r="O329" s="145"/>
      <c r="P329" s="307"/>
    </row>
    <row r="330" spans="1:16" x14ac:dyDescent="0.2">
      <c r="A330" s="107" t="s">
        <v>3915</v>
      </c>
      <c r="B330" s="131">
        <v>4233</v>
      </c>
      <c r="C330" s="145">
        <v>30</v>
      </c>
      <c r="D330" s="307"/>
      <c r="E330" s="131">
        <v>4201</v>
      </c>
      <c r="F330" s="145">
        <v>30</v>
      </c>
      <c r="G330" s="307"/>
      <c r="H330" s="131">
        <v>4201</v>
      </c>
      <c r="I330" s="145">
        <v>30</v>
      </c>
      <c r="J330" s="307"/>
      <c r="K330" s="131">
        <v>32</v>
      </c>
      <c r="L330" s="145"/>
      <c r="M330" s="307"/>
      <c r="N330" s="131"/>
      <c r="O330" s="145"/>
      <c r="P330" s="307"/>
    </row>
    <row r="331" spans="1:16" x14ac:dyDescent="0.2">
      <c r="A331" s="141" t="s">
        <v>3966</v>
      </c>
      <c r="B331" s="131">
        <v>2400</v>
      </c>
      <c r="C331" s="145"/>
      <c r="D331" s="307"/>
      <c r="E331" s="131"/>
      <c r="F331" s="145"/>
      <c r="G331" s="307"/>
      <c r="H331" s="131"/>
      <c r="I331" s="145"/>
      <c r="J331" s="307"/>
      <c r="K331" s="131">
        <v>2400</v>
      </c>
      <c r="L331" s="145"/>
      <c r="M331" s="307"/>
      <c r="N331" s="131"/>
      <c r="O331" s="145"/>
      <c r="P331" s="307"/>
    </row>
    <row r="332" spans="1:16" x14ac:dyDescent="0.2">
      <c r="A332" s="1114" t="s">
        <v>3906</v>
      </c>
      <c r="B332" s="240">
        <v>9033</v>
      </c>
      <c r="C332" s="318">
        <v>30</v>
      </c>
      <c r="D332" s="513"/>
      <c r="E332" s="240">
        <v>4208</v>
      </c>
      <c r="F332" s="318">
        <v>30</v>
      </c>
      <c r="G332" s="513"/>
      <c r="H332" s="240">
        <v>4208</v>
      </c>
      <c r="I332" s="318">
        <v>30</v>
      </c>
      <c r="J332" s="513"/>
      <c r="K332" s="240">
        <v>4825</v>
      </c>
      <c r="L332" s="318"/>
      <c r="M332" s="513"/>
      <c r="N332" s="240"/>
      <c r="O332" s="318"/>
      <c r="P332" s="513"/>
    </row>
    <row r="333" spans="1:16" x14ac:dyDescent="0.2">
      <c r="A333" s="1114"/>
      <c r="B333" s="246">
        <f>+SUM(B328:B331)</f>
        <v>9033</v>
      </c>
      <c r="C333" s="246">
        <f t="shared" ref="C333:P333" si="13">+SUM(C328:C331)</f>
        <v>30</v>
      </c>
      <c r="D333" s="246">
        <f t="shared" si="13"/>
        <v>0</v>
      </c>
      <c r="E333" s="246">
        <f t="shared" si="13"/>
        <v>4207</v>
      </c>
      <c r="F333" s="246">
        <f t="shared" si="13"/>
        <v>130</v>
      </c>
      <c r="G333" s="246">
        <f t="shared" si="13"/>
        <v>0</v>
      </c>
      <c r="H333" s="246">
        <f t="shared" si="13"/>
        <v>4207</v>
      </c>
      <c r="I333" s="246">
        <f t="shared" si="13"/>
        <v>130</v>
      </c>
      <c r="J333" s="246">
        <f t="shared" si="13"/>
        <v>0</v>
      </c>
      <c r="K333" s="246">
        <f t="shared" si="13"/>
        <v>4824</v>
      </c>
      <c r="L333" s="246">
        <f t="shared" si="13"/>
        <v>100</v>
      </c>
      <c r="M333" s="246">
        <f t="shared" si="13"/>
        <v>0</v>
      </c>
      <c r="N333" s="246">
        <f t="shared" si="13"/>
        <v>0</v>
      </c>
      <c r="O333" s="246">
        <f t="shared" si="13"/>
        <v>0</v>
      </c>
      <c r="P333" s="246">
        <f t="shared" si="13"/>
        <v>0</v>
      </c>
    </row>
    <row r="334" spans="1:16" ht="29.5" customHeight="1" x14ac:dyDescent="0.2">
      <c r="A334" s="838" t="s">
        <v>3967</v>
      </c>
      <c r="B334" s="838"/>
      <c r="C334" s="838"/>
      <c r="D334" s="838"/>
      <c r="E334" s="838"/>
      <c r="F334" s="838"/>
      <c r="G334" s="838"/>
      <c r="H334" s="838"/>
      <c r="I334" s="838"/>
      <c r="J334" s="838"/>
      <c r="K334" s="838"/>
      <c r="L334" s="838"/>
      <c r="M334" s="838"/>
      <c r="N334" s="838"/>
      <c r="O334" s="838"/>
      <c r="P334" s="838"/>
    </row>
    <row r="335" spans="1:16" ht="33.5" customHeight="1" x14ac:dyDescent="0.2">
      <c r="A335" s="751" t="s">
        <v>3887</v>
      </c>
      <c r="B335" s="977" t="s">
        <v>3888</v>
      </c>
      <c r="C335" s="977"/>
      <c r="D335" s="977"/>
      <c r="E335" s="977" t="s">
        <v>3889</v>
      </c>
      <c r="F335" s="977"/>
      <c r="G335" s="977"/>
      <c r="H335" s="977" t="s">
        <v>3890</v>
      </c>
      <c r="I335" s="977"/>
      <c r="J335" s="977"/>
      <c r="K335" s="977" t="s">
        <v>3891</v>
      </c>
      <c r="L335" s="977"/>
      <c r="M335" s="977"/>
      <c r="N335" s="977" t="s">
        <v>3892</v>
      </c>
      <c r="O335" s="977"/>
      <c r="P335" s="977"/>
    </row>
    <row r="336" spans="1:16" x14ac:dyDescent="0.2">
      <c r="A336" s="107" t="s">
        <v>3968</v>
      </c>
      <c r="B336" s="349">
        <v>86500</v>
      </c>
      <c r="C336" s="350"/>
      <c r="D336" s="717"/>
      <c r="E336" s="349">
        <v>39308</v>
      </c>
      <c r="F336" s="350">
        <v>65</v>
      </c>
      <c r="G336" s="717"/>
      <c r="H336" s="349">
        <v>39308</v>
      </c>
      <c r="I336" s="350">
        <v>65</v>
      </c>
      <c r="J336" s="717"/>
      <c r="K336" s="349">
        <v>47191</v>
      </c>
      <c r="L336" s="350">
        <v>35</v>
      </c>
      <c r="M336" s="717"/>
      <c r="N336" s="349"/>
      <c r="O336" s="350"/>
      <c r="P336" s="717"/>
    </row>
    <row r="337" spans="1:16" x14ac:dyDescent="0.2">
      <c r="A337" s="107" t="s">
        <v>3969</v>
      </c>
      <c r="B337" s="131">
        <v>52100</v>
      </c>
      <c r="C337" s="145"/>
      <c r="D337" s="307"/>
      <c r="E337" s="131">
        <v>9136</v>
      </c>
      <c r="F337" s="145">
        <v>55</v>
      </c>
      <c r="G337" s="307"/>
      <c r="H337" s="131">
        <v>9136</v>
      </c>
      <c r="I337" s="145">
        <v>55</v>
      </c>
      <c r="J337" s="307"/>
      <c r="K337" s="131">
        <v>42963</v>
      </c>
      <c r="L337" s="145">
        <v>45</v>
      </c>
      <c r="M337" s="307"/>
      <c r="N337" s="131"/>
      <c r="O337" s="145"/>
      <c r="P337" s="307"/>
    </row>
    <row r="338" spans="1:16" x14ac:dyDescent="0.2">
      <c r="A338" s="1114" t="s">
        <v>3906</v>
      </c>
      <c r="B338" s="240">
        <v>138600</v>
      </c>
      <c r="C338" s="318"/>
      <c r="D338" s="513"/>
      <c r="E338" s="240">
        <v>48445</v>
      </c>
      <c r="F338" s="318">
        <v>20</v>
      </c>
      <c r="G338" s="513"/>
      <c r="H338" s="240">
        <v>48445</v>
      </c>
      <c r="I338" s="318">
        <v>20</v>
      </c>
      <c r="J338" s="513"/>
      <c r="K338" s="240">
        <v>90154</v>
      </c>
      <c r="L338" s="318">
        <v>80</v>
      </c>
      <c r="M338" s="513"/>
      <c r="N338" s="240"/>
      <c r="O338" s="318"/>
      <c r="P338" s="513"/>
    </row>
    <row r="339" spans="1:16" x14ac:dyDescent="0.2">
      <c r="A339" s="1114"/>
      <c r="B339" s="1117">
        <f>+SUM(B336:B337)</f>
        <v>138600</v>
      </c>
      <c r="C339" s="1117">
        <f t="shared" ref="C339:P339" si="14">+SUM(C336:C337)</f>
        <v>0</v>
      </c>
      <c r="D339" s="1117">
        <f t="shared" si="14"/>
        <v>0</v>
      </c>
      <c r="E339" s="1117">
        <f t="shared" si="14"/>
        <v>48444</v>
      </c>
      <c r="F339" s="1117">
        <f t="shared" si="14"/>
        <v>120</v>
      </c>
      <c r="G339" s="1117">
        <f t="shared" si="14"/>
        <v>0</v>
      </c>
      <c r="H339" s="1117">
        <f t="shared" si="14"/>
        <v>48444</v>
      </c>
      <c r="I339" s="1117">
        <f t="shared" si="14"/>
        <v>120</v>
      </c>
      <c r="J339" s="1117">
        <f t="shared" si="14"/>
        <v>0</v>
      </c>
      <c r="K339" s="1117">
        <f t="shared" si="14"/>
        <v>90154</v>
      </c>
      <c r="L339" s="1117">
        <f t="shared" si="14"/>
        <v>80</v>
      </c>
      <c r="M339" s="1117">
        <f t="shared" si="14"/>
        <v>0</v>
      </c>
      <c r="N339" s="1117">
        <f t="shared" si="14"/>
        <v>0</v>
      </c>
      <c r="O339" s="1117">
        <f t="shared" si="14"/>
        <v>0</v>
      </c>
      <c r="P339" s="1117">
        <f t="shared" si="14"/>
        <v>0</v>
      </c>
    </row>
    <row r="340" spans="1:16" ht="35" customHeight="1" x14ac:dyDescent="0.2">
      <c r="A340" s="875" t="s">
        <v>3970</v>
      </c>
      <c r="B340" s="876"/>
      <c r="C340" s="876"/>
      <c r="D340" s="876"/>
      <c r="E340" s="876"/>
      <c r="F340" s="876"/>
      <c r="G340" s="876"/>
      <c r="H340" s="876"/>
      <c r="I340" s="876"/>
      <c r="J340" s="876"/>
      <c r="K340" s="876"/>
      <c r="L340" s="876"/>
      <c r="M340" s="876"/>
      <c r="N340" s="876"/>
      <c r="O340" s="876"/>
      <c r="P340" s="877"/>
    </row>
    <row r="341" spans="1:16" ht="30.5" customHeight="1" x14ac:dyDescent="0.2">
      <c r="A341" s="751" t="s">
        <v>3971</v>
      </c>
      <c r="B341" s="977" t="s">
        <v>3888</v>
      </c>
      <c r="C341" s="977"/>
      <c r="D341" s="977"/>
      <c r="E341" s="977" t="s">
        <v>3889</v>
      </c>
      <c r="F341" s="977"/>
      <c r="G341" s="977"/>
      <c r="H341" s="977" t="s">
        <v>3890</v>
      </c>
      <c r="I341" s="977"/>
      <c r="J341" s="977"/>
      <c r="K341" s="977" t="s">
        <v>3891</v>
      </c>
      <c r="L341" s="977"/>
      <c r="M341" s="977"/>
      <c r="N341" s="977" t="s">
        <v>3892</v>
      </c>
      <c r="O341" s="977"/>
      <c r="P341" s="977"/>
    </row>
    <row r="342" spans="1:16" x14ac:dyDescent="0.2">
      <c r="A342" s="107" t="s">
        <v>3972</v>
      </c>
      <c r="B342" s="349">
        <v>290872</v>
      </c>
      <c r="C342" s="350">
        <v>55</v>
      </c>
      <c r="D342" s="352"/>
      <c r="E342" s="349">
        <v>247823</v>
      </c>
      <c r="F342" s="350">
        <v>60</v>
      </c>
      <c r="G342" s="352"/>
      <c r="H342" s="349">
        <v>242481</v>
      </c>
      <c r="I342" s="350">
        <v>60</v>
      </c>
      <c r="J342" s="352"/>
      <c r="K342" s="349">
        <v>43048</v>
      </c>
      <c r="L342" s="350">
        <v>95</v>
      </c>
      <c r="M342" s="352"/>
      <c r="N342" s="349">
        <v>5342</v>
      </c>
      <c r="O342" s="350"/>
      <c r="P342" s="352"/>
    </row>
    <row r="343" spans="1:16" x14ac:dyDescent="0.2">
      <c r="A343" s="107" t="s">
        <v>3973</v>
      </c>
      <c r="B343" s="131">
        <v>27850</v>
      </c>
      <c r="C343" s="145">
        <v>60</v>
      </c>
      <c r="D343" s="133"/>
      <c r="E343" s="131">
        <v>21690</v>
      </c>
      <c r="F343" s="145">
        <v>35</v>
      </c>
      <c r="G343" s="133"/>
      <c r="H343" s="131">
        <v>21690</v>
      </c>
      <c r="I343" s="145">
        <v>35</v>
      </c>
      <c r="J343" s="133"/>
      <c r="K343" s="131">
        <v>6160</v>
      </c>
      <c r="L343" s="145">
        <v>25</v>
      </c>
      <c r="M343" s="133"/>
      <c r="N343" s="131"/>
      <c r="O343" s="145"/>
      <c r="P343" s="133"/>
    </row>
    <row r="344" spans="1:16" x14ac:dyDescent="0.2">
      <c r="A344" s="107" t="s">
        <v>3974</v>
      </c>
      <c r="B344" s="131">
        <v>71989</v>
      </c>
      <c r="C344" s="145">
        <v>60</v>
      </c>
      <c r="D344" s="133"/>
      <c r="E344" s="131">
        <v>55446</v>
      </c>
      <c r="F344" s="145">
        <v>55</v>
      </c>
      <c r="G344" s="133"/>
      <c r="H344" s="131">
        <v>55446</v>
      </c>
      <c r="I344" s="145">
        <v>55</v>
      </c>
      <c r="J344" s="133"/>
      <c r="K344" s="131">
        <v>16543</v>
      </c>
      <c r="L344" s="145">
        <v>5</v>
      </c>
      <c r="M344" s="133"/>
      <c r="N344" s="131"/>
      <c r="O344" s="145"/>
      <c r="P344" s="133"/>
    </row>
    <row r="345" spans="1:16" x14ac:dyDescent="0.2">
      <c r="A345" s="141" t="s">
        <v>3975</v>
      </c>
      <c r="B345" s="131">
        <v>380844</v>
      </c>
      <c r="C345" s="145">
        <v>17</v>
      </c>
      <c r="D345" s="133">
        <v>0.5</v>
      </c>
      <c r="E345" s="131">
        <v>155547</v>
      </c>
      <c r="F345" s="145">
        <v>95</v>
      </c>
      <c r="G345" s="133"/>
      <c r="H345" s="131">
        <v>155334</v>
      </c>
      <c r="I345" s="145">
        <v>75</v>
      </c>
      <c r="J345" s="133"/>
      <c r="K345" s="131">
        <v>225296</v>
      </c>
      <c r="L345" s="145">
        <v>22</v>
      </c>
      <c r="M345" s="133">
        <v>0.5</v>
      </c>
      <c r="N345" s="131">
        <v>213</v>
      </c>
      <c r="O345" s="145">
        <v>20</v>
      </c>
      <c r="P345" s="133"/>
    </row>
    <row r="346" spans="1:16" x14ac:dyDescent="0.2">
      <c r="A346" s="141" t="s">
        <v>3976</v>
      </c>
      <c r="B346" s="131">
        <v>292854</v>
      </c>
      <c r="C346" s="145">
        <v>20</v>
      </c>
      <c r="D346" s="133"/>
      <c r="E346" s="131">
        <v>85480</v>
      </c>
      <c r="F346" s="145">
        <v>90</v>
      </c>
      <c r="G346" s="133"/>
      <c r="H346" s="131">
        <v>77750</v>
      </c>
      <c r="I346" s="145">
        <v>90</v>
      </c>
      <c r="J346" s="133"/>
      <c r="K346" s="131">
        <v>207373</v>
      </c>
      <c r="L346" s="145">
        <v>30</v>
      </c>
      <c r="M346" s="133"/>
      <c r="N346" s="131">
        <v>7730</v>
      </c>
      <c r="O346" s="145"/>
      <c r="P346" s="133"/>
    </row>
    <row r="347" spans="1:16" x14ac:dyDescent="0.2">
      <c r="A347" s="141" t="s">
        <v>3977</v>
      </c>
      <c r="B347" s="131"/>
      <c r="C347" s="145"/>
      <c r="D347" s="133"/>
      <c r="E347" s="131"/>
      <c r="F347" s="145"/>
      <c r="G347" s="133"/>
      <c r="H347" s="131"/>
      <c r="I347" s="145"/>
      <c r="J347" s="133"/>
      <c r="K347" s="131"/>
      <c r="L347" s="145"/>
      <c r="M347" s="133"/>
      <c r="N347" s="131"/>
      <c r="O347" s="145"/>
      <c r="P347" s="133"/>
    </row>
    <row r="348" spans="1:16" x14ac:dyDescent="0.2">
      <c r="A348" s="141" t="s">
        <v>3978</v>
      </c>
      <c r="B348" s="131">
        <v>1683499</v>
      </c>
      <c r="C348" s="145">
        <v>4</v>
      </c>
      <c r="D348" s="133">
        <v>0.5</v>
      </c>
      <c r="E348" s="131">
        <v>1274174</v>
      </c>
      <c r="F348" s="145">
        <v>55</v>
      </c>
      <c r="G348" s="133"/>
      <c r="H348" s="131">
        <v>1273533</v>
      </c>
      <c r="I348" s="145">
        <v>50</v>
      </c>
      <c r="J348" s="133"/>
      <c r="K348" s="131">
        <v>409324</v>
      </c>
      <c r="L348" s="145">
        <v>49</v>
      </c>
      <c r="M348" s="133">
        <v>0.5</v>
      </c>
      <c r="N348" s="131">
        <v>641</v>
      </c>
      <c r="O348" s="145">
        <v>5</v>
      </c>
      <c r="P348" s="133"/>
    </row>
    <row r="349" spans="1:16" x14ac:dyDescent="0.2">
      <c r="A349" s="141" t="s">
        <v>3979</v>
      </c>
      <c r="B349" s="131">
        <v>502232</v>
      </c>
      <c r="C349" s="145">
        <v>50</v>
      </c>
      <c r="D349" s="133"/>
      <c r="E349" s="131">
        <v>306407</v>
      </c>
      <c r="F349" s="145">
        <v>34</v>
      </c>
      <c r="G349" s="133"/>
      <c r="H349" s="131">
        <v>306407</v>
      </c>
      <c r="I349" s="145">
        <v>34</v>
      </c>
      <c r="J349" s="133"/>
      <c r="K349" s="131">
        <v>195825</v>
      </c>
      <c r="L349" s="145">
        <v>16</v>
      </c>
      <c r="M349" s="133"/>
      <c r="N349" s="131"/>
      <c r="O349" s="145"/>
      <c r="P349" s="133"/>
    </row>
    <row r="350" spans="1:16" x14ac:dyDescent="0.2">
      <c r="A350" s="141" t="s">
        <v>3980</v>
      </c>
      <c r="B350" s="131"/>
      <c r="C350" s="145"/>
      <c r="D350" s="133"/>
      <c r="E350" s="131"/>
      <c r="F350" s="145"/>
      <c r="G350" s="133"/>
      <c r="H350" s="131"/>
      <c r="I350" s="145"/>
      <c r="J350" s="133"/>
      <c r="K350" s="131"/>
      <c r="L350" s="145"/>
      <c r="M350" s="133"/>
      <c r="N350" s="131"/>
      <c r="O350" s="145"/>
      <c r="P350" s="133"/>
    </row>
    <row r="351" spans="1:16" x14ac:dyDescent="0.2">
      <c r="A351" s="141" t="s">
        <v>3981</v>
      </c>
      <c r="B351" s="131">
        <v>1470140</v>
      </c>
      <c r="C351" s="145">
        <v>17</v>
      </c>
      <c r="D351" s="133"/>
      <c r="E351" s="131">
        <v>739653</v>
      </c>
      <c r="F351" s="145">
        <v>70</v>
      </c>
      <c r="G351" s="133"/>
      <c r="H351" s="131">
        <v>739653</v>
      </c>
      <c r="I351" s="145">
        <v>70</v>
      </c>
      <c r="J351" s="133"/>
      <c r="K351" s="131">
        <v>730486</v>
      </c>
      <c r="L351" s="145">
        <v>47</v>
      </c>
      <c r="M351" s="133"/>
      <c r="N351" s="131"/>
      <c r="O351" s="145"/>
      <c r="P351" s="133"/>
    </row>
    <row r="352" spans="1:16" x14ac:dyDescent="0.2">
      <c r="A352" s="141" t="s">
        <v>3982</v>
      </c>
      <c r="B352" s="131">
        <v>2283383</v>
      </c>
      <c r="C352" s="145">
        <v>20</v>
      </c>
      <c r="D352" s="133"/>
      <c r="E352" s="131">
        <v>60105</v>
      </c>
      <c r="F352" s="145">
        <v>80</v>
      </c>
      <c r="G352" s="133"/>
      <c r="H352" s="131">
        <v>60105</v>
      </c>
      <c r="I352" s="145">
        <v>80</v>
      </c>
      <c r="J352" s="133"/>
      <c r="K352" s="131">
        <v>2223277</v>
      </c>
      <c r="L352" s="145">
        <v>40</v>
      </c>
      <c r="M352" s="133"/>
      <c r="N352" s="131"/>
      <c r="O352" s="145"/>
      <c r="P352" s="133"/>
    </row>
    <row r="353" spans="1:16" x14ac:dyDescent="0.2">
      <c r="A353" s="141" t="s">
        <v>3983</v>
      </c>
      <c r="B353" s="131"/>
      <c r="C353" s="145"/>
      <c r="D353" s="133"/>
      <c r="E353" s="131"/>
      <c r="F353" s="145"/>
      <c r="G353" s="133"/>
      <c r="H353" s="131"/>
      <c r="I353" s="145"/>
      <c r="J353" s="133"/>
      <c r="K353" s="131"/>
      <c r="L353" s="145"/>
      <c r="M353" s="133"/>
      <c r="N353" s="131"/>
      <c r="O353" s="145"/>
      <c r="P353" s="133"/>
    </row>
    <row r="354" spans="1:16" x14ac:dyDescent="0.2">
      <c r="A354" s="141" t="s">
        <v>1825</v>
      </c>
      <c r="B354" s="131">
        <v>1813721</v>
      </c>
      <c r="C354" s="145">
        <v>35</v>
      </c>
      <c r="D354" s="133"/>
      <c r="E354" s="131">
        <v>1163839</v>
      </c>
      <c r="F354" s="145">
        <v>55</v>
      </c>
      <c r="G354" s="133"/>
      <c r="H354" s="131">
        <v>1140057</v>
      </c>
      <c r="I354" s="145">
        <v>80</v>
      </c>
      <c r="J354" s="133"/>
      <c r="K354" s="131">
        <v>649881</v>
      </c>
      <c r="L354" s="145">
        <v>80</v>
      </c>
      <c r="M354" s="133"/>
      <c r="N354" s="131">
        <v>23781</v>
      </c>
      <c r="O354" s="145">
        <v>75</v>
      </c>
      <c r="P354" s="133"/>
    </row>
    <row r="355" spans="1:16" x14ac:dyDescent="0.2">
      <c r="A355" s="141" t="s">
        <v>3984</v>
      </c>
      <c r="B355" s="131">
        <v>112374</v>
      </c>
      <c r="C355" s="145">
        <v>90</v>
      </c>
      <c r="D355" s="133"/>
      <c r="E355" s="131">
        <v>62816</v>
      </c>
      <c r="F355" s="145">
        <v>90</v>
      </c>
      <c r="G355" s="133"/>
      <c r="H355" s="131">
        <v>62816</v>
      </c>
      <c r="I355" s="145">
        <v>90</v>
      </c>
      <c r="J355" s="133"/>
      <c r="K355" s="131">
        <v>49558</v>
      </c>
      <c r="L355" s="145"/>
      <c r="M355" s="133"/>
      <c r="N355" s="131"/>
      <c r="O355" s="145"/>
      <c r="P355" s="133"/>
    </row>
    <row r="356" spans="1:16" x14ac:dyDescent="0.2">
      <c r="A356" s="141" t="s">
        <v>3985</v>
      </c>
      <c r="B356" s="131">
        <v>9033</v>
      </c>
      <c r="C356" s="145">
        <v>30</v>
      </c>
      <c r="D356" s="133"/>
      <c r="E356" s="131">
        <v>4208</v>
      </c>
      <c r="F356" s="145">
        <v>30</v>
      </c>
      <c r="G356" s="133"/>
      <c r="H356" s="131">
        <v>4208</v>
      </c>
      <c r="I356" s="145">
        <v>30</v>
      </c>
      <c r="J356" s="133"/>
      <c r="K356" s="131">
        <v>4825</v>
      </c>
      <c r="L356" s="145"/>
      <c r="M356" s="133"/>
      <c r="N356" s="131"/>
      <c r="O356" s="145"/>
      <c r="P356" s="133"/>
    </row>
    <row r="357" spans="1:16" x14ac:dyDescent="0.2">
      <c r="A357" s="141" t="s">
        <v>3986</v>
      </c>
      <c r="B357" s="131">
        <v>138600</v>
      </c>
      <c r="C357" s="145"/>
      <c r="D357" s="133"/>
      <c r="E357" s="131">
        <v>48445</v>
      </c>
      <c r="F357" s="145">
        <v>20</v>
      </c>
      <c r="G357" s="133"/>
      <c r="H357" s="131">
        <v>48445</v>
      </c>
      <c r="I357" s="145">
        <v>20</v>
      </c>
      <c r="J357" s="133"/>
      <c r="K357" s="131">
        <v>90154</v>
      </c>
      <c r="L357" s="145">
        <v>80</v>
      </c>
      <c r="M357" s="133"/>
      <c r="N357" s="131"/>
      <c r="O357" s="145"/>
      <c r="P357" s="133"/>
    </row>
    <row r="358" spans="1:16" x14ac:dyDescent="0.2">
      <c r="A358" s="1114" t="s">
        <v>3987</v>
      </c>
      <c r="B358" s="240">
        <v>9077395</v>
      </c>
      <c r="C358" s="318">
        <v>59</v>
      </c>
      <c r="D358" s="241"/>
      <c r="E358" s="240">
        <v>4225640</v>
      </c>
      <c r="F358" s="318">
        <v>69</v>
      </c>
      <c r="G358" s="241"/>
      <c r="H358" s="240">
        <v>4187932</v>
      </c>
      <c r="I358" s="318">
        <v>69</v>
      </c>
      <c r="J358" s="241"/>
      <c r="K358" s="240">
        <v>4851754</v>
      </c>
      <c r="L358" s="318">
        <v>90</v>
      </c>
      <c r="M358" s="241"/>
      <c r="N358" s="240">
        <v>37708</v>
      </c>
      <c r="O358" s="318"/>
      <c r="P358" s="241"/>
    </row>
    <row r="359" spans="1:16" x14ac:dyDescent="0.2">
      <c r="A359" s="107"/>
      <c r="B359" s="393">
        <f>+SUM(B342:B357)</f>
        <v>9077391</v>
      </c>
      <c r="C359" s="393">
        <f t="shared" ref="C359:P359" si="15">+SUM(C342:C357)</f>
        <v>458</v>
      </c>
      <c r="D359" s="1078">
        <f t="shared" si="15"/>
        <v>1</v>
      </c>
      <c r="E359" s="393">
        <f t="shared" si="15"/>
        <v>4225633</v>
      </c>
      <c r="F359" s="393">
        <f t="shared" si="15"/>
        <v>769</v>
      </c>
      <c r="G359" s="1078">
        <f t="shared" si="15"/>
        <v>0</v>
      </c>
      <c r="H359" s="393">
        <f t="shared" si="15"/>
        <v>4187925</v>
      </c>
      <c r="I359" s="393">
        <f t="shared" si="15"/>
        <v>769</v>
      </c>
      <c r="J359" s="1078">
        <f t="shared" si="15"/>
        <v>0</v>
      </c>
      <c r="K359" s="393">
        <f t="shared" si="15"/>
        <v>4851750</v>
      </c>
      <c r="L359" s="393">
        <f t="shared" si="15"/>
        <v>489</v>
      </c>
      <c r="M359" s="1078">
        <f t="shared" si="15"/>
        <v>1</v>
      </c>
      <c r="N359" s="393">
        <f t="shared" si="15"/>
        <v>37707</v>
      </c>
      <c r="O359" s="393">
        <f t="shared" si="15"/>
        <v>100</v>
      </c>
      <c r="P359" s="1078">
        <f t="shared" si="15"/>
        <v>0</v>
      </c>
    </row>
    <row r="360" spans="1:16" x14ac:dyDescent="0.2">
      <c r="A360" s="107"/>
      <c r="B360" s="107"/>
      <c r="C360" s="107"/>
      <c r="D360" s="107"/>
      <c r="E360" s="107"/>
      <c r="F360" s="107"/>
      <c r="G360" s="107"/>
      <c r="H360" s="107"/>
      <c r="I360" s="107"/>
      <c r="J360" s="107"/>
      <c r="K360" s="107"/>
      <c r="L360" s="107"/>
      <c r="M360" s="107"/>
      <c r="N360" s="107"/>
      <c r="O360" s="107"/>
      <c r="P360" s="107"/>
    </row>
    <row r="361" spans="1:16" x14ac:dyDescent="0.2">
      <c r="A361" s="107"/>
      <c r="B361" s="107"/>
      <c r="C361" s="107"/>
      <c r="D361" s="107"/>
      <c r="E361" s="107"/>
      <c r="F361" s="107"/>
      <c r="G361" s="107"/>
      <c r="H361" s="107"/>
      <c r="I361" s="107"/>
      <c r="J361" s="107"/>
      <c r="K361" s="107"/>
      <c r="L361" s="107"/>
      <c r="M361" s="107"/>
      <c r="N361" s="107"/>
      <c r="O361" s="107"/>
      <c r="P361" s="107"/>
    </row>
    <row r="362" spans="1:16" x14ac:dyDescent="0.2">
      <c r="A362" s="526" t="s">
        <v>3988</v>
      </c>
      <c r="B362" s="107"/>
      <c r="C362" s="107"/>
      <c r="D362" s="107"/>
      <c r="E362" s="107"/>
      <c r="F362" s="107"/>
      <c r="G362" s="107"/>
      <c r="H362" s="107"/>
      <c r="I362" s="107"/>
      <c r="J362" s="107"/>
      <c r="K362" s="107"/>
      <c r="L362" s="107"/>
      <c r="M362" s="107"/>
      <c r="N362" s="107"/>
      <c r="O362" s="107"/>
      <c r="P362" s="107"/>
    </row>
    <row r="363" spans="1:16" ht="32.5" customHeight="1" x14ac:dyDescent="0.2">
      <c r="A363" s="1113" t="s">
        <v>3989</v>
      </c>
      <c r="B363" s="1113"/>
      <c r="C363" s="1113"/>
      <c r="D363" s="1113"/>
      <c r="E363" s="1113"/>
      <c r="F363" s="1113"/>
      <c r="G363" s="1113"/>
      <c r="H363" s="1113"/>
      <c r="I363" s="1113"/>
      <c r="J363" s="1113"/>
      <c r="K363" s="1113"/>
      <c r="L363" s="1113"/>
      <c r="M363" s="1113"/>
      <c r="N363" s="1113"/>
      <c r="O363" s="1113"/>
      <c r="P363" s="1113"/>
    </row>
    <row r="364" spans="1:16" ht="29.5" customHeight="1" x14ac:dyDescent="0.2">
      <c r="A364" s="838" t="s">
        <v>2798</v>
      </c>
      <c r="B364" s="838"/>
      <c r="C364" s="838"/>
      <c r="D364" s="838"/>
      <c r="E364" s="838"/>
      <c r="F364" s="838"/>
      <c r="G364" s="838"/>
      <c r="H364" s="838"/>
      <c r="I364" s="838"/>
      <c r="J364" s="838"/>
      <c r="K364" s="838"/>
      <c r="L364" s="838"/>
      <c r="M364" s="838"/>
      <c r="N364" s="838"/>
      <c r="O364" s="838"/>
      <c r="P364" s="838"/>
    </row>
    <row r="365" spans="1:16" ht="33" customHeight="1" x14ac:dyDescent="0.2">
      <c r="A365" s="806" t="s">
        <v>3887</v>
      </c>
      <c r="B365" s="977" t="s">
        <v>3888</v>
      </c>
      <c r="C365" s="977"/>
      <c r="D365" s="977"/>
      <c r="E365" s="977" t="s">
        <v>3889</v>
      </c>
      <c r="F365" s="977"/>
      <c r="G365" s="977"/>
      <c r="H365" s="977" t="s">
        <v>3890</v>
      </c>
      <c r="I365" s="977"/>
      <c r="J365" s="977"/>
      <c r="K365" s="977" t="s">
        <v>3990</v>
      </c>
      <c r="L365" s="977"/>
      <c r="M365" s="977"/>
      <c r="N365" s="977" t="s">
        <v>3892</v>
      </c>
      <c r="O365" s="977"/>
      <c r="P365" s="977"/>
    </row>
    <row r="366" spans="1:16" x14ac:dyDescent="0.2">
      <c r="A366" s="107" t="s">
        <v>3893</v>
      </c>
      <c r="B366" s="131">
        <v>42070</v>
      </c>
      <c r="C366" s="145">
        <v>85</v>
      </c>
      <c r="D366" s="307"/>
      <c r="E366" s="131">
        <v>29242</v>
      </c>
      <c r="F366" s="145">
        <v>55</v>
      </c>
      <c r="G366" s="307"/>
      <c r="H366" s="131">
        <v>29242</v>
      </c>
      <c r="I366" s="145">
        <v>55</v>
      </c>
      <c r="J366" s="307"/>
      <c r="K366" s="131">
        <v>12828</v>
      </c>
      <c r="L366" s="145">
        <v>30</v>
      </c>
      <c r="M366" s="307"/>
      <c r="N366" s="131"/>
      <c r="O366" s="145"/>
      <c r="P366" s="307"/>
    </row>
    <row r="367" spans="1:16" x14ac:dyDescent="0.2">
      <c r="A367" s="107" t="s">
        <v>3894</v>
      </c>
      <c r="B367" s="131">
        <v>600</v>
      </c>
      <c r="C367" s="145"/>
      <c r="D367" s="307"/>
      <c r="E367" s="131">
        <v>259</v>
      </c>
      <c r="F367" s="145">
        <v>90</v>
      </c>
      <c r="G367" s="307"/>
      <c r="H367" s="131">
        <v>210</v>
      </c>
      <c r="I367" s="145">
        <v>10</v>
      </c>
      <c r="J367" s="307"/>
      <c r="K367" s="131">
        <v>340</v>
      </c>
      <c r="L367" s="145" t="s">
        <v>3991</v>
      </c>
      <c r="M367" s="307"/>
      <c r="N367" s="131">
        <v>49</v>
      </c>
      <c r="O367" s="145">
        <v>80</v>
      </c>
      <c r="P367" s="307"/>
    </row>
    <row r="368" spans="1:16" x14ac:dyDescent="0.2">
      <c r="A368" s="107" t="s">
        <v>3895</v>
      </c>
      <c r="B368" s="131">
        <v>87796</v>
      </c>
      <c r="C368" s="145">
        <v>5</v>
      </c>
      <c r="D368" s="307"/>
      <c r="E368" s="131">
        <v>67002</v>
      </c>
      <c r="F368" s="145">
        <v>85</v>
      </c>
      <c r="G368" s="307"/>
      <c r="H368" s="131">
        <v>67002</v>
      </c>
      <c r="I368" s="145">
        <v>85</v>
      </c>
      <c r="J368" s="307"/>
      <c r="K368" s="131">
        <v>20793</v>
      </c>
      <c r="L368" s="145">
        <v>20</v>
      </c>
      <c r="M368" s="307"/>
      <c r="N368" s="131"/>
      <c r="O368" s="145"/>
      <c r="P368" s="307"/>
    </row>
    <row r="369" spans="1:16" x14ac:dyDescent="0.2">
      <c r="A369" s="141" t="s">
        <v>3896</v>
      </c>
      <c r="B369" s="131">
        <v>600</v>
      </c>
      <c r="C369" s="145"/>
      <c r="D369" s="307"/>
      <c r="E369" s="131">
        <v>351</v>
      </c>
      <c r="F369" s="145">
        <v>80</v>
      </c>
      <c r="G369" s="307"/>
      <c r="H369" s="131">
        <v>342</v>
      </c>
      <c r="I369" s="145">
        <v>20</v>
      </c>
      <c r="J369" s="307"/>
      <c r="K369" s="131">
        <v>248</v>
      </c>
      <c r="L369" s="145">
        <v>20</v>
      </c>
      <c r="M369" s="307"/>
      <c r="N369" s="131">
        <v>9</v>
      </c>
      <c r="O369" s="145">
        <v>60</v>
      </c>
      <c r="P369" s="307"/>
    </row>
    <row r="370" spans="1:16" x14ac:dyDescent="0.2">
      <c r="A370" s="141" t="s">
        <v>3897</v>
      </c>
      <c r="B370" s="131">
        <v>114094</v>
      </c>
      <c r="C370" s="145"/>
      <c r="D370" s="307"/>
      <c r="E370" s="131">
        <v>95259</v>
      </c>
      <c r="F370" s="145"/>
      <c r="G370" s="307"/>
      <c r="H370" s="131">
        <v>88389</v>
      </c>
      <c r="I370" s="145"/>
      <c r="J370" s="307"/>
      <c r="K370" s="131">
        <v>18835</v>
      </c>
      <c r="L370" s="145"/>
      <c r="M370" s="307"/>
      <c r="N370" s="131">
        <v>6870</v>
      </c>
      <c r="O370" s="145"/>
      <c r="P370" s="307"/>
    </row>
    <row r="371" spans="1:16" x14ac:dyDescent="0.2">
      <c r="A371" s="141" t="s">
        <v>3898</v>
      </c>
      <c r="B371" s="131">
        <v>19512</v>
      </c>
      <c r="C371" s="145"/>
      <c r="D371" s="307"/>
      <c r="E371" s="131">
        <v>13512</v>
      </c>
      <c r="F371" s="145"/>
      <c r="G371" s="307"/>
      <c r="H371" s="131">
        <v>13512</v>
      </c>
      <c r="I371" s="145"/>
      <c r="J371" s="307"/>
      <c r="K371" s="131">
        <v>6000</v>
      </c>
      <c r="L371" s="145"/>
      <c r="M371" s="307"/>
      <c r="N371" s="131"/>
      <c r="O371" s="145"/>
      <c r="P371" s="307"/>
    </row>
    <row r="372" spans="1:16" x14ac:dyDescent="0.2">
      <c r="A372" s="141" t="s">
        <v>3899</v>
      </c>
      <c r="B372" s="131">
        <v>19580</v>
      </c>
      <c r="C372" s="145"/>
      <c r="D372" s="307"/>
      <c r="E372" s="131">
        <v>18777</v>
      </c>
      <c r="F372" s="145">
        <v>80</v>
      </c>
      <c r="G372" s="307"/>
      <c r="H372" s="131">
        <v>18777</v>
      </c>
      <c r="I372" s="145">
        <v>80</v>
      </c>
      <c r="J372" s="307"/>
      <c r="K372" s="131">
        <v>802</v>
      </c>
      <c r="L372" s="145">
        <v>20</v>
      </c>
      <c r="M372" s="307"/>
      <c r="N372" s="131"/>
      <c r="O372" s="145"/>
      <c r="P372" s="307"/>
    </row>
    <row r="373" spans="1:16" x14ac:dyDescent="0.2">
      <c r="A373" s="141" t="s">
        <v>3900</v>
      </c>
      <c r="B373" s="131">
        <v>672</v>
      </c>
      <c r="C373" s="145"/>
      <c r="D373" s="307"/>
      <c r="E373" s="131">
        <v>645</v>
      </c>
      <c r="F373" s="145">
        <v>40</v>
      </c>
      <c r="G373" s="307"/>
      <c r="H373" s="131">
        <v>645</v>
      </c>
      <c r="I373" s="145">
        <v>40</v>
      </c>
      <c r="J373" s="307"/>
      <c r="K373" s="131">
        <v>26</v>
      </c>
      <c r="L373" s="145">
        <v>60</v>
      </c>
      <c r="M373" s="307"/>
      <c r="N373" s="131"/>
      <c r="O373" s="145"/>
      <c r="P373" s="307"/>
    </row>
    <row r="374" spans="1:16" x14ac:dyDescent="0.2">
      <c r="A374" s="141" t="s">
        <v>3901</v>
      </c>
      <c r="B374" s="131">
        <v>20000</v>
      </c>
      <c r="C374" s="145"/>
      <c r="D374" s="307"/>
      <c r="E374" s="131">
        <v>19938</v>
      </c>
      <c r="F374" s="145">
        <v>85</v>
      </c>
      <c r="G374" s="307"/>
      <c r="H374" s="131">
        <v>17555</v>
      </c>
      <c r="I374" s="145">
        <v>70</v>
      </c>
      <c r="J374" s="307"/>
      <c r="K374" s="131">
        <v>61</v>
      </c>
      <c r="L374" s="145">
        <v>15</v>
      </c>
      <c r="M374" s="307"/>
      <c r="N374" s="131">
        <v>2383</v>
      </c>
      <c r="O374" s="145">
        <v>15</v>
      </c>
      <c r="P374" s="307"/>
    </row>
    <row r="375" spans="1:16" x14ac:dyDescent="0.2">
      <c r="A375" s="141" t="s">
        <v>3902</v>
      </c>
      <c r="B375" s="131">
        <v>1000</v>
      </c>
      <c r="C375" s="145"/>
      <c r="D375" s="307"/>
      <c r="E375" s="131">
        <v>867</v>
      </c>
      <c r="F375" s="145">
        <v>2</v>
      </c>
      <c r="G375" s="307">
        <v>0.5</v>
      </c>
      <c r="H375" s="131">
        <v>867</v>
      </c>
      <c r="I375" s="145">
        <v>2</v>
      </c>
      <c r="J375" s="307">
        <v>0.5</v>
      </c>
      <c r="K375" s="131">
        <v>132</v>
      </c>
      <c r="L375" s="145">
        <v>97</v>
      </c>
      <c r="M375" s="307">
        <v>0.5</v>
      </c>
      <c r="N375" s="131"/>
      <c r="O375" s="145"/>
      <c r="P375" s="307"/>
    </row>
    <row r="376" spans="1:16" x14ac:dyDescent="0.2">
      <c r="A376" s="141" t="s">
        <v>3903</v>
      </c>
      <c r="B376" s="131">
        <v>42101</v>
      </c>
      <c r="C376" s="145"/>
      <c r="D376" s="307"/>
      <c r="E376" s="131">
        <v>12382</v>
      </c>
      <c r="F376" s="145">
        <v>20</v>
      </c>
      <c r="G376" s="307"/>
      <c r="H376" s="131">
        <v>12382</v>
      </c>
      <c r="I376" s="145">
        <v>20</v>
      </c>
      <c r="J376" s="307"/>
      <c r="K376" s="131">
        <v>29718</v>
      </c>
      <c r="L376" s="145">
        <v>80</v>
      </c>
      <c r="M376" s="307"/>
      <c r="N376" s="131"/>
      <c r="O376" s="145"/>
      <c r="P376" s="307"/>
    </row>
    <row r="377" spans="1:16" x14ac:dyDescent="0.2">
      <c r="A377" s="141" t="s">
        <v>3992</v>
      </c>
      <c r="B377" s="131">
        <v>5400</v>
      </c>
      <c r="C377" s="145"/>
      <c r="D377" s="307"/>
      <c r="E377" s="131">
        <v>308</v>
      </c>
      <c r="F377" s="145">
        <v>90</v>
      </c>
      <c r="G377" s="307"/>
      <c r="H377" s="131">
        <v>308</v>
      </c>
      <c r="I377" s="145">
        <v>90</v>
      </c>
      <c r="J377" s="307"/>
      <c r="K377" s="131">
        <v>5091</v>
      </c>
      <c r="L377" s="145">
        <v>10</v>
      </c>
      <c r="M377" s="307"/>
      <c r="N377" s="131"/>
      <c r="O377" s="145"/>
      <c r="P377" s="307"/>
    </row>
    <row r="378" spans="1:16" x14ac:dyDescent="0.2">
      <c r="A378" s="141" t="s">
        <v>3993</v>
      </c>
      <c r="B378" s="131">
        <v>11200</v>
      </c>
      <c r="C378" s="145"/>
      <c r="D378" s="307"/>
      <c r="E378" s="131">
        <v>100</v>
      </c>
      <c r="F378" s="145"/>
      <c r="G378" s="307"/>
      <c r="H378" s="131"/>
      <c r="I378" s="145"/>
      <c r="J378" s="307"/>
      <c r="K378" s="131">
        <v>11100</v>
      </c>
      <c r="L378" s="145"/>
      <c r="M378" s="307"/>
      <c r="N378" s="131">
        <v>100</v>
      </c>
      <c r="O378" s="145"/>
      <c r="P378" s="307"/>
    </row>
    <row r="379" spans="1:16" x14ac:dyDescent="0.2">
      <c r="A379" s="1114" t="s">
        <v>3906</v>
      </c>
      <c r="B379" s="240">
        <v>364625</v>
      </c>
      <c r="C379" s="318">
        <v>90</v>
      </c>
      <c r="D379" s="513"/>
      <c r="E379" s="240">
        <v>258648</v>
      </c>
      <c r="F379" s="318">
        <v>27</v>
      </c>
      <c r="G379" s="513">
        <v>0.5</v>
      </c>
      <c r="H379" s="240">
        <v>249235</v>
      </c>
      <c r="I379" s="318">
        <v>72</v>
      </c>
      <c r="J379" s="513">
        <v>0.5</v>
      </c>
      <c r="K379" s="240">
        <v>105977</v>
      </c>
      <c r="L379" s="318">
        <v>62</v>
      </c>
      <c r="M379" s="513">
        <v>0.5</v>
      </c>
      <c r="N379" s="240">
        <v>9412</v>
      </c>
      <c r="O379" s="318">
        <v>55</v>
      </c>
      <c r="P379" s="513"/>
    </row>
    <row r="380" spans="1:16" x14ac:dyDescent="0.2">
      <c r="A380" s="1114"/>
      <c r="B380" s="246">
        <f>+SUM(B366:B378)</f>
        <v>364625</v>
      </c>
      <c r="C380" s="246">
        <f t="shared" ref="C380:P380" si="16">+SUM(C366:C378)</f>
        <v>90</v>
      </c>
      <c r="D380" s="246">
        <f t="shared" si="16"/>
        <v>0</v>
      </c>
      <c r="E380" s="246">
        <f t="shared" si="16"/>
        <v>258642</v>
      </c>
      <c r="F380" s="246">
        <f t="shared" si="16"/>
        <v>627</v>
      </c>
      <c r="G380" s="246">
        <f t="shared" si="16"/>
        <v>0.5</v>
      </c>
      <c r="H380" s="246">
        <f t="shared" si="16"/>
        <v>249231</v>
      </c>
      <c r="I380" s="246">
        <f t="shared" si="16"/>
        <v>472</v>
      </c>
      <c r="J380" s="246">
        <f t="shared" si="16"/>
        <v>0.5</v>
      </c>
      <c r="K380" s="246">
        <f t="shared" si="16"/>
        <v>105974</v>
      </c>
      <c r="L380" s="246">
        <f t="shared" si="16"/>
        <v>352</v>
      </c>
      <c r="M380" s="246">
        <f t="shared" si="16"/>
        <v>0.5</v>
      </c>
      <c r="N380" s="246">
        <f t="shared" si="16"/>
        <v>9411</v>
      </c>
      <c r="O380" s="246">
        <f t="shared" si="16"/>
        <v>155</v>
      </c>
      <c r="P380" s="246">
        <f t="shared" si="16"/>
        <v>0</v>
      </c>
    </row>
    <row r="381" spans="1:16" ht="31.25" customHeight="1" x14ac:dyDescent="0.2">
      <c r="A381" s="838" t="s">
        <v>2808</v>
      </c>
      <c r="B381" s="838"/>
      <c r="C381" s="838"/>
      <c r="D381" s="838"/>
      <c r="E381" s="838"/>
      <c r="F381" s="838"/>
      <c r="G381" s="838"/>
      <c r="H381" s="838"/>
      <c r="I381" s="838"/>
      <c r="J381" s="838"/>
      <c r="K381" s="838"/>
      <c r="L381" s="838"/>
      <c r="M381" s="838"/>
      <c r="N381" s="838"/>
      <c r="O381" s="838"/>
      <c r="P381" s="838"/>
    </row>
    <row r="382" spans="1:16" ht="29.5" customHeight="1" x14ac:dyDescent="0.2">
      <c r="A382" s="751" t="s">
        <v>3887</v>
      </c>
      <c r="B382" s="977" t="s">
        <v>3888</v>
      </c>
      <c r="C382" s="977"/>
      <c r="D382" s="977"/>
      <c r="E382" s="977" t="s">
        <v>3889</v>
      </c>
      <c r="F382" s="977"/>
      <c r="G382" s="977"/>
      <c r="H382" s="977" t="s">
        <v>3890</v>
      </c>
      <c r="I382" s="977"/>
      <c r="J382" s="977"/>
      <c r="K382" s="977" t="s">
        <v>3990</v>
      </c>
      <c r="L382" s="977"/>
      <c r="M382" s="977"/>
      <c r="N382" s="977" t="s">
        <v>3892</v>
      </c>
      <c r="O382" s="977"/>
      <c r="P382" s="977"/>
    </row>
    <row r="383" spans="1:16" x14ac:dyDescent="0.2">
      <c r="A383" s="107" t="s">
        <v>3907</v>
      </c>
      <c r="B383" s="349">
        <v>18715</v>
      </c>
      <c r="C383" s="350"/>
      <c r="D383" s="717"/>
      <c r="E383" s="349">
        <v>17539</v>
      </c>
      <c r="F383" s="350">
        <v>20</v>
      </c>
      <c r="G383" s="717"/>
      <c r="H383" s="349">
        <v>17539</v>
      </c>
      <c r="I383" s="350">
        <v>20</v>
      </c>
      <c r="J383" s="717"/>
      <c r="K383" s="349">
        <v>1175</v>
      </c>
      <c r="L383" s="350">
        <v>80</v>
      </c>
      <c r="M383" s="717"/>
      <c r="N383" s="349"/>
      <c r="O383" s="350"/>
      <c r="P383" s="717"/>
    </row>
    <row r="384" spans="1:16" x14ac:dyDescent="0.2">
      <c r="A384" s="107" t="s">
        <v>3908</v>
      </c>
      <c r="B384" s="131">
        <v>300</v>
      </c>
      <c r="C384" s="145"/>
      <c r="D384" s="307"/>
      <c r="E384" s="131">
        <v>300</v>
      </c>
      <c r="F384" s="145"/>
      <c r="G384" s="307"/>
      <c r="H384" s="131">
        <v>300</v>
      </c>
      <c r="I384" s="145"/>
      <c r="J384" s="307"/>
      <c r="K384" s="131"/>
      <c r="L384" s="145"/>
      <c r="M384" s="307"/>
      <c r="N384" s="131"/>
      <c r="O384" s="145"/>
      <c r="P384" s="307"/>
    </row>
    <row r="385" spans="1:16" x14ac:dyDescent="0.2">
      <c r="A385" s="107" t="s">
        <v>3909</v>
      </c>
      <c r="B385" s="131">
        <v>6219</v>
      </c>
      <c r="C385" s="145"/>
      <c r="D385" s="307"/>
      <c r="E385" s="131">
        <v>5019</v>
      </c>
      <c r="F385" s="145"/>
      <c r="G385" s="307"/>
      <c r="H385" s="131">
        <v>5019</v>
      </c>
      <c r="I385" s="145"/>
      <c r="J385" s="307"/>
      <c r="K385" s="131">
        <v>1200</v>
      </c>
      <c r="L385" s="145"/>
      <c r="M385" s="307"/>
      <c r="N385" s="131"/>
      <c r="O385" s="145"/>
      <c r="P385" s="307"/>
    </row>
    <row r="386" spans="1:16" x14ac:dyDescent="0.2">
      <c r="A386" s="141" t="s">
        <v>3910</v>
      </c>
      <c r="B386" s="131">
        <v>100</v>
      </c>
      <c r="C386" s="145"/>
      <c r="D386" s="307"/>
      <c r="E386" s="131">
        <v>99</v>
      </c>
      <c r="F386" s="145">
        <v>60</v>
      </c>
      <c r="G386" s="307"/>
      <c r="H386" s="131">
        <v>99</v>
      </c>
      <c r="I386" s="145">
        <v>60</v>
      </c>
      <c r="J386" s="307"/>
      <c r="K386" s="131"/>
      <c r="L386" s="145">
        <v>40</v>
      </c>
      <c r="M386" s="307"/>
      <c r="N386" s="131"/>
      <c r="O386" s="145"/>
      <c r="P386" s="307"/>
    </row>
    <row r="387" spans="1:16" x14ac:dyDescent="0.2">
      <c r="A387" s="141" t="s">
        <v>3911</v>
      </c>
      <c r="B387" s="131">
        <v>3000</v>
      </c>
      <c r="C387" s="145"/>
      <c r="D387" s="307"/>
      <c r="E387" s="131"/>
      <c r="F387" s="145"/>
      <c r="G387" s="307"/>
      <c r="H387" s="131"/>
      <c r="I387" s="145"/>
      <c r="J387" s="307"/>
      <c r="K387" s="131">
        <v>3000</v>
      </c>
      <c r="L387" s="145"/>
      <c r="M387" s="307"/>
      <c r="N387" s="131"/>
      <c r="O387" s="145"/>
      <c r="P387" s="307"/>
    </row>
    <row r="388" spans="1:16" x14ac:dyDescent="0.2">
      <c r="A388" s="141" t="s">
        <v>3912</v>
      </c>
      <c r="B388" s="131">
        <v>1000</v>
      </c>
      <c r="C388" s="145"/>
      <c r="D388" s="307"/>
      <c r="E388" s="131"/>
      <c r="F388" s="145"/>
      <c r="G388" s="307"/>
      <c r="H388" s="131"/>
      <c r="I388" s="145"/>
      <c r="J388" s="307"/>
      <c r="K388" s="131">
        <v>1000</v>
      </c>
      <c r="L388" s="145"/>
      <c r="M388" s="307"/>
      <c r="N388" s="131"/>
      <c r="O388" s="145"/>
      <c r="P388" s="307"/>
    </row>
    <row r="389" spans="1:16" x14ac:dyDescent="0.2">
      <c r="A389" s="1114" t="s">
        <v>3906</v>
      </c>
      <c r="B389" s="240">
        <v>29334</v>
      </c>
      <c r="C389" s="318"/>
      <c r="D389" s="513"/>
      <c r="E389" s="240">
        <v>22957</v>
      </c>
      <c r="F389" s="318">
        <v>80</v>
      </c>
      <c r="G389" s="513"/>
      <c r="H389" s="240">
        <v>22957</v>
      </c>
      <c r="I389" s="318">
        <v>80</v>
      </c>
      <c r="J389" s="513"/>
      <c r="K389" s="240">
        <v>6376</v>
      </c>
      <c r="L389" s="318">
        <v>20</v>
      </c>
      <c r="M389" s="513"/>
      <c r="N389" s="240"/>
      <c r="O389" s="318"/>
      <c r="P389" s="513"/>
    </row>
    <row r="390" spans="1:16" x14ac:dyDescent="0.2">
      <c r="A390" s="1114"/>
      <c r="B390" s="246">
        <f>+SUM(B383:B388)</f>
        <v>29334</v>
      </c>
      <c r="C390" s="246">
        <f t="shared" ref="C390:P390" si="17">+SUM(C383:C388)</f>
        <v>0</v>
      </c>
      <c r="D390" s="246">
        <f t="shared" si="17"/>
        <v>0</v>
      </c>
      <c r="E390" s="246">
        <f t="shared" si="17"/>
        <v>22957</v>
      </c>
      <c r="F390" s="246">
        <f t="shared" si="17"/>
        <v>80</v>
      </c>
      <c r="G390" s="246">
        <f t="shared" si="17"/>
        <v>0</v>
      </c>
      <c r="H390" s="246">
        <f t="shared" si="17"/>
        <v>22957</v>
      </c>
      <c r="I390" s="246">
        <f t="shared" si="17"/>
        <v>80</v>
      </c>
      <c r="J390" s="246">
        <f t="shared" si="17"/>
        <v>0</v>
      </c>
      <c r="K390" s="246">
        <f t="shared" si="17"/>
        <v>6375</v>
      </c>
      <c r="L390" s="246">
        <f t="shared" si="17"/>
        <v>120</v>
      </c>
      <c r="M390" s="246">
        <f t="shared" si="17"/>
        <v>0</v>
      </c>
      <c r="N390" s="246">
        <f t="shared" si="17"/>
        <v>0</v>
      </c>
      <c r="O390" s="246">
        <f t="shared" si="17"/>
        <v>0</v>
      </c>
      <c r="P390" s="246">
        <f t="shared" si="17"/>
        <v>0</v>
      </c>
    </row>
    <row r="391" spans="1:16" ht="33.5" customHeight="1" x14ac:dyDescent="0.2">
      <c r="A391" s="838" t="s">
        <v>2805</v>
      </c>
      <c r="B391" s="838"/>
      <c r="C391" s="838"/>
      <c r="D391" s="838"/>
      <c r="E391" s="838"/>
      <c r="F391" s="838"/>
      <c r="G391" s="838"/>
      <c r="H391" s="838"/>
      <c r="I391" s="838"/>
      <c r="J391" s="838"/>
      <c r="K391" s="838"/>
      <c r="L391" s="838"/>
      <c r="M391" s="838"/>
      <c r="N391" s="838"/>
      <c r="O391" s="838"/>
      <c r="P391" s="838"/>
    </row>
    <row r="392" spans="1:16" ht="32" customHeight="1" x14ac:dyDescent="0.2">
      <c r="A392" s="751" t="s">
        <v>3887</v>
      </c>
      <c r="B392" s="977" t="s">
        <v>3888</v>
      </c>
      <c r="C392" s="977"/>
      <c r="D392" s="977"/>
      <c r="E392" s="977" t="s">
        <v>3889</v>
      </c>
      <c r="F392" s="977"/>
      <c r="G392" s="977"/>
      <c r="H392" s="977" t="s">
        <v>3890</v>
      </c>
      <c r="I392" s="977"/>
      <c r="J392" s="977"/>
      <c r="K392" s="977" t="s">
        <v>3990</v>
      </c>
      <c r="L392" s="977"/>
      <c r="M392" s="977"/>
      <c r="N392" s="977" t="s">
        <v>3892</v>
      </c>
      <c r="O392" s="977"/>
      <c r="P392" s="977"/>
    </row>
    <row r="393" spans="1:16" x14ac:dyDescent="0.2">
      <c r="A393" s="107" t="s">
        <v>3913</v>
      </c>
      <c r="B393" s="349">
        <v>49500</v>
      </c>
      <c r="C393" s="350"/>
      <c r="D393" s="717"/>
      <c r="E393" s="349">
        <v>44446</v>
      </c>
      <c r="F393" s="350">
        <v>10</v>
      </c>
      <c r="G393" s="717"/>
      <c r="H393" s="349">
        <v>32146</v>
      </c>
      <c r="I393" s="350">
        <v>15</v>
      </c>
      <c r="J393" s="717"/>
      <c r="K393" s="349">
        <v>5053</v>
      </c>
      <c r="L393" s="350">
        <v>90</v>
      </c>
      <c r="M393" s="717"/>
      <c r="N393" s="349">
        <v>12299</v>
      </c>
      <c r="O393" s="350">
        <v>95</v>
      </c>
      <c r="P393" s="717"/>
    </row>
    <row r="394" spans="1:16" x14ac:dyDescent="0.2">
      <c r="A394" s="107" t="s">
        <v>3914</v>
      </c>
      <c r="B394" s="131">
        <v>28786</v>
      </c>
      <c r="C394" s="145">
        <v>55</v>
      </c>
      <c r="D394" s="307"/>
      <c r="E394" s="131">
        <v>24956</v>
      </c>
      <c r="F394" s="145">
        <v>20</v>
      </c>
      <c r="G394" s="307"/>
      <c r="H394" s="131">
        <v>21160</v>
      </c>
      <c r="I394" s="145">
        <v>40</v>
      </c>
      <c r="J394" s="307"/>
      <c r="K394" s="131">
        <v>3830</v>
      </c>
      <c r="L394" s="145">
        <v>35</v>
      </c>
      <c r="M394" s="307"/>
      <c r="N394" s="131">
        <v>3795</v>
      </c>
      <c r="O394" s="145">
        <v>80</v>
      </c>
      <c r="P394" s="307"/>
    </row>
    <row r="395" spans="1:16" x14ac:dyDescent="0.2">
      <c r="A395" s="107" t="s">
        <v>3915</v>
      </c>
      <c r="B395" s="131">
        <v>715540</v>
      </c>
      <c r="C395" s="145">
        <v>80</v>
      </c>
      <c r="D395" s="307"/>
      <c r="E395" s="131">
        <v>482660</v>
      </c>
      <c r="F395" s="145">
        <v>90</v>
      </c>
      <c r="G395" s="307"/>
      <c r="H395" s="131">
        <v>445614</v>
      </c>
      <c r="I395" s="145">
        <v>60</v>
      </c>
      <c r="J395" s="307"/>
      <c r="K395" s="131">
        <v>232879</v>
      </c>
      <c r="L395" s="145">
        <v>90</v>
      </c>
      <c r="M395" s="307"/>
      <c r="N395" s="131">
        <v>37046</v>
      </c>
      <c r="O395" s="145">
        <v>30</v>
      </c>
      <c r="P395" s="307"/>
    </row>
    <row r="396" spans="1:16" x14ac:dyDescent="0.2">
      <c r="A396" s="141" t="s">
        <v>3916</v>
      </c>
      <c r="B396" s="131">
        <v>1000</v>
      </c>
      <c r="C396" s="145"/>
      <c r="D396" s="307"/>
      <c r="E396" s="131">
        <v>8</v>
      </c>
      <c r="F396" s="145"/>
      <c r="G396" s="307"/>
      <c r="H396" s="131">
        <v>8</v>
      </c>
      <c r="I396" s="145"/>
      <c r="J396" s="307"/>
      <c r="K396" s="131">
        <v>992</v>
      </c>
      <c r="L396" s="145"/>
      <c r="M396" s="307"/>
      <c r="N396" s="131"/>
      <c r="O396" s="145"/>
      <c r="P396" s="307"/>
    </row>
    <row r="397" spans="1:16" x14ac:dyDescent="0.2">
      <c r="A397" s="1114" t="s">
        <v>3906</v>
      </c>
      <c r="B397" s="240">
        <v>794827</v>
      </c>
      <c r="C397" s="318">
        <v>35</v>
      </c>
      <c r="D397" s="513"/>
      <c r="E397" s="240">
        <v>552071</v>
      </c>
      <c r="F397" s="318">
        <v>20</v>
      </c>
      <c r="G397" s="513"/>
      <c r="H397" s="240">
        <v>498929</v>
      </c>
      <c r="I397" s="318">
        <v>15</v>
      </c>
      <c r="J397" s="513"/>
      <c r="K397" s="240">
        <v>242756</v>
      </c>
      <c r="L397" s="318">
        <v>15</v>
      </c>
      <c r="M397" s="513"/>
      <c r="N397" s="240">
        <v>53142</v>
      </c>
      <c r="O397" s="318">
        <v>5</v>
      </c>
      <c r="P397" s="513"/>
    </row>
    <row r="398" spans="1:16" x14ac:dyDescent="0.2">
      <c r="A398" s="1114"/>
      <c r="B398" s="246">
        <f>+SUM(B393:B396)</f>
        <v>794826</v>
      </c>
      <c r="C398" s="246">
        <f t="shared" ref="C398:P398" si="18">+SUM(C393:C396)</f>
        <v>135</v>
      </c>
      <c r="D398" s="246">
        <f t="shared" si="18"/>
        <v>0</v>
      </c>
      <c r="E398" s="246">
        <f t="shared" si="18"/>
        <v>552070</v>
      </c>
      <c r="F398" s="246">
        <f t="shared" si="18"/>
        <v>120</v>
      </c>
      <c r="G398" s="246">
        <f t="shared" si="18"/>
        <v>0</v>
      </c>
      <c r="H398" s="246">
        <f t="shared" si="18"/>
        <v>498928</v>
      </c>
      <c r="I398" s="246">
        <f t="shared" si="18"/>
        <v>115</v>
      </c>
      <c r="J398" s="246">
        <f t="shared" si="18"/>
        <v>0</v>
      </c>
      <c r="K398" s="246">
        <f t="shared" si="18"/>
        <v>242754</v>
      </c>
      <c r="L398" s="246">
        <f t="shared" si="18"/>
        <v>215</v>
      </c>
      <c r="M398" s="246">
        <f t="shared" si="18"/>
        <v>0</v>
      </c>
      <c r="N398" s="246">
        <f t="shared" si="18"/>
        <v>53140</v>
      </c>
      <c r="O398" s="246">
        <f t="shared" si="18"/>
        <v>205</v>
      </c>
      <c r="P398" s="246">
        <f t="shared" si="18"/>
        <v>0</v>
      </c>
    </row>
    <row r="399" spans="1:16" ht="30.5" customHeight="1" x14ac:dyDescent="0.2">
      <c r="A399" s="838" t="s">
        <v>2811</v>
      </c>
      <c r="B399" s="838"/>
      <c r="C399" s="838"/>
      <c r="D399" s="838"/>
      <c r="E399" s="838"/>
      <c r="F399" s="838"/>
      <c r="G399" s="838"/>
      <c r="H399" s="838"/>
      <c r="I399" s="838"/>
      <c r="J399" s="838"/>
      <c r="K399" s="838"/>
      <c r="L399" s="838"/>
      <c r="M399" s="838"/>
      <c r="N399" s="838"/>
      <c r="O399" s="838"/>
      <c r="P399" s="838"/>
    </row>
    <row r="400" spans="1:16" ht="30.5" customHeight="1" x14ac:dyDescent="0.2">
      <c r="A400" s="751" t="s">
        <v>3887</v>
      </c>
      <c r="B400" s="977" t="s">
        <v>3888</v>
      </c>
      <c r="C400" s="977"/>
      <c r="D400" s="977"/>
      <c r="E400" s="977" t="s">
        <v>3889</v>
      </c>
      <c r="F400" s="977"/>
      <c r="G400" s="977"/>
      <c r="H400" s="977" t="s">
        <v>3890</v>
      </c>
      <c r="I400" s="977"/>
      <c r="J400" s="977"/>
      <c r="K400" s="977" t="s">
        <v>3990</v>
      </c>
      <c r="L400" s="977"/>
      <c r="M400" s="977"/>
      <c r="N400" s="977" t="s">
        <v>3892</v>
      </c>
      <c r="O400" s="977"/>
      <c r="P400" s="977"/>
    </row>
    <row r="401" spans="1:16" x14ac:dyDescent="0.2">
      <c r="A401" s="107" t="s">
        <v>3917</v>
      </c>
      <c r="B401" s="349">
        <v>68212</v>
      </c>
      <c r="C401" s="350"/>
      <c r="D401" s="717"/>
      <c r="E401" s="349">
        <v>42155</v>
      </c>
      <c r="F401" s="350">
        <v>85</v>
      </c>
      <c r="G401" s="717"/>
      <c r="H401" s="349">
        <v>42155</v>
      </c>
      <c r="I401" s="350">
        <v>85</v>
      </c>
      <c r="J401" s="717"/>
      <c r="K401" s="349">
        <v>26056</v>
      </c>
      <c r="L401" s="350">
        <v>15</v>
      </c>
      <c r="M401" s="717"/>
      <c r="N401" s="349"/>
      <c r="O401" s="350"/>
      <c r="P401" s="717"/>
    </row>
    <row r="402" spans="1:16" x14ac:dyDescent="0.2">
      <c r="A402" s="107" t="s">
        <v>3918</v>
      </c>
      <c r="B402" s="131">
        <v>232047</v>
      </c>
      <c r="C402" s="145">
        <v>88</v>
      </c>
      <c r="D402" s="307"/>
      <c r="E402" s="131">
        <v>95941</v>
      </c>
      <c r="F402" s="145">
        <v>45</v>
      </c>
      <c r="G402" s="307"/>
      <c r="H402" s="131">
        <v>90465</v>
      </c>
      <c r="I402" s="145">
        <v>85</v>
      </c>
      <c r="J402" s="307"/>
      <c r="K402" s="131">
        <v>136105</v>
      </c>
      <c r="L402" s="145">
        <v>93</v>
      </c>
      <c r="M402" s="307"/>
      <c r="N402" s="131">
        <v>5475</v>
      </c>
      <c r="O402" s="145">
        <v>60</v>
      </c>
      <c r="P402" s="307"/>
    </row>
    <row r="403" spans="1:16" x14ac:dyDescent="0.2">
      <c r="A403" s="107" t="s">
        <v>3915</v>
      </c>
      <c r="B403" s="131">
        <v>18879</v>
      </c>
      <c r="C403" s="145"/>
      <c r="D403" s="307"/>
      <c r="E403" s="131">
        <v>10703</v>
      </c>
      <c r="F403" s="145">
        <v>40</v>
      </c>
      <c r="G403" s="307"/>
      <c r="H403" s="131">
        <v>9670</v>
      </c>
      <c r="I403" s="145">
        <v>10</v>
      </c>
      <c r="J403" s="307"/>
      <c r="K403" s="131">
        <v>8175</v>
      </c>
      <c r="L403" s="145">
        <v>60</v>
      </c>
      <c r="M403" s="307"/>
      <c r="N403" s="131">
        <v>1033</v>
      </c>
      <c r="O403" s="145">
        <v>30</v>
      </c>
      <c r="P403" s="307"/>
    </row>
    <row r="404" spans="1:16" x14ac:dyDescent="0.2">
      <c r="A404" s="1114" t="s">
        <v>3906</v>
      </c>
      <c r="B404" s="240">
        <v>319138</v>
      </c>
      <c r="C404" s="318">
        <v>38</v>
      </c>
      <c r="D404" s="513"/>
      <c r="E404" s="240">
        <v>148800</v>
      </c>
      <c r="F404" s="318">
        <v>70</v>
      </c>
      <c r="G404" s="513"/>
      <c r="H404" s="240">
        <v>142291</v>
      </c>
      <c r="I404" s="318">
        <v>80</v>
      </c>
      <c r="J404" s="513"/>
      <c r="K404" s="240">
        <v>170337</v>
      </c>
      <c r="L404" s="318">
        <v>68</v>
      </c>
      <c r="M404" s="513"/>
      <c r="N404" s="240">
        <v>6503</v>
      </c>
      <c r="O404" s="318">
        <v>90</v>
      </c>
      <c r="P404" s="513"/>
    </row>
    <row r="405" spans="1:16" x14ac:dyDescent="0.2">
      <c r="A405" s="1114"/>
      <c r="B405" s="246">
        <f>+SUM(B401:B403)</f>
        <v>319138</v>
      </c>
      <c r="C405" s="246">
        <f t="shared" ref="C405:P405" si="19">+SUM(C401:C403)</f>
        <v>88</v>
      </c>
      <c r="D405" s="246">
        <f t="shared" si="19"/>
        <v>0</v>
      </c>
      <c r="E405" s="246">
        <f t="shared" si="19"/>
        <v>148799</v>
      </c>
      <c r="F405" s="246">
        <f t="shared" si="19"/>
        <v>170</v>
      </c>
      <c r="G405" s="246">
        <f t="shared" si="19"/>
        <v>0</v>
      </c>
      <c r="H405" s="246">
        <f t="shared" si="19"/>
        <v>142290</v>
      </c>
      <c r="I405" s="246">
        <f t="shared" si="19"/>
        <v>180</v>
      </c>
      <c r="J405" s="246">
        <f t="shared" si="19"/>
        <v>0</v>
      </c>
      <c r="K405" s="246">
        <f t="shared" si="19"/>
        <v>170336</v>
      </c>
      <c r="L405" s="246">
        <f t="shared" si="19"/>
        <v>168</v>
      </c>
      <c r="M405" s="246">
        <f t="shared" si="19"/>
        <v>0</v>
      </c>
      <c r="N405" s="246">
        <f t="shared" si="19"/>
        <v>6508</v>
      </c>
      <c r="O405" s="246">
        <f t="shared" si="19"/>
        <v>90</v>
      </c>
      <c r="P405" s="246">
        <f t="shared" si="19"/>
        <v>0</v>
      </c>
    </row>
    <row r="406" spans="1:16" ht="35.5" customHeight="1" x14ac:dyDescent="0.2">
      <c r="A406" s="838" t="s">
        <v>2813</v>
      </c>
      <c r="B406" s="838"/>
      <c r="C406" s="838"/>
      <c r="D406" s="838"/>
      <c r="E406" s="838"/>
      <c r="F406" s="838"/>
      <c r="G406" s="838"/>
      <c r="H406" s="838"/>
      <c r="I406" s="838"/>
      <c r="J406" s="838"/>
      <c r="K406" s="838"/>
      <c r="L406" s="838"/>
      <c r="M406" s="838"/>
      <c r="N406" s="838"/>
      <c r="O406" s="838"/>
      <c r="P406" s="838"/>
    </row>
    <row r="407" spans="1:16" ht="31.25" customHeight="1" x14ac:dyDescent="0.2">
      <c r="A407" s="751" t="s">
        <v>3887</v>
      </c>
      <c r="B407" s="977" t="s">
        <v>3888</v>
      </c>
      <c r="C407" s="977"/>
      <c r="D407" s="977"/>
      <c r="E407" s="977" t="s">
        <v>3889</v>
      </c>
      <c r="F407" s="977"/>
      <c r="G407" s="977"/>
      <c r="H407" s="977" t="s">
        <v>3890</v>
      </c>
      <c r="I407" s="977"/>
      <c r="J407" s="977"/>
      <c r="K407" s="977" t="s">
        <v>3990</v>
      </c>
      <c r="L407" s="977"/>
      <c r="M407" s="977"/>
      <c r="N407" s="977" t="s">
        <v>3892</v>
      </c>
      <c r="O407" s="977"/>
      <c r="P407" s="977"/>
    </row>
    <row r="408" spans="1:16" x14ac:dyDescent="0.2">
      <c r="A408" s="107" t="s">
        <v>3919</v>
      </c>
      <c r="B408" s="349">
        <v>185750</v>
      </c>
      <c r="C408" s="350"/>
      <c r="D408" s="717"/>
      <c r="E408" s="349">
        <v>49539</v>
      </c>
      <c r="F408" s="350">
        <v>65</v>
      </c>
      <c r="G408" s="717"/>
      <c r="H408" s="349">
        <v>45339</v>
      </c>
      <c r="I408" s="350">
        <v>65</v>
      </c>
      <c r="J408" s="717"/>
      <c r="K408" s="349">
        <v>136210</v>
      </c>
      <c r="L408" s="350">
        <v>35</v>
      </c>
      <c r="M408" s="717"/>
      <c r="N408" s="349">
        <v>4200</v>
      </c>
      <c r="O408" s="350"/>
      <c r="P408" s="717"/>
    </row>
    <row r="409" spans="1:16" x14ac:dyDescent="0.2">
      <c r="A409" s="1114" t="s">
        <v>3920</v>
      </c>
      <c r="B409" s="349">
        <v>185750</v>
      </c>
      <c r="C409" s="350"/>
      <c r="D409" s="717"/>
      <c r="E409" s="349">
        <v>49539</v>
      </c>
      <c r="F409" s="350">
        <v>65</v>
      </c>
      <c r="G409" s="717"/>
      <c r="H409" s="349">
        <v>45339</v>
      </c>
      <c r="I409" s="350">
        <v>65</v>
      </c>
      <c r="J409" s="717"/>
      <c r="K409" s="349">
        <v>136210</v>
      </c>
      <c r="L409" s="350">
        <v>35</v>
      </c>
      <c r="M409" s="717"/>
      <c r="N409" s="349">
        <v>4200</v>
      </c>
      <c r="O409" s="350"/>
      <c r="P409" s="513"/>
    </row>
    <row r="410" spans="1:16" ht="36.5" customHeight="1" x14ac:dyDescent="0.2">
      <c r="A410" s="838" t="s">
        <v>3921</v>
      </c>
      <c r="B410" s="838"/>
      <c r="C410" s="838"/>
      <c r="D410" s="838"/>
      <c r="E410" s="838"/>
      <c r="F410" s="838"/>
      <c r="G410" s="838"/>
      <c r="H410" s="838"/>
      <c r="I410" s="838"/>
      <c r="J410" s="838"/>
      <c r="K410" s="838"/>
      <c r="L410" s="838"/>
      <c r="M410" s="838"/>
      <c r="N410" s="838"/>
      <c r="O410" s="838"/>
      <c r="P410" s="838"/>
    </row>
    <row r="411" spans="1:16" ht="34.25" customHeight="1" x14ac:dyDescent="0.2">
      <c r="A411" s="751" t="s">
        <v>3887</v>
      </c>
      <c r="B411" s="977" t="s">
        <v>3888</v>
      </c>
      <c r="C411" s="977"/>
      <c r="D411" s="977"/>
      <c r="E411" s="977" t="s">
        <v>3889</v>
      </c>
      <c r="F411" s="977"/>
      <c r="G411" s="977"/>
      <c r="H411" s="977" t="s">
        <v>3890</v>
      </c>
      <c r="I411" s="977"/>
      <c r="J411" s="977"/>
      <c r="K411" s="977" t="s">
        <v>3990</v>
      </c>
      <c r="L411" s="977"/>
      <c r="M411" s="977"/>
      <c r="N411" s="977" t="s">
        <v>3892</v>
      </c>
      <c r="O411" s="977"/>
      <c r="P411" s="977"/>
    </row>
    <row r="412" spans="1:16" x14ac:dyDescent="0.2">
      <c r="A412" s="107" t="s">
        <v>3922</v>
      </c>
      <c r="B412" s="349">
        <v>25272</v>
      </c>
      <c r="C412" s="350"/>
      <c r="D412" s="717"/>
      <c r="E412" s="349">
        <v>25054</v>
      </c>
      <c r="F412" s="350">
        <v>50</v>
      </c>
      <c r="G412" s="717"/>
      <c r="H412" s="349">
        <v>25054</v>
      </c>
      <c r="I412" s="350">
        <v>50</v>
      </c>
      <c r="J412" s="717"/>
      <c r="K412" s="349">
        <v>217</v>
      </c>
      <c r="L412" s="350">
        <v>50</v>
      </c>
      <c r="M412" s="717"/>
      <c r="N412" s="349"/>
      <c r="O412" s="350"/>
      <c r="P412" s="717"/>
    </row>
    <row r="413" spans="1:16" x14ac:dyDescent="0.2">
      <c r="A413" s="107" t="s">
        <v>3923</v>
      </c>
      <c r="B413" s="131">
        <v>400</v>
      </c>
      <c r="C413" s="145"/>
      <c r="D413" s="307"/>
      <c r="E413" s="131">
        <v>399</v>
      </c>
      <c r="F413" s="145">
        <v>85</v>
      </c>
      <c r="G413" s="307"/>
      <c r="H413" s="131">
        <v>399</v>
      </c>
      <c r="I413" s="145">
        <v>85</v>
      </c>
      <c r="J413" s="307"/>
      <c r="K413" s="131"/>
      <c r="L413" s="145">
        <v>15</v>
      </c>
      <c r="M413" s="307"/>
      <c r="N413" s="131"/>
      <c r="O413" s="145"/>
      <c r="P413" s="307"/>
    </row>
    <row r="414" spans="1:16" x14ac:dyDescent="0.2">
      <c r="A414" s="107" t="s">
        <v>3924</v>
      </c>
      <c r="B414" s="131">
        <v>717908</v>
      </c>
      <c r="C414" s="145"/>
      <c r="D414" s="307"/>
      <c r="E414" s="131">
        <v>438275</v>
      </c>
      <c r="F414" s="145">
        <v>40</v>
      </c>
      <c r="G414" s="307"/>
      <c r="H414" s="131">
        <v>438275</v>
      </c>
      <c r="I414" s="145">
        <v>40</v>
      </c>
      <c r="J414" s="307"/>
      <c r="K414" s="131">
        <v>279632</v>
      </c>
      <c r="L414" s="145">
        <v>60</v>
      </c>
      <c r="M414" s="307"/>
      <c r="N414" s="131"/>
      <c r="O414" s="145"/>
      <c r="P414" s="307"/>
    </row>
    <row r="415" spans="1:16" x14ac:dyDescent="0.2">
      <c r="A415" s="141" t="s">
        <v>3925</v>
      </c>
      <c r="B415" s="131">
        <v>304100</v>
      </c>
      <c r="C415" s="145"/>
      <c r="D415" s="307"/>
      <c r="E415" s="131">
        <v>155028</v>
      </c>
      <c r="F415" s="145"/>
      <c r="G415" s="307"/>
      <c r="H415" s="131">
        <v>155028</v>
      </c>
      <c r="I415" s="145"/>
      <c r="J415" s="307"/>
      <c r="K415" s="131">
        <v>149072</v>
      </c>
      <c r="L415" s="145"/>
      <c r="M415" s="307"/>
      <c r="N415" s="131"/>
      <c r="O415" s="145"/>
      <c r="P415" s="307"/>
    </row>
    <row r="416" spans="1:16" x14ac:dyDescent="0.2">
      <c r="A416" s="141" t="s">
        <v>3926</v>
      </c>
      <c r="B416" s="131">
        <v>44310</v>
      </c>
      <c r="C416" s="145"/>
      <c r="D416" s="307"/>
      <c r="E416" s="131">
        <v>23954</v>
      </c>
      <c r="F416" s="145">
        <v>90</v>
      </c>
      <c r="G416" s="307"/>
      <c r="H416" s="131">
        <v>23954</v>
      </c>
      <c r="I416" s="145">
        <v>90</v>
      </c>
      <c r="J416" s="307"/>
      <c r="K416" s="131">
        <v>20355</v>
      </c>
      <c r="L416" s="145">
        <v>10</v>
      </c>
      <c r="M416" s="307"/>
      <c r="N416" s="131"/>
      <c r="O416" s="145"/>
      <c r="P416" s="307"/>
    </row>
    <row r="417" spans="1:16" x14ac:dyDescent="0.2">
      <c r="A417" s="141" t="s">
        <v>3927</v>
      </c>
      <c r="B417" s="131">
        <v>6520</v>
      </c>
      <c r="C417" s="145"/>
      <c r="D417" s="307"/>
      <c r="E417" s="131">
        <v>2016</v>
      </c>
      <c r="F417" s="145">
        <v>95</v>
      </c>
      <c r="G417" s="307"/>
      <c r="H417" s="131">
        <v>2016</v>
      </c>
      <c r="I417" s="145">
        <v>95</v>
      </c>
      <c r="J417" s="307"/>
      <c r="K417" s="131">
        <v>4503</v>
      </c>
      <c r="L417" s="145">
        <v>5</v>
      </c>
      <c r="M417" s="307"/>
      <c r="N417" s="131"/>
      <c r="O417" s="145"/>
      <c r="P417" s="307"/>
    </row>
    <row r="418" spans="1:16" x14ac:dyDescent="0.2">
      <c r="A418" s="141" t="s">
        <v>3928</v>
      </c>
      <c r="B418" s="131">
        <v>734445</v>
      </c>
      <c r="C418" s="145">
        <v>90</v>
      </c>
      <c r="D418" s="307"/>
      <c r="E418" s="131">
        <v>340402</v>
      </c>
      <c r="F418" s="145">
        <v>35</v>
      </c>
      <c r="G418" s="307"/>
      <c r="H418" s="131">
        <v>340402</v>
      </c>
      <c r="I418" s="145">
        <v>35</v>
      </c>
      <c r="J418" s="307"/>
      <c r="K418" s="131">
        <v>394043</v>
      </c>
      <c r="L418" s="145">
        <v>55</v>
      </c>
      <c r="M418" s="307"/>
      <c r="N418" s="131"/>
      <c r="O418" s="145"/>
      <c r="P418" s="307"/>
    </row>
    <row r="419" spans="1:16" x14ac:dyDescent="0.2">
      <c r="A419" s="1114" t="s">
        <v>3906</v>
      </c>
      <c r="B419" s="240">
        <v>1832955</v>
      </c>
      <c r="C419" s="318">
        <v>90</v>
      </c>
      <c r="D419" s="513"/>
      <c r="E419" s="240">
        <v>985131</v>
      </c>
      <c r="F419" s="318">
        <v>95</v>
      </c>
      <c r="G419" s="513"/>
      <c r="H419" s="240">
        <v>985131</v>
      </c>
      <c r="I419" s="318">
        <v>95</v>
      </c>
      <c r="J419" s="513"/>
      <c r="K419" s="240">
        <v>847823</v>
      </c>
      <c r="L419" s="318">
        <v>95</v>
      </c>
      <c r="M419" s="513"/>
      <c r="N419" s="240"/>
      <c r="O419" s="318"/>
      <c r="P419" s="513"/>
    </row>
    <row r="420" spans="1:16" x14ac:dyDescent="0.2">
      <c r="A420" s="1114"/>
      <c r="B420" s="246">
        <f>+SUM(B412:B418)</f>
        <v>1832955</v>
      </c>
      <c r="C420" s="246">
        <f t="shared" ref="C420:P420" si="20">+SUM(C412:C418)</f>
        <v>90</v>
      </c>
      <c r="D420" s="246">
        <f t="shared" si="20"/>
        <v>0</v>
      </c>
      <c r="E420" s="246">
        <f t="shared" si="20"/>
        <v>985128</v>
      </c>
      <c r="F420" s="246">
        <f t="shared" si="20"/>
        <v>395</v>
      </c>
      <c r="G420" s="246">
        <f t="shared" si="20"/>
        <v>0</v>
      </c>
      <c r="H420" s="246">
        <f t="shared" si="20"/>
        <v>985128</v>
      </c>
      <c r="I420" s="246">
        <f t="shared" si="20"/>
        <v>395</v>
      </c>
      <c r="J420" s="246">
        <f t="shared" si="20"/>
        <v>0</v>
      </c>
      <c r="K420" s="246">
        <f t="shared" si="20"/>
        <v>847822</v>
      </c>
      <c r="L420" s="246">
        <f t="shared" si="20"/>
        <v>195</v>
      </c>
      <c r="M420" s="246">
        <f t="shared" si="20"/>
        <v>0</v>
      </c>
      <c r="N420" s="246">
        <f t="shared" si="20"/>
        <v>0</v>
      </c>
      <c r="O420" s="246">
        <f t="shared" si="20"/>
        <v>0</v>
      </c>
      <c r="P420" s="246">
        <f t="shared" si="20"/>
        <v>0</v>
      </c>
    </row>
    <row r="421" spans="1:16" ht="30" customHeight="1" x14ac:dyDescent="0.2">
      <c r="A421" s="838" t="s">
        <v>2826</v>
      </c>
      <c r="B421" s="838"/>
      <c r="C421" s="838"/>
      <c r="D421" s="838"/>
      <c r="E421" s="838"/>
      <c r="F421" s="838"/>
      <c r="G421" s="838"/>
      <c r="H421" s="838"/>
      <c r="I421" s="838"/>
      <c r="J421" s="838"/>
      <c r="K421" s="838"/>
      <c r="L421" s="838"/>
      <c r="M421" s="838"/>
      <c r="N421" s="838"/>
      <c r="O421" s="838"/>
      <c r="P421" s="838"/>
    </row>
    <row r="422" spans="1:16" ht="31.25" customHeight="1" x14ac:dyDescent="0.2">
      <c r="A422" s="751" t="s">
        <v>3887</v>
      </c>
      <c r="B422" s="977" t="s">
        <v>3888</v>
      </c>
      <c r="C422" s="977"/>
      <c r="D422" s="977"/>
      <c r="E422" s="977" t="s">
        <v>3889</v>
      </c>
      <c r="F422" s="977"/>
      <c r="G422" s="977"/>
      <c r="H422" s="977" t="s">
        <v>3890</v>
      </c>
      <c r="I422" s="977"/>
      <c r="J422" s="977"/>
      <c r="K422" s="977" t="s">
        <v>3990</v>
      </c>
      <c r="L422" s="977"/>
      <c r="M422" s="977"/>
      <c r="N422" s="977" t="s">
        <v>3892</v>
      </c>
      <c r="O422" s="977"/>
      <c r="P422" s="977"/>
    </row>
    <row r="423" spans="1:16" x14ac:dyDescent="0.2">
      <c r="A423" s="710" t="s">
        <v>3929</v>
      </c>
      <c r="B423" s="349">
        <v>71402</v>
      </c>
      <c r="C423" s="350">
        <v>20</v>
      </c>
      <c r="D423" s="717"/>
      <c r="E423" s="349">
        <v>40566</v>
      </c>
      <c r="F423" s="350">
        <v>5</v>
      </c>
      <c r="G423" s="717"/>
      <c r="H423" s="349">
        <v>40566</v>
      </c>
      <c r="I423" s="350">
        <v>5</v>
      </c>
      <c r="J423" s="717"/>
      <c r="K423" s="349">
        <v>30836</v>
      </c>
      <c r="L423" s="350">
        <v>15</v>
      </c>
      <c r="M423" s="717"/>
      <c r="N423" s="349"/>
      <c r="O423" s="350"/>
      <c r="P423" s="717"/>
    </row>
    <row r="424" spans="1:16" x14ac:dyDescent="0.2">
      <c r="A424" s="710" t="s">
        <v>3930</v>
      </c>
      <c r="B424" s="131">
        <v>10064</v>
      </c>
      <c r="C424" s="145"/>
      <c r="D424" s="307"/>
      <c r="E424" s="131">
        <v>6056</v>
      </c>
      <c r="F424" s="145">
        <v>95</v>
      </c>
      <c r="G424" s="307"/>
      <c r="H424" s="131">
        <v>6056</v>
      </c>
      <c r="I424" s="145">
        <v>95</v>
      </c>
      <c r="J424" s="307"/>
      <c r="K424" s="131">
        <v>4007</v>
      </c>
      <c r="L424" s="145">
        <v>5</v>
      </c>
      <c r="M424" s="307"/>
      <c r="N424" s="131"/>
      <c r="O424" s="145"/>
      <c r="P424" s="307"/>
    </row>
    <row r="425" spans="1:16" x14ac:dyDescent="0.2">
      <c r="A425" s="107" t="s">
        <v>3931</v>
      </c>
      <c r="B425" s="131">
        <v>58000</v>
      </c>
      <c r="C425" s="145"/>
      <c r="D425" s="307"/>
      <c r="E425" s="131">
        <v>40864</v>
      </c>
      <c r="F425" s="145">
        <v>20</v>
      </c>
      <c r="G425" s="307"/>
      <c r="H425" s="131">
        <v>40864</v>
      </c>
      <c r="I425" s="145">
        <v>20</v>
      </c>
      <c r="J425" s="307"/>
      <c r="K425" s="131">
        <v>17135</v>
      </c>
      <c r="L425" s="145">
        <v>80</v>
      </c>
      <c r="M425" s="307"/>
      <c r="N425" s="131"/>
      <c r="O425" s="145"/>
      <c r="P425" s="307"/>
    </row>
    <row r="426" spans="1:16" x14ac:dyDescent="0.2">
      <c r="A426" s="107" t="s">
        <v>3932</v>
      </c>
      <c r="B426" s="131">
        <v>2100</v>
      </c>
      <c r="C426" s="145"/>
      <c r="D426" s="307"/>
      <c r="E426" s="131">
        <v>1210</v>
      </c>
      <c r="F426" s="145">
        <v>95</v>
      </c>
      <c r="G426" s="307"/>
      <c r="H426" s="131">
        <v>1210</v>
      </c>
      <c r="I426" s="145">
        <v>95</v>
      </c>
      <c r="J426" s="307"/>
      <c r="K426" s="131">
        <v>889</v>
      </c>
      <c r="L426" s="145">
        <v>5</v>
      </c>
      <c r="M426" s="307"/>
      <c r="N426" s="131"/>
      <c r="O426" s="145"/>
      <c r="P426" s="307"/>
    </row>
    <row r="427" spans="1:16" x14ac:dyDescent="0.2">
      <c r="A427" s="107" t="s">
        <v>3933</v>
      </c>
      <c r="B427" s="131">
        <v>61100</v>
      </c>
      <c r="C427" s="145"/>
      <c r="D427" s="307"/>
      <c r="E427" s="131">
        <v>30115</v>
      </c>
      <c r="F427" s="145">
        <v>55</v>
      </c>
      <c r="G427" s="307"/>
      <c r="H427" s="131">
        <v>30115</v>
      </c>
      <c r="I427" s="145">
        <v>55</v>
      </c>
      <c r="J427" s="307"/>
      <c r="K427" s="131">
        <v>30984</v>
      </c>
      <c r="L427" s="145">
        <v>45</v>
      </c>
      <c r="M427" s="307"/>
      <c r="N427" s="131"/>
      <c r="O427" s="145"/>
      <c r="P427" s="307"/>
    </row>
    <row r="428" spans="1:16" x14ac:dyDescent="0.2">
      <c r="A428" s="107" t="s">
        <v>3912</v>
      </c>
      <c r="B428" s="131">
        <v>12576</v>
      </c>
      <c r="C428" s="145">
        <v>10</v>
      </c>
      <c r="D428" s="307"/>
      <c r="E428" s="131">
        <v>9479</v>
      </c>
      <c r="F428" s="145">
        <v>90</v>
      </c>
      <c r="G428" s="307"/>
      <c r="H428" s="131">
        <v>9479</v>
      </c>
      <c r="I428" s="145">
        <v>90</v>
      </c>
      <c r="J428" s="307"/>
      <c r="K428" s="131">
        <v>3096</v>
      </c>
      <c r="L428" s="145">
        <v>20</v>
      </c>
      <c r="M428" s="307"/>
      <c r="N428" s="131"/>
      <c r="O428" s="145"/>
      <c r="P428" s="307"/>
    </row>
    <row r="429" spans="1:16" x14ac:dyDescent="0.2">
      <c r="A429" s="107" t="s">
        <v>3934</v>
      </c>
      <c r="B429" s="131">
        <v>114102</v>
      </c>
      <c r="C429" s="145"/>
      <c r="D429" s="307"/>
      <c r="E429" s="131">
        <v>68533</v>
      </c>
      <c r="F429" s="145">
        <v>25</v>
      </c>
      <c r="G429" s="307"/>
      <c r="H429" s="131">
        <v>68533</v>
      </c>
      <c r="I429" s="145">
        <v>25</v>
      </c>
      <c r="J429" s="307"/>
      <c r="K429" s="131">
        <v>45568</v>
      </c>
      <c r="L429" s="145">
        <v>75</v>
      </c>
      <c r="M429" s="307"/>
      <c r="N429" s="131"/>
      <c r="O429" s="145"/>
      <c r="P429" s="307"/>
    </row>
    <row r="430" spans="1:16" x14ac:dyDescent="0.2">
      <c r="A430" s="107" t="s">
        <v>3935</v>
      </c>
      <c r="B430" s="131">
        <v>235672</v>
      </c>
      <c r="C430" s="145"/>
      <c r="D430" s="307"/>
      <c r="E430" s="131">
        <v>20814</v>
      </c>
      <c r="F430" s="145">
        <v>85</v>
      </c>
      <c r="G430" s="307"/>
      <c r="H430" s="131">
        <v>20814</v>
      </c>
      <c r="I430" s="145">
        <v>85</v>
      </c>
      <c r="J430" s="307"/>
      <c r="K430" s="131">
        <v>214857</v>
      </c>
      <c r="L430" s="145">
        <v>15</v>
      </c>
      <c r="M430" s="307"/>
      <c r="N430" s="131"/>
      <c r="O430" s="145"/>
      <c r="P430" s="307"/>
    </row>
    <row r="431" spans="1:16" x14ac:dyDescent="0.2">
      <c r="A431" s="1114" t="s">
        <v>3906</v>
      </c>
      <c r="B431" s="240">
        <v>565016</v>
      </c>
      <c r="C431" s="318">
        <v>30</v>
      </c>
      <c r="D431" s="513"/>
      <c r="E431" s="240">
        <v>217641</v>
      </c>
      <c r="F431" s="318">
        <v>70</v>
      </c>
      <c r="G431" s="513"/>
      <c r="H431" s="240">
        <v>217641</v>
      </c>
      <c r="I431" s="318">
        <v>70</v>
      </c>
      <c r="J431" s="513"/>
      <c r="K431" s="240">
        <v>347374</v>
      </c>
      <c r="L431" s="318">
        <v>60</v>
      </c>
      <c r="M431" s="513"/>
      <c r="N431" s="240"/>
      <c r="O431" s="318"/>
      <c r="P431" s="513"/>
    </row>
    <row r="432" spans="1:16" x14ac:dyDescent="0.2">
      <c r="A432" s="1114"/>
      <c r="B432" s="246">
        <f>+SUM(B423:B430)</f>
        <v>565016</v>
      </c>
      <c r="C432" s="246">
        <f t="shared" ref="C432:P432" si="21">+SUM(C423:C430)</f>
        <v>30</v>
      </c>
      <c r="D432" s="246">
        <f t="shared" si="21"/>
        <v>0</v>
      </c>
      <c r="E432" s="1116">
        <f t="shared" si="21"/>
        <v>217637</v>
      </c>
      <c r="F432" s="1116">
        <f t="shared" si="21"/>
        <v>470</v>
      </c>
      <c r="G432" s="1116">
        <f t="shared" si="21"/>
        <v>0</v>
      </c>
      <c r="H432" s="1116">
        <f t="shared" si="21"/>
        <v>217637</v>
      </c>
      <c r="I432" s="1116">
        <f t="shared" si="21"/>
        <v>470</v>
      </c>
      <c r="J432" s="1116">
        <f t="shared" si="21"/>
        <v>0</v>
      </c>
      <c r="K432" s="246">
        <f t="shared" si="21"/>
        <v>347372</v>
      </c>
      <c r="L432" s="246">
        <f t="shared" si="21"/>
        <v>260</v>
      </c>
      <c r="M432" s="246">
        <f t="shared" si="21"/>
        <v>0</v>
      </c>
      <c r="N432" s="246">
        <f t="shared" si="21"/>
        <v>0</v>
      </c>
      <c r="O432" s="246">
        <f t="shared" si="21"/>
        <v>0</v>
      </c>
      <c r="P432" s="246">
        <f t="shared" si="21"/>
        <v>0</v>
      </c>
    </row>
    <row r="433" spans="1:16" ht="41.5" customHeight="1" x14ac:dyDescent="0.2">
      <c r="A433" s="838" t="s">
        <v>2815</v>
      </c>
      <c r="B433" s="838"/>
      <c r="C433" s="838"/>
      <c r="D433" s="838"/>
      <c r="E433" s="838"/>
      <c r="F433" s="838"/>
      <c r="G433" s="838"/>
      <c r="H433" s="838"/>
      <c r="I433" s="838"/>
      <c r="J433" s="838"/>
      <c r="K433" s="838"/>
      <c r="L433" s="838"/>
      <c r="M433" s="838"/>
      <c r="N433" s="838"/>
      <c r="O433" s="838"/>
      <c r="P433" s="838"/>
    </row>
    <row r="434" spans="1:16" ht="37.25" customHeight="1" x14ac:dyDescent="0.2">
      <c r="A434" s="751" t="s">
        <v>3887</v>
      </c>
      <c r="B434" s="977" t="s">
        <v>3888</v>
      </c>
      <c r="C434" s="977"/>
      <c r="D434" s="977"/>
      <c r="E434" s="977" t="s">
        <v>3889</v>
      </c>
      <c r="F434" s="977"/>
      <c r="G434" s="977"/>
      <c r="H434" s="977" t="s">
        <v>3890</v>
      </c>
      <c r="I434" s="977"/>
      <c r="J434" s="977"/>
      <c r="K434" s="977" t="s">
        <v>3990</v>
      </c>
      <c r="L434" s="977"/>
      <c r="M434" s="977"/>
      <c r="N434" s="977" t="s">
        <v>3892</v>
      </c>
      <c r="O434" s="977"/>
      <c r="P434" s="977"/>
    </row>
    <row r="435" spans="1:16" x14ac:dyDescent="0.2">
      <c r="A435" s="107" t="s">
        <v>3936</v>
      </c>
      <c r="B435" s="349">
        <v>27580</v>
      </c>
      <c r="C435" s="350"/>
      <c r="D435" s="717"/>
      <c r="E435" s="349">
        <v>27212</v>
      </c>
      <c r="F435" s="350">
        <v>35</v>
      </c>
      <c r="G435" s="717"/>
      <c r="H435" s="349">
        <v>27212</v>
      </c>
      <c r="I435" s="350">
        <v>35</v>
      </c>
      <c r="J435" s="717"/>
      <c r="K435" s="349">
        <v>367</v>
      </c>
      <c r="L435" s="350">
        <v>65</v>
      </c>
      <c r="M435" s="717"/>
      <c r="N435" s="349"/>
      <c r="O435" s="350"/>
      <c r="P435" s="717"/>
    </row>
    <row r="436" spans="1:16" x14ac:dyDescent="0.2">
      <c r="A436" s="107" t="s">
        <v>3937</v>
      </c>
      <c r="B436" s="131">
        <v>800</v>
      </c>
      <c r="C436" s="145"/>
      <c r="D436" s="307"/>
      <c r="E436" s="131">
        <v>552</v>
      </c>
      <c r="F436" s="145">
        <v>20</v>
      </c>
      <c r="G436" s="307"/>
      <c r="H436" s="131">
        <v>552</v>
      </c>
      <c r="I436" s="145">
        <v>20</v>
      </c>
      <c r="J436" s="307"/>
      <c r="K436" s="131">
        <v>247</v>
      </c>
      <c r="L436" s="145">
        <v>80</v>
      </c>
      <c r="M436" s="307"/>
      <c r="N436" s="131"/>
      <c r="O436" s="145"/>
      <c r="P436" s="307"/>
    </row>
    <row r="437" spans="1:16" x14ac:dyDescent="0.2">
      <c r="A437" s="107" t="s">
        <v>3938</v>
      </c>
      <c r="B437" s="131">
        <v>103216</v>
      </c>
      <c r="C437" s="145"/>
      <c r="D437" s="307"/>
      <c r="E437" s="131">
        <v>65844</v>
      </c>
      <c r="F437" s="145">
        <v>80</v>
      </c>
      <c r="G437" s="307"/>
      <c r="H437" s="131">
        <v>65844</v>
      </c>
      <c r="I437" s="145">
        <v>80</v>
      </c>
      <c r="J437" s="307"/>
      <c r="K437" s="131">
        <v>37371</v>
      </c>
      <c r="L437" s="145">
        <v>20</v>
      </c>
      <c r="M437" s="307"/>
      <c r="N437" s="131"/>
      <c r="O437" s="145"/>
      <c r="P437" s="307"/>
    </row>
    <row r="438" spans="1:16" x14ac:dyDescent="0.2">
      <c r="A438" s="141" t="s">
        <v>3939</v>
      </c>
      <c r="B438" s="131">
        <v>89998</v>
      </c>
      <c r="C438" s="145"/>
      <c r="D438" s="307"/>
      <c r="E438" s="131">
        <v>5103</v>
      </c>
      <c r="F438" s="145">
        <v>25</v>
      </c>
      <c r="G438" s="307"/>
      <c r="H438" s="131">
        <v>5103</v>
      </c>
      <c r="I438" s="145">
        <v>25</v>
      </c>
      <c r="J438" s="307"/>
      <c r="K438" s="131">
        <v>84894</v>
      </c>
      <c r="L438" s="145">
        <v>75</v>
      </c>
      <c r="M438" s="307"/>
      <c r="N438" s="131"/>
      <c r="O438" s="145"/>
      <c r="P438" s="307"/>
    </row>
    <row r="439" spans="1:16" x14ac:dyDescent="0.2">
      <c r="A439" s="141" t="s">
        <v>3940</v>
      </c>
      <c r="B439" s="131">
        <v>16000</v>
      </c>
      <c r="C439" s="145"/>
      <c r="D439" s="307"/>
      <c r="E439" s="131">
        <v>5274</v>
      </c>
      <c r="F439" s="145">
        <v>70</v>
      </c>
      <c r="G439" s="307"/>
      <c r="H439" s="131">
        <v>5274</v>
      </c>
      <c r="I439" s="145">
        <v>70</v>
      </c>
      <c r="J439" s="307"/>
      <c r="K439" s="131">
        <v>10725</v>
      </c>
      <c r="L439" s="145">
        <v>30</v>
      </c>
      <c r="M439" s="307"/>
      <c r="N439" s="131"/>
      <c r="O439" s="145"/>
      <c r="P439" s="307"/>
    </row>
    <row r="440" spans="1:16" x14ac:dyDescent="0.2">
      <c r="A440" s="141" t="s">
        <v>3941</v>
      </c>
      <c r="B440" s="131">
        <v>1080</v>
      </c>
      <c r="C440" s="145"/>
      <c r="D440" s="307"/>
      <c r="E440" s="131"/>
      <c r="F440" s="145"/>
      <c r="G440" s="307"/>
      <c r="H440" s="131"/>
      <c r="I440" s="145"/>
      <c r="J440" s="307"/>
      <c r="K440" s="131">
        <v>1080</v>
      </c>
      <c r="L440" s="145"/>
      <c r="M440" s="307"/>
      <c r="N440" s="131"/>
      <c r="O440" s="145"/>
      <c r="P440" s="307"/>
    </row>
    <row r="441" spans="1:16" x14ac:dyDescent="0.2">
      <c r="A441" s="141" t="s">
        <v>3942</v>
      </c>
      <c r="B441" s="131">
        <v>78392</v>
      </c>
      <c r="C441" s="145"/>
      <c r="D441" s="307"/>
      <c r="E441" s="131">
        <v>14634</v>
      </c>
      <c r="F441" s="145">
        <v>35</v>
      </c>
      <c r="G441" s="307"/>
      <c r="H441" s="131">
        <v>14634</v>
      </c>
      <c r="I441" s="145">
        <v>35</v>
      </c>
      <c r="J441" s="307"/>
      <c r="K441" s="131">
        <v>63757</v>
      </c>
      <c r="L441" s="145">
        <v>65</v>
      </c>
      <c r="M441" s="307"/>
      <c r="N441" s="131"/>
      <c r="O441" s="145"/>
      <c r="P441" s="307"/>
    </row>
    <row r="442" spans="1:16" x14ac:dyDescent="0.2">
      <c r="A442" s="141" t="s">
        <v>3943</v>
      </c>
      <c r="B442" s="131">
        <v>293012</v>
      </c>
      <c r="C442" s="145"/>
      <c r="D442" s="307"/>
      <c r="E442" s="131">
        <v>85964</v>
      </c>
      <c r="F442" s="145"/>
      <c r="G442" s="307"/>
      <c r="H442" s="131">
        <v>85964</v>
      </c>
      <c r="I442" s="145"/>
      <c r="J442" s="307"/>
      <c r="K442" s="131">
        <v>207048</v>
      </c>
      <c r="L442" s="145"/>
      <c r="M442" s="307"/>
      <c r="N442" s="131"/>
      <c r="O442" s="145"/>
      <c r="P442" s="307"/>
    </row>
    <row r="443" spans="1:16" x14ac:dyDescent="0.2">
      <c r="A443" s="141" t="s">
        <v>3944</v>
      </c>
      <c r="B443" s="131">
        <v>10261</v>
      </c>
      <c r="C443" s="145"/>
      <c r="D443" s="307"/>
      <c r="E443" s="131">
        <v>7146</v>
      </c>
      <c r="F443" s="145">
        <v>50</v>
      </c>
      <c r="G443" s="307"/>
      <c r="H443" s="131">
        <v>7146</v>
      </c>
      <c r="I443" s="145">
        <v>50</v>
      </c>
      <c r="J443" s="307"/>
      <c r="K443" s="131">
        <v>3114</v>
      </c>
      <c r="L443" s="145">
        <v>50</v>
      </c>
      <c r="M443" s="307"/>
      <c r="N443" s="131"/>
      <c r="O443" s="145"/>
      <c r="P443" s="307"/>
    </row>
    <row r="444" spans="1:16" x14ac:dyDescent="0.2">
      <c r="A444" s="141" t="s">
        <v>3945</v>
      </c>
      <c r="B444" s="131">
        <v>79970</v>
      </c>
      <c r="C444" s="145"/>
      <c r="D444" s="307"/>
      <c r="E444" s="131">
        <v>3152</v>
      </c>
      <c r="F444" s="145">
        <v>35</v>
      </c>
      <c r="G444" s="307"/>
      <c r="H444" s="131">
        <v>3152</v>
      </c>
      <c r="I444" s="145">
        <v>35</v>
      </c>
      <c r="J444" s="307"/>
      <c r="K444" s="131">
        <v>76817</v>
      </c>
      <c r="L444" s="145">
        <v>65</v>
      </c>
      <c r="M444" s="307"/>
      <c r="N444" s="131"/>
      <c r="O444" s="145"/>
      <c r="P444" s="307"/>
    </row>
    <row r="445" spans="1:16" x14ac:dyDescent="0.2">
      <c r="A445" s="141" t="s">
        <v>3946</v>
      </c>
      <c r="B445" s="131">
        <v>170533</v>
      </c>
      <c r="C445" s="145"/>
      <c r="D445" s="307"/>
      <c r="E445" s="131">
        <v>65050</v>
      </c>
      <c r="F445" s="145">
        <v>60</v>
      </c>
      <c r="G445" s="307"/>
      <c r="H445" s="131">
        <v>65050</v>
      </c>
      <c r="I445" s="145">
        <v>60</v>
      </c>
      <c r="J445" s="307"/>
      <c r="K445" s="131">
        <v>105482</v>
      </c>
      <c r="L445" s="145">
        <v>40</v>
      </c>
      <c r="M445" s="307"/>
      <c r="N445" s="131"/>
      <c r="O445" s="145"/>
      <c r="P445" s="307"/>
    </row>
    <row r="446" spans="1:16" ht="30" x14ac:dyDescent="0.2">
      <c r="A446" s="683" t="s">
        <v>3994</v>
      </c>
      <c r="B446" s="131">
        <v>39684</v>
      </c>
      <c r="C446" s="145"/>
      <c r="D446" s="307"/>
      <c r="E446" s="131"/>
      <c r="F446" s="145"/>
      <c r="G446" s="307"/>
      <c r="H446" s="131"/>
      <c r="I446" s="145"/>
      <c r="J446" s="307"/>
      <c r="K446" s="131">
        <v>39684</v>
      </c>
      <c r="L446" s="145"/>
      <c r="M446" s="307"/>
      <c r="N446" s="131"/>
      <c r="O446" s="145"/>
      <c r="P446" s="307"/>
    </row>
    <row r="447" spans="1:16" x14ac:dyDescent="0.2">
      <c r="A447" s="141" t="s">
        <v>3995</v>
      </c>
      <c r="B447" s="131">
        <v>34202</v>
      </c>
      <c r="C447" s="145"/>
      <c r="D447" s="307"/>
      <c r="E447" s="131"/>
      <c r="F447" s="145"/>
      <c r="G447" s="307"/>
      <c r="H447" s="131"/>
      <c r="I447" s="145"/>
      <c r="J447" s="307"/>
      <c r="K447" s="131">
        <v>34202</v>
      </c>
      <c r="L447" s="145"/>
      <c r="M447" s="307"/>
      <c r="N447" s="131"/>
      <c r="O447" s="145"/>
      <c r="P447" s="307"/>
    </row>
    <row r="448" spans="1:16" x14ac:dyDescent="0.2">
      <c r="A448" s="141" t="s">
        <v>3996</v>
      </c>
      <c r="B448" s="131">
        <v>11216</v>
      </c>
      <c r="C448" s="145">
        <v>75</v>
      </c>
      <c r="D448" s="307"/>
      <c r="E448" s="131">
        <v>5126</v>
      </c>
      <c r="F448" s="145"/>
      <c r="G448" s="307"/>
      <c r="H448" s="131">
        <v>5126</v>
      </c>
      <c r="I448" s="145"/>
      <c r="J448" s="307"/>
      <c r="K448" s="131">
        <v>6090</v>
      </c>
      <c r="L448" s="145">
        <v>75</v>
      </c>
      <c r="M448" s="307"/>
      <c r="N448" s="131"/>
      <c r="O448" s="145"/>
      <c r="P448" s="307"/>
    </row>
    <row r="449" spans="1:16" x14ac:dyDescent="0.2">
      <c r="A449" s="141" t="s">
        <v>3997</v>
      </c>
      <c r="B449" s="131">
        <v>262126</v>
      </c>
      <c r="C449" s="145">
        <v>53</v>
      </c>
      <c r="D449" s="307"/>
      <c r="E449" s="131">
        <v>45841</v>
      </c>
      <c r="F449" s="145">
        <v>80</v>
      </c>
      <c r="G449" s="307"/>
      <c r="H449" s="131">
        <v>45841</v>
      </c>
      <c r="I449" s="145">
        <v>80</v>
      </c>
      <c r="J449" s="307"/>
      <c r="K449" s="131">
        <v>216284</v>
      </c>
      <c r="L449" s="145">
        <v>73</v>
      </c>
      <c r="M449" s="307"/>
      <c r="N449" s="131"/>
      <c r="O449" s="145"/>
      <c r="P449" s="307"/>
    </row>
    <row r="450" spans="1:16" x14ac:dyDescent="0.2">
      <c r="A450" s="141" t="s">
        <v>3998</v>
      </c>
      <c r="B450" s="131">
        <v>3600</v>
      </c>
      <c r="C450" s="145"/>
      <c r="D450" s="307"/>
      <c r="E450" s="131">
        <v>2400</v>
      </c>
      <c r="F450" s="145"/>
      <c r="G450" s="307"/>
      <c r="H450" s="131">
        <v>2400</v>
      </c>
      <c r="I450" s="145"/>
      <c r="J450" s="307"/>
      <c r="K450" s="131">
        <v>1200</v>
      </c>
      <c r="L450" s="145"/>
      <c r="M450" s="307"/>
      <c r="N450" s="131"/>
      <c r="O450" s="145"/>
      <c r="P450" s="307"/>
    </row>
    <row r="451" spans="1:16" x14ac:dyDescent="0.2">
      <c r="A451" s="1114" t="s">
        <v>3906</v>
      </c>
      <c r="B451" s="240">
        <v>1221671</v>
      </c>
      <c r="C451" s="318">
        <v>28</v>
      </c>
      <c r="D451" s="513"/>
      <c r="E451" s="240">
        <v>333302</v>
      </c>
      <c r="F451" s="318">
        <v>90</v>
      </c>
      <c r="G451" s="513"/>
      <c r="H451" s="240">
        <v>333302</v>
      </c>
      <c r="I451" s="318">
        <v>90</v>
      </c>
      <c r="J451" s="513"/>
      <c r="K451" s="240">
        <v>888368</v>
      </c>
      <c r="L451" s="318">
        <v>38</v>
      </c>
      <c r="M451" s="513"/>
      <c r="N451" s="240"/>
      <c r="O451" s="318"/>
      <c r="P451" s="513"/>
    </row>
    <row r="452" spans="1:16" x14ac:dyDescent="0.2">
      <c r="A452" s="1114"/>
      <c r="B452" s="246">
        <f>+SUM(B435:B450)</f>
        <v>1221670</v>
      </c>
      <c r="C452" s="246">
        <f t="shared" ref="C452:M452" si="22">+SUM(C435:C450)</f>
        <v>128</v>
      </c>
      <c r="D452" s="246">
        <f t="shared" si="22"/>
        <v>0</v>
      </c>
      <c r="E452" s="246">
        <f t="shared" si="22"/>
        <v>333298</v>
      </c>
      <c r="F452" s="246">
        <f t="shared" si="22"/>
        <v>490</v>
      </c>
      <c r="G452" s="246">
        <f t="shared" si="22"/>
        <v>0</v>
      </c>
      <c r="H452" s="246">
        <f t="shared" si="22"/>
        <v>333298</v>
      </c>
      <c r="I452" s="246">
        <f t="shared" si="22"/>
        <v>490</v>
      </c>
      <c r="J452" s="246">
        <f t="shared" si="22"/>
        <v>0</v>
      </c>
      <c r="K452" s="246">
        <f t="shared" si="22"/>
        <v>888362</v>
      </c>
      <c r="L452" s="246">
        <f t="shared" si="22"/>
        <v>638</v>
      </c>
      <c r="M452" s="246">
        <f t="shared" si="22"/>
        <v>0</v>
      </c>
      <c r="N452" s="240"/>
      <c r="O452" s="318"/>
      <c r="P452" s="513"/>
    </row>
    <row r="453" spans="1:16" ht="34.25" customHeight="1" x14ac:dyDescent="0.2">
      <c r="A453" s="838" t="s">
        <v>2824</v>
      </c>
      <c r="B453" s="838"/>
      <c r="C453" s="838"/>
      <c r="D453" s="838"/>
      <c r="E453" s="838"/>
      <c r="F453" s="838"/>
      <c r="G453" s="838"/>
      <c r="H453" s="838"/>
      <c r="I453" s="838"/>
      <c r="J453" s="838"/>
      <c r="K453" s="838"/>
      <c r="L453" s="838"/>
      <c r="M453" s="838"/>
      <c r="N453" s="838"/>
      <c r="O453" s="838"/>
      <c r="P453" s="838"/>
    </row>
    <row r="454" spans="1:16" ht="35" customHeight="1" x14ac:dyDescent="0.2">
      <c r="A454" s="751" t="s">
        <v>3887</v>
      </c>
      <c r="B454" s="977" t="s">
        <v>3888</v>
      </c>
      <c r="C454" s="977"/>
      <c r="D454" s="977"/>
      <c r="E454" s="977" t="s">
        <v>3889</v>
      </c>
      <c r="F454" s="977"/>
      <c r="G454" s="977"/>
      <c r="H454" s="977" t="s">
        <v>3890</v>
      </c>
      <c r="I454" s="977"/>
      <c r="J454" s="977"/>
      <c r="K454" s="977" t="s">
        <v>3990</v>
      </c>
      <c r="L454" s="977"/>
      <c r="M454" s="977"/>
      <c r="N454" s="977" t="s">
        <v>3892</v>
      </c>
      <c r="O454" s="977"/>
      <c r="P454" s="977"/>
    </row>
    <row r="455" spans="1:16" x14ac:dyDescent="0.2">
      <c r="A455" s="107" t="s">
        <v>3949</v>
      </c>
      <c r="B455" s="349">
        <v>3013630</v>
      </c>
      <c r="C455" s="350"/>
      <c r="D455" s="717"/>
      <c r="E455" s="349">
        <v>160713</v>
      </c>
      <c r="F455" s="350">
        <v>80</v>
      </c>
      <c r="G455" s="717"/>
      <c r="H455" s="349">
        <v>160713</v>
      </c>
      <c r="I455" s="350">
        <v>80</v>
      </c>
      <c r="J455" s="717"/>
      <c r="K455" s="349">
        <v>2852916</v>
      </c>
      <c r="L455" s="350">
        <v>20</v>
      </c>
      <c r="M455" s="717"/>
      <c r="N455" s="349"/>
      <c r="O455" s="350"/>
      <c r="P455" s="717"/>
    </row>
    <row r="456" spans="1:16" x14ac:dyDescent="0.2">
      <c r="A456" s="1114" t="s">
        <v>3906</v>
      </c>
      <c r="B456" s="349">
        <v>3013630</v>
      </c>
      <c r="C456" s="350"/>
      <c r="D456" s="717"/>
      <c r="E456" s="349">
        <v>160713</v>
      </c>
      <c r="F456" s="350">
        <v>80</v>
      </c>
      <c r="G456" s="717"/>
      <c r="H456" s="349">
        <v>160713</v>
      </c>
      <c r="I456" s="350">
        <v>80</v>
      </c>
      <c r="J456" s="717"/>
      <c r="K456" s="349">
        <v>2852916</v>
      </c>
      <c r="L456" s="350">
        <v>20</v>
      </c>
      <c r="M456" s="717"/>
      <c r="N456" s="349"/>
      <c r="O456" s="350"/>
      <c r="P456" s="717"/>
    </row>
    <row r="457" spans="1:16" ht="41" customHeight="1" x14ac:dyDescent="0.2">
      <c r="A457" s="838" t="s">
        <v>2790</v>
      </c>
      <c r="B457" s="838"/>
      <c r="C457" s="838"/>
      <c r="D457" s="838"/>
      <c r="E457" s="838"/>
      <c r="F457" s="838"/>
      <c r="G457" s="838"/>
      <c r="H457" s="838"/>
      <c r="I457" s="838"/>
      <c r="J457" s="838"/>
      <c r="K457" s="838"/>
      <c r="L457" s="838"/>
      <c r="M457" s="838"/>
      <c r="N457" s="838"/>
      <c r="O457" s="838"/>
      <c r="P457" s="838"/>
    </row>
    <row r="458" spans="1:16" ht="34.25" customHeight="1" x14ac:dyDescent="0.2">
      <c r="A458" s="751" t="s">
        <v>3887</v>
      </c>
      <c r="B458" s="977" t="s">
        <v>3888</v>
      </c>
      <c r="C458" s="977"/>
      <c r="D458" s="977"/>
      <c r="E458" s="977" t="s">
        <v>3889</v>
      </c>
      <c r="F458" s="977"/>
      <c r="G458" s="977"/>
      <c r="H458" s="977" t="s">
        <v>3890</v>
      </c>
      <c r="I458" s="977"/>
      <c r="J458" s="977"/>
      <c r="K458" s="977" t="s">
        <v>3990</v>
      </c>
      <c r="L458" s="977"/>
      <c r="M458" s="977"/>
      <c r="N458" s="977" t="s">
        <v>3892</v>
      </c>
      <c r="O458" s="977"/>
      <c r="P458" s="977"/>
    </row>
    <row r="459" spans="1:16" x14ac:dyDescent="0.2">
      <c r="A459" s="107" t="s">
        <v>3957</v>
      </c>
      <c r="B459" s="349">
        <v>22072</v>
      </c>
      <c r="C459" s="350"/>
      <c r="D459" s="717"/>
      <c r="E459" s="349">
        <v>21423</v>
      </c>
      <c r="F459" s="350">
        <v>5</v>
      </c>
      <c r="G459" s="717"/>
      <c r="H459" s="349">
        <v>21329</v>
      </c>
      <c r="I459" s="350">
        <v>20</v>
      </c>
      <c r="J459" s="717"/>
      <c r="K459" s="349">
        <v>648</v>
      </c>
      <c r="L459" s="350">
        <v>95</v>
      </c>
      <c r="M459" s="717"/>
      <c r="N459" s="349">
        <v>93</v>
      </c>
      <c r="O459" s="350">
        <v>85</v>
      </c>
      <c r="P459" s="717"/>
    </row>
    <row r="460" spans="1:16" x14ac:dyDescent="0.2">
      <c r="A460" s="107" t="s">
        <v>3958</v>
      </c>
      <c r="B460" s="131">
        <v>1300</v>
      </c>
      <c r="C460" s="145"/>
      <c r="D460" s="307"/>
      <c r="E460" s="131">
        <v>894</v>
      </c>
      <c r="F460" s="145">
        <v>5</v>
      </c>
      <c r="G460" s="307"/>
      <c r="H460" s="131">
        <v>885</v>
      </c>
      <c r="I460" s="145">
        <v>65</v>
      </c>
      <c r="J460" s="307"/>
      <c r="K460" s="131">
        <v>405</v>
      </c>
      <c r="L460" s="145">
        <v>95</v>
      </c>
      <c r="M460" s="307"/>
      <c r="N460" s="131">
        <v>8</v>
      </c>
      <c r="O460" s="145">
        <v>40</v>
      </c>
      <c r="P460" s="307"/>
    </row>
    <row r="461" spans="1:16" x14ac:dyDescent="0.2">
      <c r="A461" s="107" t="s">
        <v>3959</v>
      </c>
      <c r="B461" s="131">
        <v>13068</v>
      </c>
      <c r="C461" s="145"/>
      <c r="D461" s="307"/>
      <c r="E461" s="131">
        <v>13018</v>
      </c>
      <c r="F461" s="145">
        <v>50</v>
      </c>
      <c r="G461" s="307"/>
      <c r="H461" s="131">
        <v>12937</v>
      </c>
      <c r="I461" s="145">
        <v>25</v>
      </c>
      <c r="J461" s="307"/>
      <c r="K461" s="131">
        <v>49</v>
      </c>
      <c r="L461" s="145">
        <v>50</v>
      </c>
      <c r="M461" s="307"/>
      <c r="N461" s="131">
        <v>81</v>
      </c>
      <c r="O461" s="145">
        <v>25</v>
      </c>
      <c r="P461" s="307"/>
    </row>
    <row r="462" spans="1:16" x14ac:dyDescent="0.2">
      <c r="A462" s="141" t="s">
        <v>3960</v>
      </c>
      <c r="B462" s="131">
        <v>360</v>
      </c>
      <c r="C462" s="145"/>
      <c r="D462" s="307"/>
      <c r="E462" s="131">
        <v>360</v>
      </c>
      <c r="F462" s="145"/>
      <c r="G462" s="307"/>
      <c r="H462" s="131">
        <v>360</v>
      </c>
      <c r="I462" s="145"/>
      <c r="J462" s="307"/>
      <c r="K462" s="131"/>
      <c r="L462" s="145"/>
      <c r="M462" s="307"/>
      <c r="N462" s="131"/>
      <c r="O462" s="145"/>
      <c r="P462" s="307"/>
    </row>
    <row r="463" spans="1:16" x14ac:dyDescent="0.2">
      <c r="A463" s="141" t="s">
        <v>3961</v>
      </c>
      <c r="B463" s="131">
        <v>12708</v>
      </c>
      <c r="C463" s="145"/>
      <c r="D463" s="307"/>
      <c r="E463" s="131">
        <v>12644</v>
      </c>
      <c r="F463" s="145">
        <v>55</v>
      </c>
      <c r="G463" s="307"/>
      <c r="H463" s="131">
        <v>12644</v>
      </c>
      <c r="I463" s="145">
        <v>55</v>
      </c>
      <c r="J463" s="307"/>
      <c r="K463" s="131">
        <v>63</v>
      </c>
      <c r="L463" s="145">
        <v>45</v>
      </c>
      <c r="M463" s="307"/>
      <c r="N463" s="131"/>
      <c r="O463" s="145"/>
      <c r="P463" s="307"/>
    </row>
    <row r="464" spans="1:16" x14ac:dyDescent="0.2">
      <c r="A464" s="141" t="s">
        <v>3962</v>
      </c>
      <c r="B464" s="131">
        <v>400</v>
      </c>
      <c r="C464" s="145"/>
      <c r="D464" s="307"/>
      <c r="E464" s="131">
        <v>445</v>
      </c>
      <c r="F464" s="145"/>
      <c r="G464" s="307"/>
      <c r="H464" s="131">
        <v>445</v>
      </c>
      <c r="I464" s="145"/>
      <c r="J464" s="307"/>
      <c r="K464" s="131"/>
      <c r="L464" s="145"/>
      <c r="M464" s="307"/>
      <c r="N464" s="131"/>
      <c r="O464" s="145"/>
      <c r="P464" s="307"/>
    </row>
    <row r="465" spans="1:16" x14ac:dyDescent="0.2">
      <c r="A465" s="141" t="s">
        <v>3963</v>
      </c>
      <c r="B465" s="131">
        <v>58370</v>
      </c>
      <c r="C465" s="145"/>
      <c r="D465" s="307"/>
      <c r="E465" s="131">
        <v>5000</v>
      </c>
      <c r="F465" s="145">
        <v>40</v>
      </c>
      <c r="G465" s="307"/>
      <c r="H465" s="131">
        <v>5000</v>
      </c>
      <c r="I465" s="145">
        <v>40</v>
      </c>
      <c r="J465" s="307"/>
      <c r="K465" s="131">
        <v>53369</v>
      </c>
      <c r="L465" s="145">
        <v>60</v>
      </c>
      <c r="M465" s="307"/>
      <c r="N465" s="131"/>
      <c r="O465" s="145"/>
      <c r="P465" s="307"/>
    </row>
    <row r="466" spans="1:16" x14ac:dyDescent="0.2">
      <c r="A466" s="1114" t="s">
        <v>3906</v>
      </c>
      <c r="B466" s="240">
        <v>108278</v>
      </c>
      <c r="C466" s="318"/>
      <c r="D466" s="513"/>
      <c r="E466" s="240">
        <v>53785</v>
      </c>
      <c r="F466" s="318">
        <v>55</v>
      </c>
      <c r="G466" s="513"/>
      <c r="H466" s="240">
        <v>53602</v>
      </c>
      <c r="I466" s="318">
        <v>5</v>
      </c>
      <c r="J466" s="513"/>
      <c r="K466" s="240">
        <v>54537</v>
      </c>
      <c r="L466" s="318">
        <v>45</v>
      </c>
      <c r="M466" s="513"/>
      <c r="N466" s="240">
        <v>183</v>
      </c>
      <c r="O466" s="318">
        <v>50</v>
      </c>
      <c r="P466" s="513"/>
    </row>
    <row r="467" spans="1:16" x14ac:dyDescent="0.2">
      <c r="A467" s="1114"/>
      <c r="B467" s="246">
        <f>+SUM(B459:B465)</f>
        <v>108278</v>
      </c>
      <c r="C467" s="246">
        <f t="shared" ref="C467:P467" si="23">+SUM(C459:C465)</f>
        <v>0</v>
      </c>
      <c r="D467" s="246">
        <f t="shared" si="23"/>
        <v>0</v>
      </c>
      <c r="E467" s="246">
        <f t="shared" si="23"/>
        <v>53784</v>
      </c>
      <c r="F467" s="246">
        <f t="shared" si="23"/>
        <v>155</v>
      </c>
      <c r="G467" s="246">
        <f t="shared" si="23"/>
        <v>0</v>
      </c>
      <c r="H467" s="246">
        <f t="shared" si="23"/>
        <v>53600</v>
      </c>
      <c r="I467" s="246">
        <f t="shared" si="23"/>
        <v>205</v>
      </c>
      <c r="J467" s="246">
        <f t="shared" si="23"/>
        <v>0</v>
      </c>
      <c r="K467" s="246">
        <f t="shared" si="23"/>
        <v>54534</v>
      </c>
      <c r="L467" s="246">
        <f t="shared" si="23"/>
        <v>345</v>
      </c>
      <c r="M467" s="246">
        <f t="shared" si="23"/>
        <v>0</v>
      </c>
      <c r="N467" s="246">
        <f t="shared" si="23"/>
        <v>182</v>
      </c>
      <c r="O467" s="246">
        <f t="shared" si="23"/>
        <v>150</v>
      </c>
      <c r="P467" s="246">
        <f t="shared" si="23"/>
        <v>0</v>
      </c>
    </row>
    <row r="468" spans="1:16" ht="39" customHeight="1" x14ac:dyDescent="0.2">
      <c r="A468" s="838" t="s">
        <v>3950</v>
      </c>
      <c r="B468" s="838"/>
      <c r="C468" s="838"/>
      <c r="D468" s="838"/>
      <c r="E468" s="838"/>
      <c r="F468" s="838"/>
      <c r="G468" s="838"/>
      <c r="H468" s="838"/>
      <c r="I468" s="838"/>
      <c r="J468" s="838"/>
      <c r="K468" s="838"/>
      <c r="L468" s="838"/>
      <c r="M468" s="838"/>
      <c r="N468" s="838"/>
      <c r="O468" s="838"/>
      <c r="P468" s="838"/>
    </row>
    <row r="469" spans="1:16" ht="42.5" customHeight="1" x14ac:dyDescent="0.2">
      <c r="A469" s="751" t="s">
        <v>3887</v>
      </c>
      <c r="B469" s="977" t="s">
        <v>3888</v>
      </c>
      <c r="C469" s="977"/>
      <c r="D469" s="977"/>
      <c r="E469" s="977" t="s">
        <v>3889</v>
      </c>
      <c r="F469" s="977"/>
      <c r="G469" s="977"/>
      <c r="H469" s="977" t="s">
        <v>3890</v>
      </c>
      <c r="I469" s="977"/>
      <c r="J469" s="977"/>
      <c r="K469" s="977" t="s">
        <v>3990</v>
      </c>
      <c r="L469" s="977"/>
      <c r="M469" s="977"/>
      <c r="N469" s="977" t="s">
        <v>3892</v>
      </c>
      <c r="O469" s="977"/>
      <c r="P469" s="977"/>
    </row>
    <row r="470" spans="1:16" x14ac:dyDescent="0.2">
      <c r="A470" s="107" t="s">
        <v>3951</v>
      </c>
      <c r="B470" s="349">
        <v>540530</v>
      </c>
      <c r="C470" s="350">
        <v>50</v>
      </c>
      <c r="D470" s="717"/>
      <c r="E470" s="349">
        <v>508706</v>
      </c>
      <c r="F470" s="350"/>
      <c r="G470" s="717"/>
      <c r="H470" s="349">
        <v>267341</v>
      </c>
      <c r="I470" s="350">
        <v>90</v>
      </c>
      <c r="J470" s="352"/>
      <c r="K470" s="349">
        <v>31824</v>
      </c>
      <c r="L470" s="350">
        <v>50</v>
      </c>
      <c r="M470" s="717"/>
      <c r="N470" s="349">
        <v>241364</v>
      </c>
      <c r="O470" s="350">
        <v>10</v>
      </c>
      <c r="P470" s="352"/>
    </row>
    <row r="471" spans="1:16" x14ac:dyDescent="0.2">
      <c r="A471" s="107" t="s">
        <v>3952</v>
      </c>
      <c r="B471" s="131">
        <v>1618167</v>
      </c>
      <c r="C471" s="145">
        <v>40</v>
      </c>
      <c r="D471" s="307"/>
      <c r="E471" s="131">
        <v>1118245</v>
      </c>
      <c r="F471" s="145">
        <v>62</v>
      </c>
      <c r="G471" s="307"/>
      <c r="H471" s="131">
        <v>958128</v>
      </c>
      <c r="I471" s="145">
        <v>32</v>
      </c>
      <c r="J471" s="133">
        <v>0.5</v>
      </c>
      <c r="K471" s="131">
        <v>499921</v>
      </c>
      <c r="L471" s="145">
        <v>78</v>
      </c>
      <c r="M471" s="307"/>
      <c r="N471" s="131">
        <v>160117</v>
      </c>
      <c r="O471" s="145">
        <v>29</v>
      </c>
      <c r="P471" s="133">
        <v>0.5</v>
      </c>
    </row>
    <row r="472" spans="1:16" x14ac:dyDescent="0.2">
      <c r="A472" s="107" t="s">
        <v>3953</v>
      </c>
      <c r="B472" s="131">
        <v>110261</v>
      </c>
      <c r="C472" s="145">
        <v>70</v>
      </c>
      <c r="D472" s="307"/>
      <c r="E472" s="131">
        <v>50205</v>
      </c>
      <c r="F472" s="145">
        <v>55</v>
      </c>
      <c r="G472" s="307"/>
      <c r="H472" s="131">
        <v>46765</v>
      </c>
      <c r="I472" s="145">
        <v>20</v>
      </c>
      <c r="J472" s="133"/>
      <c r="K472" s="131">
        <v>60056</v>
      </c>
      <c r="L472" s="145">
        <v>15</v>
      </c>
      <c r="M472" s="307"/>
      <c r="N472" s="131">
        <v>3440</v>
      </c>
      <c r="O472" s="145">
        <v>35</v>
      </c>
      <c r="P472" s="133"/>
    </row>
    <row r="473" spans="1:16" x14ac:dyDescent="0.2">
      <c r="A473" s="141" t="s">
        <v>3954</v>
      </c>
      <c r="B473" s="131">
        <v>40753</v>
      </c>
      <c r="C473" s="145">
        <v>20</v>
      </c>
      <c r="D473" s="307"/>
      <c r="E473" s="131">
        <v>15616</v>
      </c>
      <c r="F473" s="145">
        <v>90</v>
      </c>
      <c r="G473" s="307"/>
      <c r="H473" s="131">
        <v>12322</v>
      </c>
      <c r="I473" s="145">
        <v>15</v>
      </c>
      <c r="J473" s="133"/>
      <c r="K473" s="131">
        <v>25136</v>
      </c>
      <c r="L473" s="145">
        <v>30</v>
      </c>
      <c r="M473" s="307"/>
      <c r="N473" s="131">
        <v>3294</v>
      </c>
      <c r="O473" s="145">
        <v>75</v>
      </c>
      <c r="P473" s="133"/>
    </row>
    <row r="474" spans="1:16" x14ac:dyDescent="0.2">
      <c r="A474" s="141" t="s">
        <v>3955</v>
      </c>
      <c r="B474" s="131">
        <v>192069</v>
      </c>
      <c r="C474" s="145">
        <v>95</v>
      </c>
      <c r="D474" s="307"/>
      <c r="E474" s="131">
        <v>165881</v>
      </c>
      <c r="F474" s="145">
        <v>5</v>
      </c>
      <c r="G474" s="307"/>
      <c r="H474" s="131">
        <v>165881</v>
      </c>
      <c r="I474" s="145">
        <v>5</v>
      </c>
      <c r="J474" s="133"/>
      <c r="K474" s="131">
        <v>26188</v>
      </c>
      <c r="L474" s="145">
        <v>90</v>
      </c>
      <c r="M474" s="307"/>
      <c r="N474" s="131"/>
      <c r="O474" s="145"/>
      <c r="P474" s="133"/>
    </row>
    <row r="475" spans="1:16" x14ac:dyDescent="0.2">
      <c r="A475" s="141" t="s">
        <v>3956</v>
      </c>
      <c r="B475" s="131">
        <v>127925</v>
      </c>
      <c r="C475" s="145">
        <v>15</v>
      </c>
      <c r="D475" s="307"/>
      <c r="E475" s="131">
        <v>101993</v>
      </c>
      <c r="F475" s="145">
        <v>50</v>
      </c>
      <c r="G475" s="307"/>
      <c r="H475" s="131">
        <v>101796</v>
      </c>
      <c r="I475" s="145">
        <v>85</v>
      </c>
      <c r="J475" s="133"/>
      <c r="K475" s="131">
        <v>25931</v>
      </c>
      <c r="L475" s="145">
        <v>65</v>
      </c>
      <c r="M475" s="307"/>
      <c r="N475" s="131">
        <v>196</v>
      </c>
      <c r="O475" s="145">
        <v>65</v>
      </c>
      <c r="P475" s="133"/>
    </row>
    <row r="476" spans="1:16" x14ac:dyDescent="0.2">
      <c r="A476" s="141" t="s">
        <v>3928</v>
      </c>
      <c r="B476" s="131">
        <v>19681</v>
      </c>
      <c r="C476" s="145">
        <v>15</v>
      </c>
      <c r="D476" s="307"/>
      <c r="E476" s="131">
        <v>2579</v>
      </c>
      <c r="F476" s="145"/>
      <c r="G476" s="307"/>
      <c r="H476" s="131">
        <v>2579</v>
      </c>
      <c r="I476" s="145"/>
      <c r="J476" s="133"/>
      <c r="K476" s="131">
        <v>17102</v>
      </c>
      <c r="L476" s="145">
        <v>15</v>
      </c>
      <c r="M476" s="307"/>
      <c r="N476" s="131"/>
      <c r="O476" s="145"/>
      <c r="P476" s="133"/>
    </row>
    <row r="477" spans="1:16" x14ac:dyDescent="0.2">
      <c r="A477" s="1114" t="s">
        <v>3906</v>
      </c>
      <c r="B477" s="240">
        <v>2649389</v>
      </c>
      <c r="C477" s="318">
        <v>5</v>
      </c>
      <c r="D477" s="513"/>
      <c r="E477" s="240">
        <v>1963227</v>
      </c>
      <c r="F477" s="318">
        <v>62</v>
      </c>
      <c r="G477" s="513"/>
      <c r="H477" s="240">
        <v>1544814</v>
      </c>
      <c r="I477" s="318">
        <v>47</v>
      </c>
      <c r="J477" s="241">
        <v>0.5</v>
      </c>
      <c r="K477" s="240">
        <v>686161</v>
      </c>
      <c r="L477" s="318">
        <v>43</v>
      </c>
      <c r="M477" s="513"/>
      <c r="N477" s="240">
        <v>408413</v>
      </c>
      <c r="O477" s="318">
        <v>14</v>
      </c>
      <c r="P477" s="241">
        <v>0.5</v>
      </c>
    </row>
    <row r="478" spans="1:16" x14ac:dyDescent="0.2">
      <c r="A478" s="1114"/>
      <c r="B478" s="246">
        <f>+SUM(B470:B476)</f>
        <v>2649386</v>
      </c>
      <c r="C478" s="246">
        <f t="shared" ref="C478:P478" si="24">+SUM(C470:C476)</f>
        <v>305</v>
      </c>
      <c r="D478" s="246">
        <f t="shared" si="24"/>
        <v>0</v>
      </c>
      <c r="E478" s="246">
        <f t="shared" si="24"/>
        <v>1963225</v>
      </c>
      <c r="F478" s="246">
        <f t="shared" si="24"/>
        <v>262</v>
      </c>
      <c r="G478" s="246">
        <f t="shared" si="24"/>
        <v>0</v>
      </c>
      <c r="H478" s="246">
        <f t="shared" si="24"/>
        <v>1554812</v>
      </c>
      <c r="I478" s="246">
        <f t="shared" si="24"/>
        <v>247</v>
      </c>
      <c r="J478" s="1115">
        <f t="shared" si="24"/>
        <v>0.5</v>
      </c>
      <c r="K478" s="246">
        <f t="shared" si="24"/>
        <v>686158</v>
      </c>
      <c r="L478" s="246">
        <f t="shared" si="24"/>
        <v>343</v>
      </c>
      <c r="M478" s="246">
        <f t="shared" si="24"/>
        <v>0</v>
      </c>
      <c r="N478" s="246">
        <f t="shared" si="24"/>
        <v>408411</v>
      </c>
      <c r="O478" s="246">
        <f t="shared" si="24"/>
        <v>214</v>
      </c>
      <c r="P478" s="1115">
        <f t="shared" si="24"/>
        <v>0.5</v>
      </c>
    </row>
    <row r="479" spans="1:16" ht="32" customHeight="1" x14ac:dyDescent="0.2">
      <c r="A479" s="838" t="s">
        <v>2794</v>
      </c>
      <c r="B479" s="838"/>
      <c r="C479" s="838"/>
      <c r="D479" s="838"/>
      <c r="E479" s="838"/>
      <c r="F479" s="838"/>
      <c r="G479" s="838"/>
      <c r="H479" s="838"/>
      <c r="I479" s="838"/>
      <c r="J479" s="838"/>
      <c r="K479" s="838"/>
      <c r="L479" s="838"/>
      <c r="M479" s="838"/>
      <c r="N479" s="838"/>
      <c r="O479" s="838"/>
      <c r="P479" s="838"/>
    </row>
    <row r="480" spans="1:16" ht="41.5" customHeight="1" x14ac:dyDescent="0.2">
      <c r="A480" s="751" t="s">
        <v>3887</v>
      </c>
      <c r="B480" s="977" t="s">
        <v>3888</v>
      </c>
      <c r="C480" s="977"/>
      <c r="D480" s="977"/>
      <c r="E480" s="977" t="s">
        <v>3889</v>
      </c>
      <c r="F480" s="977"/>
      <c r="G480" s="977"/>
      <c r="H480" s="977" t="s">
        <v>3890</v>
      </c>
      <c r="I480" s="977"/>
      <c r="J480" s="977"/>
      <c r="K480" s="977" t="s">
        <v>3990</v>
      </c>
      <c r="L480" s="977"/>
      <c r="M480" s="977"/>
      <c r="N480" s="977" t="s">
        <v>3892</v>
      </c>
      <c r="O480" s="977"/>
      <c r="P480" s="977"/>
    </row>
    <row r="481" spans="1:16" x14ac:dyDescent="0.2">
      <c r="A481" s="107" t="s">
        <v>3964</v>
      </c>
      <c r="B481" s="349">
        <v>2000</v>
      </c>
      <c r="C481" s="350"/>
      <c r="D481" s="717"/>
      <c r="E481" s="349">
        <v>3</v>
      </c>
      <c r="F481" s="350">
        <v>5</v>
      </c>
      <c r="G481" s="717"/>
      <c r="H481" s="349">
        <v>3</v>
      </c>
      <c r="I481" s="350">
        <v>5</v>
      </c>
      <c r="J481" s="717"/>
      <c r="K481" s="349">
        <v>1996</v>
      </c>
      <c r="L481" s="350">
        <v>95</v>
      </c>
      <c r="M481" s="717"/>
      <c r="N481" s="349"/>
      <c r="O481" s="350"/>
      <c r="P481" s="717"/>
    </row>
    <row r="482" spans="1:16" x14ac:dyDescent="0.2">
      <c r="A482" s="107" t="s">
        <v>3965</v>
      </c>
      <c r="B482" s="131">
        <v>400</v>
      </c>
      <c r="C482" s="145"/>
      <c r="D482" s="307"/>
      <c r="E482" s="131">
        <v>6</v>
      </c>
      <c r="F482" s="145">
        <v>60</v>
      </c>
      <c r="G482" s="307"/>
      <c r="H482" s="131">
        <v>6</v>
      </c>
      <c r="I482" s="145">
        <v>60</v>
      </c>
      <c r="J482" s="307"/>
      <c r="K482" s="131">
        <v>393</v>
      </c>
      <c r="L482" s="145">
        <v>40</v>
      </c>
      <c r="M482" s="307"/>
      <c r="N482" s="131"/>
      <c r="O482" s="145"/>
      <c r="P482" s="307"/>
    </row>
    <row r="483" spans="1:16" x14ac:dyDescent="0.2">
      <c r="A483" s="107" t="s">
        <v>3915</v>
      </c>
      <c r="B483" s="131">
        <v>5553</v>
      </c>
      <c r="C483" s="145">
        <v>40</v>
      </c>
      <c r="D483" s="307"/>
      <c r="E483" s="131">
        <v>5090</v>
      </c>
      <c r="F483" s="145">
        <v>40</v>
      </c>
      <c r="G483" s="307"/>
      <c r="H483" s="131">
        <v>5090</v>
      </c>
      <c r="I483" s="145">
        <v>40</v>
      </c>
      <c r="J483" s="307"/>
      <c r="K483" s="131">
        <v>463</v>
      </c>
      <c r="L483" s="145"/>
      <c r="M483" s="307"/>
      <c r="N483" s="131"/>
      <c r="O483" s="145"/>
      <c r="P483" s="307"/>
    </row>
    <row r="484" spans="1:16" x14ac:dyDescent="0.2">
      <c r="A484" s="1114" t="s">
        <v>3906</v>
      </c>
      <c r="B484" s="240">
        <v>7953</v>
      </c>
      <c r="C484" s="318">
        <v>40</v>
      </c>
      <c r="D484" s="513"/>
      <c r="E484" s="240">
        <v>5100</v>
      </c>
      <c r="F484" s="318">
        <v>5</v>
      </c>
      <c r="G484" s="513"/>
      <c r="H484" s="240">
        <v>5100</v>
      </c>
      <c r="I484" s="318">
        <v>5</v>
      </c>
      <c r="J484" s="513"/>
      <c r="K484" s="240">
        <v>2853</v>
      </c>
      <c r="L484" s="318">
        <v>35</v>
      </c>
      <c r="M484" s="513"/>
      <c r="N484" s="240"/>
      <c r="O484" s="318"/>
      <c r="P484" s="513"/>
    </row>
    <row r="485" spans="1:16" x14ac:dyDescent="0.2">
      <c r="A485" s="1114"/>
      <c r="B485" s="246">
        <f>+SUM(B481:B483)</f>
        <v>7953</v>
      </c>
      <c r="C485" s="246">
        <f t="shared" ref="C485:P485" si="25">+SUM(C481:C483)</f>
        <v>40</v>
      </c>
      <c r="D485" s="246">
        <f t="shared" si="25"/>
        <v>0</v>
      </c>
      <c r="E485" s="246">
        <f t="shared" si="25"/>
        <v>5099</v>
      </c>
      <c r="F485" s="246">
        <f t="shared" si="25"/>
        <v>105</v>
      </c>
      <c r="G485" s="246">
        <f t="shared" si="25"/>
        <v>0</v>
      </c>
      <c r="H485" s="246">
        <f t="shared" si="25"/>
        <v>5099</v>
      </c>
      <c r="I485" s="246">
        <f t="shared" si="25"/>
        <v>105</v>
      </c>
      <c r="J485" s="246">
        <f t="shared" si="25"/>
        <v>0</v>
      </c>
      <c r="K485" s="246">
        <f t="shared" si="25"/>
        <v>2852</v>
      </c>
      <c r="L485" s="246">
        <f t="shared" si="25"/>
        <v>135</v>
      </c>
      <c r="M485" s="246">
        <f t="shared" si="25"/>
        <v>0</v>
      </c>
      <c r="N485" s="246">
        <f t="shared" si="25"/>
        <v>0</v>
      </c>
      <c r="O485" s="246">
        <f t="shared" si="25"/>
        <v>0</v>
      </c>
      <c r="P485" s="246">
        <f t="shared" si="25"/>
        <v>0</v>
      </c>
    </row>
    <row r="486" spans="1:16" ht="33" customHeight="1" x14ac:dyDescent="0.2">
      <c r="A486" s="838" t="s">
        <v>3967</v>
      </c>
      <c r="B486" s="838"/>
      <c r="C486" s="838"/>
      <c r="D486" s="838"/>
      <c r="E486" s="838"/>
      <c r="F486" s="838"/>
      <c r="G486" s="838"/>
      <c r="H486" s="838"/>
      <c r="I486" s="838"/>
      <c r="J486" s="838"/>
      <c r="K486" s="838"/>
      <c r="L486" s="838"/>
      <c r="M486" s="838"/>
      <c r="N486" s="838"/>
      <c r="O486" s="838"/>
      <c r="P486" s="838"/>
    </row>
    <row r="487" spans="1:16" ht="32" customHeight="1" x14ac:dyDescent="0.2">
      <c r="A487" s="751" t="s">
        <v>3887</v>
      </c>
      <c r="B487" s="977" t="s">
        <v>3888</v>
      </c>
      <c r="C487" s="977"/>
      <c r="D487" s="977"/>
      <c r="E487" s="977" t="s">
        <v>3889</v>
      </c>
      <c r="F487" s="977"/>
      <c r="G487" s="977"/>
      <c r="H487" s="977" t="s">
        <v>3890</v>
      </c>
      <c r="I487" s="977"/>
      <c r="J487" s="977"/>
      <c r="K487" s="977" t="s">
        <v>3990</v>
      </c>
      <c r="L487" s="977"/>
      <c r="M487" s="977"/>
      <c r="N487" s="977" t="s">
        <v>3892</v>
      </c>
      <c r="O487" s="977"/>
      <c r="P487" s="977"/>
    </row>
    <row r="488" spans="1:16" x14ac:dyDescent="0.2">
      <c r="A488" s="107" t="s">
        <v>3968</v>
      </c>
      <c r="B488" s="349">
        <v>83000</v>
      </c>
      <c r="C488" s="350"/>
      <c r="D488" s="717"/>
      <c r="E488" s="349">
        <v>43784</v>
      </c>
      <c r="F488" s="350">
        <v>45</v>
      </c>
      <c r="G488" s="717"/>
      <c r="H488" s="349">
        <v>43784</v>
      </c>
      <c r="I488" s="350">
        <v>45</v>
      </c>
      <c r="J488" s="717"/>
      <c r="K488" s="349">
        <v>39215</v>
      </c>
      <c r="L488" s="350">
        <v>55</v>
      </c>
      <c r="M488" s="717"/>
      <c r="N488" s="349"/>
      <c r="O488" s="350"/>
      <c r="P488" s="717"/>
    </row>
    <row r="489" spans="1:16" x14ac:dyDescent="0.2">
      <c r="A489" s="107" t="s">
        <v>3969</v>
      </c>
      <c r="B489" s="131">
        <v>82948</v>
      </c>
      <c r="C489" s="145"/>
      <c r="D489" s="307"/>
      <c r="E489" s="131">
        <v>25142</v>
      </c>
      <c r="F489" s="145">
        <v>60</v>
      </c>
      <c r="G489" s="307"/>
      <c r="H489" s="131">
        <v>25142</v>
      </c>
      <c r="I489" s="145">
        <v>60</v>
      </c>
      <c r="J489" s="307"/>
      <c r="K489" s="131">
        <v>57805</v>
      </c>
      <c r="L489" s="145">
        <v>40</v>
      </c>
      <c r="M489" s="307"/>
      <c r="N489" s="131"/>
      <c r="O489" s="145"/>
      <c r="P489" s="307"/>
    </row>
    <row r="490" spans="1:16" x14ac:dyDescent="0.2">
      <c r="A490" s="1114" t="s">
        <v>3906</v>
      </c>
      <c r="B490" s="240">
        <v>165948</v>
      </c>
      <c r="C490" s="318"/>
      <c r="D490" s="513"/>
      <c r="E490" s="240">
        <v>68927</v>
      </c>
      <c r="F490" s="318">
        <v>5</v>
      </c>
      <c r="G490" s="513"/>
      <c r="H490" s="240">
        <v>68927</v>
      </c>
      <c r="I490" s="318">
        <v>5</v>
      </c>
      <c r="J490" s="513"/>
      <c r="K490" s="240">
        <v>97020</v>
      </c>
      <c r="L490" s="318">
        <v>95</v>
      </c>
      <c r="M490" s="513"/>
      <c r="N490" s="240"/>
      <c r="O490" s="318"/>
      <c r="P490" s="513"/>
    </row>
    <row r="491" spans="1:16" x14ac:dyDescent="0.2">
      <c r="A491" s="1114"/>
      <c r="B491" s="246">
        <f>+SUM(B488:B489)</f>
        <v>165948</v>
      </c>
      <c r="C491" s="246">
        <f t="shared" ref="C491:P491" si="26">+SUM(C488:C489)</f>
        <v>0</v>
      </c>
      <c r="D491" s="246">
        <f t="shared" si="26"/>
        <v>0</v>
      </c>
      <c r="E491" s="246">
        <f t="shared" si="26"/>
        <v>68926</v>
      </c>
      <c r="F491" s="246">
        <f t="shared" si="26"/>
        <v>105</v>
      </c>
      <c r="G491" s="246">
        <f t="shared" si="26"/>
        <v>0</v>
      </c>
      <c r="H491" s="246">
        <f t="shared" si="26"/>
        <v>68926</v>
      </c>
      <c r="I491" s="246">
        <f t="shared" si="26"/>
        <v>105</v>
      </c>
      <c r="J491" s="246">
        <f t="shared" si="26"/>
        <v>0</v>
      </c>
      <c r="K491" s="246">
        <f t="shared" si="26"/>
        <v>97020</v>
      </c>
      <c r="L491" s="246">
        <f t="shared" si="26"/>
        <v>95</v>
      </c>
      <c r="M491" s="246">
        <f t="shared" si="26"/>
        <v>0</v>
      </c>
      <c r="N491" s="246">
        <f t="shared" si="26"/>
        <v>0</v>
      </c>
      <c r="O491" s="246">
        <f t="shared" si="26"/>
        <v>0</v>
      </c>
      <c r="P491" s="246">
        <f t="shared" si="26"/>
        <v>0</v>
      </c>
    </row>
    <row r="492" spans="1:16" ht="34.25" customHeight="1" x14ac:dyDescent="0.2">
      <c r="A492" s="838" t="s">
        <v>3999</v>
      </c>
      <c r="B492" s="838"/>
      <c r="C492" s="838"/>
      <c r="D492" s="838"/>
      <c r="E492" s="838"/>
      <c r="F492" s="838"/>
      <c r="G492" s="838"/>
      <c r="H492" s="838"/>
      <c r="I492" s="838"/>
      <c r="J492" s="838"/>
      <c r="K492" s="838"/>
      <c r="L492" s="838"/>
      <c r="M492" s="838"/>
      <c r="N492" s="838"/>
      <c r="O492" s="838"/>
      <c r="P492" s="838"/>
    </row>
    <row r="493" spans="1:16" ht="35" customHeight="1" x14ac:dyDescent="0.2">
      <c r="A493" s="751" t="s">
        <v>3887</v>
      </c>
      <c r="B493" s="977" t="s">
        <v>3888</v>
      </c>
      <c r="C493" s="977"/>
      <c r="D493" s="977"/>
      <c r="E493" s="977" t="s">
        <v>3889</v>
      </c>
      <c r="F493" s="977"/>
      <c r="G493" s="977"/>
      <c r="H493" s="977" t="s">
        <v>3890</v>
      </c>
      <c r="I493" s="977"/>
      <c r="J493" s="977"/>
      <c r="K493" s="977" t="s">
        <v>3990</v>
      </c>
      <c r="L493" s="977"/>
      <c r="M493" s="977"/>
      <c r="N493" s="977" t="s">
        <v>3892</v>
      </c>
      <c r="O493" s="977"/>
      <c r="P493" s="977"/>
    </row>
    <row r="494" spans="1:16" x14ac:dyDescent="0.2">
      <c r="A494" s="107" t="s">
        <v>3949</v>
      </c>
      <c r="B494" s="349">
        <v>30000</v>
      </c>
      <c r="C494" s="350"/>
      <c r="D494" s="717"/>
      <c r="E494" s="349">
        <v>6018</v>
      </c>
      <c r="F494" s="350">
        <v>80</v>
      </c>
      <c r="G494" s="717"/>
      <c r="H494" s="349">
        <v>6018</v>
      </c>
      <c r="I494" s="350">
        <v>80</v>
      </c>
      <c r="J494" s="717"/>
      <c r="K494" s="349">
        <v>23981</v>
      </c>
      <c r="L494" s="350">
        <v>20</v>
      </c>
      <c r="M494" s="717"/>
      <c r="N494" s="349"/>
      <c r="O494" s="350"/>
      <c r="P494" s="717"/>
    </row>
    <row r="495" spans="1:16" x14ac:dyDescent="0.2">
      <c r="A495" s="1114" t="s">
        <v>3906</v>
      </c>
      <c r="B495" s="349">
        <v>30000</v>
      </c>
      <c r="C495" s="350"/>
      <c r="D495" s="717"/>
      <c r="E495" s="349">
        <v>6018</v>
      </c>
      <c r="F495" s="350">
        <v>80</v>
      </c>
      <c r="G495" s="717"/>
      <c r="H495" s="349">
        <v>6018</v>
      </c>
      <c r="I495" s="350">
        <v>80</v>
      </c>
      <c r="J495" s="717"/>
      <c r="K495" s="349">
        <v>23981</v>
      </c>
      <c r="L495" s="350">
        <v>20</v>
      </c>
      <c r="M495" s="717"/>
      <c r="N495" s="240"/>
      <c r="O495" s="318"/>
      <c r="P495" s="513"/>
    </row>
    <row r="496" spans="1:16" ht="30.5" customHeight="1" x14ac:dyDescent="0.2">
      <c r="A496" s="875" t="s">
        <v>4000</v>
      </c>
      <c r="B496" s="876"/>
      <c r="C496" s="876"/>
      <c r="D496" s="876"/>
      <c r="E496" s="876"/>
      <c r="F496" s="876"/>
      <c r="G496" s="876"/>
      <c r="H496" s="876"/>
      <c r="I496" s="876"/>
      <c r="J496" s="876"/>
      <c r="K496" s="876"/>
      <c r="L496" s="876"/>
      <c r="M496" s="876"/>
      <c r="N496" s="876"/>
      <c r="O496" s="876"/>
      <c r="P496" s="877"/>
    </row>
    <row r="497" spans="1:16" ht="29" customHeight="1" x14ac:dyDescent="0.2">
      <c r="A497" s="751" t="s">
        <v>3971</v>
      </c>
      <c r="B497" s="977" t="s">
        <v>3888</v>
      </c>
      <c r="C497" s="977"/>
      <c r="D497" s="977"/>
      <c r="E497" s="977" t="s">
        <v>3889</v>
      </c>
      <c r="F497" s="977"/>
      <c r="G497" s="977"/>
      <c r="H497" s="977" t="s">
        <v>3890</v>
      </c>
      <c r="I497" s="977"/>
      <c r="J497" s="977"/>
      <c r="K497" s="977" t="s">
        <v>3990</v>
      </c>
      <c r="L497" s="977"/>
      <c r="M497" s="977"/>
      <c r="N497" s="977" t="s">
        <v>3892</v>
      </c>
      <c r="O497" s="977"/>
      <c r="P497" s="977"/>
    </row>
    <row r="498" spans="1:16" x14ac:dyDescent="0.2">
      <c r="A498" s="107" t="s">
        <v>3972</v>
      </c>
      <c r="B498" s="349">
        <v>364625</v>
      </c>
      <c r="C498" s="350">
        <v>90</v>
      </c>
      <c r="D498" s="717"/>
      <c r="E498" s="349">
        <v>258648</v>
      </c>
      <c r="F498" s="350">
        <v>27</v>
      </c>
      <c r="G498" s="717"/>
      <c r="H498" s="349">
        <v>249235</v>
      </c>
      <c r="I498" s="350">
        <v>72</v>
      </c>
      <c r="J498" s="352">
        <v>0.5</v>
      </c>
      <c r="K498" s="349">
        <v>105977</v>
      </c>
      <c r="L498" s="350">
        <v>62</v>
      </c>
      <c r="M498" s="352">
        <v>0.5</v>
      </c>
      <c r="N498" s="349">
        <v>9412</v>
      </c>
      <c r="O498" s="350">
        <v>55</v>
      </c>
      <c r="P498" s="352"/>
    </row>
    <row r="499" spans="1:16" x14ac:dyDescent="0.2">
      <c r="A499" s="107" t="s">
        <v>3973</v>
      </c>
      <c r="B499" s="131">
        <v>29334</v>
      </c>
      <c r="C499" s="145"/>
      <c r="D499" s="307"/>
      <c r="E499" s="131">
        <v>22957</v>
      </c>
      <c r="F499" s="145">
        <v>80</v>
      </c>
      <c r="G499" s="307"/>
      <c r="H499" s="131">
        <v>22957</v>
      </c>
      <c r="I499" s="145">
        <v>80</v>
      </c>
      <c r="J499" s="133"/>
      <c r="K499" s="131">
        <v>6376</v>
      </c>
      <c r="L499" s="145">
        <v>20</v>
      </c>
      <c r="M499" s="133"/>
      <c r="N499" s="131"/>
      <c r="O499" s="145"/>
      <c r="P499" s="133"/>
    </row>
    <row r="500" spans="1:16" x14ac:dyDescent="0.2">
      <c r="A500" s="107" t="s">
        <v>3974</v>
      </c>
      <c r="B500" s="131">
        <v>794827</v>
      </c>
      <c r="C500" s="145">
        <v>35</v>
      </c>
      <c r="D500" s="307"/>
      <c r="E500" s="131">
        <v>552071</v>
      </c>
      <c r="F500" s="145">
        <v>20</v>
      </c>
      <c r="G500" s="307"/>
      <c r="H500" s="131">
        <v>498929</v>
      </c>
      <c r="I500" s="145">
        <v>15</v>
      </c>
      <c r="J500" s="133"/>
      <c r="K500" s="131">
        <v>242756</v>
      </c>
      <c r="L500" s="145">
        <v>15</v>
      </c>
      <c r="M500" s="133"/>
      <c r="N500" s="131">
        <v>53142</v>
      </c>
      <c r="O500" s="145">
        <v>5</v>
      </c>
      <c r="P500" s="133"/>
    </row>
    <row r="501" spans="1:16" x14ac:dyDescent="0.2">
      <c r="A501" s="141" t="s">
        <v>3975</v>
      </c>
      <c r="B501" s="131">
        <v>319138</v>
      </c>
      <c r="C501" s="145">
        <v>38</v>
      </c>
      <c r="D501" s="307"/>
      <c r="E501" s="131">
        <v>148800</v>
      </c>
      <c r="F501" s="145">
        <v>70</v>
      </c>
      <c r="G501" s="307"/>
      <c r="H501" s="131">
        <v>142291</v>
      </c>
      <c r="I501" s="145">
        <v>80</v>
      </c>
      <c r="J501" s="133"/>
      <c r="K501" s="131">
        <v>170337</v>
      </c>
      <c r="L501" s="145">
        <v>68</v>
      </c>
      <c r="M501" s="133"/>
      <c r="N501" s="131">
        <v>6508</v>
      </c>
      <c r="O501" s="145">
        <v>90</v>
      </c>
      <c r="P501" s="133"/>
    </row>
    <row r="502" spans="1:16" x14ac:dyDescent="0.2">
      <c r="A502" s="141" t="s">
        <v>3976</v>
      </c>
      <c r="B502" s="131">
        <v>185750</v>
      </c>
      <c r="C502" s="145"/>
      <c r="D502" s="307"/>
      <c r="E502" s="131">
        <v>49539</v>
      </c>
      <c r="F502" s="145">
        <v>65</v>
      </c>
      <c r="G502" s="307"/>
      <c r="H502" s="131">
        <v>45339</v>
      </c>
      <c r="I502" s="145">
        <v>65</v>
      </c>
      <c r="J502" s="133"/>
      <c r="K502" s="131">
        <v>136210</v>
      </c>
      <c r="L502" s="145">
        <v>35</v>
      </c>
      <c r="M502" s="133"/>
      <c r="N502" s="131">
        <v>4200</v>
      </c>
      <c r="O502" s="145"/>
      <c r="P502" s="133"/>
    </row>
    <row r="503" spans="1:16" x14ac:dyDescent="0.2">
      <c r="A503" s="141" t="s">
        <v>3977</v>
      </c>
      <c r="B503" s="131"/>
      <c r="C503" s="145"/>
      <c r="D503" s="307"/>
      <c r="E503" s="131"/>
      <c r="F503" s="145"/>
      <c r="G503" s="307"/>
      <c r="H503" s="131"/>
      <c r="I503" s="145"/>
      <c r="J503" s="133"/>
      <c r="K503" s="131"/>
      <c r="L503" s="145"/>
      <c r="M503" s="133"/>
      <c r="N503" s="131"/>
      <c r="O503" s="145"/>
      <c r="P503" s="133"/>
    </row>
    <row r="504" spans="1:16" x14ac:dyDescent="0.2">
      <c r="A504" s="141" t="s">
        <v>3978</v>
      </c>
      <c r="B504" s="131">
        <v>1832955</v>
      </c>
      <c r="C504" s="145">
        <v>90</v>
      </c>
      <c r="D504" s="307"/>
      <c r="E504" s="131">
        <v>985131</v>
      </c>
      <c r="F504" s="145">
        <v>95</v>
      </c>
      <c r="G504" s="307"/>
      <c r="H504" s="131">
        <v>985131</v>
      </c>
      <c r="I504" s="145">
        <v>95</v>
      </c>
      <c r="J504" s="133"/>
      <c r="K504" s="131">
        <v>847823</v>
      </c>
      <c r="L504" s="145">
        <v>95</v>
      </c>
      <c r="M504" s="133"/>
      <c r="N504" s="131"/>
      <c r="O504" s="145"/>
      <c r="P504" s="133"/>
    </row>
    <row r="505" spans="1:16" x14ac:dyDescent="0.2">
      <c r="A505" s="141" t="s">
        <v>3979</v>
      </c>
      <c r="B505" s="131">
        <v>565016</v>
      </c>
      <c r="C505" s="145">
        <v>30</v>
      </c>
      <c r="D505" s="307"/>
      <c r="E505" s="131">
        <v>217641</v>
      </c>
      <c r="F505" s="145">
        <v>70</v>
      </c>
      <c r="G505" s="307"/>
      <c r="H505" s="131">
        <v>217641</v>
      </c>
      <c r="I505" s="145">
        <v>70</v>
      </c>
      <c r="J505" s="133"/>
      <c r="K505" s="131">
        <v>347374</v>
      </c>
      <c r="L505" s="145">
        <v>60</v>
      </c>
      <c r="M505" s="133"/>
      <c r="N505" s="131"/>
      <c r="O505" s="145"/>
      <c r="P505" s="133"/>
    </row>
    <row r="506" spans="1:16" x14ac:dyDescent="0.2">
      <c r="A506" s="141" t="s">
        <v>3980</v>
      </c>
      <c r="B506" s="131"/>
      <c r="C506" s="145"/>
      <c r="D506" s="307"/>
      <c r="E506" s="131"/>
      <c r="F506" s="145"/>
      <c r="G506" s="307"/>
      <c r="H506" s="131"/>
      <c r="I506" s="145"/>
      <c r="J506" s="133"/>
      <c r="K506" s="131"/>
      <c r="L506" s="145"/>
      <c r="M506" s="133"/>
      <c r="N506" s="131"/>
      <c r="O506" s="145"/>
      <c r="P506" s="133"/>
    </row>
    <row r="507" spans="1:16" x14ac:dyDescent="0.2">
      <c r="A507" s="141" t="s">
        <v>3981</v>
      </c>
      <c r="B507" s="131">
        <v>1221671</v>
      </c>
      <c r="C507" s="145">
        <v>28</v>
      </c>
      <c r="D507" s="307"/>
      <c r="E507" s="131">
        <v>333302</v>
      </c>
      <c r="F507" s="145">
        <v>90</v>
      </c>
      <c r="G507" s="307"/>
      <c r="H507" s="131">
        <v>333302</v>
      </c>
      <c r="I507" s="145">
        <v>90</v>
      </c>
      <c r="J507" s="133"/>
      <c r="K507" s="131">
        <v>888368</v>
      </c>
      <c r="L507" s="145">
        <v>38</v>
      </c>
      <c r="M507" s="133"/>
      <c r="N507" s="131"/>
      <c r="O507" s="145"/>
      <c r="P507" s="133"/>
    </row>
    <row r="508" spans="1:16" x14ac:dyDescent="0.2">
      <c r="A508" s="141" t="s">
        <v>3982</v>
      </c>
      <c r="B508" s="131">
        <v>3013630</v>
      </c>
      <c r="C508" s="145"/>
      <c r="D508" s="307"/>
      <c r="E508" s="131">
        <v>160713</v>
      </c>
      <c r="F508" s="145">
        <v>80</v>
      </c>
      <c r="G508" s="307"/>
      <c r="H508" s="131">
        <v>160713</v>
      </c>
      <c r="I508" s="145">
        <v>80</v>
      </c>
      <c r="J508" s="133"/>
      <c r="K508" s="131">
        <v>2852916</v>
      </c>
      <c r="L508" s="145">
        <v>20</v>
      </c>
      <c r="M508" s="133"/>
      <c r="N508" s="131"/>
      <c r="O508" s="145"/>
      <c r="P508" s="133"/>
    </row>
    <row r="509" spans="1:16" x14ac:dyDescent="0.2">
      <c r="A509" s="141" t="s">
        <v>3983</v>
      </c>
      <c r="B509" s="131"/>
      <c r="C509" s="145"/>
      <c r="D509" s="307"/>
      <c r="E509" s="131"/>
      <c r="F509" s="145"/>
      <c r="G509" s="307"/>
      <c r="H509" s="131"/>
      <c r="I509" s="145"/>
      <c r="J509" s="133"/>
      <c r="K509" s="131"/>
      <c r="L509" s="145"/>
      <c r="M509" s="133"/>
      <c r="N509" s="131"/>
      <c r="O509" s="145"/>
      <c r="P509" s="133"/>
    </row>
    <row r="510" spans="1:16" x14ac:dyDescent="0.2">
      <c r="A510" s="141" t="s">
        <v>3984</v>
      </c>
      <c r="B510" s="131">
        <v>108278</v>
      </c>
      <c r="C510" s="145"/>
      <c r="D510" s="307"/>
      <c r="E510" s="131">
        <v>53785</v>
      </c>
      <c r="F510" s="145">
        <v>55</v>
      </c>
      <c r="G510" s="307"/>
      <c r="H510" s="131">
        <v>53602</v>
      </c>
      <c r="I510" s="145">
        <v>5</v>
      </c>
      <c r="J510" s="133"/>
      <c r="K510" s="131">
        <v>54537</v>
      </c>
      <c r="L510" s="145">
        <v>45</v>
      </c>
      <c r="M510" s="133"/>
      <c r="N510" s="131">
        <v>183</v>
      </c>
      <c r="O510" s="145">
        <v>50</v>
      </c>
      <c r="P510" s="133"/>
    </row>
    <row r="511" spans="1:16" x14ac:dyDescent="0.2">
      <c r="A511" s="141" t="s">
        <v>1825</v>
      </c>
      <c r="B511" s="131">
        <v>2649389</v>
      </c>
      <c r="C511" s="145">
        <v>5</v>
      </c>
      <c r="D511" s="307"/>
      <c r="E511" s="131">
        <v>1963227</v>
      </c>
      <c r="F511" s="145">
        <v>62</v>
      </c>
      <c r="G511" s="307"/>
      <c r="H511" s="131">
        <v>1554814</v>
      </c>
      <c r="I511" s="145">
        <v>47</v>
      </c>
      <c r="J511" s="133">
        <v>0.5</v>
      </c>
      <c r="K511" s="131">
        <v>686161</v>
      </c>
      <c r="L511" s="145">
        <v>43</v>
      </c>
      <c r="M511" s="133"/>
      <c r="N511" s="131">
        <v>408413</v>
      </c>
      <c r="O511" s="145">
        <v>14</v>
      </c>
      <c r="P511" s="133">
        <v>0.5</v>
      </c>
    </row>
    <row r="512" spans="1:16" x14ac:dyDescent="0.2">
      <c r="A512" s="141" t="s">
        <v>3985</v>
      </c>
      <c r="B512" s="131">
        <v>7953</v>
      </c>
      <c r="C512" s="145">
        <v>40</v>
      </c>
      <c r="D512" s="307"/>
      <c r="E512" s="131">
        <v>5100</v>
      </c>
      <c r="F512" s="145">
        <v>5</v>
      </c>
      <c r="G512" s="307"/>
      <c r="H512" s="131">
        <v>5100</v>
      </c>
      <c r="I512" s="145">
        <v>5</v>
      </c>
      <c r="J512" s="133"/>
      <c r="K512" s="131">
        <v>2853</v>
      </c>
      <c r="L512" s="145">
        <v>35</v>
      </c>
      <c r="M512" s="133"/>
      <c r="N512" s="131"/>
      <c r="O512" s="145"/>
      <c r="P512" s="133"/>
    </row>
    <row r="513" spans="1:16" x14ac:dyDescent="0.2">
      <c r="A513" s="141" t="s">
        <v>3986</v>
      </c>
      <c r="B513" s="131">
        <v>165948</v>
      </c>
      <c r="C513" s="145"/>
      <c r="D513" s="307"/>
      <c r="E513" s="131">
        <v>68927</v>
      </c>
      <c r="F513" s="145">
        <v>5</v>
      </c>
      <c r="G513" s="307"/>
      <c r="H513" s="131">
        <v>68927</v>
      </c>
      <c r="I513" s="145">
        <v>5</v>
      </c>
      <c r="J513" s="133"/>
      <c r="K513" s="131">
        <v>97020</v>
      </c>
      <c r="L513" s="145">
        <v>95</v>
      </c>
      <c r="M513" s="133"/>
      <c r="N513" s="131"/>
      <c r="O513" s="145"/>
      <c r="P513" s="133"/>
    </row>
    <row r="514" spans="1:16" x14ac:dyDescent="0.2">
      <c r="A514" s="141" t="s">
        <v>4001</v>
      </c>
      <c r="B514" s="131">
        <v>30000</v>
      </c>
      <c r="C514" s="145"/>
      <c r="D514" s="307"/>
      <c r="E514" s="131">
        <v>6018</v>
      </c>
      <c r="F514" s="145">
        <v>80</v>
      </c>
      <c r="G514" s="307"/>
      <c r="H514" s="131">
        <v>6018</v>
      </c>
      <c r="I514" s="145">
        <v>80</v>
      </c>
      <c r="J514" s="133"/>
      <c r="K514" s="131">
        <v>23981</v>
      </c>
      <c r="L514" s="145">
        <v>20</v>
      </c>
      <c r="M514" s="133"/>
      <c r="N514" s="131"/>
      <c r="O514" s="145"/>
      <c r="P514" s="133"/>
    </row>
    <row r="515" spans="1:16" x14ac:dyDescent="0.2">
      <c r="A515" s="1114" t="s">
        <v>3987</v>
      </c>
      <c r="B515" s="240">
        <v>11288517</v>
      </c>
      <c r="C515" s="318">
        <v>56</v>
      </c>
      <c r="D515" s="513"/>
      <c r="E515" s="240">
        <v>4825867</v>
      </c>
      <c r="F515" s="318">
        <v>4</v>
      </c>
      <c r="G515" s="513"/>
      <c r="H515" s="240">
        <v>4344006</v>
      </c>
      <c r="I515" s="318">
        <v>90</v>
      </c>
      <c r="J515" s="241"/>
      <c r="K515" s="240">
        <v>6462695</v>
      </c>
      <c r="L515" s="318">
        <v>51</v>
      </c>
      <c r="M515" s="241">
        <v>0.5</v>
      </c>
      <c r="N515" s="240">
        <v>481860</v>
      </c>
      <c r="O515" s="318">
        <v>14</v>
      </c>
      <c r="P515" s="241">
        <v>0.5</v>
      </c>
    </row>
    <row r="516" spans="1:16" x14ac:dyDescent="0.2">
      <c r="A516" s="107"/>
      <c r="B516" s="393">
        <f>+SUM(B498:B514)</f>
        <v>11288514</v>
      </c>
      <c r="C516" s="393">
        <f t="shared" ref="C516:P516" si="27">+SUM(C498:C514)</f>
        <v>356</v>
      </c>
      <c r="D516" s="393">
        <f t="shared" si="27"/>
        <v>0</v>
      </c>
      <c r="E516" s="393">
        <f t="shared" si="27"/>
        <v>4825859</v>
      </c>
      <c r="F516" s="393">
        <f t="shared" si="27"/>
        <v>804</v>
      </c>
      <c r="G516" s="393">
        <f t="shared" si="27"/>
        <v>0</v>
      </c>
      <c r="H516" s="393">
        <f t="shared" si="27"/>
        <v>4343999</v>
      </c>
      <c r="I516" s="393">
        <f t="shared" si="27"/>
        <v>789</v>
      </c>
      <c r="J516" s="1078">
        <f t="shared" si="27"/>
        <v>1</v>
      </c>
      <c r="K516" s="393">
        <f t="shared" si="27"/>
        <v>6462689</v>
      </c>
      <c r="L516" s="393">
        <f t="shared" si="27"/>
        <v>651</v>
      </c>
      <c r="M516" s="1078">
        <f t="shared" si="27"/>
        <v>0.5</v>
      </c>
      <c r="N516" s="393">
        <f t="shared" si="27"/>
        <v>481858</v>
      </c>
      <c r="O516" s="393">
        <f t="shared" si="27"/>
        <v>214</v>
      </c>
      <c r="P516" s="1078">
        <f t="shared" si="27"/>
        <v>0.5</v>
      </c>
    </row>
    <row r="517" spans="1:16" x14ac:dyDescent="0.2">
      <c r="A517" s="107"/>
      <c r="B517" s="107"/>
      <c r="C517" s="107"/>
      <c r="D517" s="107"/>
      <c r="E517" s="107"/>
      <c r="F517" s="107"/>
      <c r="G517" s="107"/>
      <c r="H517" s="107"/>
      <c r="I517" s="107"/>
      <c r="J517" s="107"/>
      <c r="K517" s="107"/>
      <c r="L517" s="107"/>
      <c r="M517" s="107"/>
      <c r="N517" s="107"/>
      <c r="O517" s="107"/>
      <c r="P517" s="107"/>
    </row>
    <row r="518" spans="1:16" x14ac:dyDescent="0.2">
      <c r="A518" s="107"/>
      <c r="B518" s="107"/>
      <c r="C518" s="107"/>
      <c r="D518" s="107"/>
      <c r="E518" s="107"/>
      <c r="F518" s="107"/>
      <c r="G518" s="107"/>
      <c r="H518" s="107"/>
      <c r="I518" s="107"/>
      <c r="J518" s="107"/>
      <c r="K518" s="107"/>
      <c r="L518" s="107"/>
      <c r="M518" s="107"/>
      <c r="N518" s="107"/>
      <c r="O518" s="107"/>
      <c r="P518" s="107"/>
    </row>
    <row r="519" spans="1:16" x14ac:dyDescent="0.2">
      <c r="A519" s="107"/>
      <c r="B519" s="107"/>
      <c r="C519" s="107"/>
      <c r="D519" s="107"/>
      <c r="E519" s="107"/>
      <c r="F519" s="107"/>
      <c r="G519" s="107"/>
      <c r="H519" s="107"/>
      <c r="I519" s="107"/>
      <c r="J519" s="107"/>
      <c r="K519" s="107"/>
      <c r="L519" s="107"/>
      <c r="M519" s="107"/>
      <c r="N519" s="107"/>
      <c r="O519" s="107"/>
      <c r="P519" s="107"/>
    </row>
    <row r="520" spans="1:16" x14ac:dyDescent="0.2">
      <c r="A520" s="107"/>
      <c r="B520" s="107"/>
      <c r="C520" s="107"/>
      <c r="D520" s="107"/>
      <c r="E520" s="107"/>
      <c r="F520" s="107"/>
      <c r="G520" s="107"/>
      <c r="H520" s="107"/>
      <c r="I520" s="107"/>
      <c r="J520" s="107"/>
      <c r="K520" s="107"/>
      <c r="L520" s="107"/>
      <c r="M520" s="107"/>
      <c r="N520" s="107"/>
      <c r="O520" s="107"/>
      <c r="P520" s="107"/>
    </row>
    <row r="521" spans="1:16" x14ac:dyDescent="0.2">
      <c r="A521" s="107"/>
      <c r="B521" s="107"/>
      <c r="C521" s="107"/>
      <c r="D521" s="107"/>
      <c r="E521" s="107"/>
      <c r="F521" s="107"/>
      <c r="G521" s="107"/>
      <c r="H521" s="107"/>
      <c r="I521" s="107"/>
      <c r="J521" s="107"/>
      <c r="K521" s="107"/>
      <c r="L521" s="107"/>
      <c r="M521" s="107"/>
      <c r="N521" s="107"/>
      <c r="O521" s="107"/>
      <c r="P521" s="107"/>
    </row>
    <row r="522" spans="1:16" x14ac:dyDescent="0.2">
      <c r="A522" s="107"/>
      <c r="B522" s="107"/>
      <c r="C522" s="107"/>
      <c r="D522" s="107"/>
      <c r="E522" s="107"/>
      <c r="F522" s="107"/>
      <c r="G522" s="107"/>
      <c r="H522" s="107"/>
      <c r="I522" s="107"/>
      <c r="J522" s="107"/>
      <c r="K522" s="107"/>
      <c r="L522" s="107"/>
      <c r="M522" s="107"/>
      <c r="N522" s="107"/>
      <c r="O522" s="107"/>
      <c r="P522" s="107"/>
    </row>
    <row r="523" spans="1:16" x14ac:dyDescent="0.2">
      <c r="A523" s="107"/>
      <c r="B523" s="107"/>
      <c r="C523" s="107"/>
      <c r="D523" s="107"/>
      <c r="E523" s="107"/>
      <c r="F523" s="107"/>
      <c r="G523" s="107"/>
      <c r="H523" s="107"/>
      <c r="I523" s="107"/>
      <c r="J523" s="107"/>
      <c r="K523" s="107"/>
      <c r="L523" s="107"/>
      <c r="M523" s="107"/>
      <c r="N523" s="107"/>
      <c r="O523" s="107"/>
      <c r="P523" s="107"/>
    </row>
    <row r="524" spans="1:16" x14ac:dyDescent="0.2">
      <c r="A524" s="107"/>
      <c r="B524" s="107"/>
      <c r="C524" s="107"/>
      <c r="D524" s="107"/>
      <c r="E524" s="107"/>
      <c r="F524" s="107"/>
      <c r="G524" s="107"/>
      <c r="H524" s="107"/>
      <c r="I524" s="107"/>
      <c r="J524" s="107"/>
      <c r="K524" s="107"/>
      <c r="L524" s="107"/>
      <c r="M524" s="107"/>
      <c r="N524" s="107"/>
      <c r="O524" s="107"/>
      <c r="P524" s="107"/>
    </row>
    <row r="525" spans="1:16" x14ac:dyDescent="0.2">
      <c r="A525" s="107"/>
      <c r="B525" s="107"/>
      <c r="C525" s="107"/>
      <c r="D525" s="107"/>
      <c r="E525" s="107"/>
      <c r="F525" s="107"/>
      <c r="G525" s="107"/>
      <c r="H525" s="107"/>
      <c r="I525" s="107"/>
      <c r="J525" s="107"/>
      <c r="K525" s="107"/>
      <c r="L525" s="107"/>
      <c r="M525" s="107"/>
      <c r="N525" s="107"/>
      <c r="O525" s="107"/>
      <c r="P525" s="107"/>
    </row>
    <row r="526" spans="1:16" x14ac:dyDescent="0.2">
      <c r="A526" s="107"/>
      <c r="B526" s="107"/>
      <c r="C526" s="107"/>
      <c r="D526" s="107"/>
      <c r="E526" s="107"/>
      <c r="F526" s="107"/>
      <c r="G526" s="107"/>
      <c r="H526" s="107"/>
      <c r="I526" s="107"/>
      <c r="J526" s="107"/>
      <c r="K526" s="107"/>
      <c r="L526" s="107"/>
      <c r="M526" s="107"/>
      <c r="N526" s="107"/>
      <c r="O526" s="107"/>
      <c r="P526" s="107"/>
    </row>
    <row r="527" spans="1:16" x14ac:dyDescent="0.2">
      <c r="A527" s="107"/>
      <c r="B527" s="107"/>
      <c r="C527" s="107"/>
      <c r="D527" s="107"/>
      <c r="E527" s="107"/>
      <c r="F527" s="107"/>
      <c r="G527" s="107"/>
      <c r="H527" s="107"/>
      <c r="I527" s="107"/>
      <c r="J527" s="107"/>
      <c r="K527" s="107"/>
      <c r="L527" s="107"/>
      <c r="M527" s="107"/>
      <c r="N527" s="107"/>
      <c r="O527" s="107"/>
      <c r="P527" s="107"/>
    </row>
    <row r="528" spans="1:16" x14ac:dyDescent="0.2">
      <c r="A528" s="107"/>
      <c r="B528" s="107"/>
      <c r="C528" s="107"/>
      <c r="D528" s="107"/>
      <c r="E528" s="107"/>
      <c r="F528" s="107"/>
      <c r="G528" s="107"/>
      <c r="H528" s="107"/>
      <c r="I528" s="107"/>
      <c r="J528" s="107"/>
      <c r="K528" s="107"/>
      <c r="L528" s="107"/>
      <c r="M528" s="107"/>
      <c r="N528" s="107"/>
      <c r="O528" s="107"/>
      <c r="P528" s="107"/>
    </row>
    <row r="529" spans="1:16" x14ac:dyDescent="0.2">
      <c r="A529" s="107"/>
      <c r="B529" s="107"/>
      <c r="C529" s="107"/>
      <c r="D529" s="107"/>
      <c r="E529" s="107"/>
      <c r="F529" s="107"/>
      <c r="G529" s="107"/>
      <c r="H529" s="107"/>
      <c r="I529" s="107"/>
      <c r="J529" s="107"/>
      <c r="K529" s="107"/>
      <c r="L529" s="107"/>
      <c r="M529" s="107"/>
      <c r="N529" s="107"/>
      <c r="O529" s="107"/>
      <c r="P529" s="107"/>
    </row>
    <row r="530" spans="1:16" x14ac:dyDescent="0.2">
      <c r="A530" s="107"/>
      <c r="B530" s="107"/>
      <c r="C530" s="107"/>
      <c r="D530" s="107"/>
      <c r="E530" s="107"/>
      <c r="F530" s="107"/>
      <c r="G530" s="107"/>
      <c r="H530" s="107"/>
      <c r="I530" s="107"/>
      <c r="J530" s="107"/>
      <c r="K530" s="107"/>
      <c r="L530" s="107"/>
      <c r="M530" s="107"/>
      <c r="N530" s="107"/>
      <c r="O530" s="107"/>
      <c r="P530" s="107"/>
    </row>
    <row r="531" spans="1:16" x14ac:dyDescent="0.2">
      <c r="A531" s="107"/>
      <c r="B531" s="107"/>
      <c r="C531" s="107"/>
      <c r="D531" s="107"/>
      <c r="E531" s="107"/>
      <c r="F531" s="107"/>
      <c r="G531" s="107"/>
      <c r="H531" s="107"/>
      <c r="I531" s="107"/>
      <c r="J531" s="107"/>
      <c r="K531" s="107"/>
      <c r="L531" s="107"/>
      <c r="M531" s="107"/>
      <c r="N531" s="107"/>
      <c r="O531" s="107"/>
      <c r="P531" s="107"/>
    </row>
    <row r="532" spans="1:16" x14ac:dyDescent="0.2">
      <c r="A532" s="107"/>
      <c r="B532" s="107"/>
      <c r="C532" s="107"/>
      <c r="D532" s="107"/>
      <c r="E532" s="107"/>
      <c r="F532" s="107"/>
      <c r="G532" s="107"/>
      <c r="H532" s="107"/>
      <c r="I532" s="107"/>
      <c r="J532" s="107"/>
      <c r="K532" s="107"/>
      <c r="L532" s="107"/>
      <c r="M532" s="107"/>
      <c r="N532" s="107"/>
      <c r="O532" s="107"/>
      <c r="P532" s="107"/>
    </row>
    <row r="533" spans="1:16" x14ac:dyDescent="0.2">
      <c r="A533" s="107"/>
      <c r="B533" s="107"/>
      <c r="C533" s="107"/>
      <c r="D533" s="107"/>
      <c r="E533" s="107"/>
      <c r="F533" s="107"/>
      <c r="G533" s="107"/>
      <c r="H533" s="107"/>
      <c r="I533" s="107"/>
      <c r="J533" s="107"/>
      <c r="K533" s="107"/>
      <c r="L533" s="107"/>
      <c r="M533" s="107"/>
      <c r="N533" s="107"/>
      <c r="O533" s="107"/>
      <c r="P533" s="107"/>
    </row>
    <row r="534" spans="1:16" x14ac:dyDescent="0.2">
      <c r="A534" s="107"/>
      <c r="B534" s="107"/>
      <c r="C534" s="107"/>
      <c r="D534" s="107"/>
      <c r="E534" s="107"/>
      <c r="F534" s="107"/>
      <c r="G534" s="107"/>
      <c r="H534" s="107"/>
      <c r="I534" s="107"/>
      <c r="J534" s="107"/>
      <c r="K534" s="107"/>
      <c r="L534" s="107"/>
      <c r="M534" s="107"/>
      <c r="N534" s="107"/>
      <c r="O534" s="107"/>
      <c r="P534" s="107"/>
    </row>
    <row r="535" spans="1:16" x14ac:dyDescent="0.2">
      <c r="A535" s="107"/>
      <c r="B535" s="107"/>
      <c r="C535" s="107"/>
      <c r="D535" s="107"/>
      <c r="E535" s="107"/>
      <c r="F535" s="107"/>
      <c r="G535" s="107"/>
      <c r="H535" s="107"/>
      <c r="I535" s="107"/>
      <c r="J535" s="107"/>
      <c r="K535" s="107"/>
      <c r="L535" s="107"/>
      <c r="M535" s="107"/>
      <c r="N535" s="107"/>
      <c r="O535" s="107"/>
      <c r="P535" s="107"/>
    </row>
    <row r="536" spans="1:16" x14ac:dyDescent="0.2">
      <c r="A536" s="107"/>
      <c r="B536" s="107"/>
      <c r="C536" s="107"/>
      <c r="D536" s="107"/>
      <c r="E536" s="107"/>
      <c r="F536" s="107"/>
      <c r="G536" s="107"/>
      <c r="H536" s="107"/>
      <c r="I536" s="107"/>
      <c r="J536" s="107"/>
      <c r="K536" s="107"/>
      <c r="L536" s="107"/>
      <c r="M536" s="107"/>
      <c r="N536" s="107"/>
      <c r="O536" s="107"/>
      <c r="P536" s="107"/>
    </row>
    <row r="537" spans="1:16" x14ac:dyDescent="0.2">
      <c r="A537" s="107"/>
      <c r="B537" s="107"/>
      <c r="C537" s="107"/>
      <c r="D537" s="107"/>
      <c r="E537" s="107"/>
      <c r="F537" s="107"/>
      <c r="G537" s="107"/>
      <c r="H537" s="107"/>
      <c r="I537" s="107"/>
      <c r="J537" s="107"/>
      <c r="K537" s="107"/>
      <c r="L537" s="107"/>
      <c r="M537" s="107"/>
      <c r="N537" s="107"/>
      <c r="O537" s="107"/>
      <c r="P537" s="107"/>
    </row>
    <row r="538" spans="1:16" x14ac:dyDescent="0.2">
      <c r="A538" s="107"/>
      <c r="B538" s="107"/>
      <c r="C538" s="107"/>
      <c r="D538" s="107"/>
      <c r="E538" s="107"/>
      <c r="F538" s="107"/>
      <c r="G538" s="107"/>
      <c r="H538" s="107"/>
      <c r="I538" s="107"/>
      <c r="J538" s="107"/>
      <c r="K538" s="107"/>
      <c r="L538" s="107"/>
      <c r="M538" s="107"/>
      <c r="N538" s="107"/>
      <c r="O538" s="107"/>
      <c r="P538" s="107"/>
    </row>
    <row r="539" spans="1:16" x14ac:dyDescent="0.2">
      <c r="A539" s="107"/>
      <c r="B539" s="107"/>
      <c r="C539" s="107"/>
      <c r="D539" s="107"/>
      <c r="E539" s="107"/>
      <c r="F539" s="107"/>
      <c r="G539" s="107"/>
      <c r="H539" s="107"/>
      <c r="I539" s="107"/>
      <c r="J539" s="107"/>
      <c r="K539" s="107"/>
      <c r="L539" s="107"/>
      <c r="M539" s="107"/>
      <c r="N539" s="107"/>
      <c r="O539" s="107"/>
      <c r="P539" s="107"/>
    </row>
    <row r="540" spans="1:16" x14ac:dyDescent="0.2">
      <c r="A540" s="107"/>
      <c r="B540" s="107"/>
      <c r="C540" s="107"/>
      <c r="D540" s="107"/>
      <c r="E540" s="107"/>
      <c r="F540" s="107"/>
      <c r="G540" s="107"/>
      <c r="H540" s="107"/>
      <c r="I540" s="107"/>
      <c r="J540" s="107"/>
      <c r="K540" s="107"/>
      <c r="L540" s="107"/>
      <c r="M540" s="107"/>
      <c r="N540" s="107"/>
      <c r="O540" s="107"/>
      <c r="P540" s="107"/>
    </row>
    <row r="541" spans="1:16" x14ac:dyDescent="0.2">
      <c r="A541" s="107"/>
      <c r="B541" s="107"/>
      <c r="C541" s="107"/>
      <c r="D541" s="107"/>
      <c r="E541" s="107"/>
      <c r="F541" s="107"/>
      <c r="G541" s="107"/>
      <c r="H541" s="107"/>
      <c r="I541" s="107"/>
      <c r="J541" s="107"/>
      <c r="K541" s="107"/>
      <c r="L541" s="107"/>
      <c r="M541" s="107"/>
      <c r="N541" s="107"/>
      <c r="O541" s="107"/>
      <c r="P541" s="107"/>
    </row>
    <row r="542" spans="1:16" x14ac:dyDescent="0.2">
      <c r="A542" s="107"/>
      <c r="B542" s="107"/>
      <c r="C542" s="107"/>
      <c r="D542" s="107"/>
      <c r="E542" s="107"/>
      <c r="F542" s="107"/>
      <c r="G542" s="107"/>
      <c r="H542" s="107"/>
      <c r="I542" s="107"/>
      <c r="J542" s="107"/>
      <c r="K542" s="107"/>
      <c r="L542" s="107"/>
      <c r="M542" s="107"/>
      <c r="N542" s="107"/>
      <c r="O542" s="107"/>
      <c r="P542" s="107"/>
    </row>
    <row r="543" spans="1:16" x14ac:dyDescent="0.2">
      <c r="A543" s="107"/>
      <c r="B543" s="107"/>
      <c r="C543" s="107"/>
      <c r="D543" s="107"/>
      <c r="E543" s="107"/>
      <c r="F543" s="107"/>
      <c r="G543" s="107"/>
      <c r="H543" s="107"/>
      <c r="I543" s="107"/>
      <c r="J543" s="107"/>
      <c r="K543" s="107"/>
      <c r="L543" s="107"/>
      <c r="M543" s="107"/>
      <c r="N543" s="107"/>
      <c r="O543" s="107"/>
      <c r="P543" s="107"/>
    </row>
    <row r="544" spans="1:16" x14ac:dyDescent="0.2">
      <c r="A544" s="107"/>
      <c r="B544" s="107"/>
      <c r="C544" s="107"/>
      <c r="D544" s="107"/>
      <c r="E544" s="107"/>
      <c r="F544" s="107"/>
      <c r="G544" s="107"/>
      <c r="H544" s="107"/>
      <c r="I544" s="107"/>
      <c r="J544" s="107"/>
      <c r="K544" s="107"/>
      <c r="L544" s="107"/>
      <c r="M544" s="107"/>
      <c r="N544" s="107"/>
      <c r="O544" s="107"/>
      <c r="P544" s="107"/>
    </row>
    <row r="545" spans="1:16" x14ac:dyDescent="0.2">
      <c r="A545" s="107"/>
      <c r="B545" s="107"/>
      <c r="C545" s="107"/>
      <c r="D545" s="107"/>
      <c r="E545" s="107"/>
      <c r="F545" s="107"/>
      <c r="G545" s="107"/>
      <c r="H545" s="107"/>
      <c r="I545" s="107"/>
      <c r="J545" s="107"/>
      <c r="K545" s="107"/>
      <c r="L545" s="107"/>
      <c r="M545" s="107"/>
      <c r="N545" s="107"/>
      <c r="O545" s="107"/>
      <c r="P545" s="107"/>
    </row>
    <row r="546" spans="1:16" x14ac:dyDescent="0.2">
      <c r="A546" s="107"/>
      <c r="B546" s="107"/>
      <c r="C546" s="107"/>
      <c r="D546" s="107"/>
      <c r="E546" s="107"/>
      <c r="F546" s="107"/>
      <c r="G546" s="107"/>
      <c r="H546" s="107"/>
      <c r="I546" s="107"/>
      <c r="J546" s="107"/>
      <c r="K546" s="107"/>
      <c r="L546" s="107"/>
      <c r="M546" s="107"/>
      <c r="N546" s="107"/>
      <c r="O546" s="107"/>
      <c r="P546" s="107"/>
    </row>
    <row r="547" spans="1:16" x14ac:dyDescent="0.2">
      <c r="A547" s="107"/>
      <c r="B547" s="107"/>
      <c r="C547" s="107"/>
      <c r="D547" s="107"/>
      <c r="E547" s="107"/>
      <c r="F547" s="107"/>
      <c r="G547" s="107"/>
      <c r="H547" s="107"/>
      <c r="I547" s="107"/>
      <c r="J547" s="107"/>
      <c r="K547" s="107"/>
      <c r="L547" s="107"/>
      <c r="M547" s="107"/>
      <c r="N547" s="107"/>
      <c r="O547" s="107"/>
      <c r="P547" s="107"/>
    </row>
    <row r="548" spans="1:16" x14ac:dyDescent="0.2">
      <c r="A548" s="107"/>
      <c r="B548" s="107"/>
      <c r="C548" s="107"/>
      <c r="D548" s="107"/>
      <c r="E548" s="107"/>
      <c r="F548" s="107"/>
      <c r="G548" s="107"/>
      <c r="H548" s="107"/>
      <c r="I548" s="107"/>
      <c r="J548" s="107"/>
      <c r="K548" s="107"/>
      <c r="L548" s="107"/>
      <c r="M548" s="107"/>
      <c r="N548" s="107"/>
      <c r="O548" s="107"/>
      <c r="P548" s="107"/>
    </row>
    <row r="549" spans="1:16" x14ac:dyDescent="0.2">
      <c r="A549" s="107"/>
      <c r="B549" s="107"/>
      <c r="C549" s="107"/>
      <c r="D549" s="107"/>
      <c r="E549" s="107"/>
      <c r="F549" s="107"/>
      <c r="G549" s="107"/>
      <c r="H549" s="107"/>
      <c r="I549" s="107"/>
      <c r="J549" s="107"/>
      <c r="K549" s="107"/>
      <c r="L549" s="107"/>
      <c r="M549" s="107"/>
      <c r="N549" s="107"/>
      <c r="O549" s="107"/>
      <c r="P549" s="107"/>
    </row>
    <row r="550" spans="1:16" x14ac:dyDescent="0.2">
      <c r="A550" s="107"/>
      <c r="B550" s="107"/>
      <c r="C550" s="107"/>
      <c r="D550" s="107"/>
      <c r="E550" s="107"/>
      <c r="F550" s="107"/>
      <c r="G550" s="107"/>
      <c r="H550" s="107"/>
      <c r="I550" s="107"/>
      <c r="J550" s="107"/>
      <c r="K550" s="107"/>
      <c r="L550" s="107"/>
      <c r="M550" s="107"/>
      <c r="N550" s="107"/>
      <c r="O550" s="107"/>
      <c r="P550" s="107"/>
    </row>
    <row r="551" spans="1:16" x14ac:dyDescent="0.2">
      <c r="A551" s="107"/>
      <c r="B551" s="107"/>
      <c r="C551" s="107"/>
      <c r="D551" s="107"/>
      <c r="E551" s="107"/>
      <c r="F551" s="107"/>
      <c r="G551" s="107"/>
      <c r="H551" s="107"/>
      <c r="I551" s="107"/>
      <c r="J551" s="107"/>
      <c r="K551" s="107"/>
      <c r="L551" s="107"/>
      <c r="M551" s="107"/>
      <c r="N551" s="107"/>
      <c r="O551" s="107"/>
      <c r="P551" s="107"/>
    </row>
    <row r="552" spans="1:16" x14ac:dyDescent="0.2">
      <c r="A552" s="107"/>
      <c r="B552" s="107"/>
      <c r="C552" s="107"/>
      <c r="D552" s="107"/>
      <c r="E552" s="107"/>
      <c r="F552" s="107"/>
      <c r="G552" s="107"/>
      <c r="H552" s="107"/>
      <c r="I552" s="107"/>
      <c r="J552" s="107"/>
      <c r="K552" s="107"/>
      <c r="L552" s="107"/>
      <c r="M552" s="107"/>
      <c r="N552" s="107"/>
      <c r="O552" s="107"/>
      <c r="P552" s="107"/>
    </row>
    <row r="553" spans="1:16" x14ac:dyDescent="0.2">
      <c r="A553" s="107"/>
      <c r="B553" s="107"/>
      <c r="C553" s="107"/>
      <c r="D553" s="107"/>
      <c r="E553" s="107"/>
      <c r="F553" s="107"/>
      <c r="G553" s="107"/>
      <c r="H553" s="107"/>
      <c r="I553" s="107"/>
      <c r="J553" s="107"/>
      <c r="K553" s="107"/>
      <c r="L553" s="107"/>
      <c r="M553" s="107"/>
      <c r="N553" s="107"/>
      <c r="O553" s="107"/>
      <c r="P553" s="107"/>
    </row>
    <row r="554" spans="1:16" x14ac:dyDescent="0.2">
      <c r="A554" s="107"/>
      <c r="B554" s="107"/>
      <c r="C554" s="107"/>
      <c r="D554" s="107"/>
      <c r="E554" s="107"/>
      <c r="F554" s="107"/>
      <c r="G554" s="107"/>
      <c r="H554" s="107"/>
      <c r="I554" s="107"/>
      <c r="J554" s="107"/>
      <c r="K554" s="107"/>
      <c r="L554" s="107"/>
      <c r="M554" s="107"/>
      <c r="N554" s="107"/>
      <c r="O554" s="107"/>
      <c r="P554" s="107"/>
    </row>
    <row r="555" spans="1:16" x14ac:dyDescent="0.2">
      <c r="A555" s="107"/>
      <c r="B555" s="107"/>
      <c r="C555" s="107"/>
      <c r="D555" s="107"/>
      <c r="E555" s="107"/>
      <c r="F555" s="107"/>
      <c r="G555" s="107"/>
      <c r="H555" s="107"/>
      <c r="I555" s="107"/>
      <c r="J555" s="107"/>
      <c r="K555" s="107"/>
      <c r="L555" s="107"/>
      <c r="M555" s="107"/>
      <c r="N555" s="107"/>
      <c r="O555" s="107"/>
      <c r="P555" s="107"/>
    </row>
    <row r="556" spans="1:16" x14ac:dyDescent="0.2">
      <c r="A556" s="107"/>
      <c r="B556" s="107"/>
      <c r="C556" s="107"/>
      <c r="D556" s="107"/>
      <c r="E556" s="107"/>
      <c r="F556" s="107"/>
      <c r="G556" s="107"/>
      <c r="H556" s="107"/>
      <c r="I556" s="107"/>
      <c r="J556" s="107"/>
      <c r="K556" s="107"/>
      <c r="L556" s="107"/>
      <c r="M556" s="107"/>
      <c r="N556" s="107"/>
      <c r="O556" s="107"/>
      <c r="P556" s="107"/>
    </row>
    <row r="557" spans="1:16" x14ac:dyDescent="0.2">
      <c r="A557" s="107"/>
      <c r="B557" s="107"/>
      <c r="C557" s="107"/>
      <c r="D557" s="107"/>
      <c r="E557" s="107"/>
      <c r="F557" s="107"/>
      <c r="G557" s="107"/>
      <c r="H557" s="107"/>
      <c r="I557" s="107"/>
      <c r="J557" s="107"/>
      <c r="K557" s="107"/>
      <c r="L557" s="107"/>
      <c r="M557" s="107"/>
      <c r="N557" s="107"/>
      <c r="O557" s="107"/>
      <c r="P557" s="107"/>
    </row>
    <row r="558" spans="1:16" x14ac:dyDescent="0.2">
      <c r="A558" s="107"/>
      <c r="B558" s="107"/>
      <c r="C558" s="107"/>
      <c r="D558" s="107"/>
      <c r="E558" s="107"/>
      <c r="F558" s="107"/>
      <c r="G558" s="107"/>
      <c r="H558" s="107"/>
      <c r="I558" s="107"/>
      <c r="J558" s="107"/>
      <c r="K558" s="107"/>
      <c r="L558" s="107"/>
      <c r="M558" s="107"/>
      <c r="N558" s="107"/>
      <c r="O558" s="107"/>
      <c r="P558" s="107"/>
    </row>
    <row r="559" spans="1:16" x14ac:dyDescent="0.2">
      <c r="A559" s="107"/>
      <c r="B559" s="107"/>
      <c r="C559" s="107"/>
      <c r="D559" s="107"/>
      <c r="E559" s="107"/>
      <c r="F559" s="107"/>
      <c r="G559" s="107"/>
      <c r="H559" s="107"/>
      <c r="I559" s="107"/>
      <c r="J559" s="107"/>
      <c r="K559" s="107"/>
      <c r="L559" s="107"/>
      <c r="M559" s="107"/>
      <c r="N559" s="107"/>
      <c r="O559" s="107"/>
      <c r="P559" s="107"/>
    </row>
    <row r="560" spans="1:16" x14ac:dyDescent="0.2">
      <c r="A560" s="107"/>
      <c r="B560" s="107"/>
      <c r="C560" s="107"/>
      <c r="D560" s="107"/>
      <c r="E560" s="107"/>
      <c r="F560" s="107"/>
      <c r="G560" s="107"/>
      <c r="H560" s="107"/>
      <c r="I560" s="107"/>
      <c r="J560" s="107"/>
      <c r="K560" s="107"/>
      <c r="L560" s="107"/>
      <c r="M560" s="107"/>
      <c r="N560" s="107"/>
      <c r="O560" s="107"/>
      <c r="P560" s="107"/>
    </row>
    <row r="561" spans="1:16" x14ac:dyDescent="0.2">
      <c r="A561" s="107"/>
      <c r="B561" s="107"/>
      <c r="C561" s="107"/>
      <c r="D561" s="107"/>
      <c r="E561" s="107"/>
      <c r="F561" s="107"/>
      <c r="G561" s="107"/>
      <c r="H561" s="107"/>
      <c r="I561" s="107"/>
      <c r="J561" s="107"/>
      <c r="K561" s="107"/>
      <c r="L561" s="107"/>
      <c r="M561" s="107"/>
      <c r="N561" s="107"/>
      <c r="O561" s="107"/>
      <c r="P561" s="107"/>
    </row>
    <row r="562" spans="1:16" x14ac:dyDescent="0.2">
      <c r="A562" s="107"/>
      <c r="B562" s="107"/>
      <c r="C562" s="107"/>
      <c r="D562" s="107"/>
      <c r="E562" s="107"/>
      <c r="F562" s="107"/>
      <c r="G562" s="107"/>
      <c r="H562" s="107"/>
      <c r="I562" s="107"/>
      <c r="J562" s="107"/>
      <c r="K562" s="107"/>
      <c r="L562" s="107"/>
      <c r="M562" s="107"/>
      <c r="N562" s="107"/>
      <c r="O562" s="107"/>
      <c r="P562" s="107"/>
    </row>
    <row r="563" spans="1:16" x14ac:dyDescent="0.2">
      <c r="A563" s="107"/>
      <c r="B563" s="107"/>
      <c r="C563" s="107"/>
      <c r="D563" s="107"/>
      <c r="E563" s="107"/>
      <c r="F563" s="107"/>
      <c r="G563" s="107"/>
      <c r="H563" s="107"/>
      <c r="I563" s="107"/>
      <c r="J563" s="107"/>
      <c r="K563" s="107"/>
      <c r="L563" s="107"/>
      <c r="M563" s="107"/>
      <c r="N563" s="107"/>
      <c r="O563" s="107"/>
      <c r="P563" s="107"/>
    </row>
    <row r="564" spans="1:16" x14ac:dyDescent="0.2">
      <c r="A564" s="107"/>
      <c r="B564" s="107"/>
      <c r="C564" s="107"/>
      <c r="D564" s="107"/>
      <c r="E564" s="107"/>
      <c r="F564" s="107"/>
      <c r="G564" s="107"/>
      <c r="H564" s="107"/>
      <c r="I564" s="107"/>
      <c r="J564" s="107"/>
      <c r="K564" s="107"/>
      <c r="L564" s="107"/>
      <c r="M564" s="107"/>
      <c r="N564" s="107"/>
      <c r="O564" s="107"/>
      <c r="P564" s="107"/>
    </row>
    <row r="565" spans="1:16" x14ac:dyDescent="0.2">
      <c r="A565" s="107"/>
      <c r="B565" s="107"/>
      <c r="C565" s="107"/>
      <c r="D565" s="107"/>
      <c r="E565" s="107"/>
      <c r="F565" s="107"/>
      <c r="G565" s="107"/>
      <c r="H565" s="107"/>
      <c r="I565" s="107"/>
      <c r="J565" s="107"/>
      <c r="K565" s="107"/>
      <c r="L565" s="107"/>
      <c r="M565" s="107"/>
      <c r="N565" s="107"/>
      <c r="O565" s="107"/>
      <c r="P565" s="107"/>
    </row>
    <row r="566" spans="1:16" x14ac:dyDescent="0.2">
      <c r="A566" s="107"/>
      <c r="B566" s="107"/>
      <c r="C566" s="107"/>
      <c r="D566" s="107"/>
      <c r="E566" s="107"/>
      <c r="F566" s="107"/>
      <c r="G566" s="107"/>
      <c r="H566" s="107"/>
      <c r="I566" s="107"/>
      <c r="J566" s="107"/>
      <c r="K566" s="107"/>
      <c r="L566" s="107"/>
      <c r="M566" s="107"/>
      <c r="N566" s="107"/>
      <c r="O566" s="107"/>
      <c r="P566" s="107"/>
    </row>
    <row r="567" spans="1:16" x14ac:dyDescent="0.2">
      <c r="A567" s="107"/>
      <c r="B567" s="107"/>
      <c r="C567" s="107"/>
      <c r="D567" s="107"/>
      <c r="E567" s="107"/>
      <c r="F567" s="107"/>
      <c r="G567" s="107"/>
      <c r="H567" s="107"/>
      <c r="I567" s="107"/>
      <c r="J567" s="107"/>
      <c r="K567" s="107"/>
      <c r="L567" s="107"/>
      <c r="M567" s="107"/>
      <c r="N567" s="107"/>
      <c r="O567" s="107"/>
      <c r="P567" s="107"/>
    </row>
    <row r="568" spans="1:16" x14ac:dyDescent="0.2">
      <c r="A568" s="107"/>
      <c r="B568" s="107"/>
      <c r="C568" s="107"/>
      <c r="D568" s="107"/>
      <c r="E568" s="107"/>
      <c r="F568" s="107"/>
      <c r="G568" s="107"/>
      <c r="H568" s="107"/>
      <c r="I568" s="107"/>
      <c r="J568" s="107"/>
      <c r="K568" s="107"/>
      <c r="L568" s="107"/>
      <c r="M568" s="107"/>
      <c r="N568" s="107"/>
      <c r="O568" s="107"/>
      <c r="P568" s="107"/>
    </row>
    <row r="569" spans="1:16" x14ac:dyDescent="0.2">
      <c r="A569" s="107"/>
      <c r="B569" s="107"/>
      <c r="C569" s="107"/>
      <c r="D569" s="107"/>
      <c r="E569" s="107"/>
      <c r="F569" s="107"/>
      <c r="G569" s="107"/>
      <c r="H569" s="107"/>
      <c r="I569" s="107"/>
      <c r="J569" s="107"/>
      <c r="K569" s="107"/>
      <c r="L569" s="107"/>
      <c r="M569" s="107"/>
      <c r="N569" s="107"/>
      <c r="O569" s="107"/>
      <c r="P569" s="107"/>
    </row>
    <row r="570" spans="1:16" x14ac:dyDescent="0.2">
      <c r="A570" s="107"/>
      <c r="B570" s="107"/>
      <c r="C570" s="107"/>
      <c r="D570" s="107"/>
      <c r="E570" s="107"/>
      <c r="F570" s="107"/>
      <c r="G570" s="107"/>
      <c r="H570" s="107"/>
      <c r="I570" s="107"/>
      <c r="J570" s="107"/>
      <c r="K570" s="107"/>
      <c r="L570" s="107"/>
      <c r="M570" s="107"/>
      <c r="N570" s="107"/>
      <c r="O570" s="107"/>
      <c r="P570" s="107"/>
    </row>
    <row r="571" spans="1:16" x14ac:dyDescent="0.2">
      <c r="A571" s="107"/>
      <c r="B571" s="107"/>
      <c r="C571" s="107"/>
      <c r="D571" s="107"/>
      <c r="E571" s="107"/>
      <c r="F571" s="107"/>
      <c r="G571" s="107"/>
      <c r="H571" s="107"/>
      <c r="I571" s="107"/>
      <c r="J571" s="107"/>
      <c r="K571" s="107"/>
      <c r="L571" s="107"/>
      <c r="M571" s="107"/>
      <c r="N571" s="107"/>
      <c r="O571" s="107"/>
      <c r="P571" s="107"/>
    </row>
    <row r="572" spans="1:16" x14ac:dyDescent="0.2">
      <c r="A572" s="107"/>
      <c r="B572" s="107"/>
      <c r="C572" s="107"/>
      <c r="D572" s="107"/>
      <c r="E572" s="107"/>
      <c r="F572" s="107"/>
      <c r="G572" s="107"/>
      <c r="H572" s="107"/>
      <c r="I572" s="107"/>
      <c r="J572" s="107"/>
      <c r="K572" s="107"/>
      <c r="L572" s="107"/>
      <c r="M572" s="107"/>
      <c r="N572" s="107"/>
      <c r="O572" s="107"/>
      <c r="P572" s="107"/>
    </row>
    <row r="573" spans="1:16" x14ac:dyDescent="0.2">
      <c r="A573" s="107"/>
      <c r="B573" s="107"/>
      <c r="C573" s="107"/>
      <c r="D573" s="107"/>
      <c r="E573" s="107"/>
      <c r="F573" s="107"/>
      <c r="G573" s="107"/>
      <c r="H573" s="107"/>
      <c r="I573" s="107"/>
      <c r="J573" s="107"/>
      <c r="K573" s="107"/>
      <c r="L573" s="107"/>
      <c r="M573" s="107"/>
      <c r="N573" s="107"/>
      <c r="O573" s="107"/>
      <c r="P573" s="107"/>
    </row>
    <row r="574" spans="1:16" x14ac:dyDescent="0.2">
      <c r="A574" s="107"/>
      <c r="B574" s="107"/>
      <c r="C574" s="107"/>
      <c r="D574" s="107"/>
      <c r="E574" s="107"/>
      <c r="F574" s="107"/>
      <c r="G574" s="107"/>
      <c r="H574" s="107"/>
      <c r="I574" s="107"/>
      <c r="J574" s="107"/>
      <c r="K574" s="107"/>
      <c r="L574" s="107"/>
      <c r="M574" s="107"/>
      <c r="N574" s="107"/>
      <c r="O574" s="107"/>
      <c r="P574" s="107"/>
    </row>
    <row r="575" spans="1:16" x14ac:dyDescent="0.2">
      <c r="A575" s="107"/>
      <c r="B575" s="107"/>
      <c r="C575" s="107"/>
      <c r="D575" s="107"/>
      <c r="E575" s="107"/>
      <c r="F575" s="107"/>
      <c r="G575" s="107"/>
      <c r="H575" s="107"/>
      <c r="I575" s="107"/>
      <c r="J575" s="107"/>
      <c r="K575" s="107"/>
      <c r="L575" s="107"/>
      <c r="M575" s="107"/>
      <c r="N575" s="107"/>
      <c r="O575" s="107"/>
      <c r="P575" s="107"/>
    </row>
    <row r="576" spans="1:16" x14ac:dyDescent="0.2">
      <c r="A576" s="107"/>
      <c r="B576" s="107"/>
      <c r="C576" s="107"/>
      <c r="D576" s="107"/>
      <c r="E576" s="107"/>
      <c r="F576" s="107"/>
      <c r="G576" s="107"/>
      <c r="H576" s="107"/>
      <c r="I576" s="107"/>
      <c r="J576" s="107"/>
      <c r="K576" s="107"/>
      <c r="L576" s="107"/>
      <c r="M576" s="107"/>
      <c r="N576" s="107"/>
      <c r="O576" s="107"/>
      <c r="P576" s="107"/>
    </row>
    <row r="577" spans="1:16" x14ac:dyDescent="0.2">
      <c r="A577" s="107"/>
      <c r="B577" s="107"/>
      <c r="C577" s="107"/>
      <c r="D577" s="107"/>
      <c r="E577" s="107"/>
      <c r="F577" s="107"/>
      <c r="G577" s="107"/>
      <c r="H577" s="107"/>
      <c r="I577" s="107"/>
      <c r="J577" s="107"/>
      <c r="K577" s="107"/>
      <c r="L577" s="107"/>
      <c r="M577" s="107"/>
      <c r="N577" s="107"/>
      <c r="O577" s="107"/>
      <c r="P577" s="107"/>
    </row>
    <row r="578" spans="1:16" x14ac:dyDescent="0.2">
      <c r="A578" s="107"/>
      <c r="B578" s="107"/>
      <c r="C578" s="107"/>
      <c r="D578" s="107"/>
      <c r="E578" s="107"/>
      <c r="F578" s="107"/>
      <c r="G578" s="107"/>
      <c r="H578" s="107"/>
      <c r="I578" s="107"/>
      <c r="J578" s="107"/>
      <c r="K578" s="107"/>
      <c r="L578" s="107"/>
      <c r="M578" s="107"/>
      <c r="N578" s="107"/>
      <c r="O578" s="107"/>
      <c r="P578" s="107"/>
    </row>
    <row r="579" spans="1:16" x14ac:dyDescent="0.2">
      <c r="A579" s="107"/>
      <c r="B579" s="107"/>
      <c r="C579" s="107"/>
      <c r="D579" s="107"/>
      <c r="E579" s="107"/>
      <c r="F579" s="107"/>
      <c r="G579" s="107"/>
      <c r="H579" s="107"/>
      <c r="I579" s="107"/>
      <c r="J579" s="107"/>
      <c r="K579" s="107"/>
      <c r="L579" s="107"/>
      <c r="M579" s="107"/>
      <c r="N579" s="107"/>
      <c r="O579" s="107"/>
      <c r="P579" s="107"/>
    </row>
    <row r="580" spans="1:16" x14ac:dyDescent="0.2">
      <c r="A580" s="107"/>
      <c r="B580" s="107"/>
      <c r="C580" s="107"/>
      <c r="D580" s="107"/>
      <c r="E580" s="107"/>
      <c r="F580" s="107"/>
      <c r="G580" s="107"/>
      <c r="H580" s="107"/>
      <c r="I580" s="107"/>
      <c r="J580" s="107"/>
      <c r="K580" s="107"/>
      <c r="L580" s="107"/>
      <c r="M580" s="107"/>
      <c r="N580" s="107"/>
      <c r="O580" s="107"/>
      <c r="P580" s="107"/>
    </row>
    <row r="581" spans="1:16" x14ac:dyDescent="0.2">
      <c r="A581" s="107"/>
      <c r="B581" s="107"/>
      <c r="C581" s="107"/>
      <c r="D581" s="107"/>
      <c r="E581" s="107"/>
      <c r="F581" s="107"/>
      <c r="G581" s="107"/>
      <c r="H581" s="107"/>
      <c r="I581" s="107"/>
      <c r="J581" s="107"/>
      <c r="K581" s="107"/>
      <c r="L581" s="107"/>
      <c r="M581" s="107"/>
      <c r="N581" s="107"/>
      <c r="O581" s="107"/>
      <c r="P581" s="107"/>
    </row>
    <row r="582" spans="1:16" x14ac:dyDescent="0.2">
      <c r="A582" s="107"/>
      <c r="B582" s="107"/>
      <c r="C582" s="107"/>
      <c r="D582" s="107"/>
      <c r="E582" s="107"/>
      <c r="F582" s="107"/>
      <c r="G582" s="107"/>
      <c r="H582" s="107"/>
      <c r="I582" s="107"/>
      <c r="J582" s="107"/>
      <c r="K582" s="107"/>
      <c r="L582" s="107"/>
      <c r="M582" s="107"/>
      <c r="N582" s="107"/>
      <c r="O582" s="107"/>
      <c r="P582" s="107"/>
    </row>
    <row r="583" spans="1:16" x14ac:dyDescent="0.2">
      <c r="A583" s="107"/>
      <c r="B583" s="107"/>
      <c r="C583" s="107"/>
      <c r="D583" s="107"/>
      <c r="E583" s="107"/>
      <c r="F583" s="107"/>
      <c r="G583" s="107"/>
      <c r="H583" s="107"/>
      <c r="I583" s="107"/>
      <c r="J583" s="107"/>
      <c r="K583" s="107"/>
      <c r="L583" s="107"/>
      <c r="M583" s="107"/>
      <c r="N583" s="107"/>
      <c r="O583" s="107"/>
      <c r="P583" s="107"/>
    </row>
    <row r="584" spans="1:16" x14ac:dyDescent="0.2">
      <c r="A584" s="107"/>
      <c r="B584" s="107"/>
      <c r="C584" s="107"/>
      <c r="D584" s="107"/>
      <c r="E584" s="107"/>
      <c r="F584" s="107"/>
      <c r="G584" s="107"/>
      <c r="H584" s="107"/>
      <c r="I584" s="107"/>
      <c r="J584" s="107"/>
      <c r="K584" s="107"/>
      <c r="L584" s="107"/>
      <c r="M584" s="107"/>
      <c r="N584" s="107"/>
      <c r="O584" s="107"/>
      <c r="P584" s="107"/>
    </row>
    <row r="585" spans="1:16" x14ac:dyDescent="0.2">
      <c r="A585" s="107"/>
      <c r="B585" s="107"/>
      <c r="C585" s="107"/>
      <c r="D585" s="107"/>
      <c r="E585" s="107"/>
      <c r="F585" s="107"/>
      <c r="G585" s="107"/>
      <c r="H585" s="107"/>
      <c r="I585" s="107"/>
      <c r="J585" s="107"/>
      <c r="K585" s="107"/>
      <c r="L585" s="107"/>
      <c r="M585" s="107"/>
      <c r="N585" s="107"/>
      <c r="O585" s="107"/>
      <c r="P585" s="107"/>
    </row>
    <row r="586" spans="1:16" x14ac:dyDescent="0.2">
      <c r="A586" s="107"/>
      <c r="B586" s="107"/>
      <c r="C586" s="107"/>
      <c r="D586" s="107"/>
      <c r="E586" s="107"/>
      <c r="F586" s="107"/>
      <c r="G586" s="107"/>
      <c r="H586" s="107"/>
      <c r="I586" s="107"/>
      <c r="J586" s="107"/>
      <c r="K586" s="107"/>
      <c r="L586" s="107"/>
      <c r="M586" s="107"/>
      <c r="N586" s="107"/>
      <c r="O586" s="107"/>
      <c r="P586" s="107"/>
    </row>
    <row r="587" spans="1:16" x14ac:dyDescent="0.2">
      <c r="A587" s="107"/>
      <c r="B587" s="107"/>
      <c r="C587" s="107"/>
      <c r="D587" s="107"/>
      <c r="E587" s="107"/>
      <c r="F587" s="107"/>
      <c r="G587" s="107"/>
      <c r="H587" s="107"/>
      <c r="I587" s="107"/>
      <c r="J587" s="107"/>
      <c r="K587" s="107"/>
      <c r="L587" s="107"/>
      <c r="M587" s="107"/>
      <c r="N587" s="107"/>
      <c r="O587" s="107"/>
      <c r="P587" s="107"/>
    </row>
    <row r="588" spans="1:16" x14ac:dyDescent="0.2">
      <c r="A588" s="107"/>
      <c r="B588" s="107"/>
      <c r="C588" s="107"/>
      <c r="D588" s="107"/>
      <c r="E588" s="107"/>
      <c r="F588" s="107"/>
      <c r="G588" s="107"/>
      <c r="H588" s="107"/>
      <c r="I588" s="107"/>
      <c r="J588" s="107"/>
      <c r="K588" s="107"/>
      <c r="L588" s="107"/>
      <c r="M588" s="107"/>
      <c r="N588" s="107"/>
      <c r="O588" s="107"/>
      <c r="P588" s="107"/>
    </row>
    <row r="589" spans="1:16" x14ac:dyDescent="0.2">
      <c r="A589" s="107"/>
      <c r="B589" s="107"/>
      <c r="C589" s="107"/>
      <c r="D589" s="107"/>
      <c r="E589" s="107"/>
      <c r="F589" s="107"/>
      <c r="G589" s="107"/>
      <c r="H589" s="107"/>
      <c r="I589" s="107"/>
      <c r="J589" s="107"/>
      <c r="K589" s="107"/>
      <c r="L589" s="107"/>
      <c r="M589" s="107"/>
      <c r="N589" s="107"/>
      <c r="O589" s="107"/>
      <c r="P589" s="107"/>
    </row>
    <row r="590" spans="1:16" x14ac:dyDescent="0.2">
      <c r="A590" s="107"/>
      <c r="B590" s="107"/>
      <c r="C590" s="107"/>
      <c r="D590" s="107"/>
      <c r="E590" s="107"/>
      <c r="F590" s="107"/>
      <c r="G590" s="107"/>
      <c r="H590" s="107"/>
      <c r="I590" s="107"/>
      <c r="J590" s="107"/>
      <c r="K590" s="107"/>
      <c r="L590" s="107"/>
      <c r="M590" s="107"/>
      <c r="N590" s="107"/>
      <c r="O590" s="107"/>
      <c r="P590" s="107"/>
    </row>
    <row r="591" spans="1:16" x14ac:dyDescent="0.2">
      <c r="A591" s="107"/>
      <c r="B591" s="107"/>
      <c r="C591" s="107"/>
      <c r="D591" s="107"/>
      <c r="E591" s="107"/>
      <c r="F591" s="107"/>
      <c r="G591" s="107"/>
      <c r="H591" s="107"/>
      <c r="I591" s="107"/>
      <c r="J591" s="107"/>
      <c r="K591" s="107"/>
      <c r="L591" s="107"/>
      <c r="M591" s="107"/>
      <c r="N591" s="107"/>
      <c r="O591" s="107"/>
      <c r="P591" s="107"/>
    </row>
    <row r="592" spans="1:16" x14ac:dyDescent="0.2">
      <c r="A592" s="107"/>
      <c r="B592" s="107"/>
      <c r="C592" s="107"/>
      <c r="D592" s="107"/>
      <c r="E592" s="107"/>
      <c r="F592" s="107"/>
      <c r="G592" s="107"/>
      <c r="H592" s="107"/>
      <c r="I592" s="107"/>
      <c r="J592" s="107"/>
      <c r="K592" s="107"/>
      <c r="L592" s="107"/>
      <c r="M592" s="107"/>
      <c r="N592" s="107"/>
      <c r="O592" s="107"/>
      <c r="P592" s="107"/>
    </row>
    <row r="593" spans="1:16" x14ac:dyDescent="0.2">
      <c r="A593" s="107"/>
      <c r="B593" s="107"/>
      <c r="C593" s="107"/>
      <c r="D593" s="107"/>
      <c r="E593" s="107"/>
      <c r="F593" s="107"/>
      <c r="G593" s="107"/>
      <c r="H593" s="107"/>
      <c r="I593" s="107"/>
      <c r="J593" s="107"/>
      <c r="K593" s="107"/>
      <c r="L593" s="107"/>
      <c r="M593" s="107"/>
      <c r="N593" s="107"/>
      <c r="O593" s="107"/>
      <c r="P593" s="107"/>
    </row>
    <row r="594" spans="1:16" x14ac:dyDescent="0.2">
      <c r="A594" s="107"/>
      <c r="B594" s="107"/>
      <c r="C594" s="107"/>
      <c r="D594" s="107"/>
      <c r="E594" s="107"/>
      <c r="F594" s="107"/>
      <c r="G594" s="107"/>
      <c r="H594" s="107"/>
      <c r="I594" s="107"/>
      <c r="J594" s="107"/>
      <c r="K594" s="107"/>
      <c r="L594" s="107"/>
      <c r="M594" s="107"/>
      <c r="N594" s="107"/>
      <c r="O594" s="107"/>
      <c r="P594" s="107"/>
    </row>
    <row r="595" spans="1:16" x14ac:dyDescent="0.2">
      <c r="A595" s="107"/>
      <c r="B595" s="107"/>
      <c r="C595" s="107"/>
      <c r="D595" s="107"/>
      <c r="E595" s="107"/>
      <c r="F595" s="107"/>
      <c r="G595" s="107"/>
      <c r="H595" s="107"/>
      <c r="I595" s="107"/>
      <c r="J595" s="107"/>
      <c r="K595" s="107"/>
      <c r="L595" s="107"/>
      <c r="M595" s="107"/>
      <c r="N595" s="107"/>
      <c r="O595" s="107"/>
      <c r="P595" s="107"/>
    </row>
    <row r="596" spans="1:16" x14ac:dyDescent="0.2">
      <c r="A596" s="107"/>
      <c r="B596" s="107"/>
      <c r="C596" s="107"/>
      <c r="D596" s="107"/>
      <c r="E596" s="107"/>
      <c r="F596" s="107"/>
      <c r="G596" s="107"/>
      <c r="H596" s="107"/>
      <c r="I596" s="107"/>
      <c r="J596" s="107"/>
      <c r="K596" s="107"/>
      <c r="L596" s="107"/>
      <c r="M596" s="107"/>
      <c r="N596" s="107"/>
      <c r="O596" s="107"/>
      <c r="P596" s="107"/>
    </row>
    <row r="597" spans="1:16" x14ac:dyDescent="0.2">
      <c r="A597" s="107"/>
      <c r="B597" s="107"/>
      <c r="C597" s="107"/>
      <c r="D597" s="107"/>
      <c r="E597" s="107"/>
      <c r="F597" s="107"/>
      <c r="G597" s="107"/>
      <c r="H597" s="107"/>
      <c r="I597" s="107"/>
      <c r="J597" s="107"/>
      <c r="K597" s="107"/>
      <c r="L597" s="107"/>
      <c r="M597" s="107"/>
      <c r="N597" s="107"/>
      <c r="O597" s="107"/>
      <c r="P597" s="107"/>
    </row>
    <row r="598" spans="1:16" x14ac:dyDescent="0.2">
      <c r="A598" s="107"/>
      <c r="B598" s="107"/>
      <c r="C598" s="107"/>
      <c r="D598" s="107"/>
      <c r="E598" s="107"/>
      <c r="F598" s="107"/>
      <c r="G598" s="107"/>
      <c r="H598" s="107"/>
      <c r="I598" s="107"/>
      <c r="J598" s="107"/>
      <c r="K598" s="107"/>
      <c r="L598" s="107"/>
      <c r="M598" s="107"/>
      <c r="N598" s="107"/>
      <c r="O598" s="107"/>
      <c r="P598" s="107"/>
    </row>
    <row r="599" spans="1:16" x14ac:dyDescent="0.2">
      <c r="A599" s="107"/>
      <c r="B599" s="107"/>
      <c r="C599" s="107"/>
      <c r="D599" s="107"/>
      <c r="E599" s="107"/>
      <c r="F599" s="107"/>
      <c r="G599" s="107"/>
      <c r="H599" s="107"/>
      <c r="I599" s="107"/>
      <c r="J599" s="107"/>
      <c r="K599" s="107"/>
      <c r="L599" s="107"/>
      <c r="M599" s="107"/>
      <c r="N599" s="107"/>
      <c r="O599" s="107"/>
      <c r="P599" s="107"/>
    </row>
    <row r="600" spans="1:16" x14ac:dyDescent="0.2">
      <c r="A600" s="107"/>
      <c r="B600" s="107"/>
      <c r="C600" s="107"/>
      <c r="D600" s="107"/>
      <c r="E600" s="107"/>
      <c r="F600" s="107"/>
      <c r="G600" s="107"/>
      <c r="H600" s="107"/>
      <c r="I600" s="107"/>
      <c r="J600" s="107"/>
      <c r="K600" s="107"/>
      <c r="L600" s="107"/>
      <c r="M600" s="107"/>
      <c r="N600" s="107"/>
      <c r="O600" s="107"/>
      <c r="P600" s="107"/>
    </row>
    <row r="601" spans="1:16" x14ac:dyDescent="0.2">
      <c r="A601" s="107"/>
      <c r="B601" s="107"/>
      <c r="C601" s="107"/>
      <c r="D601" s="107"/>
      <c r="E601" s="107"/>
      <c r="F601" s="107"/>
      <c r="G601" s="107"/>
      <c r="H601" s="107"/>
      <c r="I601" s="107"/>
      <c r="J601" s="107"/>
      <c r="K601" s="107"/>
      <c r="L601" s="107"/>
      <c r="M601" s="107"/>
      <c r="N601" s="107"/>
      <c r="O601" s="107"/>
      <c r="P601" s="107"/>
    </row>
    <row r="602" spans="1:16" x14ac:dyDescent="0.2">
      <c r="A602" s="107"/>
      <c r="B602" s="107"/>
      <c r="C602" s="107"/>
      <c r="D602" s="107"/>
      <c r="E602" s="107"/>
      <c r="F602" s="107"/>
      <c r="G602" s="107"/>
      <c r="H602" s="107"/>
      <c r="I602" s="107"/>
      <c r="J602" s="107"/>
      <c r="K602" s="107"/>
      <c r="L602" s="107"/>
      <c r="M602" s="107"/>
      <c r="N602" s="107"/>
      <c r="O602" s="107"/>
      <c r="P602" s="107"/>
    </row>
    <row r="603" spans="1:16" x14ac:dyDescent="0.2">
      <c r="A603" s="107"/>
      <c r="B603" s="107"/>
      <c r="C603" s="107"/>
      <c r="D603" s="107"/>
      <c r="E603" s="107"/>
      <c r="F603" s="107"/>
      <c r="G603" s="107"/>
      <c r="H603" s="107"/>
      <c r="I603" s="107"/>
      <c r="J603" s="107"/>
      <c r="K603" s="107"/>
      <c r="L603" s="107"/>
      <c r="M603" s="107"/>
      <c r="N603" s="107"/>
      <c r="O603" s="107"/>
      <c r="P603" s="107"/>
    </row>
    <row r="604" spans="1:16" x14ac:dyDescent="0.2">
      <c r="A604" s="107"/>
      <c r="B604" s="107"/>
      <c r="C604" s="107"/>
      <c r="D604" s="107"/>
      <c r="E604" s="107"/>
      <c r="F604" s="107"/>
      <c r="G604" s="107"/>
      <c r="H604" s="107"/>
      <c r="I604" s="107"/>
      <c r="J604" s="107"/>
      <c r="K604" s="107"/>
      <c r="L604" s="107"/>
      <c r="M604" s="107"/>
      <c r="N604" s="107"/>
      <c r="O604" s="107"/>
      <c r="P604" s="107"/>
    </row>
    <row r="605" spans="1:16" x14ac:dyDescent="0.2">
      <c r="A605" s="107"/>
      <c r="B605" s="107"/>
      <c r="C605" s="107"/>
      <c r="D605" s="107"/>
      <c r="E605" s="107"/>
      <c r="F605" s="107"/>
      <c r="G605" s="107"/>
      <c r="H605" s="107"/>
      <c r="I605" s="107"/>
      <c r="J605" s="107"/>
      <c r="K605" s="107"/>
      <c r="L605" s="107"/>
      <c r="M605" s="107"/>
      <c r="N605" s="107"/>
      <c r="O605" s="107"/>
      <c r="P605" s="107"/>
    </row>
    <row r="606" spans="1:16" x14ac:dyDescent="0.2">
      <c r="A606" s="107"/>
      <c r="B606" s="107"/>
      <c r="C606" s="107"/>
      <c r="D606" s="107"/>
      <c r="E606" s="107"/>
      <c r="F606" s="107"/>
      <c r="G606" s="107"/>
      <c r="H606" s="107"/>
      <c r="I606" s="107"/>
      <c r="J606" s="107"/>
      <c r="K606" s="107"/>
      <c r="L606" s="107"/>
      <c r="M606" s="107"/>
      <c r="N606" s="107"/>
      <c r="O606" s="107"/>
      <c r="P606" s="107"/>
    </row>
    <row r="607" spans="1:16" x14ac:dyDescent="0.2">
      <c r="A607" s="107"/>
      <c r="B607" s="107"/>
      <c r="C607" s="107"/>
      <c r="D607" s="107"/>
      <c r="E607" s="107"/>
      <c r="F607" s="107"/>
      <c r="G607" s="107"/>
      <c r="H607" s="107"/>
      <c r="I607" s="107"/>
      <c r="J607" s="107"/>
      <c r="K607" s="107"/>
      <c r="L607" s="107"/>
      <c r="M607" s="107"/>
      <c r="N607" s="107"/>
      <c r="O607" s="107"/>
      <c r="P607" s="107"/>
    </row>
    <row r="608" spans="1:16" x14ac:dyDescent="0.2">
      <c r="A608" s="107"/>
      <c r="B608" s="107"/>
      <c r="C608" s="107"/>
      <c r="D608" s="107"/>
      <c r="E608" s="107"/>
      <c r="F608" s="107"/>
      <c r="G608" s="107"/>
      <c r="H608" s="107"/>
      <c r="I608" s="107"/>
      <c r="J608" s="107"/>
      <c r="K608" s="107"/>
      <c r="L608" s="107"/>
      <c r="M608" s="107"/>
      <c r="N608" s="107"/>
      <c r="O608" s="107"/>
      <c r="P608" s="107"/>
    </row>
    <row r="609" spans="1:16" x14ac:dyDescent="0.2">
      <c r="A609" s="107"/>
      <c r="B609" s="107"/>
      <c r="C609" s="107"/>
      <c r="D609" s="107"/>
      <c r="E609" s="107"/>
      <c r="F609" s="107"/>
      <c r="G609" s="107"/>
      <c r="H609" s="107"/>
      <c r="I609" s="107"/>
      <c r="J609" s="107"/>
      <c r="K609" s="107"/>
      <c r="L609" s="107"/>
      <c r="M609" s="107"/>
      <c r="N609" s="107"/>
      <c r="O609" s="107"/>
      <c r="P609" s="107"/>
    </row>
    <row r="610" spans="1:16" x14ac:dyDescent="0.2">
      <c r="A610" s="107"/>
      <c r="B610" s="107"/>
      <c r="C610" s="107"/>
      <c r="D610" s="107"/>
      <c r="E610" s="107"/>
      <c r="F610" s="107"/>
      <c r="G610" s="107"/>
      <c r="H610" s="107"/>
      <c r="I610" s="107"/>
      <c r="J610" s="107"/>
      <c r="K610" s="107"/>
      <c r="L610" s="107"/>
      <c r="M610" s="107"/>
      <c r="N610" s="107"/>
      <c r="O610" s="107"/>
      <c r="P610" s="107"/>
    </row>
    <row r="611" spans="1:16" x14ac:dyDescent="0.2">
      <c r="A611" s="107"/>
      <c r="B611" s="107"/>
      <c r="C611" s="107"/>
      <c r="D611" s="107"/>
      <c r="E611" s="107"/>
      <c r="F611" s="107"/>
      <c r="G611" s="107"/>
      <c r="H611" s="107"/>
      <c r="I611" s="107"/>
      <c r="J611" s="107"/>
      <c r="K611" s="107"/>
      <c r="L611" s="107"/>
      <c r="M611" s="107"/>
      <c r="N611" s="107"/>
      <c r="O611" s="107"/>
      <c r="P611" s="107"/>
    </row>
    <row r="612" spans="1:16" x14ac:dyDescent="0.2">
      <c r="A612" s="107"/>
      <c r="B612" s="107"/>
      <c r="C612" s="107"/>
      <c r="D612" s="107"/>
      <c r="E612" s="107"/>
      <c r="F612" s="107"/>
      <c r="G612" s="107"/>
      <c r="H612" s="107"/>
      <c r="I612" s="107"/>
      <c r="J612" s="107"/>
      <c r="K612" s="107"/>
      <c r="L612" s="107"/>
      <c r="M612" s="107"/>
      <c r="N612" s="107"/>
      <c r="O612" s="107"/>
      <c r="P612" s="107"/>
    </row>
    <row r="613" spans="1:16" x14ac:dyDescent="0.2">
      <c r="A613" s="107"/>
      <c r="B613" s="107"/>
      <c r="C613" s="107"/>
      <c r="D613" s="107"/>
      <c r="E613" s="107"/>
      <c r="F613" s="107"/>
      <c r="G613" s="107"/>
      <c r="H613" s="107"/>
      <c r="I613" s="107"/>
      <c r="J613" s="107"/>
      <c r="K613" s="107"/>
      <c r="L613" s="107"/>
      <c r="M613" s="107"/>
      <c r="N613" s="107"/>
      <c r="O613" s="107"/>
      <c r="P613" s="107"/>
    </row>
    <row r="614" spans="1:16" x14ac:dyDescent="0.2">
      <c r="A614" s="107"/>
      <c r="B614" s="107"/>
      <c r="C614" s="107"/>
      <c r="D614" s="107"/>
      <c r="E614" s="107"/>
      <c r="F614" s="107"/>
      <c r="G614" s="107"/>
      <c r="H614" s="107"/>
      <c r="I614" s="107"/>
      <c r="J614" s="107"/>
      <c r="K614" s="107"/>
      <c r="L614" s="107"/>
      <c r="M614" s="107"/>
      <c r="N614" s="107"/>
      <c r="O614" s="107"/>
      <c r="P614" s="107"/>
    </row>
    <row r="615" spans="1:16" x14ac:dyDescent="0.2">
      <c r="A615" s="107"/>
      <c r="B615" s="107"/>
      <c r="C615" s="107"/>
      <c r="D615" s="107"/>
      <c r="E615" s="107"/>
      <c r="F615" s="107"/>
      <c r="G615" s="107"/>
      <c r="H615" s="107"/>
      <c r="I615" s="107"/>
      <c r="J615" s="107"/>
      <c r="K615" s="107"/>
      <c r="L615" s="107"/>
      <c r="M615" s="107"/>
      <c r="N615" s="107"/>
      <c r="O615" s="107"/>
      <c r="P615" s="107"/>
    </row>
    <row r="616" spans="1:16" x14ac:dyDescent="0.2">
      <c r="A616" s="107"/>
      <c r="B616" s="107"/>
      <c r="C616" s="107"/>
      <c r="D616" s="107"/>
      <c r="E616" s="107"/>
      <c r="F616" s="107"/>
      <c r="G616" s="107"/>
      <c r="H616" s="107"/>
      <c r="I616" s="107"/>
      <c r="J616" s="107"/>
      <c r="K616" s="107"/>
      <c r="L616" s="107"/>
      <c r="M616" s="107"/>
      <c r="N616" s="107"/>
      <c r="O616" s="107"/>
      <c r="P616" s="107"/>
    </row>
    <row r="617" spans="1:16" x14ac:dyDescent="0.2">
      <c r="A617" s="107"/>
      <c r="B617" s="107"/>
      <c r="C617" s="107"/>
      <c r="D617" s="107"/>
      <c r="E617" s="107"/>
      <c r="F617" s="107"/>
      <c r="G617" s="107"/>
      <c r="H617" s="107"/>
      <c r="I617" s="107"/>
      <c r="J617" s="107"/>
      <c r="K617" s="107"/>
      <c r="L617" s="107"/>
      <c r="M617" s="107"/>
      <c r="N617" s="107"/>
      <c r="O617" s="107"/>
      <c r="P617" s="107"/>
    </row>
    <row r="618" spans="1:16" x14ac:dyDescent="0.2">
      <c r="A618" s="107"/>
      <c r="B618" s="107"/>
      <c r="C618" s="107"/>
      <c r="D618" s="107"/>
      <c r="E618" s="107"/>
      <c r="F618" s="107"/>
      <c r="G618" s="107"/>
      <c r="H618" s="107"/>
      <c r="I618" s="107"/>
      <c r="J618" s="107"/>
      <c r="K618" s="107"/>
      <c r="L618" s="107"/>
      <c r="M618" s="107"/>
      <c r="N618" s="107"/>
      <c r="O618" s="107"/>
      <c r="P618" s="107"/>
    </row>
    <row r="619" spans="1:16" x14ac:dyDescent="0.2">
      <c r="A619" s="107"/>
      <c r="B619" s="107"/>
      <c r="C619" s="107"/>
      <c r="D619" s="107"/>
      <c r="E619" s="107"/>
      <c r="F619" s="107"/>
      <c r="G619" s="107"/>
      <c r="H619" s="107"/>
      <c r="I619" s="107"/>
      <c r="J619" s="107"/>
      <c r="K619" s="107"/>
      <c r="L619" s="107"/>
      <c r="M619" s="107"/>
      <c r="N619" s="107"/>
      <c r="O619" s="107"/>
      <c r="P619" s="107"/>
    </row>
    <row r="620" spans="1:16" x14ac:dyDescent="0.2">
      <c r="A620" s="107"/>
      <c r="B620" s="107"/>
      <c r="C620" s="107"/>
      <c r="D620" s="107"/>
      <c r="E620" s="107"/>
      <c r="F620" s="107"/>
      <c r="G620" s="107"/>
      <c r="H620" s="107"/>
      <c r="I620" s="107"/>
      <c r="J620" s="107"/>
      <c r="K620" s="107"/>
      <c r="L620" s="107"/>
      <c r="M620" s="107"/>
      <c r="N620" s="107"/>
      <c r="O620" s="107"/>
      <c r="P620" s="107"/>
    </row>
    <row r="621" spans="1:16" x14ac:dyDescent="0.2">
      <c r="A621" s="107"/>
      <c r="B621" s="107"/>
      <c r="C621" s="107"/>
      <c r="D621" s="107"/>
      <c r="E621" s="107"/>
      <c r="F621" s="107"/>
      <c r="G621" s="107"/>
      <c r="H621" s="107"/>
      <c r="I621" s="107"/>
      <c r="J621" s="107"/>
      <c r="K621" s="107"/>
      <c r="L621" s="107"/>
      <c r="M621" s="107"/>
      <c r="N621" s="107"/>
      <c r="O621" s="107"/>
      <c r="P621" s="107"/>
    </row>
    <row r="622" spans="1:16" x14ac:dyDescent="0.2">
      <c r="A622" s="107"/>
      <c r="B622" s="107"/>
      <c r="C622" s="107"/>
      <c r="D622" s="107"/>
      <c r="E622" s="107"/>
      <c r="F622" s="107"/>
      <c r="G622" s="107"/>
      <c r="H622" s="107"/>
      <c r="I622" s="107"/>
      <c r="J622" s="107"/>
      <c r="K622" s="107"/>
      <c r="L622" s="107"/>
      <c r="M622" s="107"/>
      <c r="N622" s="107"/>
      <c r="O622" s="107"/>
      <c r="P622" s="107"/>
    </row>
    <row r="623" spans="1:16" x14ac:dyDescent="0.2">
      <c r="A623" s="107"/>
      <c r="B623" s="107"/>
      <c r="C623" s="107"/>
      <c r="D623" s="107"/>
      <c r="E623" s="107"/>
      <c r="F623" s="107"/>
      <c r="G623" s="107"/>
      <c r="H623" s="107"/>
      <c r="I623" s="107"/>
      <c r="J623" s="107"/>
      <c r="K623" s="107"/>
      <c r="L623" s="107"/>
      <c r="M623" s="107"/>
      <c r="N623" s="107"/>
      <c r="O623" s="107"/>
      <c r="P623" s="107"/>
    </row>
    <row r="624" spans="1:16" x14ac:dyDescent="0.2">
      <c r="A624" s="107"/>
      <c r="B624" s="107"/>
      <c r="C624" s="107"/>
      <c r="D624" s="107"/>
      <c r="E624" s="107"/>
      <c r="F624" s="107"/>
      <c r="G624" s="107"/>
      <c r="H624" s="107"/>
      <c r="I624" s="107"/>
      <c r="J624" s="107"/>
      <c r="K624" s="107"/>
      <c r="L624" s="107"/>
      <c r="M624" s="107"/>
      <c r="N624" s="107"/>
      <c r="O624" s="107"/>
      <c r="P624" s="107"/>
    </row>
    <row r="625" spans="1:16" x14ac:dyDescent="0.2">
      <c r="A625" s="107"/>
      <c r="B625" s="107"/>
      <c r="C625" s="107"/>
      <c r="D625" s="107"/>
      <c r="E625" s="107"/>
      <c r="F625" s="107"/>
      <c r="G625" s="107"/>
      <c r="H625" s="107"/>
      <c r="I625" s="107"/>
      <c r="J625" s="107"/>
      <c r="K625" s="107"/>
      <c r="L625" s="107"/>
      <c r="M625" s="107"/>
      <c r="N625" s="107"/>
      <c r="O625" s="107"/>
      <c r="P625" s="107"/>
    </row>
    <row r="626" spans="1:16" x14ac:dyDescent="0.2">
      <c r="A626" s="107"/>
      <c r="B626" s="107"/>
      <c r="C626" s="107"/>
      <c r="D626" s="107"/>
      <c r="E626" s="107"/>
      <c r="F626" s="107"/>
      <c r="G626" s="107"/>
      <c r="H626" s="107"/>
      <c r="I626" s="107"/>
      <c r="J626" s="107"/>
      <c r="K626" s="107"/>
      <c r="L626" s="107"/>
      <c r="M626" s="107"/>
      <c r="N626" s="107"/>
      <c r="O626" s="107"/>
      <c r="P626" s="107"/>
    </row>
    <row r="627" spans="1:16" x14ac:dyDescent="0.2">
      <c r="A627" s="107"/>
      <c r="B627" s="107"/>
      <c r="C627" s="107"/>
      <c r="D627" s="107"/>
      <c r="E627" s="107"/>
      <c r="F627" s="107"/>
      <c r="G627" s="107"/>
      <c r="H627" s="107"/>
      <c r="I627" s="107"/>
      <c r="J627" s="107"/>
      <c r="K627" s="107"/>
      <c r="L627" s="107"/>
      <c r="M627" s="107"/>
      <c r="N627" s="107"/>
      <c r="O627" s="107"/>
      <c r="P627" s="107"/>
    </row>
    <row r="628" spans="1:16" x14ac:dyDescent="0.2">
      <c r="A628" s="107"/>
      <c r="B628" s="107"/>
      <c r="C628" s="107"/>
      <c r="D628" s="107"/>
      <c r="E628" s="107"/>
      <c r="F628" s="107"/>
      <c r="G628" s="107"/>
      <c r="H628" s="107"/>
      <c r="I628" s="107"/>
      <c r="J628" s="107"/>
      <c r="K628" s="107"/>
      <c r="L628" s="107"/>
      <c r="M628" s="107"/>
      <c r="N628" s="107"/>
      <c r="O628" s="107"/>
      <c r="P628" s="107"/>
    </row>
    <row r="629" spans="1:16" x14ac:dyDescent="0.2">
      <c r="A629" s="107"/>
      <c r="B629" s="107"/>
      <c r="C629" s="107"/>
      <c r="D629" s="107"/>
      <c r="E629" s="107"/>
      <c r="F629" s="107"/>
      <c r="G629" s="107"/>
      <c r="H629" s="107"/>
      <c r="I629" s="107"/>
      <c r="J629" s="107"/>
      <c r="K629" s="107"/>
      <c r="L629" s="107"/>
      <c r="M629" s="107"/>
      <c r="N629" s="107"/>
      <c r="O629" s="107"/>
      <c r="P629" s="107"/>
    </row>
    <row r="630" spans="1:16" x14ac:dyDescent="0.2">
      <c r="A630" s="107"/>
      <c r="B630" s="107"/>
      <c r="C630" s="107"/>
      <c r="D630" s="107"/>
      <c r="E630" s="107"/>
      <c r="F630" s="107"/>
      <c r="G630" s="107"/>
      <c r="H630" s="107"/>
      <c r="I630" s="107"/>
      <c r="J630" s="107"/>
      <c r="K630" s="107"/>
      <c r="L630" s="107"/>
      <c r="M630" s="107"/>
      <c r="N630" s="107"/>
      <c r="O630" s="107"/>
      <c r="P630" s="107"/>
    </row>
    <row r="631" spans="1:16" x14ac:dyDescent="0.2">
      <c r="A631" s="107"/>
      <c r="B631" s="107"/>
      <c r="C631" s="107"/>
      <c r="D631" s="107"/>
      <c r="E631" s="107"/>
      <c r="F631" s="107"/>
      <c r="G631" s="107"/>
      <c r="H631" s="107"/>
      <c r="I631" s="107"/>
      <c r="J631" s="107"/>
      <c r="K631" s="107"/>
      <c r="L631" s="107"/>
      <c r="M631" s="107"/>
      <c r="N631" s="107"/>
      <c r="O631" s="107"/>
      <c r="P631" s="107"/>
    </row>
    <row r="632" spans="1:16" x14ac:dyDescent="0.2">
      <c r="A632" s="107"/>
      <c r="B632" s="107"/>
      <c r="C632" s="107"/>
      <c r="D632" s="107"/>
      <c r="E632" s="107"/>
      <c r="F632" s="107"/>
      <c r="G632" s="107"/>
      <c r="H632" s="107"/>
      <c r="I632" s="107"/>
      <c r="J632" s="107"/>
      <c r="K632" s="107"/>
      <c r="L632" s="107"/>
      <c r="M632" s="107"/>
      <c r="N632" s="107"/>
      <c r="O632" s="107"/>
      <c r="P632" s="107"/>
    </row>
    <row r="633" spans="1:16" x14ac:dyDescent="0.2">
      <c r="A633" s="107"/>
      <c r="B633" s="107"/>
      <c r="C633" s="107"/>
      <c r="D633" s="107"/>
      <c r="E633" s="107"/>
      <c r="F633" s="107"/>
      <c r="G633" s="107"/>
      <c r="H633" s="107"/>
      <c r="I633" s="107"/>
      <c r="J633" s="107"/>
      <c r="K633" s="107"/>
      <c r="L633" s="107"/>
      <c r="M633" s="107"/>
      <c r="N633" s="107"/>
      <c r="O633" s="107"/>
      <c r="P633" s="107"/>
    </row>
    <row r="634" spans="1:16" x14ac:dyDescent="0.2">
      <c r="A634" s="107"/>
      <c r="B634" s="107"/>
      <c r="C634" s="107"/>
      <c r="D634" s="107"/>
      <c r="E634" s="107"/>
      <c r="F634" s="107"/>
      <c r="G634" s="107"/>
      <c r="H634" s="107"/>
      <c r="I634" s="107"/>
      <c r="J634" s="107"/>
      <c r="K634" s="107"/>
      <c r="L634" s="107"/>
      <c r="M634" s="107"/>
      <c r="N634" s="107"/>
      <c r="O634" s="107"/>
      <c r="P634" s="107"/>
    </row>
    <row r="635" spans="1:16" x14ac:dyDescent="0.2">
      <c r="A635" s="107"/>
      <c r="B635" s="107"/>
      <c r="C635" s="107"/>
      <c r="D635" s="107"/>
      <c r="E635" s="107"/>
      <c r="F635" s="107"/>
      <c r="G635" s="107"/>
      <c r="H635" s="107"/>
      <c r="I635" s="107"/>
      <c r="J635" s="107"/>
      <c r="K635" s="107"/>
      <c r="L635" s="107"/>
      <c r="M635" s="107"/>
      <c r="N635" s="107"/>
      <c r="O635" s="107"/>
      <c r="P635" s="107"/>
    </row>
    <row r="636" spans="1:16" x14ac:dyDescent="0.2">
      <c r="A636" s="107"/>
      <c r="B636" s="107"/>
      <c r="C636" s="107"/>
      <c r="D636" s="107"/>
      <c r="E636" s="107"/>
      <c r="F636" s="107"/>
      <c r="G636" s="107"/>
      <c r="H636" s="107"/>
      <c r="I636" s="107"/>
      <c r="J636" s="107"/>
      <c r="K636" s="107"/>
      <c r="L636" s="107"/>
      <c r="M636" s="107"/>
      <c r="N636" s="107"/>
      <c r="O636" s="107"/>
      <c r="P636" s="107"/>
    </row>
    <row r="637" spans="1:16" x14ac:dyDescent="0.2">
      <c r="A637" s="107"/>
      <c r="B637" s="107"/>
      <c r="C637" s="107"/>
      <c r="D637" s="107"/>
      <c r="E637" s="107"/>
      <c r="F637" s="107"/>
      <c r="G637" s="107"/>
      <c r="H637" s="107"/>
      <c r="I637" s="107"/>
      <c r="J637" s="107"/>
      <c r="K637" s="107"/>
      <c r="L637" s="107"/>
      <c r="M637" s="107"/>
      <c r="N637" s="107"/>
      <c r="O637" s="107"/>
      <c r="P637" s="107"/>
    </row>
    <row r="638" spans="1:16" x14ac:dyDescent="0.2">
      <c r="A638" s="107"/>
      <c r="B638" s="107"/>
      <c r="C638" s="107"/>
      <c r="D638" s="107"/>
      <c r="E638" s="107"/>
      <c r="F638" s="107"/>
      <c r="G638" s="107"/>
      <c r="H638" s="107"/>
      <c r="I638" s="107"/>
      <c r="J638" s="107"/>
      <c r="K638" s="107"/>
      <c r="L638" s="107"/>
      <c r="M638" s="107"/>
      <c r="N638" s="107"/>
      <c r="O638" s="107"/>
      <c r="P638" s="107"/>
    </row>
    <row r="639" spans="1:16" x14ac:dyDescent="0.2">
      <c r="A639" s="107"/>
      <c r="B639" s="107"/>
      <c r="C639" s="107"/>
      <c r="D639" s="107"/>
      <c r="E639" s="107"/>
      <c r="F639" s="107"/>
      <c r="G639" s="107"/>
      <c r="H639" s="107"/>
      <c r="I639" s="107"/>
      <c r="J639" s="107"/>
      <c r="K639" s="107"/>
      <c r="L639" s="107"/>
      <c r="M639" s="107"/>
      <c r="N639" s="107"/>
      <c r="O639" s="107"/>
      <c r="P639" s="107"/>
    </row>
    <row r="640" spans="1:16" x14ac:dyDescent="0.2">
      <c r="A640" s="107"/>
      <c r="B640" s="107"/>
      <c r="C640" s="107"/>
      <c r="D640" s="107"/>
      <c r="E640" s="107"/>
      <c r="F640" s="107"/>
      <c r="G640" s="107"/>
      <c r="H640" s="107"/>
      <c r="I640" s="107"/>
      <c r="J640" s="107"/>
      <c r="K640" s="107"/>
      <c r="L640" s="107"/>
      <c r="M640" s="107"/>
      <c r="N640" s="107"/>
      <c r="O640" s="107"/>
      <c r="P640" s="107"/>
    </row>
    <row r="641" spans="1:16" x14ac:dyDescent="0.2">
      <c r="A641" s="107"/>
      <c r="B641" s="107"/>
      <c r="C641" s="107"/>
      <c r="D641" s="107"/>
      <c r="E641" s="107"/>
      <c r="F641" s="107"/>
      <c r="G641" s="107"/>
      <c r="H641" s="107"/>
      <c r="I641" s="107"/>
      <c r="J641" s="107"/>
      <c r="K641" s="107"/>
      <c r="L641" s="107"/>
      <c r="M641" s="107"/>
      <c r="N641" s="107"/>
      <c r="O641" s="107"/>
      <c r="P641" s="107"/>
    </row>
    <row r="642" spans="1:16" x14ac:dyDescent="0.2">
      <c r="A642" s="107"/>
      <c r="B642" s="107"/>
      <c r="C642" s="107"/>
      <c r="D642" s="107"/>
      <c r="E642" s="107"/>
      <c r="F642" s="107"/>
      <c r="G642" s="107"/>
      <c r="H642" s="107"/>
      <c r="I642" s="107"/>
      <c r="J642" s="107"/>
      <c r="K642" s="107"/>
      <c r="L642" s="107"/>
      <c r="M642" s="107"/>
      <c r="N642" s="107"/>
      <c r="O642" s="107"/>
      <c r="P642" s="107"/>
    </row>
    <row r="643" spans="1:16" x14ac:dyDescent="0.2">
      <c r="A643" s="107"/>
      <c r="B643" s="107"/>
      <c r="C643" s="107"/>
      <c r="D643" s="107"/>
      <c r="E643" s="107"/>
      <c r="F643" s="107"/>
      <c r="G643" s="107"/>
      <c r="H643" s="107"/>
      <c r="I643" s="107"/>
      <c r="J643" s="107"/>
      <c r="K643" s="107"/>
      <c r="L643" s="107"/>
      <c r="M643" s="107"/>
      <c r="N643" s="107"/>
      <c r="O643" s="107"/>
      <c r="P643" s="107"/>
    </row>
    <row r="644" spans="1:16" x14ac:dyDescent="0.2">
      <c r="A644" s="107"/>
      <c r="B644" s="107"/>
      <c r="C644" s="107"/>
      <c r="D644" s="107"/>
      <c r="E644" s="107"/>
      <c r="F644" s="107"/>
      <c r="G644" s="107"/>
      <c r="H644" s="107"/>
      <c r="I644" s="107"/>
      <c r="J644" s="107"/>
      <c r="K644" s="107"/>
      <c r="L644" s="107"/>
      <c r="M644" s="107"/>
      <c r="N644" s="107"/>
      <c r="O644" s="107"/>
      <c r="P644" s="107"/>
    </row>
    <row r="645" spans="1:16" x14ac:dyDescent="0.2">
      <c r="A645" s="107"/>
      <c r="B645" s="107"/>
      <c r="C645" s="107"/>
      <c r="D645" s="107"/>
      <c r="E645" s="107"/>
      <c r="F645" s="107"/>
      <c r="G645" s="107"/>
      <c r="H645" s="107"/>
      <c r="I645" s="107"/>
      <c r="J645" s="107"/>
      <c r="K645" s="107"/>
      <c r="L645" s="107"/>
      <c r="M645" s="107"/>
      <c r="N645" s="107"/>
      <c r="O645" s="107"/>
      <c r="P645" s="107"/>
    </row>
    <row r="646" spans="1:16" x14ac:dyDescent="0.2">
      <c r="A646" s="107"/>
      <c r="B646" s="107"/>
      <c r="C646" s="107"/>
      <c r="D646" s="107"/>
      <c r="E646" s="107"/>
      <c r="F646" s="107"/>
      <c r="G646" s="107"/>
      <c r="H646" s="107"/>
      <c r="I646" s="107"/>
      <c r="J646" s="107"/>
      <c r="K646" s="107"/>
      <c r="L646" s="107"/>
      <c r="M646" s="107"/>
      <c r="N646" s="107"/>
      <c r="O646" s="107"/>
      <c r="P646" s="107"/>
    </row>
    <row r="647" spans="1:16" x14ac:dyDescent="0.2">
      <c r="A647" s="107"/>
      <c r="B647" s="107"/>
      <c r="C647" s="107"/>
      <c r="D647" s="107"/>
      <c r="E647" s="107"/>
      <c r="F647" s="107"/>
      <c r="G647" s="107"/>
      <c r="H647" s="107"/>
      <c r="I647" s="107"/>
      <c r="J647" s="107"/>
      <c r="K647" s="107"/>
      <c r="L647" s="107"/>
      <c r="M647" s="107"/>
      <c r="N647" s="107"/>
      <c r="O647" s="107"/>
      <c r="P647" s="107"/>
    </row>
    <row r="648" spans="1:16" x14ac:dyDescent="0.2">
      <c r="A648" s="107"/>
      <c r="B648" s="107"/>
      <c r="C648" s="107"/>
      <c r="D648" s="107"/>
      <c r="E648" s="107"/>
      <c r="F648" s="107"/>
      <c r="G648" s="107"/>
      <c r="H648" s="107"/>
      <c r="I648" s="107"/>
      <c r="J648" s="107"/>
      <c r="K648" s="107"/>
      <c r="L648" s="107"/>
      <c r="M648" s="107"/>
      <c r="N648" s="107"/>
      <c r="O648" s="107"/>
      <c r="P648" s="107"/>
    </row>
    <row r="649" spans="1:16" x14ac:dyDescent="0.2">
      <c r="A649" s="107"/>
      <c r="B649" s="107"/>
      <c r="C649" s="107"/>
      <c r="D649" s="107"/>
      <c r="E649" s="107"/>
      <c r="F649" s="107"/>
      <c r="G649" s="107"/>
      <c r="H649" s="107"/>
      <c r="I649" s="107"/>
      <c r="J649" s="107"/>
      <c r="K649" s="107"/>
      <c r="L649" s="107"/>
      <c r="M649" s="107"/>
      <c r="N649" s="107"/>
      <c r="O649" s="107"/>
      <c r="P649" s="107"/>
    </row>
    <row r="650" spans="1:16" x14ac:dyDescent="0.2">
      <c r="A650" s="107"/>
      <c r="B650" s="107"/>
      <c r="C650" s="107"/>
      <c r="D650" s="107"/>
      <c r="E650" s="107"/>
      <c r="F650" s="107"/>
      <c r="G650" s="107"/>
      <c r="H650" s="107"/>
      <c r="I650" s="107"/>
      <c r="J650" s="107"/>
      <c r="K650" s="107"/>
      <c r="L650" s="107"/>
      <c r="M650" s="107"/>
      <c r="N650" s="107"/>
      <c r="O650" s="107"/>
      <c r="P650" s="107"/>
    </row>
    <row r="651" spans="1:16" x14ac:dyDescent="0.2">
      <c r="A651" s="107"/>
      <c r="B651" s="107"/>
      <c r="C651" s="107"/>
      <c r="D651" s="107"/>
      <c r="E651" s="107"/>
      <c r="F651" s="107"/>
      <c r="G651" s="107"/>
      <c r="H651" s="107"/>
      <c r="I651" s="107"/>
      <c r="J651" s="107"/>
      <c r="K651" s="107"/>
      <c r="L651" s="107"/>
      <c r="M651" s="107"/>
      <c r="N651" s="107"/>
      <c r="O651" s="107"/>
      <c r="P651" s="107"/>
    </row>
    <row r="652" spans="1:16" x14ac:dyDescent="0.2">
      <c r="A652" s="107"/>
      <c r="B652" s="107"/>
      <c r="C652" s="107"/>
      <c r="D652" s="107"/>
      <c r="E652" s="107"/>
      <c r="F652" s="107"/>
      <c r="G652" s="107"/>
      <c r="H652" s="107"/>
      <c r="I652" s="107"/>
      <c r="J652" s="107"/>
      <c r="K652" s="107"/>
      <c r="L652" s="107"/>
      <c r="M652" s="107"/>
      <c r="N652" s="107"/>
      <c r="O652" s="107"/>
      <c r="P652" s="107"/>
    </row>
    <row r="653" spans="1:16" x14ac:dyDescent="0.2">
      <c r="A653" s="107"/>
      <c r="B653" s="107"/>
      <c r="C653" s="107"/>
      <c r="D653" s="107"/>
      <c r="E653" s="107"/>
      <c r="F653" s="107"/>
      <c r="G653" s="107"/>
      <c r="H653" s="107"/>
      <c r="I653" s="107"/>
      <c r="J653" s="107"/>
      <c r="K653" s="107"/>
      <c r="L653" s="107"/>
      <c r="M653" s="107"/>
      <c r="N653" s="107"/>
      <c r="O653" s="107"/>
      <c r="P653" s="107"/>
    </row>
    <row r="654" spans="1:16" x14ac:dyDescent="0.2">
      <c r="A654" s="107"/>
      <c r="B654" s="107"/>
      <c r="C654" s="107"/>
      <c r="D654" s="107"/>
      <c r="E654" s="107"/>
      <c r="F654" s="107"/>
      <c r="G654" s="107"/>
      <c r="H654" s="107"/>
      <c r="I654" s="107"/>
      <c r="J654" s="107"/>
      <c r="K654" s="107"/>
      <c r="L654" s="107"/>
      <c r="M654" s="107"/>
      <c r="N654" s="107"/>
      <c r="O654" s="107"/>
      <c r="P654" s="107"/>
    </row>
    <row r="655" spans="1:16" x14ac:dyDescent="0.2">
      <c r="A655" s="107"/>
      <c r="B655" s="107"/>
      <c r="C655" s="107"/>
      <c r="D655" s="107"/>
      <c r="E655" s="107"/>
      <c r="F655" s="107"/>
      <c r="G655" s="107"/>
      <c r="H655" s="107"/>
      <c r="I655" s="107"/>
      <c r="J655" s="107"/>
      <c r="K655" s="107"/>
      <c r="L655" s="107"/>
      <c r="M655" s="107"/>
      <c r="N655" s="107"/>
      <c r="O655" s="107"/>
      <c r="P655" s="107"/>
    </row>
    <row r="656" spans="1:16" x14ac:dyDescent="0.2">
      <c r="A656" s="107"/>
      <c r="B656" s="107"/>
      <c r="C656" s="107"/>
      <c r="D656" s="107"/>
      <c r="E656" s="107"/>
      <c r="F656" s="107"/>
      <c r="G656" s="107"/>
      <c r="H656" s="107"/>
      <c r="I656" s="107"/>
      <c r="J656" s="107"/>
      <c r="K656" s="107"/>
      <c r="L656" s="107"/>
      <c r="M656" s="107"/>
      <c r="N656" s="107"/>
      <c r="O656" s="107"/>
      <c r="P656" s="107"/>
    </row>
    <row r="657" spans="1:16" x14ac:dyDescent="0.2">
      <c r="A657" s="107"/>
      <c r="B657" s="107"/>
      <c r="C657" s="107"/>
      <c r="D657" s="107"/>
      <c r="E657" s="107"/>
      <c r="F657" s="107"/>
      <c r="G657" s="107"/>
      <c r="H657" s="107"/>
      <c r="I657" s="107"/>
      <c r="J657" s="107"/>
      <c r="K657" s="107"/>
      <c r="L657" s="107"/>
      <c r="M657" s="107"/>
      <c r="N657" s="107"/>
      <c r="O657" s="107"/>
      <c r="P657" s="107"/>
    </row>
    <row r="658" spans="1:16" x14ac:dyDescent="0.2">
      <c r="A658" s="107"/>
      <c r="B658" s="107"/>
      <c r="C658" s="107"/>
      <c r="D658" s="107"/>
      <c r="E658" s="107"/>
      <c r="F658" s="107"/>
      <c r="G658" s="107"/>
      <c r="H658" s="107"/>
      <c r="I658" s="107"/>
      <c r="J658" s="107"/>
      <c r="K658" s="107"/>
      <c r="L658" s="107"/>
      <c r="M658" s="107"/>
      <c r="N658" s="107"/>
      <c r="O658" s="107"/>
      <c r="P658" s="107"/>
    </row>
    <row r="659" spans="1:16" x14ac:dyDescent="0.2">
      <c r="A659" s="107"/>
      <c r="B659" s="107"/>
      <c r="C659" s="107"/>
      <c r="D659" s="107"/>
      <c r="E659" s="107"/>
      <c r="F659" s="107"/>
      <c r="G659" s="107"/>
      <c r="H659" s="107"/>
      <c r="I659" s="107"/>
      <c r="J659" s="107"/>
      <c r="K659" s="107"/>
      <c r="L659" s="107"/>
      <c r="M659" s="107"/>
      <c r="N659" s="107"/>
      <c r="O659" s="107"/>
      <c r="P659" s="107"/>
    </row>
    <row r="660" spans="1:16" x14ac:dyDescent="0.2">
      <c r="A660" s="107"/>
      <c r="B660" s="107"/>
      <c r="C660" s="107"/>
      <c r="D660" s="107"/>
      <c r="E660" s="107"/>
      <c r="F660" s="107"/>
      <c r="G660" s="107"/>
      <c r="H660" s="107"/>
      <c r="I660" s="107"/>
      <c r="J660" s="107"/>
      <c r="K660" s="107"/>
      <c r="L660" s="107"/>
      <c r="M660" s="107"/>
      <c r="N660" s="107"/>
      <c r="O660" s="107"/>
      <c r="P660" s="107"/>
    </row>
    <row r="661" spans="1:16" x14ac:dyDescent="0.2">
      <c r="A661" s="107"/>
      <c r="B661" s="107"/>
      <c r="C661" s="107"/>
      <c r="D661" s="107"/>
      <c r="E661" s="107"/>
      <c r="F661" s="107"/>
      <c r="G661" s="107"/>
      <c r="H661" s="107"/>
      <c r="I661" s="107"/>
      <c r="J661" s="107"/>
      <c r="K661" s="107"/>
      <c r="L661" s="107"/>
      <c r="M661" s="107"/>
      <c r="N661" s="107"/>
      <c r="O661" s="107"/>
      <c r="P661" s="107"/>
    </row>
    <row r="662" spans="1:16" x14ac:dyDescent="0.2">
      <c r="A662" s="107"/>
      <c r="B662" s="107"/>
      <c r="C662" s="107"/>
      <c r="D662" s="107"/>
      <c r="E662" s="107"/>
      <c r="F662" s="107"/>
      <c r="G662" s="107"/>
      <c r="H662" s="107"/>
      <c r="I662" s="107"/>
      <c r="J662" s="107"/>
      <c r="K662" s="107"/>
      <c r="L662" s="107"/>
      <c r="M662" s="107"/>
      <c r="N662" s="107"/>
      <c r="O662" s="107"/>
      <c r="P662" s="107"/>
    </row>
    <row r="663" spans="1:16" x14ac:dyDescent="0.2">
      <c r="A663" s="107"/>
      <c r="B663" s="107"/>
      <c r="C663" s="107"/>
      <c r="D663" s="107"/>
      <c r="E663" s="107"/>
      <c r="F663" s="107"/>
      <c r="G663" s="107"/>
      <c r="H663" s="107"/>
      <c r="I663" s="107"/>
      <c r="J663" s="107"/>
      <c r="K663" s="107"/>
      <c r="L663" s="107"/>
      <c r="M663" s="107"/>
      <c r="N663" s="107"/>
      <c r="O663" s="107"/>
      <c r="P663" s="107"/>
    </row>
    <row r="664" spans="1:16" x14ac:dyDescent="0.2">
      <c r="A664" s="107"/>
      <c r="B664" s="107"/>
      <c r="C664" s="107"/>
      <c r="D664" s="107"/>
      <c r="E664" s="107"/>
      <c r="F664" s="107"/>
      <c r="G664" s="107"/>
      <c r="H664" s="107"/>
      <c r="I664" s="107"/>
      <c r="J664" s="107"/>
      <c r="K664" s="107"/>
      <c r="L664" s="107"/>
      <c r="M664" s="107"/>
      <c r="N664" s="107"/>
      <c r="O664" s="107"/>
      <c r="P664" s="107"/>
    </row>
    <row r="665" spans="1:16" x14ac:dyDescent="0.2">
      <c r="A665" s="107"/>
      <c r="B665" s="107"/>
      <c r="C665" s="107"/>
      <c r="D665" s="107"/>
      <c r="E665" s="107"/>
      <c r="F665" s="107"/>
      <c r="G665" s="107"/>
      <c r="H665" s="107"/>
      <c r="I665" s="107"/>
      <c r="J665" s="107"/>
      <c r="K665" s="107"/>
      <c r="L665" s="107"/>
      <c r="M665" s="107"/>
      <c r="N665" s="107"/>
      <c r="O665" s="107"/>
      <c r="P665" s="107"/>
    </row>
    <row r="666" spans="1:16" x14ac:dyDescent="0.2">
      <c r="A666" s="107"/>
      <c r="B666" s="107"/>
      <c r="C666" s="107"/>
      <c r="D666" s="107"/>
      <c r="E666" s="107"/>
      <c r="F666" s="107"/>
      <c r="G666" s="107"/>
      <c r="H666" s="107"/>
      <c r="I666" s="107"/>
      <c r="J666" s="107"/>
      <c r="K666" s="107"/>
      <c r="L666" s="107"/>
      <c r="M666" s="107"/>
      <c r="N666" s="107"/>
      <c r="O666" s="107"/>
      <c r="P666" s="107"/>
    </row>
    <row r="667" spans="1:16" x14ac:dyDescent="0.2">
      <c r="A667" s="107"/>
      <c r="B667" s="107"/>
      <c r="C667" s="107"/>
      <c r="D667" s="107"/>
      <c r="E667" s="107"/>
      <c r="F667" s="107"/>
      <c r="G667" s="107"/>
      <c r="H667" s="107"/>
      <c r="I667" s="107"/>
      <c r="J667" s="107"/>
      <c r="K667" s="107"/>
      <c r="L667" s="107"/>
      <c r="M667" s="107"/>
      <c r="N667" s="107"/>
      <c r="O667" s="107"/>
      <c r="P667" s="107"/>
    </row>
    <row r="668" spans="1:16" x14ac:dyDescent="0.2">
      <c r="A668" s="107"/>
      <c r="B668" s="107"/>
      <c r="C668" s="107"/>
      <c r="D668" s="107"/>
      <c r="E668" s="107"/>
      <c r="F668" s="107"/>
      <c r="G668" s="107"/>
      <c r="H668" s="107"/>
      <c r="I668" s="107"/>
      <c r="J668" s="107"/>
      <c r="K668" s="107"/>
      <c r="L668" s="107"/>
      <c r="M668" s="107"/>
      <c r="N668" s="107"/>
      <c r="O668" s="107"/>
      <c r="P668" s="107"/>
    </row>
    <row r="669" spans="1:16" x14ac:dyDescent="0.2">
      <c r="A669" s="107"/>
      <c r="B669" s="107"/>
      <c r="C669" s="107"/>
      <c r="D669" s="107"/>
      <c r="E669" s="107"/>
      <c r="F669" s="107"/>
      <c r="G669" s="107"/>
      <c r="H669" s="107"/>
      <c r="I669" s="107"/>
      <c r="J669" s="107"/>
      <c r="K669" s="107"/>
      <c r="L669" s="107"/>
      <c r="M669" s="107"/>
      <c r="N669" s="107"/>
      <c r="O669" s="107"/>
      <c r="P669" s="107"/>
    </row>
    <row r="670" spans="1:16" x14ac:dyDescent="0.2">
      <c r="A670" s="107"/>
      <c r="B670" s="107"/>
      <c r="C670" s="107"/>
      <c r="D670" s="107"/>
      <c r="E670" s="107"/>
      <c r="F670" s="107"/>
      <c r="G670" s="107"/>
      <c r="H670" s="107"/>
      <c r="I670" s="107"/>
      <c r="J670" s="107"/>
      <c r="K670" s="107"/>
      <c r="L670" s="107"/>
      <c r="M670" s="107"/>
      <c r="N670" s="107"/>
      <c r="O670" s="107"/>
      <c r="P670" s="107"/>
    </row>
    <row r="671" spans="1:16" x14ac:dyDescent="0.2">
      <c r="A671" s="107"/>
      <c r="B671" s="107"/>
      <c r="C671" s="107"/>
      <c r="D671" s="107"/>
      <c r="E671" s="107"/>
      <c r="F671" s="107"/>
      <c r="G671" s="107"/>
      <c r="H671" s="107"/>
      <c r="I671" s="107"/>
      <c r="J671" s="107"/>
      <c r="K671" s="107"/>
      <c r="L671" s="107"/>
      <c r="M671" s="107"/>
      <c r="N671" s="107"/>
      <c r="O671" s="107"/>
      <c r="P671" s="107"/>
    </row>
    <row r="672" spans="1:16" x14ac:dyDescent="0.2">
      <c r="A672" s="107"/>
      <c r="B672" s="107"/>
      <c r="C672" s="107"/>
      <c r="D672" s="107"/>
      <c r="E672" s="107"/>
      <c r="F672" s="107"/>
      <c r="G672" s="107"/>
      <c r="H672" s="107"/>
      <c r="I672" s="107"/>
      <c r="J672" s="107"/>
      <c r="K672" s="107"/>
      <c r="L672" s="107"/>
      <c r="M672" s="107"/>
      <c r="N672" s="107"/>
      <c r="O672" s="107"/>
      <c r="P672" s="107"/>
    </row>
    <row r="673" spans="1:16" x14ac:dyDescent="0.2">
      <c r="A673" s="107"/>
      <c r="B673" s="107"/>
      <c r="C673" s="107"/>
      <c r="D673" s="107"/>
      <c r="E673" s="107"/>
      <c r="F673" s="107"/>
      <c r="G673" s="107"/>
      <c r="H673" s="107"/>
      <c r="I673" s="107"/>
      <c r="J673" s="107"/>
      <c r="K673" s="107"/>
      <c r="L673" s="107"/>
      <c r="M673" s="107"/>
      <c r="N673" s="107"/>
      <c r="O673" s="107"/>
      <c r="P673" s="107"/>
    </row>
    <row r="674" spans="1:16" x14ac:dyDescent="0.2">
      <c r="A674" s="107"/>
      <c r="B674" s="107"/>
      <c r="C674" s="107"/>
      <c r="D674" s="107"/>
      <c r="E674" s="107"/>
      <c r="F674" s="107"/>
      <c r="G674" s="107"/>
      <c r="H674" s="107"/>
      <c r="I674" s="107"/>
      <c r="J674" s="107"/>
      <c r="K674" s="107"/>
      <c r="L674" s="107"/>
      <c r="M674" s="107"/>
      <c r="N674" s="107"/>
      <c r="O674" s="107"/>
      <c r="P674" s="107"/>
    </row>
    <row r="675" spans="1:16" x14ac:dyDescent="0.2">
      <c r="A675" s="107"/>
      <c r="B675" s="107"/>
      <c r="C675" s="107"/>
      <c r="D675" s="107"/>
      <c r="E675" s="107"/>
      <c r="F675" s="107"/>
      <c r="G675" s="107"/>
      <c r="H675" s="107"/>
      <c r="I675" s="107"/>
      <c r="J675" s="107"/>
      <c r="K675" s="107"/>
      <c r="L675" s="107"/>
      <c r="M675" s="107"/>
      <c r="N675" s="107"/>
      <c r="O675" s="107"/>
      <c r="P675" s="107"/>
    </row>
    <row r="676" spans="1:16" x14ac:dyDescent="0.2">
      <c r="A676" s="107"/>
      <c r="B676" s="107"/>
      <c r="C676" s="107"/>
      <c r="D676" s="107"/>
      <c r="E676" s="107"/>
      <c r="F676" s="107"/>
      <c r="G676" s="107"/>
      <c r="H676" s="107"/>
      <c r="I676" s="107"/>
      <c r="J676" s="107"/>
      <c r="K676" s="107"/>
      <c r="L676" s="107"/>
      <c r="M676" s="107"/>
      <c r="N676" s="107"/>
      <c r="O676" s="107"/>
      <c r="P676" s="107"/>
    </row>
    <row r="677" spans="1:16" x14ac:dyDescent="0.2">
      <c r="A677" s="107"/>
      <c r="B677" s="107"/>
      <c r="C677" s="107"/>
      <c r="D677" s="107"/>
      <c r="E677" s="107"/>
      <c r="F677" s="107"/>
      <c r="G677" s="107"/>
      <c r="H677" s="107"/>
      <c r="I677" s="107"/>
      <c r="J677" s="107"/>
      <c r="K677" s="107"/>
      <c r="L677" s="107"/>
      <c r="M677" s="107"/>
      <c r="N677" s="107"/>
      <c r="O677" s="107"/>
      <c r="P677" s="107"/>
    </row>
    <row r="678" spans="1:16" x14ac:dyDescent="0.2">
      <c r="A678" s="107"/>
      <c r="B678" s="107"/>
      <c r="C678" s="107"/>
      <c r="D678" s="107"/>
      <c r="E678" s="107"/>
      <c r="F678" s="107"/>
      <c r="G678" s="107"/>
      <c r="H678" s="107"/>
      <c r="I678" s="107"/>
      <c r="J678" s="107"/>
      <c r="K678" s="107"/>
      <c r="L678" s="107"/>
      <c r="M678" s="107"/>
      <c r="N678" s="107"/>
      <c r="O678" s="107"/>
      <c r="P678" s="107"/>
    </row>
    <row r="679" spans="1:16" x14ac:dyDescent="0.2">
      <c r="A679" s="107"/>
      <c r="B679" s="107"/>
      <c r="C679" s="107"/>
      <c r="D679" s="107"/>
      <c r="E679" s="107"/>
      <c r="F679" s="107"/>
      <c r="G679" s="107"/>
      <c r="H679" s="107"/>
      <c r="I679" s="107"/>
      <c r="J679" s="107"/>
      <c r="K679" s="107"/>
      <c r="L679" s="107"/>
      <c r="M679" s="107"/>
      <c r="N679" s="107"/>
      <c r="O679" s="107"/>
      <c r="P679" s="107"/>
    </row>
    <row r="680" spans="1:16" x14ac:dyDescent="0.2">
      <c r="A680" s="107"/>
      <c r="B680" s="107"/>
      <c r="C680" s="107"/>
      <c r="D680" s="107"/>
      <c r="E680" s="107"/>
      <c r="F680" s="107"/>
      <c r="G680" s="107"/>
      <c r="H680" s="107"/>
      <c r="I680" s="107"/>
      <c r="J680" s="107"/>
      <c r="K680" s="107"/>
      <c r="L680" s="107"/>
      <c r="M680" s="107"/>
      <c r="N680" s="107"/>
      <c r="O680" s="107"/>
      <c r="P680" s="107"/>
    </row>
    <row r="681" spans="1:16" x14ac:dyDescent="0.2">
      <c r="A681" s="107"/>
      <c r="B681" s="107"/>
      <c r="C681" s="107"/>
      <c r="D681" s="107"/>
      <c r="E681" s="107"/>
      <c r="F681" s="107"/>
      <c r="G681" s="107"/>
      <c r="H681" s="107"/>
      <c r="I681" s="107"/>
      <c r="J681" s="107"/>
      <c r="K681" s="107"/>
      <c r="L681" s="107"/>
      <c r="M681" s="107"/>
      <c r="N681" s="107"/>
      <c r="O681" s="107"/>
      <c r="P681" s="107"/>
    </row>
    <row r="682" spans="1:16" x14ac:dyDescent="0.2">
      <c r="A682" s="107"/>
      <c r="B682" s="107"/>
      <c r="C682" s="107"/>
      <c r="D682" s="107"/>
      <c r="E682" s="107"/>
      <c r="F682" s="107"/>
      <c r="G682" s="107"/>
      <c r="H682" s="107"/>
      <c r="I682" s="107"/>
      <c r="J682" s="107"/>
      <c r="K682" s="107"/>
      <c r="L682" s="107"/>
      <c r="M682" s="107"/>
      <c r="N682" s="107"/>
      <c r="O682" s="107"/>
      <c r="P682" s="107"/>
    </row>
    <row r="683" spans="1:16" x14ac:dyDescent="0.2">
      <c r="A683" s="107"/>
      <c r="B683" s="107"/>
      <c r="C683" s="107"/>
      <c r="D683" s="107"/>
      <c r="E683" s="107"/>
      <c r="F683" s="107"/>
      <c r="G683" s="107"/>
      <c r="H683" s="107"/>
      <c r="I683" s="107"/>
      <c r="J683" s="107"/>
      <c r="K683" s="107"/>
      <c r="L683" s="107"/>
      <c r="M683" s="107"/>
      <c r="N683" s="107"/>
      <c r="O683" s="107"/>
      <c r="P683" s="107"/>
    </row>
    <row r="684" spans="1:16" x14ac:dyDescent="0.2">
      <c r="A684" s="107"/>
      <c r="B684" s="107"/>
      <c r="C684" s="107"/>
      <c r="D684" s="107"/>
      <c r="E684" s="107"/>
      <c r="F684" s="107"/>
      <c r="G684" s="107"/>
      <c r="H684" s="107"/>
      <c r="I684" s="107"/>
      <c r="J684" s="107"/>
      <c r="K684" s="107"/>
      <c r="L684" s="107"/>
      <c r="M684" s="107"/>
      <c r="N684" s="107"/>
      <c r="O684" s="107"/>
      <c r="P684" s="107"/>
    </row>
    <row r="685" spans="1:16" x14ac:dyDescent="0.2">
      <c r="A685" s="107"/>
      <c r="B685" s="107"/>
      <c r="C685" s="107"/>
      <c r="D685" s="107"/>
      <c r="E685" s="107"/>
      <c r="F685" s="107"/>
      <c r="G685" s="107"/>
      <c r="H685" s="107"/>
      <c r="I685" s="107"/>
      <c r="J685" s="107"/>
      <c r="K685" s="107"/>
      <c r="L685" s="107"/>
      <c r="M685" s="107"/>
      <c r="N685" s="107"/>
      <c r="O685" s="107"/>
      <c r="P685" s="107"/>
    </row>
    <row r="686" spans="1:16" x14ac:dyDescent="0.2">
      <c r="A686" s="107"/>
      <c r="B686" s="107"/>
      <c r="C686" s="107"/>
      <c r="D686" s="107"/>
      <c r="E686" s="107"/>
      <c r="F686" s="107"/>
      <c r="G686" s="107"/>
      <c r="H686" s="107"/>
      <c r="I686" s="107"/>
      <c r="J686" s="107"/>
      <c r="K686" s="107"/>
      <c r="L686" s="107"/>
      <c r="M686" s="107"/>
      <c r="N686" s="107"/>
      <c r="O686" s="107"/>
      <c r="P686" s="107"/>
    </row>
    <row r="687" spans="1:16" x14ac:dyDescent="0.2">
      <c r="A687" s="107"/>
      <c r="B687" s="107"/>
      <c r="C687" s="107"/>
      <c r="D687" s="107"/>
      <c r="E687" s="107"/>
      <c r="F687" s="107"/>
      <c r="G687" s="107"/>
      <c r="H687" s="107"/>
      <c r="I687" s="107"/>
      <c r="J687" s="107"/>
      <c r="K687" s="107"/>
      <c r="L687" s="107"/>
      <c r="M687" s="107"/>
      <c r="N687" s="107"/>
      <c r="O687" s="107"/>
      <c r="P687" s="107"/>
    </row>
    <row r="688" spans="1:16" x14ac:dyDescent="0.2">
      <c r="A688" s="107"/>
      <c r="B688" s="107"/>
      <c r="C688" s="107"/>
      <c r="D688" s="107"/>
      <c r="E688" s="107"/>
      <c r="F688" s="107"/>
      <c r="G688" s="107"/>
      <c r="H688" s="107"/>
      <c r="I688" s="107"/>
      <c r="J688" s="107"/>
      <c r="K688" s="107"/>
      <c r="L688" s="107"/>
      <c r="M688" s="107"/>
      <c r="N688" s="107"/>
      <c r="O688" s="107"/>
      <c r="P688" s="107"/>
    </row>
    <row r="689" spans="1:16" x14ac:dyDescent="0.2">
      <c r="A689" s="107"/>
      <c r="B689" s="107"/>
      <c r="C689" s="107"/>
      <c r="D689" s="107"/>
      <c r="E689" s="107"/>
      <c r="F689" s="107"/>
      <c r="G689" s="107"/>
      <c r="H689" s="107"/>
      <c r="I689" s="107"/>
      <c r="J689" s="107"/>
      <c r="K689" s="107"/>
      <c r="L689" s="107"/>
      <c r="M689" s="107"/>
      <c r="N689" s="107"/>
      <c r="O689" s="107"/>
      <c r="P689" s="107"/>
    </row>
    <row r="690" spans="1:16" x14ac:dyDescent="0.2">
      <c r="A690" s="107"/>
      <c r="B690" s="107"/>
      <c r="C690" s="107"/>
      <c r="D690" s="107"/>
      <c r="E690" s="107"/>
      <c r="F690" s="107"/>
      <c r="G690" s="107"/>
      <c r="H690" s="107"/>
      <c r="I690" s="107"/>
      <c r="J690" s="107"/>
      <c r="K690" s="107"/>
      <c r="L690" s="107"/>
      <c r="M690" s="107"/>
      <c r="N690" s="107"/>
      <c r="O690" s="107"/>
      <c r="P690" s="107"/>
    </row>
    <row r="691" spans="1:16" x14ac:dyDescent="0.2">
      <c r="A691" s="107"/>
      <c r="B691" s="107"/>
      <c r="C691" s="107"/>
      <c r="D691" s="107"/>
      <c r="E691" s="107"/>
      <c r="F691" s="107"/>
      <c r="G691" s="107"/>
      <c r="H691" s="107"/>
      <c r="I691" s="107"/>
      <c r="J691" s="107"/>
      <c r="K691" s="107"/>
      <c r="L691" s="107"/>
      <c r="M691" s="107"/>
      <c r="N691" s="107"/>
      <c r="O691" s="107"/>
      <c r="P691" s="107"/>
    </row>
    <row r="692" spans="1:16" x14ac:dyDescent="0.2">
      <c r="A692" s="107"/>
      <c r="B692" s="107"/>
      <c r="C692" s="107"/>
      <c r="D692" s="107"/>
      <c r="E692" s="107"/>
      <c r="F692" s="107"/>
      <c r="G692" s="107"/>
      <c r="H692" s="107"/>
      <c r="I692" s="107"/>
      <c r="J692" s="107"/>
      <c r="K692" s="107"/>
      <c r="L692" s="107"/>
      <c r="M692" s="107"/>
      <c r="N692" s="107"/>
      <c r="O692" s="107"/>
      <c r="P692" s="107"/>
    </row>
    <row r="693" spans="1:16" x14ac:dyDescent="0.2">
      <c r="A693" s="107"/>
      <c r="B693" s="107"/>
      <c r="C693" s="107"/>
      <c r="D693" s="107"/>
      <c r="E693" s="107"/>
      <c r="F693" s="107"/>
      <c r="G693" s="107"/>
      <c r="H693" s="107"/>
      <c r="I693" s="107"/>
      <c r="J693" s="107"/>
      <c r="K693" s="107"/>
      <c r="L693" s="107"/>
      <c r="M693" s="107"/>
      <c r="N693" s="107"/>
      <c r="O693" s="107"/>
      <c r="P693" s="107"/>
    </row>
    <row r="694" spans="1:16" x14ac:dyDescent="0.2">
      <c r="A694" s="107"/>
      <c r="B694" s="107"/>
      <c r="C694" s="107"/>
      <c r="D694" s="107"/>
      <c r="E694" s="107"/>
      <c r="F694" s="107"/>
      <c r="G694" s="107"/>
      <c r="H694" s="107"/>
      <c r="I694" s="107"/>
      <c r="J694" s="107"/>
      <c r="K694" s="107"/>
      <c r="L694" s="107"/>
      <c r="M694" s="107"/>
      <c r="N694" s="107"/>
      <c r="O694" s="107"/>
      <c r="P694" s="107"/>
    </row>
    <row r="695" spans="1:16" x14ac:dyDescent="0.2">
      <c r="A695" s="107"/>
      <c r="B695" s="107"/>
      <c r="C695" s="107"/>
      <c r="D695" s="107"/>
      <c r="E695" s="107"/>
      <c r="F695" s="107"/>
      <c r="G695" s="107"/>
      <c r="H695" s="107"/>
      <c r="I695" s="107"/>
      <c r="J695" s="107"/>
      <c r="K695" s="107"/>
      <c r="L695" s="107"/>
      <c r="M695" s="107"/>
      <c r="N695" s="107"/>
      <c r="O695" s="107"/>
      <c r="P695" s="107"/>
    </row>
    <row r="696" spans="1:16" x14ac:dyDescent="0.2">
      <c r="A696" s="107"/>
      <c r="B696" s="107"/>
      <c r="C696" s="107"/>
      <c r="D696" s="107"/>
      <c r="E696" s="107"/>
      <c r="F696" s="107"/>
      <c r="G696" s="107"/>
      <c r="H696" s="107"/>
      <c r="I696" s="107"/>
      <c r="J696" s="107"/>
      <c r="K696" s="107"/>
      <c r="L696" s="107"/>
      <c r="M696" s="107"/>
      <c r="N696" s="107"/>
      <c r="O696" s="107"/>
      <c r="P696" s="107"/>
    </row>
    <row r="697" spans="1:16" x14ac:dyDescent="0.2">
      <c r="A697" s="107"/>
      <c r="B697" s="107"/>
      <c r="C697" s="107"/>
      <c r="D697" s="107"/>
      <c r="E697" s="107"/>
      <c r="F697" s="107"/>
      <c r="G697" s="107"/>
      <c r="H697" s="107"/>
      <c r="I697" s="107"/>
      <c r="J697" s="107"/>
      <c r="K697" s="107"/>
      <c r="L697" s="107"/>
      <c r="M697" s="107"/>
      <c r="N697" s="107"/>
      <c r="O697" s="107"/>
      <c r="P697" s="107"/>
    </row>
    <row r="698" spans="1:16" x14ac:dyDescent="0.2">
      <c r="A698" s="107"/>
      <c r="B698" s="107"/>
      <c r="C698" s="107"/>
      <c r="D698" s="107"/>
      <c r="E698" s="107"/>
      <c r="F698" s="107"/>
      <c r="G698" s="107"/>
      <c r="H698" s="107"/>
      <c r="I698" s="107"/>
      <c r="J698" s="107"/>
      <c r="K698" s="107"/>
      <c r="L698" s="107"/>
      <c r="M698" s="107"/>
      <c r="N698" s="107"/>
      <c r="O698" s="107"/>
      <c r="P698" s="107"/>
    </row>
    <row r="699" spans="1:16" x14ac:dyDescent="0.2">
      <c r="A699" s="107"/>
      <c r="B699" s="107"/>
      <c r="C699" s="107"/>
      <c r="D699" s="107"/>
      <c r="E699" s="107"/>
      <c r="F699" s="107"/>
      <c r="G699" s="107"/>
      <c r="H699" s="107"/>
      <c r="I699" s="107"/>
      <c r="J699" s="107"/>
      <c r="K699" s="107"/>
      <c r="L699" s="107"/>
      <c r="M699" s="107"/>
      <c r="N699" s="107"/>
      <c r="O699" s="107"/>
      <c r="P699" s="107"/>
    </row>
    <row r="700" spans="1:16" x14ac:dyDescent="0.2">
      <c r="A700" s="107"/>
      <c r="B700" s="107"/>
      <c r="C700" s="107"/>
      <c r="D700" s="107"/>
      <c r="E700" s="107"/>
      <c r="F700" s="107"/>
      <c r="G700" s="107"/>
      <c r="H700" s="107"/>
      <c r="I700" s="107"/>
      <c r="J700" s="107"/>
      <c r="K700" s="107"/>
      <c r="L700" s="107"/>
      <c r="M700" s="107"/>
      <c r="N700" s="107"/>
      <c r="O700" s="107"/>
      <c r="P700" s="107"/>
    </row>
    <row r="701" spans="1:16" x14ac:dyDescent="0.2">
      <c r="A701" s="107"/>
      <c r="B701" s="107"/>
      <c r="C701" s="107"/>
      <c r="D701" s="107"/>
      <c r="E701" s="107"/>
      <c r="F701" s="107"/>
      <c r="G701" s="107"/>
      <c r="H701" s="107"/>
      <c r="I701" s="107"/>
      <c r="J701" s="107"/>
      <c r="K701" s="107"/>
      <c r="L701" s="107"/>
      <c r="M701" s="107"/>
      <c r="N701" s="107"/>
      <c r="O701" s="107"/>
      <c r="P701" s="107"/>
    </row>
    <row r="702" spans="1:16" x14ac:dyDescent="0.2">
      <c r="A702" s="107"/>
      <c r="B702" s="107"/>
      <c r="C702" s="107"/>
      <c r="D702" s="107"/>
      <c r="E702" s="107"/>
      <c r="F702" s="107"/>
      <c r="G702" s="107"/>
      <c r="H702" s="107"/>
      <c r="I702" s="107"/>
      <c r="J702" s="107"/>
      <c r="K702" s="107"/>
      <c r="L702" s="107"/>
      <c r="M702" s="107"/>
      <c r="N702" s="107"/>
      <c r="O702" s="107"/>
      <c r="P702" s="107"/>
    </row>
    <row r="703" spans="1:16" x14ac:dyDescent="0.2">
      <c r="A703" s="107"/>
      <c r="B703" s="107"/>
      <c r="C703" s="107"/>
      <c r="D703" s="107"/>
      <c r="E703" s="107"/>
      <c r="F703" s="107"/>
      <c r="G703" s="107"/>
      <c r="H703" s="107"/>
      <c r="I703" s="107"/>
      <c r="J703" s="107"/>
      <c r="K703" s="107"/>
      <c r="L703" s="107"/>
      <c r="M703" s="107"/>
      <c r="N703" s="107"/>
      <c r="O703" s="107"/>
      <c r="P703" s="107"/>
    </row>
    <row r="704" spans="1:16" x14ac:dyDescent="0.2">
      <c r="A704" s="107"/>
      <c r="B704" s="107"/>
      <c r="C704" s="107"/>
      <c r="D704" s="107"/>
      <c r="E704" s="107"/>
      <c r="F704" s="107"/>
      <c r="G704" s="107"/>
      <c r="H704" s="107"/>
      <c r="I704" s="107"/>
      <c r="J704" s="107"/>
      <c r="K704" s="107"/>
      <c r="L704" s="107"/>
      <c r="M704" s="107"/>
      <c r="N704" s="107"/>
      <c r="O704" s="107"/>
      <c r="P704" s="107"/>
    </row>
    <row r="705" spans="1:16" x14ac:dyDescent="0.2">
      <c r="A705" s="107"/>
      <c r="B705" s="107"/>
      <c r="C705" s="107"/>
      <c r="D705" s="107"/>
      <c r="E705" s="107"/>
      <c r="F705" s="107"/>
      <c r="G705" s="107"/>
      <c r="H705" s="107"/>
      <c r="I705" s="107"/>
      <c r="J705" s="107"/>
      <c r="K705" s="107"/>
      <c r="L705" s="107"/>
      <c r="M705" s="107"/>
      <c r="N705" s="107"/>
      <c r="O705" s="107"/>
      <c r="P705" s="107"/>
    </row>
    <row r="706" spans="1:16" x14ac:dyDescent="0.2">
      <c r="A706" s="107"/>
      <c r="B706" s="107"/>
      <c r="C706" s="107"/>
      <c r="D706" s="107"/>
      <c r="E706" s="107"/>
      <c r="F706" s="107"/>
      <c r="G706" s="107"/>
      <c r="H706" s="107"/>
      <c r="I706" s="107"/>
      <c r="J706" s="107"/>
      <c r="K706" s="107"/>
      <c r="L706" s="107"/>
      <c r="M706" s="107"/>
      <c r="N706" s="107"/>
      <c r="O706" s="107"/>
      <c r="P706" s="107"/>
    </row>
    <row r="707" spans="1:16" x14ac:dyDescent="0.2">
      <c r="A707" s="107"/>
      <c r="B707" s="107"/>
      <c r="C707" s="107"/>
      <c r="D707" s="107"/>
      <c r="E707" s="107"/>
      <c r="F707" s="107"/>
      <c r="G707" s="107"/>
      <c r="H707" s="107"/>
      <c r="I707" s="107"/>
      <c r="J707" s="107"/>
      <c r="K707" s="107"/>
      <c r="L707" s="107"/>
      <c r="M707" s="107"/>
      <c r="N707" s="107"/>
      <c r="O707" s="107"/>
      <c r="P707" s="107"/>
    </row>
    <row r="708" spans="1:16" x14ac:dyDescent="0.2">
      <c r="A708" s="107"/>
      <c r="B708" s="107"/>
      <c r="C708" s="107"/>
      <c r="D708" s="107"/>
      <c r="E708" s="107"/>
      <c r="F708" s="107"/>
      <c r="G708" s="107"/>
      <c r="H708" s="107"/>
      <c r="I708" s="107"/>
      <c r="J708" s="107"/>
      <c r="K708" s="107"/>
      <c r="L708" s="107"/>
      <c r="M708" s="107"/>
      <c r="N708" s="107"/>
      <c r="O708" s="107"/>
      <c r="P708" s="107"/>
    </row>
    <row r="709" spans="1:16" x14ac:dyDescent="0.2">
      <c r="A709" s="107"/>
      <c r="B709" s="107"/>
      <c r="C709" s="107"/>
      <c r="D709" s="107"/>
      <c r="E709" s="107"/>
      <c r="F709" s="107"/>
      <c r="G709" s="107"/>
      <c r="H709" s="107"/>
      <c r="I709" s="107"/>
      <c r="J709" s="107"/>
      <c r="K709" s="107"/>
      <c r="L709" s="107"/>
      <c r="M709" s="107"/>
      <c r="N709" s="107"/>
      <c r="O709" s="107"/>
      <c r="P709" s="107"/>
    </row>
    <row r="710" spans="1:16" x14ac:dyDescent="0.2">
      <c r="A710" s="107"/>
      <c r="B710" s="107"/>
      <c r="C710" s="107"/>
      <c r="D710" s="107"/>
      <c r="E710" s="107"/>
      <c r="F710" s="107"/>
      <c r="G710" s="107"/>
      <c r="H710" s="107"/>
      <c r="I710" s="107"/>
      <c r="J710" s="107"/>
      <c r="K710" s="107"/>
      <c r="L710" s="107"/>
      <c r="M710" s="107"/>
      <c r="N710" s="107"/>
      <c r="O710" s="107"/>
      <c r="P710" s="107"/>
    </row>
    <row r="711" spans="1:16" x14ac:dyDescent="0.2">
      <c r="A711" s="107"/>
      <c r="B711" s="107"/>
      <c r="C711" s="107"/>
      <c r="D711" s="107"/>
      <c r="E711" s="107"/>
      <c r="F711" s="107"/>
      <c r="G711" s="107"/>
      <c r="H711" s="107"/>
      <c r="I711" s="107"/>
      <c r="J711" s="107"/>
      <c r="K711" s="107"/>
      <c r="L711" s="107"/>
      <c r="M711" s="107"/>
      <c r="N711" s="107"/>
      <c r="O711" s="107"/>
      <c r="P711" s="107"/>
    </row>
    <row r="712" spans="1:16" x14ac:dyDescent="0.2">
      <c r="A712" s="107"/>
      <c r="B712" s="107"/>
      <c r="C712" s="107"/>
      <c r="D712" s="107"/>
      <c r="E712" s="107"/>
      <c r="F712" s="107"/>
      <c r="G712" s="107"/>
      <c r="H712" s="107"/>
      <c r="I712" s="107"/>
      <c r="J712" s="107"/>
      <c r="K712" s="107"/>
      <c r="L712" s="107"/>
      <c r="M712" s="107"/>
      <c r="N712" s="107"/>
      <c r="O712" s="107"/>
      <c r="P712" s="107"/>
    </row>
    <row r="713" spans="1:16" x14ac:dyDescent="0.2">
      <c r="A713" s="107"/>
      <c r="B713" s="107"/>
      <c r="C713" s="107"/>
      <c r="D713" s="107"/>
      <c r="E713" s="107"/>
      <c r="F713" s="107"/>
      <c r="G713" s="107"/>
      <c r="H713" s="107"/>
      <c r="I713" s="107"/>
      <c r="J713" s="107"/>
      <c r="K713" s="107"/>
      <c r="L713" s="107"/>
      <c r="M713" s="107"/>
      <c r="N713" s="107"/>
      <c r="O713" s="107"/>
      <c r="P713" s="107"/>
    </row>
    <row r="714" spans="1:16" x14ac:dyDescent="0.2">
      <c r="A714" s="107"/>
      <c r="B714" s="107"/>
      <c r="C714" s="107"/>
      <c r="D714" s="107"/>
      <c r="E714" s="107"/>
      <c r="F714" s="107"/>
      <c r="G714" s="107"/>
      <c r="H714" s="107"/>
      <c r="I714" s="107"/>
      <c r="J714" s="107"/>
      <c r="K714" s="107"/>
      <c r="L714" s="107"/>
      <c r="M714" s="107"/>
      <c r="N714" s="107"/>
      <c r="O714" s="107"/>
      <c r="P714" s="107"/>
    </row>
    <row r="715" spans="1:16" x14ac:dyDescent="0.2">
      <c r="A715" s="107"/>
      <c r="B715" s="107"/>
      <c r="C715" s="107"/>
      <c r="D715" s="107"/>
      <c r="E715" s="107"/>
      <c r="F715" s="107"/>
      <c r="G715" s="107"/>
      <c r="H715" s="107"/>
      <c r="I715" s="107"/>
      <c r="J715" s="107"/>
      <c r="K715" s="107"/>
      <c r="L715" s="107"/>
      <c r="M715" s="107"/>
      <c r="N715" s="107"/>
      <c r="O715" s="107"/>
      <c r="P715" s="107"/>
    </row>
    <row r="716" spans="1:16" x14ac:dyDescent="0.2">
      <c r="A716" s="107"/>
      <c r="B716" s="107"/>
      <c r="C716" s="107"/>
      <c r="D716" s="107"/>
      <c r="E716" s="107"/>
      <c r="F716" s="107"/>
      <c r="G716" s="107"/>
      <c r="H716" s="107"/>
      <c r="I716" s="107"/>
      <c r="J716" s="107"/>
      <c r="K716" s="107"/>
      <c r="L716" s="107"/>
      <c r="M716" s="107"/>
      <c r="N716" s="107"/>
      <c r="O716" s="107"/>
      <c r="P716" s="107"/>
    </row>
    <row r="717" spans="1:16" x14ac:dyDescent="0.2">
      <c r="A717" s="107"/>
      <c r="B717" s="107"/>
      <c r="C717" s="107"/>
      <c r="D717" s="107"/>
      <c r="E717" s="107"/>
      <c r="F717" s="107"/>
      <c r="G717" s="107"/>
      <c r="H717" s="107"/>
      <c r="I717" s="107"/>
      <c r="J717" s="107"/>
      <c r="K717" s="107"/>
      <c r="L717" s="107"/>
      <c r="M717" s="107"/>
      <c r="N717" s="107"/>
      <c r="O717" s="107"/>
      <c r="P717" s="107"/>
    </row>
    <row r="718" spans="1:16" x14ac:dyDescent="0.2">
      <c r="A718" s="107"/>
      <c r="B718" s="107"/>
      <c r="C718" s="107"/>
      <c r="D718" s="107"/>
      <c r="E718" s="107"/>
      <c r="F718" s="107"/>
      <c r="G718" s="107"/>
      <c r="H718" s="107"/>
      <c r="I718" s="107"/>
      <c r="J718" s="107"/>
      <c r="K718" s="107"/>
      <c r="L718" s="107"/>
      <c r="M718" s="107"/>
      <c r="N718" s="107"/>
      <c r="O718" s="107"/>
      <c r="P718" s="107"/>
    </row>
    <row r="719" spans="1:16" x14ac:dyDescent="0.2">
      <c r="A719" s="107"/>
      <c r="B719" s="107"/>
      <c r="C719" s="107"/>
      <c r="D719" s="107"/>
      <c r="E719" s="107"/>
      <c r="F719" s="107"/>
      <c r="G719" s="107"/>
      <c r="H719" s="107"/>
      <c r="I719" s="107"/>
      <c r="J719" s="107"/>
      <c r="K719" s="107"/>
      <c r="L719" s="107"/>
      <c r="M719" s="107"/>
      <c r="N719" s="107"/>
      <c r="O719" s="107"/>
      <c r="P719" s="107"/>
    </row>
    <row r="720" spans="1:16" x14ac:dyDescent="0.2">
      <c r="A720" s="107"/>
      <c r="B720" s="107"/>
      <c r="C720" s="107"/>
      <c r="D720" s="107"/>
      <c r="E720" s="107"/>
      <c r="F720" s="107"/>
      <c r="G720" s="107"/>
      <c r="H720" s="107"/>
      <c r="I720" s="107"/>
      <c r="J720" s="107"/>
      <c r="K720" s="107"/>
      <c r="L720" s="107"/>
      <c r="M720" s="107"/>
      <c r="N720" s="107"/>
      <c r="O720" s="107"/>
      <c r="P720" s="107"/>
    </row>
    <row r="721" spans="1:16" x14ac:dyDescent="0.2">
      <c r="A721" s="107"/>
      <c r="B721" s="107"/>
      <c r="C721" s="107"/>
      <c r="D721" s="107"/>
      <c r="E721" s="107"/>
      <c r="F721" s="107"/>
      <c r="G721" s="107"/>
      <c r="H721" s="107"/>
      <c r="I721" s="107"/>
      <c r="J721" s="107"/>
      <c r="K721" s="107"/>
      <c r="L721" s="107"/>
      <c r="M721" s="107"/>
      <c r="N721" s="107"/>
      <c r="O721" s="107"/>
      <c r="P721" s="107"/>
    </row>
    <row r="722" spans="1:16" x14ac:dyDescent="0.2">
      <c r="A722" s="107"/>
      <c r="B722" s="107"/>
      <c r="C722" s="107"/>
      <c r="D722" s="107"/>
      <c r="E722" s="107"/>
      <c r="F722" s="107"/>
      <c r="G722" s="107"/>
      <c r="H722" s="107"/>
      <c r="I722" s="107"/>
      <c r="J722" s="107"/>
      <c r="K722" s="107"/>
      <c r="L722" s="107"/>
      <c r="M722" s="107"/>
      <c r="N722" s="107"/>
      <c r="O722" s="107"/>
      <c r="P722" s="107"/>
    </row>
    <row r="723" spans="1:16" x14ac:dyDescent="0.2">
      <c r="A723" s="107"/>
      <c r="B723" s="107"/>
      <c r="C723" s="107"/>
      <c r="D723" s="107"/>
      <c r="E723" s="107"/>
      <c r="F723" s="107"/>
      <c r="G723" s="107"/>
      <c r="H723" s="107"/>
      <c r="I723" s="107"/>
      <c r="J723" s="107"/>
      <c r="K723" s="107"/>
      <c r="L723" s="107"/>
      <c r="M723" s="107"/>
      <c r="N723" s="107"/>
      <c r="O723" s="107"/>
      <c r="P723" s="107"/>
    </row>
    <row r="724" spans="1:16" x14ac:dyDescent="0.2">
      <c r="A724" s="107"/>
      <c r="B724" s="107"/>
      <c r="C724" s="107"/>
      <c r="D724" s="107"/>
      <c r="E724" s="107"/>
      <c r="F724" s="107"/>
      <c r="G724" s="107"/>
      <c r="H724" s="107"/>
      <c r="I724" s="107"/>
      <c r="J724" s="107"/>
      <c r="K724" s="107"/>
      <c r="L724" s="107"/>
      <c r="M724" s="107"/>
      <c r="N724" s="107"/>
      <c r="O724" s="107"/>
      <c r="P724" s="107"/>
    </row>
    <row r="725" spans="1:16" x14ac:dyDescent="0.2">
      <c r="A725" s="107"/>
      <c r="B725" s="107"/>
      <c r="C725" s="107"/>
      <c r="D725" s="107"/>
      <c r="E725" s="107"/>
      <c r="F725" s="107"/>
      <c r="G725" s="107"/>
      <c r="H725" s="107"/>
      <c r="I725" s="107"/>
      <c r="J725" s="107"/>
      <c r="K725" s="107"/>
      <c r="L725" s="107"/>
      <c r="M725" s="107"/>
      <c r="N725" s="107"/>
      <c r="O725" s="107"/>
      <c r="P725" s="107"/>
    </row>
    <row r="726" spans="1:16" x14ac:dyDescent="0.2">
      <c r="A726" s="107"/>
      <c r="B726" s="107"/>
      <c r="C726" s="107"/>
      <c r="D726" s="107"/>
      <c r="E726" s="107"/>
      <c r="F726" s="107"/>
      <c r="G726" s="107"/>
      <c r="H726" s="107"/>
      <c r="I726" s="107"/>
      <c r="J726" s="107"/>
      <c r="K726" s="107"/>
      <c r="L726" s="107"/>
      <c r="M726" s="107"/>
      <c r="N726" s="107"/>
      <c r="O726" s="107"/>
      <c r="P726" s="107"/>
    </row>
    <row r="727" spans="1:16" x14ac:dyDescent="0.2">
      <c r="A727" s="107"/>
      <c r="B727" s="107"/>
      <c r="C727" s="107"/>
      <c r="D727" s="107"/>
      <c r="E727" s="107"/>
      <c r="F727" s="107"/>
      <c r="G727" s="107"/>
      <c r="H727" s="107"/>
      <c r="I727" s="107"/>
      <c r="J727" s="107"/>
      <c r="K727" s="107"/>
      <c r="L727" s="107"/>
      <c r="M727" s="107"/>
      <c r="N727" s="107"/>
      <c r="O727" s="107"/>
      <c r="P727" s="107"/>
    </row>
    <row r="728" spans="1:16" x14ac:dyDescent="0.2">
      <c r="A728" s="107"/>
      <c r="B728" s="107"/>
      <c r="C728" s="107"/>
      <c r="D728" s="107"/>
      <c r="E728" s="107"/>
      <c r="F728" s="107"/>
      <c r="G728" s="107"/>
      <c r="H728" s="107"/>
      <c r="I728" s="107"/>
      <c r="J728" s="107"/>
      <c r="K728" s="107"/>
      <c r="L728" s="107"/>
      <c r="M728" s="107"/>
      <c r="N728" s="107"/>
      <c r="O728" s="107"/>
      <c r="P728" s="107"/>
    </row>
    <row r="729" spans="1:16" x14ac:dyDescent="0.2">
      <c r="A729" s="107"/>
      <c r="B729" s="107"/>
      <c r="C729" s="107"/>
      <c r="D729" s="107"/>
      <c r="E729" s="107"/>
      <c r="F729" s="107"/>
      <c r="G729" s="107"/>
      <c r="H729" s="107"/>
      <c r="I729" s="107"/>
      <c r="J729" s="107"/>
      <c r="K729" s="107"/>
      <c r="L729" s="107"/>
      <c r="M729" s="107"/>
      <c r="N729" s="107"/>
      <c r="O729" s="107"/>
      <c r="P729" s="107"/>
    </row>
    <row r="730" spans="1:16" x14ac:dyDescent="0.2">
      <c r="A730" s="107"/>
      <c r="B730" s="107"/>
      <c r="C730" s="107"/>
      <c r="D730" s="107"/>
      <c r="E730" s="107"/>
      <c r="F730" s="107"/>
      <c r="G730" s="107"/>
      <c r="H730" s="107"/>
      <c r="I730" s="107"/>
      <c r="J730" s="107"/>
      <c r="K730" s="107"/>
      <c r="L730" s="107"/>
      <c r="M730" s="107"/>
      <c r="N730" s="107"/>
      <c r="O730" s="107"/>
      <c r="P730" s="107"/>
    </row>
    <row r="731" spans="1:16" x14ac:dyDescent="0.2">
      <c r="A731" s="107"/>
      <c r="B731" s="107"/>
      <c r="C731" s="107"/>
      <c r="D731" s="107"/>
      <c r="E731" s="107"/>
      <c r="F731" s="107"/>
      <c r="G731" s="107"/>
      <c r="H731" s="107"/>
      <c r="I731" s="107"/>
      <c r="J731" s="107"/>
      <c r="K731" s="107"/>
      <c r="L731" s="107"/>
      <c r="M731" s="107"/>
      <c r="N731" s="107"/>
      <c r="O731" s="107"/>
      <c r="P731" s="107"/>
    </row>
    <row r="732" spans="1:16" x14ac:dyDescent="0.2">
      <c r="A732" s="107"/>
      <c r="B732" s="107"/>
      <c r="C732" s="107"/>
      <c r="D732" s="107"/>
      <c r="E732" s="107"/>
      <c r="F732" s="107"/>
      <c r="G732" s="107"/>
      <c r="H732" s="107"/>
      <c r="I732" s="107"/>
      <c r="J732" s="107"/>
      <c r="K732" s="107"/>
      <c r="L732" s="107"/>
      <c r="M732" s="107"/>
      <c r="N732" s="107"/>
      <c r="O732" s="107"/>
      <c r="P732" s="107"/>
    </row>
    <row r="733" spans="1:16" x14ac:dyDescent="0.2">
      <c r="A733" s="107"/>
      <c r="B733" s="107"/>
      <c r="C733" s="107"/>
      <c r="D733" s="107"/>
      <c r="E733" s="107"/>
      <c r="F733" s="107"/>
      <c r="G733" s="107"/>
      <c r="H733" s="107"/>
      <c r="I733" s="107"/>
      <c r="J733" s="107"/>
      <c r="K733" s="107"/>
      <c r="L733" s="107"/>
      <c r="M733" s="107"/>
      <c r="N733" s="107"/>
      <c r="O733" s="107"/>
      <c r="P733" s="107"/>
    </row>
    <row r="734" spans="1:16" x14ac:dyDescent="0.2">
      <c r="A734" s="107"/>
      <c r="B734" s="107"/>
      <c r="C734" s="107"/>
      <c r="D734" s="107"/>
      <c r="E734" s="107"/>
      <c r="F734" s="107"/>
      <c r="G734" s="107"/>
      <c r="H734" s="107"/>
      <c r="I734" s="107"/>
      <c r="J734" s="107"/>
      <c r="K734" s="107"/>
      <c r="L734" s="107"/>
      <c r="M734" s="107"/>
      <c r="N734" s="107"/>
      <c r="O734" s="107"/>
      <c r="P734" s="107"/>
    </row>
    <row r="735" spans="1:16" x14ac:dyDescent="0.2">
      <c r="A735" s="107"/>
      <c r="B735" s="107"/>
      <c r="C735" s="107"/>
      <c r="D735" s="107"/>
      <c r="E735" s="107"/>
      <c r="F735" s="107"/>
      <c r="G735" s="107"/>
      <c r="H735" s="107"/>
      <c r="I735" s="107"/>
      <c r="J735" s="107"/>
      <c r="K735" s="107"/>
      <c r="L735" s="107"/>
      <c r="M735" s="107"/>
      <c r="N735" s="107"/>
      <c r="O735" s="107"/>
      <c r="P735" s="107"/>
    </row>
    <row r="736" spans="1:16" x14ac:dyDescent="0.2">
      <c r="A736" s="107"/>
      <c r="B736" s="107"/>
      <c r="C736" s="107"/>
      <c r="D736" s="107"/>
      <c r="E736" s="107"/>
      <c r="F736" s="107"/>
      <c r="G736" s="107"/>
      <c r="H736" s="107"/>
      <c r="I736" s="107"/>
      <c r="J736" s="107"/>
      <c r="K736" s="107"/>
      <c r="L736" s="107"/>
      <c r="M736" s="107"/>
      <c r="N736" s="107"/>
      <c r="O736" s="107"/>
      <c r="P736" s="107"/>
    </row>
    <row r="737" spans="1:16" x14ac:dyDescent="0.2">
      <c r="A737" s="107"/>
      <c r="B737" s="107"/>
      <c r="C737" s="107"/>
      <c r="D737" s="107"/>
      <c r="E737" s="107"/>
      <c r="F737" s="107"/>
      <c r="G737" s="107"/>
      <c r="H737" s="107"/>
      <c r="I737" s="107"/>
      <c r="J737" s="107"/>
      <c r="K737" s="107"/>
      <c r="L737" s="107"/>
      <c r="M737" s="107"/>
      <c r="N737" s="107"/>
      <c r="O737" s="107"/>
      <c r="P737" s="107"/>
    </row>
    <row r="738" spans="1:16" x14ac:dyDescent="0.2">
      <c r="A738" s="107"/>
      <c r="B738" s="107"/>
      <c r="C738" s="107"/>
      <c r="D738" s="107"/>
      <c r="E738" s="107"/>
      <c r="F738" s="107"/>
      <c r="G738" s="107"/>
      <c r="H738" s="107"/>
      <c r="I738" s="107"/>
      <c r="J738" s="107"/>
      <c r="K738" s="107"/>
      <c r="L738" s="107"/>
      <c r="M738" s="107"/>
      <c r="N738" s="107"/>
      <c r="O738" s="107"/>
      <c r="P738" s="107"/>
    </row>
    <row r="739" spans="1:16" x14ac:dyDescent="0.2">
      <c r="A739" s="107"/>
      <c r="B739" s="107"/>
      <c r="C739" s="107"/>
      <c r="D739" s="107"/>
      <c r="E739" s="107"/>
      <c r="F739" s="107"/>
      <c r="G739" s="107"/>
      <c r="H739" s="107"/>
      <c r="I739" s="107"/>
      <c r="J739" s="107"/>
      <c r="K739" s="107"/>
      <c r="L739" s="107"/>
      <c r="M739" s="107"/>
      <c r="N739" s="107"/>
      <c r="O739" s="107"/>
      <c r="P739" s="107"/>
    </row>
    <row r="740" spans="1:16" x14ac:dyDescent="0.2">
      <c r="A740" s="107"/>
      <c r="B740" s="107"/>
      <c r="C740" s="107"/>
      <c r="D740" s="107"/>
      <c r="E740" s="107"/>
      <c r="F740" s="107"/>
      <c r="G740" s="107"/>
      <c r="H740" s="107"/>
      <c r="I740" s="107"/>
      <c r="J740" s="107"/>
      <c r="K740" s="107"/>
      <c r="L740" s="107"/>
      <c r="M740" s="107"/>
      <c r="N740" s="107"/>
      <c r="O740" s="107"/>
      <c r="P740" s="107"/>
    </row>
    <row r="741" spans="1:16" x14ac:dyDescent="0.2">
      <c r="A741" s="107"/>
      <c r="B741" s="107"/>
      <c r="C741" s="107"/>
      <c r="D741" s="107"/>
      <c r="E741" s="107"/>
      <c r="F741" s="107"/>
      <c r="G741" s="107"/>
      <c r="H741" s="107"/>
      <c r="I741" s="107"/>
      <c r="J741" s="107"/>
      <c r="K741" s="107"/>
      <c r="L741" s="107"/>
      <c r="M741" s="107"/>
      <c r="N741" s="107"/>
      <c r="O741" s="107"/>
      <c r="P741" s="107"/>
    </row>
    <row r="742" spans="1:16" x14ac:dyDescent="0.2">
      <c r="A742" s="107"/>
      <c r="B742" s="107"/>
      <c r="C742" s="107"/>
      <c r="D742" s="107"/>
      <c r="E742" s="107"/>
      <c r="F742" s="107"/>
      <c r="G742" s="107"/>
      <c r="H742" s="107"/>
      <c r="I742" s="107"/>
      <c r="J742" s="107"/>
      <c r="K742" s="107"/>
      <c r="L742" s="107"/>
      <c r="M742" s="107"/>
      <c r="N742" s="107"/>
      <c r="O742" s="107"/>
      <c r="P742" s="107"/>
    </row>
    <row r="743" spans="1:16" x14ac:dyDescent="0.2">
      <c r="A743" s="107"/>
      <c r="B743" s="107"/>
      <c r="C743" s="107"/>
      <c r="D743" s="107"/>
      <c r="E743" s="107"/>
      <c r="F743" s="107"/>
      <c r="G743" s="107"/>
      <c r="H743" s="107"/>
      <c r="I743" s="107"/>
      <c r="J743" s="107"/>
      <c r="K743" s="107"/>
      <c r="L743" s="107"/>
      <c r="M743" s="107"/>
      <c r="N743" s="107"/>
      <c r="O743" s="107"/>
      <c r="P743" s="107"/>
    </row>
    <row r="744" spans="1:16" x14ac:dyDescent="0.2">
      <c r="A744" s="107"/>
      <c r="B744" s="107"/>
      <c r="C744" s="107"/>
      <c r="D744" s="107"/>
      <c r="E744" s="107"/>
      <c r="F744" s="107"/>
      <c r="G744" s="107"/>
      <c r="H744" s="107"/>
      <c r="I744" s="107"/>
      <c r="J744" s="107"/>
      <c r="K744" s="107"/>
      <c r="L744" s="107"/>
      <c r="M744" s="107"/>
      <c r="N744" s="107"/>
      <c r="O744" s="107"/>
      <c r="P744" s="107"/>
    </row>
    <row r="745" spans="1:16" x14ac:dyDescent="0.2">
      <c r="A745" s="107"/>
      <c r="B745" s="107"/>
      <c r="C745" s="107"/>
      <c r="D745" s="107"/>
      <c r="E745" s="107"/>
      <c r="F745" s="107"/>
      <c r="G745" s="107"/>
      <c r="H745" s="107"/>
      <c r="I745" s="107"/>
      <c r="J745" s="107"/>
      <c r="K745" s="107"/>
      <c r="L745" s="107"/>
      <c r="M745" s="107"/>
      <c r="N745" s="107"/>
      <c r="O745" s="107"/>
      <c r="P745" s="107"/>
    </row>
    <row r="746" spans="1:16" x14ac:dyDescent="0.2">
      <c r="A746" s="107"/>
      <c r="B746" s="107"/>
      <c r="C746" s="107"/>
      <c r="D746" s="107"/>
      <c r="E746" s="107"/>
      <c r="F746" s="107"/>
      <c r="G746" s="107"/>
      <c r="H746" s="107"/>
      <c r="I746" s="107"/>
      <c r="J746" s="107"/>
      <c r="K746" s="107"/>
      <c r="L746" s="107"/>
      <c r="M746" s="107"/>
      <c r="N746" s="107"/>
      <c r="O746" s="107"/>
      <c r="P746" s="107"/>
    </row>
    <row r="747" spans="1:16" x14ac:dyDescent="0.2">
      <c r="A747" s="107"/>
      <c r="B747" s="107"/>
      <c r="C747" s="107"/>
      <c r="D747" s="107"/>
      <c r="E747" s="107"/>
      <c r="F747" s="107"/>
      <c r="G747" s="107"/>
      <c r="H747" s="107"/>
      <c r="I747" s="107"/>
      <c r="J747" s="107"/>
      <c r="K747" s="107"/>
      <c r="L747" s="107"/>
      <c r="M747" s="107"/>
      <c r="N747" s="107"/>
      <c r="O747" s="107"/>
      <c r="P747" s="107"/>
    </row>
    <row r="748" spans="1:16" x14ac:dyDescent="0.2">
      <c r="A748" s="107"/>
      <c r="B748" s="107"/>
      <c r="C748" s="107"/>
      <c r="D748" s="107"/>
      <c r="E748" s="107"/>
      <c r="F748" s="107"/>
      <c r="G748" s="107"/>
      <c r="H748" s="107"/>
      <c r="I748" s="107"/>
      <c r="J748" s="107"/>
      <c r="K748" s="107"/>
      <c r="L748" s="107"/>
      <c r="M748" s="107"/>
      <c r="N748" s="107"/>
      <c r="O748" s="107"/>
      <c r="P748" s="107"/>
    </row>
    <row r="749" spans="1:16" x14ac:dyDescent="0.2">
      <c r="A749" s="107"/>
      <c r="B749" s="107"/>
      <c r="C749" s="107"/>
      <c r="D749" s="107"/>
      <c r="E749" s="107"/>
      <c r="F749" s="107"/>
      <c r="G749" s="107"/>
      <c r="H749" s="107"/>
      <c r="I749" s="107"/>
      <c r="J749" s="107"/>
      <c r="K749" s="107"/>
      <c r="L749" s="107"/>
      <c r="M749" s="107"/>
      <c r="N749" s="107"/>
      <c r="O749" s="107"/>
      <c r="P749" s="107"/>
    </row>
    <row r="750" spans="1:16" x14ac:dyDescent="0.2">
      <c r="A750" s="107"/>
      <c r="B750" s="107"/>
      <c r="C750" s="107"/>
      <c r="D750" s="107"/>
      <c r="E750" s="107"/>
      <c r="F750" s="107"/>
      <c r="G750" s="107"/>
      <c r="H750" s="107"/>
      <c r="I750" s="107"/>
      <c r="J750" s="107"/>
      <c r="K750" s="107"/>
      <c r="L750" s="107"/>
      <c r="M750" s="107"/>
      <c r="N750" s="107"/>
      <c r="O750" s="107"/>
      <c r="P750" s="107"/>
    </row>
    <row r="751" spans="1:16" x14ac:dyDescent="0.2">
      <c r="A751" s="107"/>
      <c r="B751" s="107"/>
      <c r="C751" s="107"/>
      <c r="D751" s="107"/>
      <c r="E751" s="107"/>
      <c r="F751" s="107"/>
      <c r="G751" s="107"/>
      <c r="H751" s="107"/>
      <c r="I751" s="107"/>
      <c r="J751" s="107"/>
      <c r="K751" s="107"/>
      <c r="L751" s="107"/>
      <c r="M751" s="107"/>
      <c r="N751" s="107"/>
      <c r="O751" s="107"/>
      <c r="P751" s="107"/>
    </row>
    <row r="752" spans="1:16" x14ac:dyDescent="0.2">
      <c r="A752" s="107"/>
      <c r="B752" s="107"/>
      <c r="C752" s="107"/>
      <c r="D752" s="107"/>
      <c r="E752" s="107"/>
      <c r="F752" s="107"/>
      <c r="G752" s="107"/>
      <c r="H752" s="107"/>
      <c r="I752" s="107"/>
      <c r="J752" s="107"/>
      <c r="K752" s="107"/>
      <c r="L752" s="107"/>
      <c r="M752" s="107"/>
      <c r="N752" s="107"/>
      <c r="O752" s="107"/>
      <c r="P752" s="107"/>
    </row>
    <row r="753" spans="1:16" x14ac:dyDescent="0.2">
      <c r="A753" s="107"/>
      <c r="B753" s="107"/>
      <c r="C753" s="107"/>
      <c r="D753" s="107"/>
      <c r="E753" s="107"/>
      <c r="F753" s="107"/>
      <c r="G753" s="107"/>
      <c r="H753" s="107"/>
      <c r="I753" s="107"/>
      <c r="J753" s="107"/>
      <c r="K753" s="107"/>
      <c r="L753" s="107"/>
      <c r="M753" s="107"/>
      <c r="N753" s="107"/>
      <c r="O753" s="107"/>
      <c r="P753" s="107"/>
    </row>
    <row r="754" spans="1:16" x14ac:dyDescent="0.2">
      <c r="A754" s="107"/>
      <c r="B754" s="107"/>
      <c r="C754" s="107"/>
      <c r="D754" s="107"/>
      <c r="E754" s="107"/>
      <c r="F754" s="107"/>
      <c r="G754" s="107"/>
      <c r="H754" s="107"/>
      <c r="I754" s="107"/>
      <c r="J754" s="107"/>
      <c r="K754" s="107"/>
      <c r="L754" s="107"/>
      <c r="M754" s="107"/>
      <c r="N754" s="107"/>
      <c r="O754" s="107"/>
      <c r="P754" s="107"/>
    </row>
    <row r="755" spans="1:16" x14ac:dyDescent="0.2">
      <c r="A755" s="107"/>
      <c r="B755" s="107"/>
      <c r="C755" s="107"/>
      <c r="D755" s="107"/>
      <c r="E755" s="107"/>
      <c r="F755" s="107"/>
      <c r="G755" s="107"/>
      <c r="H755" s="107"/>
      <c r="I755" s="107"/>
      <c r="J755" s="107"/>
      <c r="K755" s="107"/>
      <c r="L755" s="107"/>
      <c r="M755" s="107"/>
      <c r="N755" s="107"/>
      <c r="O755" s="107"/>
      <c r="P755" s="107"/>
    </row>
    <row r="756" spans="1:16" x14ac:dyDescent="0.2">
      <c r="A756" s="107"/>
      <c r="B756" s="107"/>
      <c r="C756" s="107"/>
      <c r="D756" s="107"/>
      <c r="E756" s="107"/>
      <c r="F756" s="107"/>
      <c r="G756" s="107"/>
      <c r="H756" s="107"/>
      <c r="I756" s="107"/>
      <c r="J756" s="107"/>
      <c r="K756" s="107"/>
      <c r="L756" s="107"/>
      <c r="M756" s="107"/>
      <c r="N756" s="107"/>
      <c r="O756" s="107"/>
      <c r="P756" s="107"/>
    </row>
    <row r="757" spans="1:16" x14ac:dyDescent="0.2">
      <c r="A757" s="107"/>
      <c r="B757" s="107"/>
      <c r="C757" s="107"/>
      <c r="D757" s="107"/>
      <c r="E757" s="107"/>
      <c r="F757" s="107"/>
      <c r="G757" s="107"/>
      <c r="H757" s="107"/>
      <c r="I757" s="107"/>
      <c r="J757" s="107"/>
      <c r="K757" s="107"/>
      <c r="L757" s="107"/>
      <c r="M757" s="107"/>
      <c r="N757" s="107"/>
      <c r="O757" s="107"/>
      <c r="P757" s="107"/>
    </row>
    <row r="758" spans="1:16" x14ac:dyDescent="0.2">
      <c r="A758" s="107"/>
      <c r="B758" s="107"/>
      <c r="C758" s="107"/>
      <c r="D758" s="107"/>
      <c r="E758" s="107"/>
      <c r="F758" s="107"/>
      <c r="G758" s="107"/>
      <c r="H758" s="107"/>
      <c r="I758" s="107"/>
      <c r="J758" s="107"/>
      <c r="K758" s="107"/>
      <c r="L758" s="107"/>
      <c r="M758" s="107"/>
      <c r="N758" s="107"/>
      <c r="O758" s="107"/>
      <c r="P758" s="107"/>
    </row>
    <row r="759" spans="1:16" x14ac:dyDescent="0.2">
      <c r="A759" s="107"/>
      <c r="B759" s="107"/>
      <c r="C759" s="107"/>
      <c r="D759" s="107"/>
      <c r="E759" s="107"/>
      <c r="F759" s="107"/>
      <c r="G759" s="107"/>
      <c r="H759" s="107"/>
      <c r="I759" s="107"/>
      <c r="J759" s="107"/>
      <c r="K759" s="107"/>
      <c r="L759" s="107"/>
      <c r="M759" s="107"/>
      <c r="N759" s="107"/>
      <c r="O759" s="107"/>
      <c r="P759" s="107"/>
    </row>
    <row r="760" spans="1:16" x14ac:dyDescent="0.2">
      <c r="A760" s="107"/>
      <c r="B760" s="107"/>
      <c r="C760" s="107"/>
      <c r="D760" s="107"/>
      <c r="E760" s="107"/>
      <c r="F760" s="107"/>
      <c r="G760" s="107"/>
      <c r="H760" s="107"/>
      <c r="I760" s="107"/>
      <c r="J760" s="107"/>
      <c r="K760" s="107"/>
      <c r="L760" s="107"/>
      <c r="M760" s="107"/>
      <c r="N760" s="107"/>
      <c r="O760" s="107"/>
      <c r="P760" s="107"/>
    </row>
    <row r="761" spans="1:16" x14ac:dyDescent="0.2">
      <c r="A761" s="107"/>
      <c r="B761" s="107"/>
      <c r="C761" s="107"/>
      <c r="D761" s="107"/>
      <c r="E761" s="107"/>
      <c r="F761" s="107"/>
      <c r="G761" s="107"/>
      <c r="H761" s="107"/>
      <c r="I761" s="107"/>
      <c r="J761" s="107"/>
      <c r="K761" s="107"/>
      <c r="L761" s="107"/>
      <c r="M761" s="107"/>
      <c r="N761" s="107"/>
      <c r="O761" s="107"/>
      <c r="P761" s="107"/>
    </row>
    <row r="762" spans="1:16" x14ac:dyDescent="0.2">
      <c r="A762" s="107"/>
      <c r="B762" s="107"/>
      <c r="C762" s="107"/>
      <c r="D762" s="107"/>
      <c r="E762" s="107"/>
      <c r="F762" s="107"/>
      <c r="G762" s="107"/>
      <c r="H762" s="107"/>
      <c r="I762" s="107"/>
      <c r="J762" s="107"/>
      <c r="K762" s="107"/>
      <c r="L762" s="107"/>
      <c r="M762" s="107"/>
      <c r="N762" s="107"/>
      <c r="O762" s="107"/>
      <c r="P762" s="107"/>
    </row>
    <row r="763" spans="1:16" x14ac:dyDescent="0.2">
      <c r="A763" s="107"/>
      <c r="B763" s="107"/>
      <c r="C763" s="107"/>
      <c r="D763" s="107"/>
      <c r="E763" s="107"/>
      <c r="F763" s="107"/>
      <c r="G763" s="107"/>
      <c r="H763" s="107"/>
      <c r="I763" s="107"/>
      <c r="J763" s="107"/>
      <c r="K763" s="107"/>
      <c r="L763" s="107"/>
      <c r="M763" s="107"/>
      <c r="N763" s="107"/>
      <c r="O763" s="107"/>
      <c r="P763" s="107"/>
    </row>
    <row r="764" spans="1:16" x14ac:dyDescent="0.2">
      <c r="A764" s="107"/>
      <c r="B764" s="107"/>
      <c r="C764" s="107"/>
      <c r="D764" s="107"/>
      <c r="E764" s="107"/>
      <c r="F764" s="107"/>
      <c r="G764" s="107"/>
      <c r="H764" s="107"/>
      <c r="I764" s="107"/>
      <c r="J764" s="107"/>
      <c r="K764" s="107"/>
      <c r="L764" s="107"/>
      <c r="M764" s="107"/>
      <c r="N764" s="107"/>
      <c r="O764" s="107"/>
      <c r="P764" s="107"/>
    </row>
    <row r="765" spans="1:16" x14ac:dyDescent="0.2">
      <c r="A765" s="107"/>
      <c r="B765" s="107"/>
      <c r="C765" s="107"/>
      <c r="D765" s="107"/>
      <c r="E765" s="107"/>
      <c r="F765" s="107"/>
      <c r="G765" s="107"/>
      <c r="H765" s="107"/>
      <c r="I765" s="107"/>
      <c r="J765" s="107"/>
      <c r="K765" s="107"/>
      <c r="L765" s="107"/>
      <c r="M765" s="107"/>
      <c r="N765" s="107"/>
      <c r="O765" s="107"/>
      <c r="P765" s="107"/>
    </row>
    <row r="766" spans="1:16" x14ac:dyDescent="0.2">
      <c r="A766" s="107"/>
      <c r="B766" s="107"/>
      <c r="C766" s="107"/>
      <c r="D766" s="107"/>
      <c r="E766" s="107"/>
      <c r="F766" s="107"/>
      <c r="G766" s="107"/>
      <c r="H766" s="107"/>
      <c r="I766" s="107"/>
      <c r="J766" s="107"/>
      <c r="K766" s="107"/>
      <c r="L766" s="107"/>
      <c r="M766" s="107"/>
      <c r="N766" s="107"/>
      <c r="O766" s="107"/>
      <c r="P766" s="107"/>
    </row>
    <row r="767" spans="1:16" x14ac:dyDescent="0.2">
      <c r="A767" s="107"/>
      <c r="B767" s="107"/>
      <c r="C767" s="107"/>
      <c r="D767" s="107"/>
      <c r="E767" s="107"/>
      <c r="F767" s="107"/>
      <c r="G767" s="107"/>
      <c r="H767" s="107"/>
      <c r="I767" s="107"/>
      <c r="J767" s="107"/>
      <c r="K767" s="107"/>
      <c r="L767" s="107"/>
      <c r="M767" s="107"/>
      <c r="N767" s="107"/>
      <c r="O767" s="107"/>
      <c r="P767" s="107"/>
    </row>
    <row r="768" spans="1:16" x14ac:dyDescent="0.2">
      <c r="A768" s="107"/>
      <c r="B768" s="107"/>
      <c r="C768" s="107"/>
      <c r="D768" s="107"/>
      <c r="E768" s="107"/>
      <c r="F768" s="107"/>
      <c r="G768" s="107"/>
      <c r="H768" s="107"/>
      <c r="I768" s="107"/>
      <c r="J768" s="107"/>
      <c r="K768" s="107"/>
      <c r="L768" s="107"/>
      <c r="M768" s="107"/>
      <c r="N768" s="107"/>
      <c r="O768" s="107"/>
      <c r="P768" s="107"/>
    </row>
    <row r="769" spans="1:16" x14ac:dyDescent="0.2">
      <c r="A769" s="107"/>
      <c r="B769" s="107"/>
      <c r="C769" s="107"/>
      <c r="D769" s="107"/>
      <c r="E769" s="107"/>
      <c r="F769" s="107"/>
      <c r="G769" s="107"/>
      <c r="H769" s="107"/>
      <c r="I769" s="107"/>
      <c r="J769" s="107"/>
      <c r="K769" s="107"/>
      <c r="L769" s="107"/>
      <c r="M769" s="107"/>
      <c r="N769" s="107"/>
      <c r="O769" s="107"/>
      <c r="P769" s="107"/>
    </row>
    <row r="770" spans="1:16" x14ac:dyDescent="0.2">
      <c r="A770" s="107"/>
      <c r="B770" s="107"/>
      <c r="C770" s="107"/>
      <c r="D770" s="107"/>
      <c r="E770" s="107"/>
      <c r="F770" s="107"/>
      <c r="G770" s="107"/>
      <c r="H770" s="107"/>
      <c r="I770" s="107"/>
      <c r="J770" s="107"/>
      <c r="K770" s="107"/>
      <c r="L770" s="107"/>
      <c r="M770" s="107"/>
      <c r="N770" s="107"/>
      <c r="O770" s="107"/>
      <c r="P770" s="107"/>
    </row>
    <row r="771" spans="1:16" x14ac:dyDescent="0.2">
      <c r="A771" s="107"/>
      <c r="B771" s="107"/>
      <c r="C771" s="107"/>
      <c r="D771" s="107"/>
      <c r="E771" s="107"/>
      <c r="F771" s="107"/>
      <c r="G771" s="107"/>
      <c r="H771" s="107"/>
      <c r="I771" s="107"/>
      <c r="J771" s="107"/>
      <c r="K771" s="107"/>
      <c r="L771" s="107"/>
      <c r="M771" s="107"/>
      <c r="N771" s="107"/>
      <c r="O771" s="107"/>
      <c r="P771" s="107"/>
    </row>
    <row r="772" spans="1:16" x14ac:dyDescent="0.2">
      <c r="A772" s="107"/>
      <c r="B772" s="107"/>
      <c r="C772" s="107"/>
      <c r="D772" s="107"/>
      <c r="E772" s="107"/>
      <c r="F772" s="107"/>
      <c r="G772" s="107"/>
      <c r="H772" s="107"/>
      <c r="I772" s="107"/>
      <c r="J772" s="107"/>
      <c r="K772" s="107"/>
      <c r="L772" s="107"/>
      <c r="M772" s="107"/>
      <c r="N772" s="107"/>
      <c r="O772" s="107"/>
      <c r="P772" s="107"/>
    </row>
    <row r="773" spans="1:16" x14ac:dyDescent="0.2">
      <c r="A773" s="107"/>
      <c r="B773" s="107"/>
      <c r="C773" s="107"/>
      <c r="D773" s="107"/>
      <c r="E773" s="107"/>
      <c r="F773" s="107"/>
      <c r="G773" s="107"/>
      <c r="H773" s="107"/>
      <c r="I773" s="107"/>
      <c r="J773" s="107"/>
      <c r="K773" s="107"/>
      <c r="L773" s="107"/>
      <c r="M773" s="107"/>
      <c r="N773" s="107"/>
      <c r="O773" s="107"/>
      <c r="P773" s="107"/>
    </row>
    <row r="774" spans="1:16" x14ac:dyDescent="0.2">
      <c r="A774" s="107"/>
      <c r="B774" s="107"/>
      <c r="C774" s="107"/>
      <c r="D774" s="107"/>
      <c r="E774" s="107"/>
      <c r="F774" s="107"/>
      <c r="G774" s="107"/>
      <c r="H774" s="107"/>
      <c r="I774" s="107"/>
      <c r="J774" s="107"/>
      <c r="K774" s="107"/>
      <c r="L774" s="107"/>
      <c r="M774" s="107"/>
      <c r="N774" s="107"/>
      <c r="O774" s="107"/>
      <c r="P774" s="107"/>
    </row>
    <row r="775" spans="1:16" x14ac:dyDescent="0.2">
      <c r="A775" s="107"/>
      <c r="B775" s="107"/>
      <c r="C775" s="107"/>
      <c r="D775" s="107"/>
      <c r="E775" s="107"/>
      <c r="F775" s="107"/>
      <c r="G775" s="107"/>
      <c r="H775" s="107"/>
      <c r="I775" s="107"/>
      <c r="J775" s="107"/>
      <c r="K775" s="107"/>
      <c r="L775" s="107"/>
      <c r="M775" s="107"/>
      <c r="N775" s="107"/>
      <c r="O775" s="107"/>
      <c r="P775" s="107"/>
    </row>
    <row r="776" spans="1:16" x14ac:dyDescent="0.2">
      <c r="A776" s="107"/>
      <c r="B776" s="107"/>
      <c r="C776" s="107"/>
      <c r="D776" s="107"/>
      <c r="E776" s="107"/>
      <c r="F776" s="107"/>
      <c r="G776" s="107"/>
      <c r="H776" s="107"/>
      <c r="I776" s="107"/>
      <c r="J776" s="107"/>
      <c r="K776" s="107"/>
      <c r="L776" s="107"/>
      <c r="M776" s="107"/>
      <c r="N776" s="107"/>
      <c r="O776" s="107"/>
      <c r="P776" s="107"/>
    </row>
    <row r="777" spans="1:16" x14ac:dyDescent="0.2">
      <c r="A777" s="107"/>
      <c r="B777" s="107"/>
      <c r="C777" s="107"/>
      <c r="D777" s="107"/>
      <c r="E777" s="107"/>
      <c r="F777" s="107"/>
      <c r="G777" s="107"/>
      <c r="H777" s="107"/>
      <c r="I777" s="107"/>
      <c r="J777" s="107"/>
      <c r="K777" s="107"/>
      <c r="L777" s="107"/>
      <c r="M777" s="107"/>
      <c r="N777" s="107"/>
      <c r="O777" s="107"/>
      <c r="P777" s="107"/>
    </row>
    <row r="778" spans="1:16" x14ac:dyDescent="0.2">
      <c r="A778" s="107"/>
      <c r="B778" s="107"/>
      <c r="C778" s="107"/>
      <c r="D778" s="107"/>
      <c r="E778" s="107"/>
      <c r="F778" s="107"/>
      <c r="G778" s="107"/>
      <c r="H778" s="107"/>
      <c r="I778" s="107"/>
      <c r="J778" s="107"/>
      <c r="K778" s="107"/>
      <c r="L778" s="107"/>
      <c r="M778" s="107"/>
      <c r="N778" s="107"/>
      <c r="O778" s="107"/>
      <c r="P778" s="107"/>
    </row>
    <row r="779" spans="1:16" x14ac:dyDescent="0.2">
      <c r="A779" s="107"/>
      <c r="B779" s="107"/>
      <c r="C779" s="107"/>
      <c r="D779" s="107"/>
      <c r="E779" s="107"/>
      <c r="F779" s="107"/>
      <c r="G779" s="107"/>
      <c r="H779" s="107"/>
      <c r="I779" s="107"/>
      <c r="J779" s="107"/>
      <c r="K779" s="107"/>
      <c r="L779" s="107"/>
      <c r="M779" s="107"/>
      <c r="N779" s="107"/>
      <c r="O779" s="107"/>
      <c r="P779" s="107"/>
    </row>
    <row r="780" spans="1:16" x14ac:dyDescent="0.2">
      <c r="A780" s="107"/>
      <c r="B780" s="107"/>
      <c r="C780" s="107"/>
      <c r="D780" s="107"/>
      <c r="E780" s="107"/>
      <c r="F780" s="107"/>
      <c r="G780" s="107"/>
      <c r="H780" s="107"/>
      <c r="I780" s="107"/>
      <c r="J780" s="107"/>
      <c r="K780" s="107"/>
      <c r="L780" s="107"/>
      <c r="M780" s="107"/>
      <c r="N780" s="107"/>
      <c r="O780" s="107"/>
      <c r="P780" s="107"/>
    </row>
    <row r="781" spans="1:16" x14ac:dyDescent="0.2">
      <c r="A781" s="107"/>
      <c r="B781" s="107"/>
      <c r="C781" s="107"/>
      <c r="D781" s="107"/>
      <c r="E781" s="107"/>
      <c r="F781" s="107"/>
      <c r="G781" s="107"/>
      <c r="H781" s="107"/>
      <c r="I781" s="107"/>
      <c r="J781" s="107"/>
      <c r="K781" s="107"/>
      <c r="L781" s="107"/>
      <c r="M781" s="107"/>
      <c r="N781" s="107"/>
      <c r="O781" s="107"/>
      <c r="P781" s="107"/>
    </row>
    <row r="782" spans="1:16" x14ac:dyDescent="0.2">
      <c r="A782" s="107"/>
      <c r="B782" s="107"/>
      <c r="C782" s="107"/>
      <c r="D782" s="107"/>
      <c r="E782" s="107"/>
      <c r="F782" s="107"/>
      <c r="G782" s="107"/>
      <c r="H782" s="107"/>
      <c r="I782" s="107"/>
      <c r="J782" s="107"/>
      <c r="K782" s="107"/>
      <c r="L782" s="107"/>
      <c r="M782" s="107"/>
      <c r="N782" s="107"/>
      <c r="O782" s="107"/>
      <c r="P782" s="107"/>
    </row>
    <row r="783" spans="1:16" x14ac:dyDescent="0.2">
      <c r="A783" s="107"/>
      <c r="B783" s="107"/>
      <c r="C783" s="107"/>
      <c r="D783" s="107"/>
      <c r="E783" s="107"/>
      <c r="F783" s="107"/>
      <c r="G783" s="107"/>
      <c r="H783" s="107"/>
      <c r="I783" s="107"/>
      <c r="J783" s="107"/>
      <c r="K783" s="107"/>
      <c r="L783" s="107"/>
      <c r="M783" s="107"/>
      <c r="N783" s="107"/>
      <c r="O783" s="107"/>
      <c r="P783" s="107"/>
    </row>
    <row r="784" spans="1:16" x14ac:dyDescent="0.2">
      <c r="A784" s="107"/>
      <c r="B784" s="107"/>
      <c r="C784" s="107"/>
      <c r="D784" s="107"/>
      <c r="E784" s="107"/>
      <c r="F784" s="107"/>
      <c r="G784" s="107"/>
      <c r="H784" s="107"/>
      <c r="I784" s="107"/>
      <c r="J784" s="107"/>
      <c r="K784" s="107"/>
      <c r="L784" s="107"/>
      <c r="M784" s="107"/>
      <c r="N784" s="107"/>
      <c r="O784" s="107"/>
      <c r="P784" s="107"/>
    </row>
    <row r="785" spans="1:16" x14ac:dyDescent="0.2">
      <c r="A785" s="107"/>
      <c r="B785" s="107"/>
      <c r="C785" s="107"/>
      <c r="D785" s="107"/>
      <c r="E785" s="107"/>
      <c r="F785" s="107"/>
      <c r="G785" s="107"/>
      <c r="H785" s="107"/>
      <c r="I785" s="107"/>
      <c r="J785" s="107"/>
      <c r="K785" s="107"/>
      <c r="L785" s="107"/>
      <c r="M785" s="107"/>
      <c r="N785" s="107"/>
      <c r="O785" s="107"/>
      <c r="P785" s="107"/>
    </row>
    <row r="786" spans="1:16" x14ac:dyDescent="0.2">
      <c r="A786" s="107"/>
      <c r="B786" s="107"/>
      <c r="C786" s="107"/>
      <c r="D786" s="107"/>
      <c r="E786" s="107"/>
      <c r="F786" s="107"/>
      <c r="G786" s="107"/>
      <c r="H786" s="107"/>
      <c r="I786" s="107"/>
      <c r="J786" s="107"/>
      <c r="K786" s="107"/>
      <c r="L786" s="107"/>
      <c r="M786" s="107"/>
      <c r="N786" s="107"/>
      <c r="O786" s="107"/>
      <c r="P786" s="107"/>
    </row>
    <row r="787" spans="1:16" x14ac:dyDescent="0.2">
      <c r="A787" s="107"/>
      <c r="B787" s="107"/>
      <c r="C787" s="107"/>
      <c r="D787" s="107"/>
      <c r="E787" s="107"/>
      <c r="F787" s="107"/>
      <c r="G787" s="107"/>
      <c r="H787" s="107"/>
      <c r="I787" s="107"/>
      <c r="J787" s="107"/>
      <c r="K787" s="107"/>
      <c r="L787" s="107"/>
      <c r="M787" s="107"/>
      <c r="N787" s="107"/>
      <c r="O787" s="107"/>
      <c r="P787" s="107"/>
    </row>
    <row r="788" spans="1:16" x14ac:dyDescent="0.2">
      <c r="A788" s="107"/>
      <c r="B788" s="107"/>
      <c r="C788" s="107"/>
      <c r="D788" s="107"/>
      <c r="E788" s="107"/>
      <c r="F788" s="107"/>
      <c r="G788" s="107"/>
      <c r="H788" s="107"/>
      <c r="I788" s="107"/>
      <c r="J788" s="107"/>
      <c r="K788" s="107"/>
      <c r="L788" s="107"/>
      <c r="M788" s="107"/>
      <c r="N788" s="107"/>
      <c r="O788" s="107"/>
      <c r="P788" s="107"/>
    </row>
    <row r="789" spans="1:16" x14ac:dyDescent="0.2">
      <c r="A789" s="107"/>
      <c r="B789" s="107"/>
      <c r="C789" s="107"/>
      <c r="D789" s="107"/>
      <c r="E789" s="107"/>
      <c r="F789" s="107"/>
      <c r="G789" s="107"/>
      <c r="H789" s="107"/>
      <c r="I789" s="107"/>
      <c r="J789" s="107"/>
      <c r="K789" s="107"/>
      <c r="L789" s="107"/>
      <c r="M789" s="107"/>
      <c r="N789" s="107"/>
      <c r="O789" s="107"/>
      <c r="P789" s="107"/>
    </row>
    <row r="790" spans="1:16" x14ac:dyDescent="0.2">
      <c r="A790" s="107"/>
      <c r="B790" s="107"/>
      <c r="C790" s="107"/>
      <c r="D790" s="107"/>
      <c r="E790" s="107"/>
      <c r="F790" s="107"/>
      <c r="G790" s="107"/>
      <c r="H790" s="107"/>
      <c r="I790" s="107"/>
      <c r="J790" s="107"/>
      <c r="K790" s="107"/>
      <c r="L790" s="107"/>
      <c r="M790" s="107"/>
      <c r="N790" s="107"/>
      <c r="O790" s="107"/>
      <c r="P790" s="107"/>
    </row>
    <row r="791" spans="1:16" x14ac:dyDescent="0.2">
      <c r="A791" s="107"/>
      <c r="B791" s="107"/>
      <c r="C791" s="107"/>
      <c r="D791" s="107"/>
      <c r="E791" s="107"/>
      <c r="F791" s="107"/>
      <c r="G791" s="107"/>
      <c r="H791" s="107"/>
      <c r="I791" s="107"/>
      <c r="J791" s="107"/>
      <c r="K791" s="107"/>
      <c r="L791" s="107"/>
      <c r="M791" s="107"/>
      <c r="N791" s="107"/>
      <c r="O791" s="107"/>
      <c r="P791" s="107"/>
    </row>
    <row r="792" spans="1:16" x14ac:dyDescent="0.2">
      <c r="A792" s="107"/>
      <c r="B792" s="107"/>
      <c r="C792" s="107"/>
      <c r="D792" s="107"/>
      <c r="E792" s="107"/>
      <c r="F792" s="107"/>
      <c r="G792" s="107"/>
      <c r="H792" s="107"/>
      <c r="I792" s="107"/>
      <c r="J792" s="107"/>
      <c r="K792" s="107"/>
      <c r="L792" s="107"/>
      <c r="M792" s="107"/>
      <c r="N792" s="107"/>
      <c r="O792" s="107"/>
      <c r="P792" s="107"/>
    </row>
    <row r="793" spans="1:16" x14ac:dyDescent="0.2">
      <c r="A793" s="107"/>
      <c r="B793" s="107"/>
      <c r="C793" s="107"/>
      <c r="D793" s="107"/>
      <c r="E793" s="107"/>
      <c r="F793" s="107"/>
      <c r="G793" s="107"/>
      <c r="H793" s="107"/>
      <c r="I793" s="107"/>
      <c r="J793" s="107"/>
      <c r="K793" s="107"/>
      <c r="L793" s="107"/>
      <c r="M793" s="107"/>
      <c r="N793" s="107"/>
      <c r="O793" s="107"/>
      <c r="P793" s="107"/>
    </row>
    <row r="794" spans="1:16" x14ac:dyDescent="0.2">
      <c r="A794" s="107"/>
      <c r="B794" s="107"/>
      <c r="C794" s="107"/>
      <c r="D794" s="107"/>
      <c r="E794" s="107"/>
      <c r="F794" s="107"/>
      <c r="G794" s="107"/>
      <c r="H794" s="107"/>
      <c r="I794" s="107"/>
      <c r="J794" s="107"/>
      <c r="K794" s="107"/>
      <c r="L794" s="107"/>
      <c r="M794" s="107"/>
      <c r="N794" s="107"/>
      <c r="O794" s="107"/>
      <c r="P794" s="107"/>
    </row>
    <row r="795" spans="1:16" x14ac:dyDescent="0.2">
      <c r="A795" s="107"/>
      <c r="B795" s="107"/>
      <c r="C795" s="107"/>
      <c r="D795" s="107"/>
      <c r="E795" s="107"/>
      <c r="F795" s="107"/>
      <c r="G795" s="107"/>
      <c r="H795" s="107"/>
      <c r="I795" s="107"/>
      <c r="J795" s="107"/>
      <c r="K795" s="107"/>
      <c r="L795" s="107"/>
      <c r="M795" s="107"/>
      <c r="N795" s="107"/>
      <c r="O795" s="107"/>
      <c r="P795" s="107"/>
    </row>
    <row r="796" spans="1:16" x14ac:dyDescent="0.2">
      <c r="A796" s="107"/>
      <c r="B796" s="107"/>
      <c r="C796" s="107"/>
      <c r="D796" s="107"/>
      <c r="E796" s="107"/>
      <c r="F796" s="107"/>
      <c r="G796" s="107"/>
      <c r="H796" s="107"/>
      <c r="I796" s="107"/>
      <c r="J796" s="107"/>
      <c r="K796" s="107"/>
      <c r="L796" s="107"/>
      <c r="M796" s="107"/>
      <c r="N796" s="107"/>
      <c r="O796" s="107"/>
      <c r="P796" s="107"/>
    </row>
    <row r="797" spans="1:16" x14ac:dyDescent="0.2">
      <c r="A797" s="107"/>
      <c r="B797" s="107"/>
      <c r="C797" s="107"/>
      <c r="D797" s="107"/>
      <c r="E797" s="107"/>
      <c r="F797" s="107"/>
      <c r="G797" s="107"/>
      <c r="H797" s="107"/>
      <c r="I797" s="107"/>
      <c r="J797" s="107"/>
      <c r="K797" s="107"/>
      <c r="L797" s="107"/>
      <c r="M797" s="107"/>
      <c r="N797" s="107"/>
      <c r="O797" s="107"/>
      <c r="P797" s="107"/>
    </row>
    <row r="798" spans="1:16" x14ac:dyDescent="0.2">
      <c r="A798" s="107"/>
      <c r="B798" s="107"/>
      <c r="C798" s="107"/>
      <c r="D798" s="107"/>
      <c r="E798" s="107"/>
      <c r="F798" s="107"/>
      <c r="G798" s="107"/>
      <c r="H798" s="107"/>
      <c r="I798" s="107"/>
      <c r="J798" s="107"/>
      <c r="K798" s="107"/>
      <c r="L798" s="107"/>
      <c r="M798" s="107"/>
      <c r="N798" s="107"/>
      <c r="O798" s="107"/>
      <c r="P798" s="107"/>
    </row>
    <row r="799" spans="1:16" x14ac:dyDescent="0.2">
      <c r="A799" s="107"/>
      <c r="B799" s="107"/>
      <c r="C799" s="107"/>
      <c r="D799" s="107"/>
      <c r="E799" s="107"/>
      <c r="F799" s="107"/>
      <c r="G799" s="107"/>
      <c r="H799" s="107"/>
      <c r="I799" s="107"/>
      <c r="J799" s="107"/>
      <c r="K799" s="107"/>
      <c r="L799" s="107"/>
      <c r="M799" s="107"/>
      <c r="N799" s="107"/>
      <c r="O799" s="107"/>
      <c r="P799" s="107"/>
    </row>
    <row r="800" spans="1:16" x14ac:dyDescent="0.2">
      <c r="A800" s="107"/>
      <c r="B800" s="107"/>
      <c r="C800" s="107"/>
      <c r="D800" s="107"/>
      <c r="E800" s="107"/>
      <c r="F800" s="107"/>
      <c r="G800" s="107"/>
      <c r="H800" s="107"/>
      <c r="I800" s="107"/>
      <c r="J800" s="107"/>
      <c r="K800" s="107"/>
      <c r="L800" s="107"/>
      <c r="M800" s="107"/>
      <c r="N800" s="107"/>
      <c r="O800" s="107"/>
      <c r="P800" s="107"/>
    </row>
    <row r="801" spans="1:16" x14ac:dyDescent="0.2">
      <c r="A801" s="107"/>
      <c r="B801" s="107"/>
      <c r="C801" s="107"/>
      <c r="D801" s="107"/>
      <c r="E801" s="107"/>
      <c r="F801" s="107"/>
      <c r="G801" s="107"/>
      <c r="H801" s="107"/>
      <c r="I801" s="107"/>
      <c r="J801" s="107"/>
      <c r="K801" s="107"/>
      <c r="L801" s="107"/>
      <c r="M801" s="107"/>
      <c r="N801" s="107"/>
      <c r="O801" s="107"/>
      <c r="P801" s="107"/>
    </row>
    <row r="802" spans="1:16" x14ac:dyDescent="0.2">
      <c r="A802" s="107"/>
      <c r="B802" s="107"/>
      <c r="C802" s="107"/>
      <c r="D802" s="107"/>
      <c r="E802" s="107"/>
      <c r="F802" s="107"/>
      <c r="G802" s="107"/>
      <c r="H802" s="107"/>
      <c r="I802" s="107"/>
      <c r="J802" s="107"/>
      <c r="K802" s="107"/>
      <c r="L802" s="107"/>
      <c r="M802" s="107"/>
      <c r="N802" s="107"/>
      <c r="O802" s="107"/>
      <c r="P802" s="107"/>
    </row>
    <row r="803" spans="1:16" x14ac:dyDescent="0.2">
      <c r="A803" s="107"/>
      <c r="B803" s="107"/>
      <c r="C803" s="107"/>
      <c r="D803" s="107"/>
      <c r="E803" s="107"/>
      <c r="F803" s="107"/>
      <c r="G803" s="107"/>
      <c r="H803" s="107"/>
      <c r="I803" s="107"/>
      <c r="J803" s="107"/>
      <c r="K803" s="107"/>
      <c r="L803" s="107"/>
      <c r="M803" s="107"/>
      <c r="N803" s="107"/>
      <c r="O803" s="107"/>
      <c r="P803" s="107"/>
    </row>
    <row r="804" spans="1:16" x14ac:dyDescent="0.2">
      <c r="A804" s="107"/>
      <c r="B804" s="107"/>
      <c r="C804" s="107"/>
      <c r="D804" s="107"/>
      <c r="E804" s="107"/>
      <c r="F804" s="107"/>
      <c r="G804" s="107"/>
      <c r="H804" s="107"/>
      <c r="I804" s="107"/>
      <c r="J804" s="107"/>
      <c r="K804" s="107"/>
      <c r="L804" s="107"/>
      <c r="M804" s="107"/>
      <c r="N804" s="107"/>
      <c r="O804" s="107"/>
      <c r="P804" s="107"/>
    </row>
    <row r="805" spans="1:16" x14ac:dyDescent="0.2">
      <c r="A805" s="107"/>
      <c r="B805" s="107"/>
      <c r="C805" s="107"/>
      <c r="D805" s="107"/>
      <c r="E805" s="107"/>
      <c r="F805" s="107"/>
      <c r="G805" s="107"/>
      <c r="H805" s="107"/>
      <c r="I805" s="107"/>
      <c r="J805" s="107"/>
      <c r="K805" s="107"/>
      <c r="L805" s="107"/>
      <c r="M805" s="107"/>
      <c r="N805" s="107"/>
      <c r="O805" s="107"/>
      <c r="P805" s="107"/>
    </row>
    <row r="806" spans="1:16" x14ac:dyDescent="0.2">
      <c r="A806" s="107"/>
      <c r="B806" s="107"/>
      <c r="C806" s="107"/>
      <c r="D806" s="107"/>
      <c r="E806" s="107"/>
      <c r="F806" s="107"/>
      <c r="G806" s="107"/>
      <c r="H806" s="107"/>
      <c r="I806" s="107"/>
      <c r="J806" s="107"/>
      <c r="K806" s="107"/>
      <c r="L806" s="107"/>
      <c r="M806" s="107"/>
      <c r="N806" s="107"/>
      <c r="O806" s="107"/>
      <c r="P806" s="107"/>
    </row>
    <row r="807" spans="1:16" x14ac:dyDescent="0.2">
      <c r="A807" s="107"/>
      <c r="B807" s="107"/>
      <c r="C807" s="107"/>
      <c r="D807" s="107"/>
      <c r="E807" s="107"/>
      <c r="F807" s="107"/>
      <c r="G807" s="107"/>
      <c r="H807" s="107"/>
      <c r="I807" s="107"/>
      <c r="J807" s="107"/>
      <c r="K807" s="107"/>
      <c r="L807" s="107"/>
      <c r="M807" s="107"/>
      <c r="N807" s="107"/>
      <c r="O807" s="107"/>
      <c r="P807" s="107"/>
    </row>
    <row r="808" spans="1:16" x14ac:dyDescent="0.2">
      <c r="A808" s="107"/>
      <c r="B808" s="107"/>
      <c r="C808" s="107"/>
      <c r="D808" s="107"/>
      <c r="E808" s="107"/>
      <c r="F808" s="107"/>
      <c r="G808" s="107"/>
      <c r="H808" s="107"/>
      <c r="I808" s="107"/>
      <c r="J808" s="107"/>
      <c r="K808" s="107"/>
      <c r="L808" s="107"/>
      <c r="M808" s="107"/>
      <c r="N808" s="107"/>
      <c r="O808" s="107"/>
      <c r="P808" s="107"/>
    </row>
    <row r="809" spans="1:16" x14ac:dyDescent="0.2">
      <c r="A809" s="107"/>
      <c r="B809" s="107"/>
      <c r="C809" s="107"/>
      <c r="D809" s="107"/>
      <c r="E809" s="107"/>
      <c r="F809" s="107"/>
      <c r="G809" s="107"/>
      <c r="H809" s="107"/>
      <c r="I809" s="107"/>
      <c r="J809" s="107"/>
      <c r="K809" s="107"/>
      <c r="L809" s="107"/>
      <c r="M809" s="107"/>
      <c r="N809" s="107"/>
      <c r="O809" s="107"/>
      <c r="P809" s="107"/>
    </row>
    <row r="810" spans="1:16" x14ac:dyDescent="0.2">
      <c r="A810" s="107"/>
      <c r="B810" s="107"/>
      <c r="C810" s="107"/>
      <c r="D810" s="107"/>
      <c r="E810" s="107"/>
      <c r="F810" s="107"/>
      <c r="G810" s="107"/>
      <c r="H810" s="107"/>
      <c r="I810" s="107"/>
      <c r="J810" s="107"/>
      <c r="K810" s="107"/>
      <c r="L810" s="107"/>
      <c r="M810" s="107"/>
      <c r="N810" s="107"/>
      <c r="O810" s="107"/>
      <c r="P810" s="107"/>
    </row>
    <row r="811" spans="1:16" x14ac:dyDescent="0.2">
      <c r="A811" s="107"/>
      <c r="B811" s="107"/>
      <c r="C811" s="107"/>
      <c r="D811" s="107"/>
      <c r="E811" s="107"/>
      <c r="F811" s="107"/>
      <c r="G811" s="107"/>
      <c r="H811" s="107"/>
      <c r="I811" s="107"/>
      <c r="J811" s="107"/>
      <c r="K811" s="107"/>
      <c r="L811" s="107"/>
      <c r="M811" s="107"/>
      <c r="N811" s="107"/>
      <c r="O811" s="107"/>
      <c r="P811" s="107"/>
    </row>
    <row r="812" spans="1:16" x14ac:dyDescent="0.2">
      <c r="A812" s="107"/>
      <c r="B812" s="107"/>
      <c r="C812" s="107"/>
      <c r="D812" s="107"/>
      <c r="E812" s="107"/>
      <c r="F812" s="107"/>
      <c r="G812" s="107"/>
      <c r="H812" s="107"/>
      <c r="I812" s="107"/>
      <c r="J812" s="107"/>
      <c r="K812" s="107"/>
      <c r="L812" s="107"/>
      <c r="M812" s="107"/>
      <c r="N812" s="107"/>
      <c r="O812" s="107"/>
      <c r="P812" s="107"/>
    </row>
  </sheetData>
  <mergeCells count="220">
    <mergeCell ref="A496:P496"/>
    <mergeCell ref="B497:D497"/>
    <mergeCell ref="E497:G497"/>
    <mergeCell ref="H497:J497"/>
    <mergeCell ref="K497:M497"/>
    <mergeCell ref="N497:P497"/>
    <mergeCell ref="A492:P492"/>
    <mergeCell ref="B493:D493"/>
    <mergeCell ref="E493:G493"/>
    <mergeCell ref="H493:J493"/>
    <mergeCell ref="K493:M493"/>
    <mergeCell ref="N493:P493"/>
    <mergeCell ref="A486:P486"/>
    <mergeCell ref="B487:D487"/>
    <mergeCell ref="E487:G487"/>
    <mergeCell ref="H487:J487"/>
    <mergeCell ref="K487:M487"/>
    <mergeCell ref="N487:P487"/>
    <mergeCell ref="A479:P479"/>
    <mergeCell ref="B480:D480"/>
    <mergeCell ref="E480:G480"/>
    <mergeCell ref="H480:J480"/>
    <mergeCell ref="K480:M480"/>
    <mergeCell ref="N480:P480"/>
    <mergeCell ref="A468:P468"/>
    <mergeCell ref="B469:D469"/>
    <mergeCell ref="E469:G469"/>
    <mergeCell ref="H469:J469"/>
    <mergeCell ref="K469:M469"/>
    <mergeCell ref="N469:P469"/>
    <mergeCell ref="A457:P457"/>
    <mergeCell ref="B458:D458"/>
    <mergeCell ref="E458:G458"/>
    <mergeCell ref="H458:J458"/>
    <mergeCell ref="K458:M458"/>
    <mergeCell ref="N458:P458"/>
    <mergeCell ref="A453:P453"/>
    <mergeCell ref="B454:D454"/>
    <mergeCell ref="E454:G454"/>
    <mergeCell ref="H454:J454"/>
    <mergeCell ref="K454:M454"/>
    <mergeCell ref="N454:P454"/>
    <mergeCell ref="A433:P433"/>
    <mergeCell ref="B434:D434"/>
    <mergeCell ref="E434:G434"/>
    <mergeCell ref="H434:J434"/>
    <mergeCell ref="K434:M434"/>
    <mergeCell ref="N434:P434"/>
    <mergeCell ref="A421:P421"/>
    <mergeCell ref="B422:D422"/>
    <mergeCell ref="E422:G422"/>
    <mergeCell ref="H422:J422"/>
    <mergeCell ref="K422:M422"/>
    <mergeCell ref="N422:P422"/>
    <mergeCell ref="A410:P410"/>
    <mergeCell ref="B411:D411"/>
    <mergeCell ref="E411:G411"/>
    <mergeCell ref="H411:J411"/>
    <mergeCell ref="K411:M411"/>
    <mergeCell ref="N411:P411"/>
    <mergeCell ref="A406:P406"/>
    <mergeCell ref="B407:D407"/>
    <mergeCell ref="E407:G407"/>
    <mergeCell ref="H407:J407"/>
    <mergeCell ref="K407:M407"/>
    <mergeCell ref="N407:P407"/>
    <mergeCell ref="A399:P399"/>
    <mergeCell ref="B400:D400"/>
    <mergeCell ref="E400:G400"/>
    <mergeCell ref="H400:J400"/>
    <mergeCell ref="K400:M400"/>
    <mergeCell ref="N400:P400"/>
    <mergeCell ref="A391:P391"/>
    <mergeCell ref="B392:D392"/>
    <mergeCell ref="E392:G392"/>
    <mergeCell ref="H392:J392"/>
    <mergeCell ref="K392:M392"/>
    <mergeCell ref="N392:P392"/>
    <mergeCell ref="A381:P381"/>
    <mergeCell ref="B382:D382"/>
    <mergeCell ref="E382:G382"/>
    <mergeCell ref="H382:J382"/>
    <mergeCell ref="K382:M382"/>
    <mergeCell ref="N382:P382"/>
    <mergeCell ref="A363:P363"/>
    <mergeCell ref="A364:P364"/>
    <mergeCell ref="B365:D365"/>
    <mergeCell ref="E365:G365"/>
    <mergeCell ref="H365:J365"/>
    <mergeCell ref="K365:M365"/>
    <mergeCell ref="N365:P365"/>
    <mergeCell ref="A340:P340"/>
    <mergeCell ref="B341:D341"/>
    <mergeCell ref="E341:G341"/>
    <mergeCell ref="H341:J341"/>
    <mergeCell ref="K341:M341"/>
    <mergeCell ref="N341:P341"/>
    <mergeCell ref="A334:P334"/>
    <mergeCell ref="B335:D335"/>
    <mergeCell ref="E335:G335"/>
    <mergeCell ref="H335:J335"/>
    <mergeCell ref="K335:M335"/>
    <mergeCell ref="N335:P335"/>
    <mergeCell ref="A326:P326"/>
    <mergeCell ref="B327:D327"/>
    <mergeCell ref="E327:G327"/>
    <mergeCell ref="H327:J327"/>
    <mergeCell ref="K327:M327"/>
    <mergeCell ref="N327:P327"/>
    <mergeCell ref="A315:P315"/>
    <mergeCell ref="B316:D316"/>
    <mergeCell ref="E316:G316"/>
    <mergeCell ref="H316:J316"/>
    <mergeCell ref="K316:M316"/>
    <mergeCell ref="N316:P316"/>
    <mergeCell ref="A304:P304"/>
    <mergeCell ref="B305:D305"/>
    <mergeCell ref="E305:G305"/>
    <mergeCell ref="H305:J305"/>
    <mergeCell ref="K305:M305"/>
    <mergeCell ref="N305:P305"/>
    <mergeCell ref="A300:P300"/>
    <mergeCell ref="B301:D301"/>
    <mergeCell ref="E301:G301"/>
    <mergeCell ref="H301:J301"/>
    <mergeCell ref="K301:M301"/>
    <mergeCell ref="N301:P301"/>
    <mergeCell ref="A283:P283"/>
    <mergeCell ref="B284:D284"/>
    <mergeCell ref="E284:G284"/>
    <mergeCell ref="H284:J284"/>
    <mergeCell ref="K284:M284"/>
    <mergeCell ref="N284:P284"/>
    <mergeCell ref="A271:P271"/>
    <mergeCell ref="B272:D272"/>
    <mergeCell ref="E272:G272"/>
    <mergeCell ref="H272:J272"/>
    <mergeCell ref="K272:M272"/>
    <mergeCell ref="N272:P272"/>
    <mergeCell ref="A259:P259"/>
    <mergeCell ref="B260:D260"/>
    <mergeCell ref="E260:G260"/>
    <mergeCell ref="H260:J260"/>
    <mergeCell ref="K260:M260"/>
    <mergeCell ref="N260:P260"/>
    <mergeCell ref="A255:P255"/>
    <mergeCell ref="B256:D256"/>
    <mergeCell ref="E256:G256"/>
    <mergeCell ref="H256:J256"/>
    <mergeCell ref="K256:M256"/>
    <mergeCell ref="N256:P256"/>
    <mergeCell ref="A248:P248"/>
    <mergeCell ref="B249:D249"/>
    <mergeCell ref="E249:G249"/>
    <mergeCell ref="H249:J249"/>
    <mergeCell ref="K249:M249"/>
    <mergeCell ref="N249:P249"/>
    <mergeCell ref="A240:P240"/>
    <mergeCell ref="B241:D241"/>
    <mergeCell ref="E241:G241"/>
    <mergeCell ref="H241:J241"/>
    <mergeCell ref="K241:M241"/>
    <mergeCell ref="N241:P241"/>
    <mergeCell ref="A230:P230"/>
    <mergeCell ref="B231:D231"/>
    <mergeCell ref="E231:G231"/>
    <mergeCell ref="H231:J231"/>
    <mergeCell ref="K231:M231"/>
    <mergeCell ref="N231:P231"/>
    <mergeCell ref="B200:D200"/>
    <mergeCell ref="E200:F200"/>
    <mergeCell ref="A212:P212"/>
    <mergeCell ref="A213:P213"/>
    <mergeCell ref="B214:D214"/>
    <mergeCell ref="E214:G214"/>
    <mergeCell ref="H214:J214"/>
    <mergeCell ref="K214:M214"/>
    <mergeCell ref="N214:P214"/>
    <mergeCell ref="A173:D173"/>
    <mergeCell ref="A175:G175"/>
    <mergeCell ref="A179:D179"/>
    <mergeCell ref="A185:F185"/>
    <mergeCell ref="C186:D186"/>
    <mergeCell ref="E186:F186"/>
    <mergeCell ref="A144:D144"/>
    <mergeCell ref="A145:G145"/>
    <mergeCell ref="A150:G150"/>
    <mergeCell ref="A166:D166"/>
    <mergeCell ref="A171:D171"/>
    <mergeCell ref="A172:D172"/>
    <mergeCell ref="A134:D134"/>
    <mergeCell ref="A135:D135"/>
    <mergeCell ref="A137:D137"/>
    <mergeCell ref="A140:D140"/>
    <mergeCell ref="A142:D142"/>
    <mergeCell ref="A143:D143"/>
    <mergeCell ref="A109:D109"/>
    <mergeCell ref="A111:G111"/>
    <mergeCell ref="A115:D115"/>
    <mergeCell ref="A116:D116"/>
    <mergeCell ref="A117:G117"/>
    <mergeCell ref="A122:G122"/>
    <mergeCell ref="A103:D103"/>
    <mergeCell ref="A104:D104"/>
    <mergeCell ref="A105:D105"/>
    <mergeCell ref="A106:D106"/>
    <mergeCell ref="A107:D107"/>
    <mergeCell ref="A108:D108"/>
    <mergeCell ref="A77:D77"/>
    <mergeCell ref="A84:G84"/>
    <mergeCell ref="A99:D99"/>
    <mergeCell ref="A100:D100"/>
    <mergeCell ref="A101:D101"/>
    <mergeCell ref="A102:D102"/>
    <mergeCell ref="A4:G4"/>
    <mergeCell ref="A5:G5"/>
    <mergeCell ref="A35:D35"/>
    <mergeCell ref="A61:D61"/>
    <mergeCell ref="A74:D74"/>
    <mergeCell ref="A76:D76"/>
  </mergeCells>
  <pageMargins left="0.7" right="0.7" top="0.75" bottom="0.75" header="0.3" footer="0.3"/>
  <legacyDrawing r:id="rId1"/>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6" tint="0.39997558519241921"/>
  </sheetPr>
  <dimension ref="A1:AO128"/>
  <sheetViews>
    <sheetView topLeftCell="A35" workbookViewId="0">
      <selection activeCell="B1" sqref="B1"/>
    </sheetView>
  </sheetViews>
  <sheetFormatPr baseColWidth="10" defaultRowHeight="15" x14ac:dyDescent="0.2"/>
  <cols>
    <col min="1" max="1" width="44.33203125" style="107" customWidth="1"/>
    <col min="2" max="2" width="12" style="107" bestFit="1" customWidth="1"/>
    <col min="3" max="3" width="7.1640625" style="107" customWidth="1"/>
    <col min="4" max="4" width="5.1640625" style="107" customWidth="1"/>
    <col min="5" max="5" width="10.83203125" style="107"/>
    <col min="6" max="6" width="7.83203125" style="107" customWidth="1"/>
    <col min="7" max="7" width="5.33203125" style="107" customWidth="1"/>
    <col min="8" max="8" width="13.83203125" style="107" customWidth="1"/>
    <col min="9" max="9" width="7.5" style="107" customWidth="1"/>
    <col min="10" max="10" width="5.33203125" style="107" customWidth="1"/>
    <col min="11" max="11" width="11.1640625" style="107" customWidth="1"/>
    <col min="12" max="12" width="8.33203125" style="107" customWidth="1"/>
    <col min="13" max="13" width="5.33203125" style="107" customWidth="1"/>
    <col min="14" max="14" width="10.83203125" style="107"/>
    <col min="15" max="15" width="9.1640625" style="107" customWidth="1"/>
    <col min="16" max="16" width="10.5" style="107" customWidth="1"/>
    <col min="17" max="17" width="10.1640625" style="107" customWidth="1"/>
    <col min="18" max="18" width="11.33203125" style="107" customWidth="1"/>
    <col min="19" max="19" width="7" style="107" customWidth="1"/>
    <col min="20" max="20" width="10.83203125" style="107"/>
    <col min="21" max="21" width="6" style="107" customWidth="1"/>
    <col min="22" max="22" width="10.83203125" style="107"/>
    <col min="23" max="23" width="6.83203125" style="107" customWidth="1"/>
    <col min="24" max="24" width="10.83203125" style="107"/>
    <col min="25" max="25" width="6" style="107" customWidth="1"/>
    <col min="26" max="26" width="10.83203125" style="107"/>
    <col min="27" max="27" width="6" style="107" customWidth="1"/>
    <col min="28" max="28" width="10.83203125" style="107"/>
    <col min="29" max="29" width="6.6640625" style="107" customWidth="1"/>
    <col min="30" max="31" width="10.83203125" style="107"/>
    <col min="32" max="32" width="5.83203125" style="107" customWidth="1"/>
    <col min="33" max="33" width="10.83203125" style="107"/>
    <col min="34" max="34" width="5.83203125" style="107" customWidth="1"/>
    <col min="35" max="35" width="10.83203125" style="107"/>
    <col min="36" max="36" width="6.6640625" style="107" customWidth="1"/>
    <col min="37" max="38" width="10.83203125" style="107"/>
    <col min="39" max="39" width="5.33203125" style="107" customWidth="1"/>
    <col min="40" max="40" width="10.83203125" style="107"/>
    <col min="41" max="41" width="5.1640625" style="107" customWidth="1"/>
    <col min="42" max="16384" width="10.83203125" style="107"/>
  </cols>
  <sheetData>
    <row r="1" spans="1:4" x14ac:dyDescent="0.2">
      <c r="A1" s="972" t="s">
        <v>4002</v>
      </c>
    </row>
    <row r="3" spans="1:4" x14ac:dyDescent="0.2">
      <c r="A3" s="526" t="s">
        <v>1111</v>
      </c>
    </row>
    <row r="4" spans="1:4" ht="24.5" customHeight="1" x14ac:dyDescent="0.2">
      <c r="A4" s="953" t="s">
        <v>4003</v>
      </c>
      <c r="B4" s="954"/>
      <c r="C4" s="954"/>
      <c r="D4" s="955"/>
    </row>
    <row r="5" spans="1:4" x14ac:dyDescent="0.2">
      <c r="A5" s="131" t="s">
        <v>4004</v>
      </c>
      <c r="B5" s="145">
        <v>3992424</v>
      </c>
      <c r="C5" s="145">
        <v>35</v>
      </c>
      <c r="D5" s="133"/>
    </row>
    <row r="6" spans="1:4" x14ac:dyDescent="0.2">
      <c r="A6" s="131" t="s">
        <v>4005</v>
      </c>
      <c r="B6" s="145">
        <v>1349349</v>
      </c>
      <c r="C6" s="145">
        <v>45</v>
      </c>
      <c r="D6" s="133"/>
    </row>
    <row r="7" spans="1:4" x14ac:dyDescent="0.2">
      <c r="A7" s="131" t="s">
        <v>4006</v>
      </c>
      <c r="B7" s="145">
        <v>37200</v>
      </c>
      <c r="C7" s="145">
        <v>35</v>
      </c>
      <c r="D7" s="133"/>
    </row>
    <row r="8" spans="1:4" x14ac:dyDescent="0.2">
      <c r="A8" s="131" t="s">
        <v>4007</v>
      </c>
      <c r="B8" s="145">
        <v>250000</v>
      </c>
      <c r="C8" s="145"/>
      <c r="D8" s="133"/>
    </row>
    <row r="9" spans="1:4" x14ac:dyDescent="0.2">
      <c r="A9" s="131" t="s">
        <v>4008</v>
      </c>
      <c r="B9" s="145">
        <v>138237</v>
      </c>
      <c r="C9" s="145"/>
      <c r="D9" s="133"/>
    </row>
    <row r="10" spans="1:4" x14ac:dyDescent="0.2">
      <c r="A10" s="131" t="s">
        <v>4009</v>
      </c>
      <c r="B10" s="145"/>
      <c r="C10" s="145"/>
      <c r="D10" s="133"/>
    </row>
    <row r="11" spans="1:4" x14ac:dyDescent="0.2">
      <c r="A11" s="131" t="s">
        <v>4010</v>
      </c>
      <c r="B11" s="145">
        <v>1200</v>
      </c>
      <c r="C11" s="145"/>
      <c r="D11" s="133"/>
    </row>
    <row r="12" spans="1:4" x14ac:dyDescent="0.2">
      <c r="A12" s="131" t="s">
        <v>4011</v>
      </c>
      <c r="B12" s="145">
        <v>14965</v>
      </c>
      <c r="C12" s="145">
        <v>60</v>
      </c>
      <c r="D12" s="133"/>
    </row>
    <row r="13" spans="1:4" x14ac:dyDescent="0.2">
      <c r="A13" s="131" t="s">
        <v>4012</v>
      </c>
      <c r="B13" s="145">
        <v>79773</v>
      </c>
      <c r="C13" s="145">
        <v>28</v>
      </c>
      <c r="D13" s="133">
        <v>0.5</v>
      </c>
    </row>
    <row r="14" spans="1:4" x14ac:dyDescent="0.2">
      <c r="A14" s="131" t="s">
        <v>4013</v>
      </c>
      <c r="B14" s="145">
        <v>29907</v>
      </c>
      <c r="C14" s="145">
        <v>75</v>
      </c>
      <c r="D14" s="133"/>
    </row>
    <row r="15" spans="1:4" x14ac:dyDescent="0.2">
      <c r="A15" s="131" t="s">
        <v>4014</v>
      </c>
      <c r="B15" s="145">
        <v>15539</v>
      </c>
      <c r="C15" s="145">
        <v>60</v>
      </c>
      <c r="D15" s="133"/>
    </row>
    <row r="16" spans="1:4" ht="30" x14ac:dyDescent="0.2">
      <c r="A16" s="539" t="s">
        <v>4015</v>
      </c>
      <c r="B16" s="145"/>
      <c r="C16" s="145"/>
      <c r="D16" s="133"/>
    </row>
    <row r="17" spans="1:20" x14ac:dyDescent="0.2">
      <c r="A17" s="131" t="s">
        <v>4016</v>
      </c>
      <c r="B17" s="145">
        <v>10950</v>
      </c>
      <c r="C17" s="145">
        <v>60</v>
      </c>
      <c r="D17" s="133"/>
    </row>
    <row r="18" spans="1:20" ht="16" thickBot="1" x14ac:dyDescent="0.25">
      <c r="A18" s="230" t="s">
        <v>4017</v>
      </c>
      <c r="B18" s="595">
        <v>5919547</v>
      </c>
      <c r="C18" s="595">
        <v>98</v>
      </c>
      <c r="D18" s="1079">
        <v>0.5</v>
      </c>
    </row>
    <row r="19" spans="1:20" x14ac:dyDescent="0.2">
      <c r="B19" s="393">
        <f>+SUM(B5:B17)</f>
        <v>5919544</v>
      </c>
      <c r="C19" s="393">
        <f>+SUM(C5:C17)</f>
        <v>398</v>
      </c>
      <c r="D19" s="1078">
        <f>+SUM(D5:D17)</f>
        <v>0.5</v>
      </c>
    </row>
    <row r="20" spans="1:20" x14ac:dyDescent="0.2">
      <c r="A20" s="716" t="s">
        <v>4018</v>
      </c>
      <c r="B20" s="350">
        <v>29059</v>
      </c>
      <c r="C20" s="350">
        <v>60</v>
      </c>
      <c r="D20" s="717"/>
    </row>
    <row r="21" spans="1:20" x14ac:dyDescent="0.2">
      <c r="A21" s="534" t="s">
        <v>4019</v>
      </c>
      <c r="B21" s="145">
        <v>29907</v>
      </c>
      <c r="C21" s="145">
        <v>75</v>
      </c>
      <c r="D21" s="307"/>
    </row>
    <row r="22" spans="1:20" x14ac:dyDescent="0.2">
      <c r="A22" s="534" t="s">
        <v>4020</v>
      </c>
      <c r="B22" s="145">
        <v>11667</v>
      </c>
      <c r="C22" s="145">
        <v>419</v>
      </c>
      <c r="D22" s="307"/>
    </row>
    <row r="23" spans="1:20" x14ac:dyDescent="0.2">
      <c r="A23" s="534" t="s">
        <v>4021</v>
      </c>
      <c r="B23" s="145">
        <v>3298</v>
      </c>
      <c r="C23" s="145">
        <v>190</v>
      </c>
      <c r="D23" s="307"/>
    </row>
    <row r="24" spans="1:20" x14ac:dyDescent="0.2">
      <c r="A24" s="533" t="s">
        <v>4022</v>
      </c>
      <c r="B24" s="145">
        <v>1451529</v>
      </c>
      <c r="C24" s="145"/>
      <c r="D24" s="307"/>
    </row>
    <row r="25" spans="1:20" x14ac:dyDescent="0.2">
      <c r="A25" s="534" t="s">
        <v>4023</v>
      </c>
      <c r="B25" s="145">
        <v>1349349</v>
      </c>
      <c r="C25" s="145">
        <v>45</v>
      </c>
      <c r="D25" s="307"/>
    </row>
    <row r="26" spans="1:20" x14ac:dyDescent="0.2">
      <c r="A26" s="534" t="s">
        <v>4024</v>
      </c>
      <c r="B26" s="145">
        <v>4025112</v>
      </c>
      <c r="C26" s="145">
        <v>15</v>
      </c>
      <c r="D26" s="307"/>
    </row>
    <row r="27" spans="1:20" x14ac:dyDescent="0.2">
      <c r="A27" s="632" t="s">
        <v>4025</v>
      </c>
      <c r="B27" s="309">
        <v>3992424</v>
      </c>
      <c r="C27" s="309">
        <v>35</v>
      </c>
      <c r="D27" s="364"/>
    </row>
    <row r="29" spans="1:20" x14ac:dyDescent="0.2">
      <c r="A29" s="526" t="s">
        <v>1171</v>
      </c>
    </row>
    <row r="30" spans="1:20" ht="28.25" customHeight="1" x14ac:dyDescent="0.2">
      <c r="A30" s="1119" t="s">
        <v>4026</v>
      </c>
      <c r="B30" s="1119"/>
      <c r="C30" s="1119"/>
      <c r="D30" s="1119"/>
      <c r="E30" s="1119"/>
      <c r="F30" s="1119"/>
      <c r="G30" s="1119"/>
      <c r="H30" s="1119"/>
      <c r="I30" s="1119"/>
      <c r="J30" s="1119"/>
      <c r="K30" s="1119"/>
      <c r="L30" s="1119"/>
      <c r="M30" s="1119"/>
      <c r="N30" s="1119"/>
      <c r="O30" s="1119"/>
      <c r="P30" s="1119"/>
      <c r="Q30" s="1119"/>
      <c r="R30" s="1119"/>
      <c r="S30" s="1119"/>
    </row>
    <row r="31" spans="1:20" ht="32.5" customHeight="1" x14ac:dyDescent="0.2">
      <c r="A31" s="1120" t="s">
        <v>3254</v>
      </c>
      <c r="B31" s="1036" t="s">
        <v>4027</v>
      </c>
      <c r="C31" s="1036"/>
      <c r="D31" s="1036"/>
      <c r="E31" s="1036" t="s">
        <v>4028</v>
      </c>
      <c r="F31" s="1036"/>
      <c r="G31" s="1036"/>
      <c r="H31" s="1036" t="s">
        <v>4029</v>
      </c>
      <c r="I31" s="1036"/>
      <c r="J31" s="1036"/>
      <c r="K31" s="1036" t="s">
        <v>4030</v>
      </c>
      <c r="L31" s="1036"/>
      <c r="M31" s="1036"/>
      <c r="N31" s="1036" t="s">
        <v>4031</v>
      </c>
      <c r="O31" s="1036"/>
      <c r="P31" s="1036"/>
      <c r="Q31" s="1036" t="s">
        <v>4032</v>
      </c>
      <c r="R31" s="1036"/>
      <c r="S31" s="1036"/>
    </row>
    <row r="32" spans="1:20" x14ac:dyDescent="0.2">
      <c r="A32" s="131" t="s">
        <v>3668</v>
      </c>
      <c r="B32" s="131">
        <v>2811453</v>
      </c>
      <c r="C32" s="145">
        <v>15</v>
      </c>
      <c r="D32" s="307"/>
      <c r="E32" s="131">
        <v>3129590</v>
      </c>
      <c r="F32" s="145">
        <v>65</v>
      </c>
      <c r="G32" s="307"/>
      <c r="H32" s="131">
        <v>318137</v>
      </c>
      <c r="I32" s="145">
        <v>50</v>
      </c>
      <c r="J32" s="307"/>
      <c r="K32" s="131"/>
      <c r="L32" s="145"/>
      <c r="M32" s="307"/>
      <c r="N32" s="1121">
        <v>11.32</v>
      </c>
      <c r="O32" s="1122"/>
      <c r="P32" s="820"/>
      <c r="Q32" s="1121"/>
      <c r="R32" s="1122"/>
      <c r="S32" s="820"/>
      <c r="T32" s="1123">
        <f>+(E32-B32)/B32</f>
        <v>0.11315750254405818</v>
      </c>
    </row>
    <row r="33" spans="1:20" x14ac:dyDescent="0.2">
      <c r="A33" s="131" t="s">
        <v>1517</v>
      </c>
      <c r="B33" s="131">
        <v>245541</v>
      </c>
      <c r="C33" s="145"/>
      <c r="D33" s="307"/>
      <c r="E33" s="131">
        <v>130566</v>
      </c>
      <c r="F33" s="145">
        <v>80</v>
      </c>
      <c r="G33" s="307"/>
      <c r="H33" s="131"/>
      <c r="I33" s="145"/>
      <c r="J33" s="307"/>
      <c r="K33" s="131">
        <v>114974</v>
      </c>
      <c r="L33" s="145">
        <v>20</v>
      </c>
      <c r="M33" s="307"/>
      <c r="N33" s="1121"/>
      <c r="O33" s="1122"/>
      <c r="P33" s="820"/>
      <c r="Q33" s="1121">
        <v>46.82</v>
      </c>
      <c r="R33" s="1122"/>
      <c r="S33" s="820"/>
      <c r="T33" s="1124">
        <f t="shared" ref="T33:T39" si="0">+(E33-B33)/B33</f>
        <v>-0.46825173799894926</v>
      </c>
    </row>
    <row r="34" spans="1:20" x14ac:dyDescent="0.2">
      <c r="A34" s="131" t="s">
        <v>3266</v>
      </c>
      <c r="B34" s="131">
        <v>2872</v>
      </c>
      <c r="C34" s="145">
        <v>5</v>
      </c>
      <c r="D34" s="307"/>
      <c r="E34" s="131">
        <v>1701</v>
      </c>
      <c r="F34" s="145">
        <v>40</v>
      </c>
      <c r="G34" s="307"/>
      <c r="H34" s="131"/>
      <c r="I34" s="145"/>
      <c r="J34" s="307"/>
      <c r="K34" s="131">
        <v>1170</v>
      </c>
      <c r="L34" s="145">
        <v>65</v>
      </c>
      <c r="M34" s="307"/>
      <c r="N34" s="1121"/>
      <c r="O34" s="1122"/>
      <c r="P34" s="820"/>
      <c r="Q34" s="1121">
        <v>41.11</v>
      </c>
      <c r="R34" s="1122"/>
      <c r="S34" s="820"/>
      <c r="T34" s="1124">
        <f t="shared" si="0"/>
        <v>-0.40772980501392758</v>
      </c>
    </row>
    <row r="35" spans="1:20" x14ac:dyDescent="0.2">
      <c r="A35" s="140" t="s">
        <v>4033</v>
      </c>
      <c r="B35" s="131">
        <v>273134</v>
      </c>
      <c r="C35" s="145">
        <v>25</v>
      </c>
      <c r="D35" s="307"/>
      <c r="E35" s="131">
        <v>339875</v>
      </c>
      <c r="F35" s="145">
        <v>20</v>
      </c>
      <c r="G35" s="307"/>
      <c r="H35" s="131">
        <v>66740</v>
      </c>
      <c r="I35" s="145">
        <v>95</v>
      </c>
      <c r="J35" s="307"/>
      <c r="K35" s="131"/>
      <c r="L35" s="145"/>
      <c r="M35" s="307"/>
      <c r="N35" s="1121">
        <v>24.44</v>
      </c>
      <c r="O35" s="1122"/>
      <c r="P35" s="820"/>
      <c r="Q35" s="1121"/>
      <c r="R35" s="1122"/>
      <c r="S35" s="820"/>
      <c r="T35" s="1123">
        <f t="shared" si="0"/>
        <v>0.24435258883917785</v>
      </c>
    </row>
    <row r="36" spans="1:20" x14ac:dyDescent="0.2">
      <c r="A36" s="140" t="s">
        <v>1519</v>
      </c>
      <c r="B36" s="131">
        <v>464991</v>
      </c>
      <c r="C36" s="145">
        <v>80</v>
      </c>
      <c r="D36" s="307"/>
      <c r="E36" s="131">
        <v>232304</v>
      </c>
      <c r="F36" s="145">
        <v>80</v>
      </c>
      <c r="G36" s="307"/>
      <c r="H36" s="131"/>
      <c r="I36" s="145"/>
      <c r="J36" s="307"/>
      <c r="K36" s="131">
        <v>232687</v>
      </c>
      <c r="L36" s="145"/>
      <c r="M36" s="307"/>
      <c r="N36" s="1121"/>
      <c r="O36" s="1122"/>
      <c r="P36" s="820"/>
      <c r="Q36" s="1121">
        <v>50.04</v>
      </c>
      <c r="R36" s="1122"/>
      <c r="S36" s="820"/>
      <c r="T36" s="1123">
        <f t="shared" si="0"/>
        <v>-0.5004118359280072</v>
      </c>
    </row>
    <row r="37" spans="1:20" x14ac:dyDescent="0.2">
      <c r="A37" s="140" t="s">
        <v>1526</v>
      </c>
      <c r="B37" s="131">
        <v>97259</v>
      </c>
      <c r="C37" s="145">
        <v>90</v>
      </c>
      <c r="D37" s="307"/>
      <c r="E37" s="131">
        <v>64999</v>
      </c>
      <c r="F37" s="145">
        <v>95</v>
      </c>
      <c r="G37" s="307"/>
      <c r="H37" s="131"/>
      <c r="I37" s="145"/>
      <c r="J37" s="307"/>
      <c r="K37" s="131">
        <v>32259</v>
      </c>
      <c r="L37" s="145">
        <v>95</v>
      </c>
      <c r="M37" s="307"/>
      <c r="N37" s="1121"/>
      <c r="O37" s="1122"/>
      <c r="P37" s="820"/>
      <c r="Q37" s="1121">
        <v>33.17</v>
      </c>
      <c r="R37" s="1122"/>
      <c r="S37" s="820"/>
      <c r="T37" s="1123">
        <f t="shared" si="0"/>
        <v>-0.33169166863734978</v>
      </c>
    </row>
    <row r="38" spans="1:20" x14ac:dyDescent="0.2">
      <c r="A38" s="140" t="s">
        <v>4034</v>
      </c>
      <c r="B38" s="131">
        <v>66506</v>
      </c>
      <c r="C38" s="145">
        <v>55</v>
      </c>
      <c r="D38" s="307"/>
      <c r="E38" s="131">
        <v>50780</v>
      </c>
      <c r="F38" s="145">
        <v>10</v>
      </c>
      <c r="G38" s="307"/>
      <c r="H38" s="131"/>
      <c r="I38" s="145"/>
      <c r="J38" s="307"/>
      <c r="K38" s="131">
        <v>15726</v>
      </c>
      <c r="L38" s="145">
        <v>45</v>
      </c>
      <c r="M38" s="307"/>
      <c r="N38" s="1121"/>
      <c r="O38" s="1122"/>
      <c r="P38" s="820"/>
      <c r="Q38" s="1121">
        <v>23.7</v>
      </c>
      <c r="R38" s="1122"/>
      <c r="S38" s="820"/>
      <c r="T38" s="1124">
        <f t="shared" si="0"/>
        <v>-0.23645986828256096</v>
      </c>
    </row>
    <row r="39" spans="1:20" x14ac:dyDescent="0.2">
      <c r="A39" s="140" t="s">
        <v>1527</v>
      </c>
      <c r="B39" s="131">
        <v>63353</v>
      </c>
      <c r="C39" s="145">
        <v>45</v>
      </c>
      <c r="D39" s="307"/>
      <c r="E39" s="131">
        <v>42605</v>
      </c>
      <c r="F39" s="145">
        <v>45</v>
      </c>
      <c r="G39" s="307"/>
      <c r="H39" s="131"/>
      <c r="I39" s="145"/>
      <c r="J39" s="307"/>
      <c r="K39" s="131">
        <v>20748</v>
      </c>
      <c r="L39" s="145"/>
      <c r="M39" s="307"/>
      <c r="N39" s="1121"/>
      <c r="O39" s="1122"/>
      <c r="P39" s="820"/>
      <c r="Q39" s="1121">
        <v>32.75</v>
      </c>
      <c r="R39" s="1122"/>
      <c r="S39" s="820"/>
      <c r="T39" s="1123">
        <f t="shared" si="0"/>
        <v>-0.32749830315849288</v>
      </c>
    </row>
    <row r="40" spans="1:20" x14ac:dyDescent="0.2">
      <c r="A40" s="801" t="s">
        <v>2663</v>
      </c>
      <c r="B40" s="240">
        <v>4025112</v>
      </c>
      <c r="C40" s="318">
        <v>15</v>
      </c>
      <c r="D40" s="513"/>
      <c r="E40" s="240">
        <v>3992424</v>
      </c>
      <c r="F40" s="318">
        <v>35</v>
      </c>
      <c r="G40" s="513"/>
      <c r="H40" s="240">
        <v>384878</v>
      </c>
      <c r="I40" s="318">
        <v>45</v>
      </c>
      <c r="J40" s="513"/>
      <c r="K40" s="240">
        <v>417566</v>
      </c>
      <c r="L40" s="318">
        <v>25</v>
      </c>
      <c r="M40" s="513"/>
      <c r="N40" s="1125"/>
      <c r="O40" s="1126"/>
      <c r="P40" s="1127"/>
      <c r="Q40" s="1125"/>
      <c r="R40" s="1126"/>
      <c r="S40" s="1127"/>
    </row>
    <row r="41" spans="1:20" x14ac:dyDescent="0.2">
      <c r="B41" s="393">
        <f>+SUM(B32:B39)</f>
        <v>4025109</v>
      </c>
      <c r="C41" s="393">
        <f t="shared" ref="C41:M41" si="1">+SUM(C32:C39)</f>
        <v>315</v>
      </c>
      <c r="D41" s="393">
        <f t="shared" si="1"/>
        <v>0</v>
      </c>
      <c r="E41" s="393">
        <f t="shared" si="1"/>
        <v>3992420</v>
      </c>
      <c r="F41" s="393">
        <f t="shared" si="1"/>
        <v>435</v>
      </c>
      <c r="G41" s="393">
        <f t="shared" si="1"/>
        <v>0</v>
      </c>
      <c r="H41" s="393">
        <f t="shared" si="1"/>
        <v>384877</v>
      </c>
      <c r="I41" s="393">
        <f t="shared" si="1"/>
        <v>145</v>
      </c>
      <c r="J41" s="393">
        <f t="shared" si="1"/>
        <v>0</v>
      </c>
      <c r="K41" s="393">
        <f t="shared" si="1"/>
        <v>417564</v>
      </c>
      <c r="L41" s="393">
        <f t="shared" si="1"/>
        <v>225</v>
      </c>
      <c r="M41" s="393">
        <f t="shared" si="1"/>
        <v>0</v>
      </c>
    </row>
    <row r="44" spans="1:20" x14ac:dyDescent="0.2">
      <c r="A44" s="526" t="s">
        <v>1853</v>
      </c>
    </row>
    <row r="45" spans="1:20" ht="28.25" customHeight="1" x14ac:dyDescent="0.2">
      <c r="A45" s="953" t="s">
        <v>4035</v>
      </c>
      <c r="B45" s="954"/>
      <c r="C45" s="954"/>
      <c r="D45" s="954"/>
      <c r="E45" s="954"/>
      <c r="F45" s="954"/>
      <c r="G45" s="955"/>
    </row>
    <row r="46" spans="1:20" ht="21" customHeight="1" x14ac:dyDescent="0.2">
      <c r="A46" s="131"/>
      <c r="B46" s="861" t="s">
        <v>4036</v>
      </c>
      <c r="C46" s="862"/>
      <c r="D46" s="863"/>
      <c r="E46" s="1128" t="s">
        <v>3322</v>
      </c>
      <c r="F46" s="1128"/>
      <c r="G46" s="1129"/>
    </row>
    <row r="47" spans="1:20" x14ac:dyDescent="0.2">
      <c r="A47" s="131" t="s">
        <v>4037</v>
      </c>
      <c r="B47" s="131">
        <v>7860062</v>
      </c>
      <c r="C47" s="145">
        <v>35</v>
      </c>
      <c r="D47" s="307"/>
      <c r="E47" s="145">
        <v>7448</v>
      </c>
      <c r="F47" s="145">
        <v>20</v>
      </c>
      <c r="G47" s="307"/>
    </row>
    <row r="48" spans="1:20" x14ac:dyDescent="0.2">
      <c r="A48" s="131" t="s">
        <v>4038</v>
      </c>
      <c r="B48" s="131">
        <v>4621209</v>
      </c>
      <c r="C48" s="145">
        <v>224</v>
      </c>
      <c r="D48" s="307"/>
      <c r="E48" s="145">
        <v>161051</v>
      </c>
      <c r="F48" s="145">
        <v>90</v>
      </c>
      <c r="G48" s="307"/>
    </row>
    <row r="49" spans="1:14" x14ac:dyDescent="0.2">
      <c r="A49" s="131" t="s">
        <v>4039</v>
      </c>
      <c r="B49" s="131">
        <v>5071366</v>
      </c>
      <c r="C49" s="145">
        <v>538</v>
      </c>
      <c r="D49" s="307"/>
      <c r="E49" s="145">
        <v>742064</v>
      </c>
      <c r="F49" s="145">
        <v>75</v>
      </c>
      <c r="G49" s="307"/>
    </row>
    <row r="50" spans="1:14" x14ac:dyDescent="0.2">
      <c r="A50" s="131" t="s">
        <v>4040</v>
      </c>
      <c r="B50" s="131">
        <v>2404457</v>
      </c>
      <c r="C50" s="145">
        <v>855</v>
      </c>
      <c r="D50" s="307"/>
      <c r="E50" s="145">
        <v>955587</v>
      </c>
      <c r="F50" s="145">
        <v>35</v>
      </c>
      <c r="G50" s="307"/>
    </row>
    <row r="51" spans="1:14" x14ac:dyDescent="0.2">
      <c r="A51" s="131" t="s">
        <v>4041</v>
      </c>
      <c r="B51" s="131">
        <v>3485600</v>
      </c>
      <c r="C51" s="145">
        <v>878</v>
      </c>
      <c r="D51" s="307"/>
      <c r="E51" s="145">
        <v>2045813</v>
      </c>
      <c r="F51" s="145">
        <v>5</v>
      </c>
      <c r="G51" s="307"/>
    </row>
    <row r="52" spans="1:14" x14ac:dyDescent="0.2">
      <c r="A52" s="131" t="s">
        <v>3364</v>
      </c>
      <c r="B52" s="131">
        <v>1089531</v>
      </c>
      <c r="C52" s="145"/>
      <c r="D52" s="307"/>
      <c r="E52" s="145">
        <v>17376</v>
      </c>
      <c r="F52" s="145">
        <v>75</v>
      </c>
      <c r="G52" s="307"/>
    </row>
    <row r="53" spans="1:14" x14ac:dyDescent="0.2">
      <c r="A53" s="240" t="s">
        <v>1406</v>
      </c>
      <c r="B53" s="240">
        <v>24532227</v>
      </c>
      <c r="C53" s="318">
        <v>530</v>
      </c>
      <c r="D53" s="513"/>
      <c r="E53" s="318">
        <v>3929342</v>
      </c>
      <c r="F53" s="318"/>
      <c r="G53" s="513"/>
    </row>
    <row r="54" spans="1:14" x14ac:dyDescent="0.2">
      <c r="B54" s="393">
        <f t="shared" ref="B54:G54" si="2">+SUM(B47:B52)</f>
        <v>24532225</v>
      </c>
      <c r="C54" s="393">
        <f t="shared" si="2"/>
        <v>2530</v>
      </c>
      <c r="D54" s="393">
        <f t="shared" si="2"/>
        <v>0</v>
      </c>
      <c r="E54" s="393">
        <f t="shared" si="2"/>
        <v>3929339</v>
      </c>
      <c r="F54" s="393">
        <f t="shared" si="2"/>
        <v>300</v>
      </c>
      <c r="G54" s="393">
        <f t="shared" si="2"/>
        <v>0</v>
      </c>
    </row>
    <row r="57" spans="1:14" x14ac:dyDescent="0.2">
      <c r="A57" s="526" t="s">
        <v>1587</v>
      </c>
    </row>
    <row r="58" spans="1:14" ht="24.5" customHeight="1" x14ac:dyDescent="0.2">
      <c r="A58" s="1130" t="s">
        <v>4042</v>
      </c>
      <c r="B58" s="1131"/>
      <c r="C58" s="1131"/>
      <c r="D58" s="1131"/>
      <c r="E58" s="1131"/>
      <c r="F58" s="1131"/>
      <c r="G58" s="1131"/>
      <c r="H58" s="1131"/>
      <c r="I58" s="1131"/>
      <c r="J58" s="1131"/>
      <c r="K58" s="1131"/>
      <c r="L58" s="1131"/>
      <c r="M58" s="1132"/>
    </row>
    <row r="59" spans="1:14" ht="32" customHeight="1" x14ac:dyDescent="0.2">
      <c r="A59" s="751" t="s">
        <v>3597</v>
      </c>
      <c r="B59" s="1036" t="s">
        <v>3598</v>
      </c>
      <c r="C59" s="1036"/>
      <c r="D59" s="1036"/>
      <c r="E59" s="1036" t="s">
        <v>1882</v>
      </c>
      <c r="F59" s="1036"/>
      <c r="G59" s="1036"/>
      <c r="H59" s="1036" t="s">
        <v>3599</v>
      </c>
      <c r="I59" s="1036"/>
      <c r="J59" s="1036"/>
      <c r="K59" s="1036" t="s">
        <v>4043</v>
      </c>
      <c r="L59" s="1036"/>
      <c r="M59" s="1036"/>
    </row>
    <row r="60" spans="1:14" x14ac:dyDescent="0.2">
      <c r="A60" s="533" t="s">
        <v>3586</v>
      </c>
      <c r="B60" s="131">
        <v>798287</v>
      </c>
      <c r="C60" s="145">
        <v>10</v>
      </c>
      <c r="D60" s="133"/>
      <c r="E60" s="131">
        <v>84652</v>
      </c>
      <c r="F60" s="145">
        <v>60</v>
      </c>
      <c r="G60" s="307"/>
      <c r="H60" s="131">
        <v>713634</v>
      </c>
      <c r="I60" s="145">
        <v>50</v>
      </c>
      <c r="J60" s="133"/>
      <c r="K60" s="131">
        <v>10</v>
      </c>
      <c r="L60" s="145">
        <v>60</v>
      </c>
      <c r="M60" s="307"/>
      <c r="N60" s="1123">
        <f>+E60/B60</f>
        <v>0.10604206256647046</v>
      </c>
    </row>
    <row r="61" spans="1:14" x14ac:dyDescent="0.2">
      <c r="A61" s="533" t="s">
        <v>3587</v>
      </c>
      <c r="B61" s="131">
        <v>128818</v>
      </c>
      <c r="C61" s="145">
        <v>30</v>
      </c>
      <c r="D61" s="133"/>
      <c r="E61" s="131">
        <v>14465</v>
      </c>
      <c r="F61" s="145">
        <v>75</v>
      </c>
      <c r="G61" s="307"/>
      <c r="H61" s="131">
        <v>114352</v>
      </c>
      <c r="I61" s="145">
        <v>55</v>
      </c>
      <c r="J61" s="133"/>
      <c r="K61" s="131">
        <v>11</v>
      </c>
      <c r="L61" s="145">
        <v>22</v>
      </c>
      <c r="M61" s="307"/>
      <c r="N61" s="1124">
        <f t="shared" ref="N61:N70" si="3">+E61/B61</f>
        <v>0.11229020789020168</v>
      </c>
    </row>
    <row r="62" spans="1:14" x14ac:dyDescent="0.2">
      <c r="A62" s="533" t="s">
        <v>3588</v>
      </c>
      <c r="B62" s="131">
        <v>77331</v>
      </c>
      <c r="C62" s="145">
        <v>20</v>
      </c>
      <c r="D62" s="133"/>
      <c r="E62" s="131">
        <v>9962</v>
      </c>
      <c r="F62" s="145">
        <v>90</v>
      </c>
      <c r="G62" s="307"/>
      <c r="H62" s="131">
        <v>67368</v>
      </c>
      <c r="I62" s="145">
        <v>30</v>
      </c>
      <c r="J62" s="133"/>
      <c r="K62" s="131">
        <v>12</v>
      </c>
      <c r="L62" s="145">
        <v>18</v>
      </c>
      <c r="M62" s="307"/>
      <c r="N62" s="1124">
        <f t="shared" si="3"/>
        <v>0.12882285241365041</v>
      </c>
    </row>
    <row r="63" spans="1:14" x14ac:dyDescent="0.2">
      <c r="A63" s="534" t="s">
        <v>3589</v>
      </c>
      <c r="B63" s="131">
        <v>124032</v>
      </c>
      <c r="C63" s="145">
        <v>70</v>
      </c>
      <c r="D63" s="133"/>
      <c r="E63" s="131">
        <v>30952</v>
      </c>
      <c r="F63" s="145">
        <v>40</v>
      </c>
      <c r="G63" s="307"/>
      <c r="H63" s="131">
        <v>93080</v>
      </c>
      <c r="I63" s="145">
        <v>30</v>
      </c>
      <c r="J63" s="133"/>
      <c r="K63" s="131">
        <v>24</v>
      </c>
      <c r="L63" s="145">
        <v>95</v>
      </c>
      <c r="M63" s="307"/>
      <c r="N63" s="1123">
        <f t="shared" si="3"/>
        <v>0.24954850361197112</v>
      </c>
    </row>
    <row r="64" spans="1:14" x14ac:dyDescent="0.2">
      <c r="A64" s="534" t="s">
        <v>3590</v>
      </c>
      <c r="B64" s="131">
        <v>6585</v>
      </c>
      <c r="C64" s="145">
        <v>17</v>
      </c>
      <c r="D64" s="133">
        <v>0.5</v>
      </c>
      <c r="E64" s="131">
        <v>2124</v>
      </c>
      <c r="F64" s="145">
        <v>10</v>
      </c>
      <c r="G64" s="307"/>
      <c r="H64" s="131">
        <v>4461</v>
      </c>
      <c r="I64" s="145">
        <v>7</v>
      </c>
      <c r="J64" s="133">
        <v>0.5</v>
      </c>
      <c r="K64" s="131">
        <v>32</v>
      </c>
      <c r="L64" s="145">
        <v>25</v>
      </c>
      <c r="M64" s="307"/>
      <c r="N64" s="1124">
        <f t="shared" si="3"/>
        <v>0.3225512528473804</v>
      </c>
    </row>
    <row r="65" spans="1:14" x14ac:dyDescent="0.2">
      <c r="A65" s="534" t="s">
        <v>4044</v>
      </c>
      <c r="B65" s="131">
        <v>138880</v>
      </c>
      <c r="C65" s="145">
        <v>30</v>
      </c>
      <c r="D65" s="133"/>
      <c r="E65" s="131">
        <v>57830</v>
      </c>
      <c r="F65" s="145">
        <v>60</v>
      </c>
      <c r="G65" s="307"/>
      <c r="H65" s="131">
        <v>81049</v>
      </c>
      <c r="I65" s="145">
        <v>70</v>
      </c>
      <c r="J65" s="133"/>
      <c r="K65" s="131">
        <v>41</v>
      </c>
      <c r="L65" s="145">
        <v>64</v>
      </c>
      <c r="M65" s="307"/>
      <c r="N65" s="1123">
        <f t="shared" si="3"/>
        <v>0.41640264976958524</v>
      </c>
    </row>
    <row r="66" spans="1:14" x14ac:dyDescent="0.2">
      <c r="A66" s="534" t="s">
        <v>3807</v>
      </c>
      <c r="B66" s="131">
        <v>14919</v>
      </c>
      <c r="C66" s="145">
        <v>90</v>
      </c>
      <c r="D66" s="133"/>
      <c r="E66" s="131">
        <v>8396</v>
      </c>
      <c r="F66" s="145">
        <v>5</v>
      </c>
      <c r="G66" s="307"/>
      <c r="H66" s="131">
        <v>6523</v>
      </c>
      <c r="I66" s="145">
        <v>85</v>
      </c>
      <c r="J66" s="133"/>
      <c r="K66" s="131">
        <v>56</v>
      </c>
      <c r="L66" s="145">
        <v>27</v>
      </c>
      <c r="M66" s="307"/>
      <c r="N66" s="1124">
        <f t="shared" si="3"/>
        <v>0.56277230377371135</v>
      </c>
    </row>
    <row r="67" spans="1:14" x14ac:dyDescent="0.2">
      <c r="A67" s="534" t="s">
        <v>3592</v>
      </c>
      <c r="B67" s="131">
        <v>215</v>
      </c>
      <c r="C67" s="145">
        <v>20</v>
      </c>
      <c r="D67" s="133"/>
      <c r="E67" s="131">
        <v>2963</v>
      </c>
      <c r="F67" s="145">
        <v>5</v>
      </c>
      <c r="G67" s="307"/>
      <c r="H67" s="131"/>
      <c r="I67" s="145"/>
      <c r="J67" s="133"/>
      <c r="K67" s="131"/>
      <c r="L67" s="145"/>
      <c r="M67" s="307"/>
      <c r="N67" s="1123"/>
    </row>
    <row r="68" spans="1:14" x14ac:dyDescent="0.2">
      <c r="A68" s="534" t="s">
        <v>4045</v>
      </c>
      <c r="B68" s="131">
        <v>52354</v>
      </c>
      <c r="C68" s="145">
        <v>97</v>
      </c>
      <c r="D68" s="133">
        <v>0.5</v>
      </c>
      <c r="E68" s="131">
        <v>5703</v>
      </c>
      <c r="F68" s="145"/>
      <c r="G68" s="307"/>
      <c r="H68" s="131">
        <v>46651</v>
      </c>
      <c r="I68" s="145">
        <v>97</v>
      </c>
      <c r="J68" s="133">
        <v>0.5</v>
      </c>
      <c r="K68" s="131">
        <v>10</v>
      </c>
      <c r="L68" s="145">
        <v>89</v>
      </c>
      <c r="M68" s="307"/>
      <c r="N68" s="1123">
        <f t="shared" si="3"/>
        <v>0.10893150475608358</v>
      </c>
    </row>
    <row r="69" spans="1:14" x14ac:dyDescent="0.2">
      <c r="A69" s="534" t="s">
        <v>4046</v>
      </c>
      <c r="B69" s="131">
        <v>7924</v>
      </c>
      <c r="C69" s="145">
        <v>60</v>
      </c>
      <c r="D69" s="133"/>
      <c r="E69" s="131">
        <v>3954</v>
      </c>
      <c r="F69" s="145">
        <v>70</v>
      </c>
      <c r="G69" s="307"/>
      <c r="H69" s="131">
        <v>3969</v>
      </c>
      <c r="I69" s="145">
        <v>90</v>
      </c>
      <c r="J69" s="133"/>
      <c r="K69" s="131">
        <v>49</v>
      </c>
      <c r="L69" s="145">
        <v>87</v>
      </c>
      <c r="M69" s="307"/>
      <c r="N69" s="1124">
        <f t="shared" si="3"/>
        <v>0.49899040888440183</v>
      </c>
    </row>
    <row r="70" spans="1:14" x14ac:dyDescent="0.2">
      <c r="A70" s="1133" t="s">
        <v>3417</v>
      </c>
      <c r="B70" s="240">
        <v>1349349</v>
      </c>
      <c r="C70" s="318">
        <v>45</v>
      </c>
      <c r="D70" s="241"/>
      <c r="E70" s="240">
        <v>221005</v>
      </c>
      <c r="F70" s="318">
        <v>15</v>
      </c>
      <c r="G70" s="513"/>
      <c r="H70" s="240">
        <v>1131092</v>
      </c>
      <c r="I70" s="318">
        <v>15</v>
      </c>
      <c r="J70" s="241"/>
      <c r="K70" s="240">
        <v>16</v>
      </c>
      <c r="L70" s="318">
        <v>38</v>
      </c>
      <c r="M70" s="513"/>
      <c r="N70" s="1123">
        <f t="shared" si="3"/>
        <v>0.16378638884380542</v>
      </c>
    </row>
    <row r="71" spans="1:14" x14ac:dyDescent="0.2">
      <c r="B71" s="393">
        <f>+SUM(B60:B69)</f>
        <v>1349345</v>
      </c>
      <c r="C71" s="393">
        <f t="shared" ref="C71:J71" si="4">+SUM(C60:C69)</f>
        <v>444</v>
      </c>
      <c r="D71" s="1078">
        <f t="shared" si="4"/>
        <v>1</v>
      </c>
      <c r="E71" s="393">
        <f t="shared" si="4"/>
        <v>221001</v>
      </c>
      <c r="F71" s="393">
        <f t="shared" si="4"/>
        <v>415</v>
      </c>
      <c r="G71" s="393">
        <f t="shared" si="4"/>
        <v>0</v>
      </c>
      <c r="H71" s="393">
        <f t="shared" si="4"/>
        <v>1131087</v>
      </c>
      <c r="I71" s="393">
        <f t="shared" si="4"/>
        <v>514</v>
      </c>
      <c r="J71" s="1078">
        <f t="shared" si="4"/>
        <v>1</v>
      </c>
      <c r="K71" s="393"/>
      <c r="L71" s="393"/>
      <c r="M71" s="393"/>
    </row>
    <row r="74" spans="1:14" x14ac:dyDescent="0.2">
      <c r="A74" s="526" t="s">
        <v>2602</v>
      </c>
    </row>
    <row r="75" spans="1:14" ht="33.5" customHeight="1" x14ac:dyDescent="0.2">
      <c r="A75" s="1134" t="s">
        <v>4047</v>
      </c>
      <c r="B75" s="1135"/>
      <c r="C75" s="1135"/>
      <c r="D75" s="1135"/>
      <c r="E75" s="1135"/>
      <c r="F75" s="1135"/>
      <c r="G75" s="1135"/>
      <c r="H75" s="1135"/>
      <c r="I75" s="1135"/>
      <c r="J75" s="1136"/>
    </row>
    <row r="76" spans="1:14" ht="29.5" customHeight="1" x14ac:dyDescent="0.2">
      <c r="A76" s="751" t="s">
        <v>2636</v>
      </c>
      <c r="B76" s="1036" t="s">
        <v>4048</v>
      </c>
      <c r="C76" s="1036"/>
      <c r="D76" s="1036"/>
      <c r="E76" s="1036" t="s">
        <v>4049</v>
      </c>
      <c r="F76" s="1036"/>
      <c r="G76" s="1036"/>
      <c r="H76" s="1036" t="s">
        <v>4050</v>
      </c>
      <c r="I76" s="1036"/>
      <c r="J76" s="1036"/>
    </row>
    <row r="77" spans="1:14" x14ac:dyDescent="0.2">
      <c r="A77" s="533" t="s">
        <v>1367</v>
      </c>
      <c r="B77" s="131">
        <v>636877</v>
      </c>
      <c r="C77" s="145"/>
      <c r="D77" s="307"/>
      <c r="E77" s="131"/>
      <c r="F77" s="145"/>
      <c r="G77" s="307"/>
      <c r="H77" s="131">
        <v>636877</v>
      </c>
      <c r="I77" s="145"/>
      <c r="J77" s="307"/>
    </row>
    <row r="78" spans="1:14" x14ac:dyDescent="0.2">
      <c r="A78" s="533" t="s">
        <v>2666</v>
      </c>
      <c r="B78" s="131">
        <v>339875</v>
      </c>
      <c r="C78" s="145">
        <v>20</v>
      </c>
      <c r="D78" s="307"/>
      <c r="E78" s="131"/>
      <c r="F78" s="145"/>
      <c r="G78" s="307"/>
      <c r="H78" s="131">
        <v>339875</v>
      </c>
      <c r="I78" s="145">
        <v>20</v>
      </c>
      <c r="J78" s="307"/>
    </row>
    <row r="79" spans="1:14" x14ac:dyDescent="0.2">
      <c r="A79" s="533" t="s">
        <v>2693</v>
      </c>
      <c r="B79" s="131">
        <v>840318</v>
      </c>
      <c r="C79" s="145"/>
      <c r="D79" s="307"/>
      <c r="E79" s="131">
        <v>472272</v>
      </c>
      <c r="F79" s="145">
        <v>35</v>
      </c>
      <c r="G79" s="307"/>
      <c r="H79" s="131">
        <v>1312590</v>
      </c>
      <c r="I79" s="145">
        <v>35</v>
      </c>
      <c r="J79" s="307"/>
    </row>
    <row r="80" spans="1:14" x14ac:dyDescent="0.2">
      <c r="A80" s="534" t="s">
        <v>2694</v>
      </c>
      <c r="B80" s="131">
        <v>174873</v>
      </c>
      <c r="C80" s="145">
        <v>65</v>
      </c>
      <c r="D80" s="307"/>
      <c r="E80" s="131">
        <v>40480</v>
      </c>
      <c r="F80" s="145">
        <v>40</v>
      </c>
      <c r="G80" s="307"/>
      <c r="H80" s="131">
        <v>215354</v>
      </c>
      <c r="I80" s="145">
        <v>5</v>
      </c>
      <c r="J80" s="307"/>
    </row>
    <row r="81" spans="1:41" x14ac:dyDescent="0.2">
      <c r="A81" s="534" t="s">
        <v>2668</v>
      </c>
      <c r="B81" s="131">
        <v>712797</v>
      </c>
      <c r="C81" s="145">
        <v>25</v>
      </c>
      <c r="D81" s="307"/>
      <c r="E81" s="131">
        <v>404804</v>
      </c>
      <c r="F81" s="145">
        <v>85</v>
      </c>
      <c r="G81" s="307"/>
      <c r="H81" s="131">
        <v>1117602</v>
      </c>
      <c r="I81" s="145">
        <v>10</v>
      </c>
      <c r="J81" s="307"/>
    </row>
    <row r="82" spans="1:41" x14ac:dyDescent="0.2">
      <c r="A82" s="534" t="s">
        <v>2695</v>
      </c>
      <c r="B82" s="131">
        <v>115780</v>
      </c>
      <c r="C82" s="145">
        <v>5</v>
      </c>
      <c r="D82" s="307"/>
      <c r="E82" s="131"/>
      <c r="F82" s="145"/>
      <c r="G82" s="307"/>
      <c r="H82" s="131">
        <v>115780</v>
      </c>
      <c r="I82" s="145">
        <v>5</v>
      </c>
      <c r="J82" s="307"/>
    </row>
    <row r="83" spans="1:41" x14ac:dyDescent="0.2">
      <c r="A83" s="534" t="s">
        <v>1371</v>
      </c>
      <c r="B83" s="131"/>
      <c r="C83" s="145"/>
      <c r="D83" s="307"/>
      <c r="E83" s="131"/>
      <c r="F83" s="145"/>
      <c r="G83" s="307"/>
      <c r="H83" s="131"/>
      <c r="I83" s="145"/>
      <c r="J83" s="307"/>
    </row>
    <row r="84" spans="1:41" x14ac:dyDescent="0.2">
      <c r="A84" s="534" t="s">
        <v>2671</v>
      </c>
      <c r="B84" s="131">
        <v>770104</v>
      </c>
      <c r="C84" s="145">
        <v>92</v>
      </c>
      <c r="D84" s="307"/>
      <c r="E84" s="131">
        <v>296856</v>
      </c>
      <c r="F84" s="145">
        <v>89</v>
      </c>
      <c r="G84" s="307"/>
      <c r="H84" s="131">
        <v>1066961</v>
      </c>
      <c r="I84" s="145">
        <v>81</v>
      </c>
      <c r="J84" s="307"/>
    </row>
    <row r="85" spans="1:41" x14ac:dyDescent="0.2">
      <c r="A85" s="534" t="s">
        <v>2672</v>
      </c>
      <c r="B85" s="131">
        <v>401798</v>
      </c>
      <c r="C85" s="145">
        <v>28</v>
      </c>
      <c r="D85" s="307"/>
      <c r="E85" s="131">
        <v>134934</v>
      </c>
      <c r="F85" s="145">
        <v>96</v>
      </c>
      <c r="G85" s="307"/>
      <c r="H85" s="131">
        <v>536733</v>
      </c>
      <c r="I85" s="145">
        <v>24</v>
      </c>
      <c r="J85" s="307"/>
    </row>
    <row r="86" spans="1:41" x14ac:dyDescent="0.2">
      <c r="A86" s="823" t="s">
        <v>4051</v>
      </c>
      <c r="B86" s="240">
        <v>3992424</v>
      </c>
      <c r="C86" s="318">
        <v>35</v>
      </c>
      <c r="D86" s="513"/>
      <c r="E86" s="240">
        <v>1349349</v>
      </c>
      <c r="F86" s="318">
        <v>45</v>
      </c>
      <c r="G86" s="513"/>
      <c r="H86" s="240">
        <v>5341773</v>
      </c>
      <c r="I86" s="318">
        <v>40</v>
      </c>
      <c r="J86" s="513"/>
    </row>
    <row r="87" spans="1:41" x14ac:dyDescent="0.2">
      <c r="B87" s="393">
        <f>+SUM(B77:B85)</f>
        <v>3992422</v>
      </c>
      <c r="C87" s="393">
        <f t="shared" ref="C87:J87" si="5">+SUM(C77:C85)</f>
        <v>235</v>
      </c>
      <c r="D87" s="393">
        <f t="shared" si="5"/>
        <v>0</v>
      </c>
      <c r="E87" s="393">
        <f t="shared" si="5"/>
        <v>1349346</v>
      </c>
      <c r="F87" s="393">
        <f t="shared" si="5"/>
        <v>345</v>
      </c>
      <c r="G87" s="393">
        <f t="shared" si="5"/>
        <v>0</v>
      </c>
      <c r="H87" s="393">
        <f t="shared" si="5"/>
        <v>5341772</v>
      </c>
      <c r="I87" s="1137">
        <f t="shared" si="5"/>
        <v>180</v>
      </c>
      <c r="J87" s="1137">
        <f t="shared" si="5"/>
        <v>0</v>
      </c>
    </row>
    <row r="90" spans="1:41" x14ac:dyDescent="0.2">
      <c r="A90" s="526" t="s">
        <v>4052</v>
      </c>
    </row>
    <row r="91" spans="1:41" ht="16" x14ac:dyDescent="0.2">
      <c r="A91" s="839" t="s">
        <v>4053</v>
      </c>
      <c r="B91" s="942"/>
      <c r="C91" s="942"/>
      <c r="D91" s="942"/>
      <c r="E91" s="942"/>
      <c r="F91" s="942"/>
      <c r="G91" s="942"/>
      <c r="H91" s="942"/>
      <c r="I91" s="942"/>
      <c r="J91" s="942"/>
      <c r="K91" s="942"/>
      <c r="L91" s="942"/>
      <c r="M91" s="942"/>
      <c r="N91" s="942"/>
      <c r="O91" s="942"/>
      <c r="P91" s="942"/>
      <c r="Q91" s="942"/>
      <c r="R91" s="942"/>
      <c r="S91" s="942"/>
      <c r="T91" s="942"/>
      <c r="U91" s="942"/>
      <c r="V91" s="942"/>
      <c r="W91" s="942"/>
      <c r="X91" s="942"/>
      <c r="Y91" s="942"/>
      <c r="Z91" s="942"/>
      <c r="AA91" s="942"/>
      <c r="AB91" s="942"/>
      <c r="AC91" s="942"/>
      <c r="AD91" s="942"/>
      <c r="AE91" s="942"/>
      <c r="AF91" s="942"/>
      <c r="AG91" s="942"/>
      <c r="AH91" s="942"/>
      <c r="AI91" s="942"/>
      <c r="AJ91" s="942"/>
      <c r="AK91" s="942"/>
      <c r="AL91" s="942"/>
      <c r="AM91" s="942"/>
      <c r="AN91" s="942"/>
      <c r="AO91" s="840"/>
    </row>
    <row r="92" spans="1:41" x14ac:dyDescent="0.2">
      <c r="A92" s="566" t="s">
        <v>4054</v>
      </c>
      <c r="B92" s="567"/>
      <c r="C92" s="567"/>
      <c r="D92" s="567"/>
      <c r="E92" s="567"/>
      <c r="F92" s="567"/>
      <c r="G92" s="567"/>
      <c r="H92" s="567"/>
      <c r="I92" s="567"/>
      <c r="J92" s="567"/>
      <c r="K92" s="567"/>
      <c r="L92" s="567"/>
      <c r="M92" s="567"/>
      <c r="N92" s="567"/>
      <c r="O92" s="567"/>
      <c r="P92" s="567"/>
      <c r="Q92" s="567"/>
      <c r="R92" s="567"/>
      <c r="S92" s="567"/>
      <c r="T92" s="567"/>
      <c r="U92" s="567"/>
      <c r="V92" s="567"/>
      <c r="W92" s="567"/>
      <c r="X92" s="567"/>
      <c r="Y92" s="567"/>
      <c r="Z92" s="567"/>
      <c r="AA92" s="567"/>
      <c r="AB92" s="567"/>
      <c r="AC92" s="567"/>
      <c r="AD92" s="567"/>
      <c r="AE92" s="567"/>
      <c r="AF92" s="567"/>
      <c r="AG92" s="567"/>
      <c r="AH92" s="567"/>
      <c r="AI92" s="567"/>
      <c r="AJ92" s="567"/>
      <c r="AK92" s="567"/>
      <c r="AL92" s="567"/>
      <c r="AM92" s="567"/>
      <c r="AN92" s="567"/>
      <c r="AO92" s="568"/>
    </row>
    <row r="93" spans="1:41" x14ac:dyDescent="0.2">
      <c r="A93" s="861" t="s">
        <v>4055</v>
      </c>
      <c r="B93" s="862"/>
      <c r="C93" s="862"/>
      <c r="D93" s="862"/>
      <c r="E93" s="862"/>
      <c r="F93" s="862"/>
      <c r="G93" s="862"/>
      <c r="H93" s="862"/>
      <c r="I93" s="862"/>
      <c r="J93" s="862"/>
      <c r="K93" s="862"/>
      <c r="L93" s="862"/>
      <c r="M93" s="862"/>
      <c r="N93" s="862"/>
      <c r="O93" s="862"/>
      <c r="P93" s="862"/>
      <c r="Q93" s="862"/>
      <c r="R93" s="862"/>
      <c r="S93" s="862"/>
      <c r="T93" s="862"/>
      <c r="U93" s="862"/>
      <c r="V93" s="862"/>
      <c r="W93" s="862"/>
      <c r="X93" s="862"/>
      <c r="Y93" s="862"/>
      <c r="Z93" s="862"/>
      <c r="AA93" s="862"/>
      <c r="AB93" s="862"/>
      <c r="AC93" s="862"/>
      <c r="AD93" s="862"/>
      <c r="AE93" s="862"/>
      <c r="AF93" s="862"/>
      <c r="AG93" s="862"/>
      <c r="AH93" s="862"/>
      <c r="AI93" s="862"/>
      <c r="AJ93" s="862"/>
      <c r="AK93" s="862"/>
      <c r="AL93" s="862"/>
      <c r="AM93" s="862"/>
      <c r="AN93" s="862"/>
      <c r="AO93" s="863"/>
    </row>
    <row r="94" spans="1:41" x14ac:dyDescent="0.2">
      <c r="A94" s="838" t="s">
        <v>3254</v>
      </c>
      <c r="B94" s="1043" t="s">
        <v>4056</v>
      </c>
      <c r="C94" s="1138"/>
      <c r="D94" s="1138"/>
      <c r="E94" s="1138"/>
      <c r="F94" s="1138"/>
      <c r="G94" s="1138"/>
      <c r="H94" s="1138"/>
      <c r="I94" s="1138"/>
      <c r="J94" s="1138"/>
      <c r="K94" s="1138"/>
      <c r="L94" s="1138"/>
      <c r="M94" s="1138"/>
      <c r="N94" s="838" t="s">
        <v>3394</v>
      </c>
      <c r="O94" s="838"/>
      <c r="P94" s="793" t="s">
        <v>4057</v>
      </c>
      <c r="Q94" s="793"/>
      <c r="R94" s="793"/>
      <c r="S94" s="793"/>
      <c r="T94" s="793"/>
      <c r="U94" s="793"/>
      <c r="V94" s="793"/>
      <c r="W94" s="793"/>
      <c r="X94" s="793"/>
      <c r="Y94" s="793"/>
      <c r="Z94" s="793"/>
      <c r="AA94" s="793"/>
      <c r="AB94" s="793"/>
      <c r="AC94" s="793"/>
      <c r="AD94" s="793"/>
      <c r="AE94" s="793"/>
      <c r="AF94" s="793"/>
      <c r="AG94" s="793"/>
      <c r="AH94" s="793"/>
      <c r="AI94" s="793"/>
      <c r="AJ94" s="793"/>
      <c r="AK94" s="793"/>
      <c r="AL94" s="793" t="s">
        <v>3396</v>
      </c>
      <c r="AM94" s="793"/>
      <c r="AN94" s="793"/>
      <c r="AO94" s="793"/>
    </row>
    <row r="95" spans="1:41" x14ac:dyDescent="0.2">
      <c r="A95" s="838"/>
      <c r="B95" s="1139" t="s">
        <v>4058</v>
      </c>
      <c r="C95" s="1140"/>
      <c r="D95" s="1140"/>
      <c r="E95" s="1140"/>
      <c r="F95" s="1140"/>
      <c r="G95" s="1140"/>
      <c r="H95" s="1140" t="s">
        <v>4059</v>
      </c>
      <c r="I95" s="1140"/>
      <c r="J95" s="1140"/>
      <c r="K95" s="1140"/>
      <c r="L95" s="1140"/>
      <c r="M95" s="1140"/>
      <c r="N95" s="1141" t="s">
        <v>4060</v>
      </c>
      <c r="O95" s="1141" t="s">
        <v>4061</v>
      </c>
      <c r="P95" s="1142" t="s">
        <v>4062</v>
      </c>
      <c r="Q95" s="1142"/>
      <c r="R95" s="1142"/>
      <c r="S95" s="1142"/>
      <c r="T95" s="1142"/>
      <c r="U95" s="1142"/>
      <c r="V95" s="1142"/>
      <c r="W95" s="1142"/>
      <c r="X95" s="1142"/>
      <c r="Y95" s="1142"/>
      <c r="Z95" s="1142"/>
      <c r="AA95" s="1142"/>
      <c r="AB95" s="1142"/>
      <c r="AC95" s="1142"/>
      <c r="AD95" s="1036" t="s">
        <v>4063</v>
      </c>
      <c r="AE95" s="1142" t="s">
        <v>4064</v>
      </c>
      <c r="AF95" s="1142"/>
      <c r="AG95" s="1142"/>
      <c r="AH95" s="1142"/>
      <c r="AI95" s="1142"/>
      <c r="AJ95" s="1142"/>
      <c r="AK95" s="1142"/>
      <c r="AL95" s="1036" t="s">
        <v>4062</v>
      </c>
      <c r="AM95" s="1036"/>
      <c r="AN95" s="1036" t="s">
        <v>4064</v>
      </c>
      <c r="AO95" s="1036"/>
    </row>
    <row r="96" spans="1:41" x14ac:dyDescent="0.2">
      <c r="A96" s="838"/>
      <c r="B96" s="1143" t="s">
        <v>4065</v>
      </c>
      <c r="C96" s="1144"/>
      <c r="D96" s="1144"/>
      <c r="E96" s="1144" t="s">
        <v>4066</v>
      </c>
      <c r="F96" s="1144"/>
      <c r="G96" s="1144"/>
      <c r="H96" s="1144" t="s">
        <v>4065</v>
      </c>
      <c r="I96" s="1144"/>
      <c r="J96" s="1144"/>
      <c r="K96" s="1144" t="s">
        <v>4066</v>
      </c>
      <c r="L96" s="1144"/>
      <c r="M96" s="1144"/>
      <c r="N96" s="1141"/>
      <c r="O96" s="1141"/>
      <c r="P96" s="1027" t="s">
        <v>3271</v>
      </c>
      <c r="Q96" s="1027"/>
      <c r="R96" s="1027" t="s">
        <v>3272</v>
      </c>
      <c r="S96" s="1027"/>
      <c r="T96" s="1027" t="s">
        <v>3577</v>
      </c>
      <c r="U96" s="1027"/>
      <c r="V96" s="1027" t="s">
        <v>3578</v>
      </c>
      <c r="W96" s="1027"/>
      <c r="X96" s="1027" t="s">
        <v>3579</v>
      </c>
      <c r="Y96" s="1027"/>
      <c r="Z96" s="1027" t="s">
        <v>3275</v>
      </c>
      <c r="AA96" s="1027"/>
      <c r="AB96" s="1027" t="s">
        <v>3276</v>
      </c>
      <c r="AC96" s="1027"/>
      <c r="AD96" s="1036"/>
      <c r="AE96" s="1141" t="s">
        <v>4067</v>
      </c>
      <c r="AF96" s="1141"/>
      <c r="AG96" s="1141" t="s">
        <v>4068</v>
      </c>
      <c r="AH96" s="1141"/>
      <c r="AI96" s="1141" t="s">
        <v>4069</v>
      </c>
      <c r="AJ96" s="1141"/>
      <c r="AK96" s="1141" t="s">
        <v>4070</v>
      </c>
      <c r="AL96" s="1036"/>
      <c r="AM96" s="1036"/>
      <c r="AN96" s="1036"/>
      <c r="AO96" s="1036"/>
    </row>
    <row r="97" spans="1:41" ht="14.5" customHeight="1" x14ac:dyDescent="0.2">
      <c r="A97" s="838"/>
      <c r="B97" s="1054" t="s">
        <v>3407</v>
      </c>
      <c r="C97" s="1036" t="s">
        <v>1636</v>
      </c>
      <c r="D97" s="1036"/>
      <c r="E97" s="1036" t="s">
        <v>3407</v>
      </c>
      <c r="F97" s="1036" t="s">
        <v>1636</v>
      </c>
      <c r="G97" s="1036"/>
      <c r="H97" s="1036" t="s">
        <v>3407</v>
      </c>
      <c r="I97" s="1036" t="s">
        <v>1636</v>
      </c>
      <c r="J97" s="1036"/>
      <c r="K97" s="1036" t="s">
        <v>3407</v>
      </c>
      <c r="L97" s="1036" t="s">
        <v>1636</v>
      </c>
      <c r="M97" s="1036"/>
      <c r="N97" s="1036" t="s">
        <v>3407</v>
      </c>
      <c r="O97" s="1036" t="s">
        <v>3407</v>
      </c>
      <c r="P97" s="1027"/>
      <c r="Q97" s="1027"/>
      <c r="R97" s="1027"/>
      <c r="S97" s="1027"/>
      <c r="T97" s="1027"/>
      <c r="U97" s="1027"/>
      <c r="V97" s="1027"/>
      <c r="W97" s="1027"/>
      <c r="X97" s="1027"/>
      <c r="Y97" s="1027"/>
      <c r="Z97" s="1027"/>
      <c r="AA97" s="1027"/>
      <c r="AB97" s="1027"/>
      <c r="AC97" s="1027"/>
      <c r="AD97" s="1036"/>
      <c r="AE97" s="1141"/>
      <c r="AF97" s="1141"/>
      <c r="AG97" s="1141"/>
      <c r="AH97" s="1141"/>
      <c r="AI97" s="1141"/>
      <c r="AJ97" s="1141"/>
      <c r="AK97" s="1141"/>
      <c r="AL97" s="1036"/>
      <c r="AM97" s="1036"/>
      <c r="AN97" s="1036"/>
      <c r="AO97" s="1036"/>
    </row>
    <row r="98" spans="1:41" x14ac:dyDescent="0.2">
      <c r="A98" s="838"/>
      <c r="B98" s="1054"/>
      <c r="C98" s="1036"/>
      <c r="D98" s="1036"/>
      <c r="E98" s="1036"/>
      <c r="F98" s="1036"/>
      <c r="G98" s="1036"/>
      <c r="H98" s="1036"/>
      <c r="I98" s="1036"/>
      <c r="J98" s="1036"/>
      <c r="K98" s="1036"/>
      <c r="L98" s="1036"/>
      <c r="M98" s="1036"/>
      <c r="N98" s="1036"/>
      <c r="O98" s="1036"/>
      <c r="P98" s="1034" t="s">
        <v>3327</v>
      </c>
      <c r="Q98" s="1034" t="s">
        <v>4071</v>
      </c>
      <c r="R98" s="1034" t="s">
        <v>3327</v>
      </c>
      <c r="S98" s="1034" t="s">
        <v>4071</v>
      </c>
      <c r="T98" s="1034" t="s">
        <v>3327</v>
      </c>
      <c r="U98" s="1034" t="s">
        <v>4071</v>
      </c>
      <c r="V98" s="1034" t="s">
        <v>3327</v>
      </c>
      <c r="W98" s="1034" t="s">
        <v>4071</v>
      </c>
      <c r="X98" s="1034" t="s">
        <v>3327</v>
      </c>
      <c r="Y98" s="1034" t="s">
        <v>4071</v>
      </c>
      <c r="Z98" s="1034" t="s">
        <v>3327</v>
      </c>
      <c r="AA98" s="1034" t="s">
        <v>4071</v>
      </c>
      <c r="AB98" s="1034" t="s">
        <v>3327</v>
      </c>
      <c r="AC98" s="1034" t="s">
        <v>4071</v>
      </c>
      <c r="AD98" s="1036"/>
      <c r="AE98" s="1034" t="s">
        <v>3327</v>
      </c>
      <c r="AF98" s="1034" t="s">
        <v>4071</v>
      </c>
      <c r="AG98" s="1034" t="s">
        <v>3327</v>
      </c>
      <c r="AH98" s="1034" t="s">
        <v>4071</v>
      </c>
      <c r="AI98" s="1034" t="s">
        <v>3327</v>
      </c>
      <c r="AJ98" s="1034" t="s">
        <v>4071</v>
      </c>
      <c r="AK98" s="1034" t="s">
        <v>4072</v>
      </c>
      <c r="AL98" s="1034" t="s">
        <v>3373</v>
      </c>
      <c r="AM98" s="1034" t="s">
        <v>3374</v>
      </c>
      <c r="AN98" s="1034" t="s">
        <v>3373</v>
      </c>
      <c r="AO98" s="1034" t="s">
        <v>3415</v>
      </c>
    </row>
    <row r="99" spans="1:41" x14ac:dyDescent="0.2">
      <c r="A99" s="533" t="s">
        <v>1526</v>
      </c>
      <c r="B99" s="716">
        <v>125</v>
      </c>
      <c r="C99" s="349">
        <v>9983</v>
      </c>
      <c r="D99" s="352"/>
      <c r="E99" s="145">
        <v>1</v>
      </c>
      <c r="F99" s="349">
        <v>2200</v>
      </c>
      <c r="G99" s="717"/>
      <c r="H99" s="145">
        <v>121</v>
      </c>
      <c r="I99" s="349">
        <v>9351</v>
      </c>
      <c r="J99" s="352">
        <v>0.5</v>
      </c>
      <c r="K99" s="145">
        <v>1</v>
      </c>
      <c r="L99" s="349">
        <v>2200</v>
      </c>
      <c r="M99" s="717"/>
      <c r="N99" s="145">
        <v>48444</v>
      </c>
      <c r="O99" s="716">
        <v>52354</v>
      </c>
      <c r="P99" s="145">
        <v>532344</v>
      </c>
      <c r="Q99" s="145"/>
      <c r="R99" s="349">
        <v>63378</v>
      </c>
      <c r="S99" s="717">
        <v>500</v>
      </c>
      <c r="T99" s="145">
        <v>63378</v>
      </c>
      <c r="U99" s="145">
        <v>500</v>
      </c>
      <c r="V99" s="349">
        <v>62226</v>
      </c>
      <c r="W99" s="717">
        <v>750</v>
      </c>
      <c r="X99" s="145">
        <v>34026</v>
      </c>
      <c r="Y99" s="145"/>
      <c r="Z99" s="349"/>
      <c r="AA99" s="717"/>
      <c r="AB99" s="145">
        <v>86034</v>
      </c>
      <c r="AC99" s="145">
        <v>250</v>
      </c>
      <c r="AD99" s="716">
        <v>1585</v>
      </c>
      <c r="AE99" s="349">
        <v>454727</v>
      </c>
      <c r="AF99" s="717">
        <v>120</v>
      </c>
      <c r="AG99" s="145">
        <v>10130</v>
      </c>
      <c r="AH99" s="145"/>
      <c r="AI99" s="349">
        <v>1786707</v>
      </c>
      <c r="AJ99" s="717"/>
      <c r="AK99" s="145">
        <v>1950</v>
      </c>
      <c r="AL99" s="349">
        <v>144556</v>
      </c>
      <c r="AM99" s="717">
        <v>75</v>
      </c>
      <c r="AN99" s="349">
        <v>261085</v>
      </c>
      <c r="AO99" s="717">
        <v>41</v>
      </c>
    </row>
    <row r="100" spans="1:41" x14ac:dyDescent="0.2">
      <c r="A100" s="533" t="s">
        <v>1373</v>
      </c>
      <c r="B100" s="533">
        <v>44</v>
      </c>
      <c r="C100" s="131">
        <v>3418</v>
      </c>
      <c r="D100" s="133"/>
      <c r="E100" s="145">
        <v>18</v>
      </c>
      <c r="F100" s="131">
        <v>21281</v>
      </c>
      <c r="G100" s="307"/>
      <c r="H100" s="145">
        <v>41</v>
      </c>
      <c r="I100" s="131">
        <v>3123</v>
      </c>
      <c r="J100" s="133"/>
      <c r="K100" s="145">
        <v>18</v>
      </c>
      <c r="L100" s="131">
        <v>21281</v>
      </c>
      <c r="M100" s="307"/>
      <c r="N100" s="145">
        <v>10918</v>
      </c>
      <c r="O100" s="533">
        <v>9116</v>
      </c>
      <c r="P100" s="145">
        <v>175967</v>
      </c>
      <c r="Q100" s="145">
        <v>500</v>
      </c>
      <c r="R100" s="131">
        <v>67239</v>
      </c>
      <c r="S100" s="307">
        <v>610</v>
      </c>
      <c r="T100" s="145">
        <v>67239</v>
      </c>
      <c r="U100" s="145">
        <v>610</v>
      </c>
      <c r="V100" s="131">
        <v>34782</v>
      </c>
      <c r="W100" s="307">
        <v>705</v>
      </c>
      <c r="X100" s="145">
        <v>28932</v>
      </c>
      <c r="Y100" s="145">
        <v>465</v>
      </c>
      <c r="Z100" s="131"/>
      <c r="AA100" s="307"/>
      <c r="AB100" s="145">
        <v>513308</v>
      </c>
      <c r="AC100" s="145">
        <v>180</v>
      </c>
      <c r="AD100" s="533"/>
      <c r="AE100" s="131">
        <v>31750</v>
      </c>
      <c r="AF100" s="307"/>
      <c r="AG100" s="145">
        <v>110690</v>
      </c>
      <c r="AH100" s="145"/>
      <c r="AI100" s="131">
        <v>191168</v>
      </c>
      <c r="AJ100" s="307">
        <v>500</v>
      </c>
      <c r="AK100" s="145">
        <v>35090</v>
      </c>
      <c r="AL100" s="131">
        <v>117628</v>
      </c>
      <c r="AM100" s="307">
        <v>38</v>
      </c>
      <c r="AN100" s="131">
        <v>44166</v>
      </c>
      <c r="AO100" s="307">
        <v>50</v>
      </c>
    </row>
    <row r="101" spans="1:41" x14ac:dyDescent="0.2">
      <c r="A101" s="533" t="s">
        <v>3668</v>
      </c>
      <c r="B101" s="533">
        <v>91</v>
      </c>
      <c r="C101" s="131">
        <v>16403</v>
      </c>
      <c r="D101" s="133"/>
      <c r="E101" s="145">
        <v>176</v>
      </c>
      <c r="F101" s="131">
        <v>251814</v>
      </c>
      <c r="G101" s="307"/>
      <c r="H101" s="145">
        <v>90</v>
      </c>
      <c r="I101" s="131">
        <v>14540</v>
      </c>
      <c r="J101" s="133"/>
      <c r="K101" s="145">
        <v>172</v>
      </c>
      <c r="L101" s="131">
        <v>246969</v>
      </c>
      <c r="M101" s="307"/>
      <c r="N101" s="145">
        <v>340063</v>
      </c>
      <c r="O101" s="533">
        <v>442747</v>
      </c>
      <c r="P101" s="145">
        <v>4645678</v>
      </c>
      <c r="Q101" s="145">
        <v>285</v>
      </c>
      <c r="R101" s="131">
        <v>3365443</v>
      </c>
      <c r="S101" s="307">
        <v>328</v>
      </c>
      <c r="T101" s="145">
        <v>3365443</v>
      </c>
      <c r="U101" s="145">
        <v>328</v>
      </c>
      <c r="V101" s="131">
        <v>1962571</v>
      </c>
      <c r="W101" s="307">
        <v>250</v>
      </c>
      <c r="X101" s="145">
        <v>2827468</v>
      </c>
      <c r="Y101" s="145">
        <v>913</v>
      </c>
      <c r="Z101" s="131">
        <v>237</v>
      </c>
      <c r="AA101" s="307"/>
      <c r="AB101" s="145">
        <v>15173671</v>
      </c>
      <c r="AC101" s="145">
        <v>600</v>
      </c>
      <c r="AD101" s="533">
        <v>19344</v>
      </c>
      <c r="AE101" s="131">
        <v>1325699</v>
      </c>
      <c r="AF101" s="307"/>
      <c r="AG101" s="145">
        <v>969338</v>
      </c>
      <c r="AH101" s="145">
        <v>650</v>
      </c>
      <c r="AI101" s="131">
        <v>15588697</v>
      </c>
      <c r="AJ101" s="307"/>
      <c r="AK101" s="145">
        <v>158054</v>
      </c>
      <c r="AL101" s="131">
        <v>8296420</v>
      </c>
      <c r="AM101" s="307">
        <v>90</v>
      </c>
      <c r="AN101" s="131">
        <v>9944500</v>
      </c>
      <c r="AO101" s="307">
        <v>10</v>
      </c>
    </row>
    <row r="102" spans="1:41" x14ac:dyDescent="0.2">
      <c r="A102" s="533" t="s">
        <v>1369</v>
      </c>
      <c r="B102" s="533">
        <v>56</v>
      </c>
      <c r="C102" s="131">
        <v>5026</v>
      </c>
      <c r="D102" s="133"/>
      <c r="E102" s="145">
        <v>95</v>
      </c>
      <c r="F102" s="131">
        <v>148662</v>
      </c>
      <c r="G102" s="307"/>
      <c r="H102" s="145">
        <v>56</v>
      </c>
      <c r="I102" s="131">
        <v>4846</v>
      </c>
      <c r="J102" s="133"/>
      <c r="K102" s="145">
        <v>100</v>
      </c>
      <c r="L102" s="131">
        <v>148612</v>
      </c>
      <c r="M102" s="307"/>
      <c r="N102" s="145">
        <v>93036</v>
      </c>
      <c r="O102" s="533">
        <v>378020</v>
      </c>
      <c r="P102" s="145">
        <v>709465</v>
      </c>
      <c r="Q102" s="145"/>
      <c r="R102" s="131">
        <v>679938</v>
      </c>
      <c r="S102" s="307"/>
      <c r="T102" s="145">
        <v>679938</v>
      </c>
      <c r="U102" s="145"/>
      <c r="V102" s="131">
        <v>148760</v>
      </c>
      <c r="W102" s="307"/>
      <c r="X102" s="145">
        <v>242383</v>
      </c>
      <c r="Y102" s="145"/>
      <c r="Z102" s="131"/>
      <c r="AA102" s="307"/>
      <c r="AB102" s="145">
        <v>2731606</v>
      </c>
      <c r="AC102" s="145"/>
      <c r="AD102" s="533">
        <v>1549</v>
      </c>
      <c r="AE102" s="131">
        <v>325399</v>
      </c>
      <c r="AF102" s="307"/>
      <c r="AG102" s="145">
        <v>416</v>
      </c>
      <c r="AH102" s="145"/>
      <c r="AI102" s="131">
        <v>5877700</v>
      </c>
      <c r="AJ102" s="307"/>
      <c r="AK102" s="145">
        <v>244182</v>
      </c>
      <c r="AL102" s="131">
        <v>753428</v>
      </c>
      <c r="AM102" s="307"/>
      <c r="AN102" s="131">
        <v>701830</v>
      </c>
      <c r="AO102" s="307"/>
    </row>
    <row r="103" spans="1:41" x14ac:dyDescent="0.2">
      <c r="A103" s="533" t="s">
        <v>1517</v>
      </c>
      <c r="B103" s="533">
        <v>70</v>
      </c>
      <c r="C103" s="131">
        <v>2644</v>
      </c>
      <c r="D103" s="133">
        <v>0.75</v>
      </c>
      <c r="E103" s="145">
        <v>74</v>
      </c>
      <c r="F103" s="131">
        <v>59834</v>
      </c>
      <c r="G103" s="307"/>
      <c r="H103" s="145">
        <v>54</v>
      </c>
      <c r="I103" s="131">
        <v>1473</v>
      </c>
      <c r="J103" s="133"/>
      <c r="K103" s="145">
        <v>71</v>
      </c>
      <c r="L103" s="131">
        <v>58148</v>
      </c>
      <c r="M103" s="307"/>
      <c r="N103" s="145">
        <v>509416</v>
      </c>
      <c r="O103" s="533">
        <v>16850</v>
      </c>
      <c r="P103" s="145">
        <v>410965</v>
      </c>
      <c r="Q103" s="145"/>
      <c r="R103" s="131">
        <v>150086</v>
      </c>
      <c r="S103" s="307">
        <v>750</v>
      </c>
      <c r="T103" s="145">
        <v>150086</v>
      </c>
      <c r="U103" s="145">
        <v>750</v>
      </c>
      <c r="V103" s="131">
        <v>80386</v>
      </c>
      <c r="W103" s="307"/>
      <c r="X103" s="145">
        <v>109543</v>
      </c>
      <c r="Y103" s="145">
        <v>500</v>
      </c>
      <c r="Z103" s="131">
        <v>523078</v>
      </c>
      <c r="AA103" s="307"/>
      <c r="AB103" s="145">
        <v>1353557</v>
      </c>
      <c r="AC103" s="145">
        <v>750</v>
      </c>
      <c r="AD103" s="533"/>
      <c r="AE103" s="131">
        <v>339128</v>
      </c>
      <c r="AF103" s="307">
        <v>500</v>
      </c>
      <c r="AG103" s="145">
        <v>131</v>
      </c>
      <c r="AH103" s="145">
        <v>500</v>
      </c>
      <c r="AI103" s="131">
        <v>1135939</v>
      </c>
      <c r="AJ103" s="307">
        <v>500</v>
      </c>
      <c r="AK103" s="145">
        <v>1473</v>
      </c>
      <c r="AL103" s="131">
        <v>422811</v>
      </c>
      <c r="AM103" s="307"/>
      <c r="AN103" s="131">
        <v>542121</v>
      </c>
      <c r="AO103" s="307">
        <v>60</v>
      </c>
    </row>
    <row r="104" spans="1:41" x14ac:dyDescent="0.2">
      <c r="A104" s="533" t="s">
        <v>1527</v>
      </c>
      <c r="B104" s="533">
        <v>77</v>
      </c>
      <c r="C104" s="131">
        <v>2588</v>
      </c>
      <c r="D104" s="133">
        <v>0.25</v>
      </c>
      <c r="E104" s="145">
        <v>95</v>
      </c>
      <c r="F104" s="131">
        <v>54357</v>
      </c>
      <c r="G104" s="307"/>
      <c r="H104" s="145">
        <v>76</v>
      </c>
      <c r="I104" s="131">
        <v>2464</v>
      </c>
      <c r="J104" s="133"/>
      <c r="K104" s="145">
        <v>93</v>
      </c>
      <c r="L104" s="131">
        <v>58414</v>
      </c>
      <c r="M104" s="307"/>
      <c r="N104" s="145">
        <v>828032</v>
      </c>
      <c r="O104" s="533">
        <v>49286</v>
      </c>
      <c r="P104" s="145">
        <v>1233703</v>
      </c>
      <c r="Q104" s="145">
        <v>500</v>
      </c>
      <c r="R104" s="131">
        <v>94235</v>
      </c>
      <c r="S104" s="307"/>
      <c r="T104" s="145">
        <v>94235</v>
      </c>
      <c r="U104" s="145"/>
      <c r="V104" s="131">
        <v>24852</v>
      </c>
      <c r="W104" s="307"/>
      <c r="X104" s="145">
        <v>31432</v>
      </c>
      <c r="Y104" s="145"/>
      <c r="Z104" s="131"/>
      <c r="AA104" s="307"/>
      <c r="AB104" s="145">
        <v>1528951</v>
      </c>
      <c r="AC104" s="145">
        <v>500</v>
      </c>
      <c r="AD104" s="533"/>
      <c r="AE104" s="131"/>
      <c r="AF104" s="307"/>
      <c r="AG104" s="145">
        <v>20</v>
      </c>
      <c r="AH104" s="145">
        <v>78</v>
      </c>
      <c r="AI104" s="131">
        <v>1821246</v>
      </c>
      <c r="AJ104" s="307">
        <v>500</v>
      </c>
      <c r="AK104" s="145">
        <v>502</v>
      </c>
      <c r="AL104" s="131">
        <v>221596</v>
      </c>
      <c r="AM104" s="307">
        <v>42</v>
      </c>
      <c r="AN104" s="131">
        <v>233258</v>
      </c>
      <c r="AO104" s="307">
        <v>15</v>
      </c>
    </row>
    <row r="105" spans="1:41" x14ac:dyDescent="0.2">
      <c r="A105" s="533" t="s">
        <v>4073</v>
      </c>
      <c r="B105" s="533"/>
      <c r="C105" s="131"/>
      <c r="D105" s="133"/>
      <c r="E105" s="145"/>
      <c r="F105" s="131"/>
      <c r="G105" s="307"/>
      <c r="H105" s="145"/>
      <c r="I105" s="131"/>
      <c r="J105" s="133"/>
      <c r="K105" s="145"/>
      <c r="L105" s="131"/>
      <c r="M105" s="307"/>
      <c r="N105" s="145"/>
      <c r="O105" s="533"/>
      <c r="P105" s="145"/>
      <c r="Q105" s="145"/>
      <c r="R105" s="131"/>
      <c r="S105" s="307"/>
      <c r="T105" s="145"/>
      <c r="U105" s="145"/>
      <c r="V105" s="131"/>
      <c r="W105" s="307"/>
      <c r="X105" s="145"/>
      <c r="Y105" s="145"/>
      <c r="Z105" s="131"/>
      <c r="AA105" s="307"/>
      <c r="AB105" s="145"/>
      <c r="AC105" s="145"/>
      <c r="AD105" s="533"/>
      <c r="AE105" s="131"/>
      <c r="AF105" s="307"/>
      <c r="AG105" s="145"/>
      <c r="AH105" s="145"/>
      <c r="AI105" s="131"/>
      <c r="AJ105" s="307"/>
      <c r="AK105" s="145"/>
      <c r="AL105" s="131"/>
      <c r="AM105" s="307"/>
      <c r="AN105" s="131"/>
      <c r="AO105" s="307"/>
    </row>
    <row r="106" spans="1:41" x14ac:dyDescent="0.2">
      <c r="A106" s="533" t="s">
        <v>1519</v>
      </c>
      <c r="B106" s="533">
        <v>370</v>
      </c>
      <c r="C106" s="131">
        <v>7362</v>
      </c>
      <c r="D106" s="133">
        <v>0.5</v>
      </c>
      <c r="E106" s="145"/>
      <c r="F106" s="131"/>
      <c r="G106" s="307"/>
      <c r="H106" s="145">
        <v>357</v>
      </c>
      <c r="I106" s="131">
        <v>6602</v>
      </c>
      <c r="J106" s="133"/>
      <c r="K106" s="145"/>
      <c r="L106" s="131"/>
      <c r="M106" s="307"/>
      <c r="N106" s="145">
        <v>51383</v>
      </c>
      <c r="O106" s="533">
        <v>106148</v>
      </c>
      <c r="P106" s="145">
        <v>151938</v>
      </c>
      <c r="Q106" s="145">
        <v>750</v>
      </c>
      <c r="R106" s="131">
        <v>651045</v>
      </c>
      <c r="S106" s="307">
        <v>350</v>
      </c>
      <c r="T106" s="145">
        <v>651045</v>
      </c>
      <c r="U106" s="145">
        <v>350</v>
      </c>
      <c r="V106" s="131">
        <v>90879</v>
      </c>
      <c r="W106" s="307">
        <v>150</v>
      </c>
      <c r="X106" s="145">
        <v>211815</v>
      </c>
      <c r="Y106" s="145"/>
      <c r="Z106" s="131">
        <v>566216</v>
      </c>
      <c r="AA106" s="307"/>
      <c r="AB106" s="145">
        <v>2368097</v>
      </c>
      <c r="AC106" s="145">
        <v>250</v>
      </c>
      <c r="AD106" s="533"/>
      <c r="AE106" s="131">
        <v>51007</v>
      </c>
      <c r="AF106" s="307"/>
      <c r="AG106" s="145"/>
      <c r="AH106" s="145"/>
      <c r="AI106" s="131">
        <v>5762314</v>
      </c>
      <c r="AJ106" s="307"/>
      <c r="AK106" s="145">
        <v>49065</v>
      </c>
      <c r="AL106" s="131">
        <v>831212</v>
      </c>
      <c r="AM106" s="307">
        <v>59</v>
      </c>
      <c r="AN106" s="131">
        <v>1984549</v>
      </c>
      <c r="AO106" s="307">
        <v>74</v>
      </c>
    </row>
    <row r="107" spans="1:41" x14ac:dyDescent="0.2">
      <c r="A107" s="1068" t="s">
        <v>1341</v>
      </c>
      <c r="B107" s="716">
        <v>833</v>
      </c>
      <c r="C107" s="349">
        <v>47425</v>
      </c>
      <c r="D107" s="352">
        <v>0.5</v>
      </c>
      <c r="E107" s="350">
        <v>459</v>
      </c>
      <c r="F107" s="349">
        <v>538148</v>
      </c>
      <c r="G107" s="717"/>
      <c r="H107" s="350">
        <v>795</v>
      </c>
      <c r="I107" s="349">
        <v>42399</v>
      </c>
      <c r="J107" s="352">
        <v>0.5</v>
      </c>
      <c r="K107" s="350">
        <v>455</v>
      </c>
      <c r="L107" s="349">
        <v>535624</v>
      </c>
      <c r="M107" s="717"/>
      <c r="N107" s="350">
        <v>1881292</v>
      </c>
      <c r="O107" s="716">
        <v>1054521</v>
      </c>
      <c r="P107" s="350">
        <v>7860062</v>
      </c>
      <c r="Q107" s="350">
        <v>35</v>
      </c>
      <c r="R107" s="349">
        <v>5071366</v>
      </c>
      <c r="S107" s="717">
        <v>538</v>
      </c>
      <c r="T107" s="350">
        <v>5071366</v>
      </c>
      <c r="U107" s="350">
        <v>538</v>
      </c>
      <c r="V107" s="349">
        <v>2404457</v>
      </c>
      <c r="W107" s="717">
        <v>855</v>
      </c>
      <c r="X107" s="350">
        <v>3485600</v>
      </c>
      <c r="Y107" s="350">
        <v>878</v>
      </c>
      <c r="Z107" s="349">
        <v>1089531</v>
      </c>
      <c r="AA107" s="717"/>
      <c r="AB107" s="350">
        <v>24532227</v>
      </c>
      <c r="AC107" s="350">
        <v>530</v>
      </c>
      <c r="AD107" s="716">
        <v>22478</v>
      </c>
      <c r="AE107" s="349">
        <v>2527710</v>
      </c>
      <c r="AF107" s="717">
        <v>620</v>
      </c>
      <c r="AG107" s="350">
        <v>1090726</v>
      </c>
      <c r="AH107" s="350">
        <v>228</v>
      </c>
      <c r="AI107" s="349">
        <v>32163772</v>
      </c>
      <c r="AJ107" s="717">
        <v>500</v>
      </c>
      <c r="AK107" s="350">
        <v>490316</v>
      </c>
      <c r="AL107" s="349">
        <v>10787654</v>
      </c>
      <c r="AM107" s="717">
        <v>4</v>
      </c>
      <c r="AN107" s="349">
        <v>13711511</v>
      </c>
      <c r="AO107" s="717">
        <v>40</v>
      </c>
    </row>
    <row r="108" spans="1:41" x14ac:dyDescent="0.2">
      <c r="A108" s="622"/>
      <c r="B108" s="1145">
        <f>+SUM(B99:B106)</f>
        <v>833</v>
      </c>
      <c r="C108" s="1145">
        <f t="shared" ref="C108:AO108" si="6">+SUM(C99:C106)</f>
        <v>47424</v>
      </c>
      <c r="D108" s="1146">
        <f t="shared" si="6"/>
        <v>1.5</v>
      </c>
      <c r="E108" s="1145">
        <f t="shared" si="6"/>
        <v>459</v>
      </c>
      <c r="F108" s="1145">
        <f t="shared" si="6"/>
        <v>538148</v>
      </c>
      <c r="G108" s="1145">
        <f t="shared" si="6"/>
        <v>0</v>
      </c>
      <c r="H108" s="1145">
        <f t="shared" si="6"/>
        <v>795</v>
      </c>
      <c r="I108" s="1145">
        <f t="shared" si="6"/>
        <v>42399</v>
      </c>
      <c r="J108" s="1146">
        <f t="shared" si="6"/>
        <v>0.5</v>
      </c>
      <c r="K108" s="1145">
        <f t="shared" si="6"/>
        <v>455</v>
      </c>
      <c r="L108" s="1145">
        <f t="shared" si="6"/>
        <v>535624</v>
      </c>
      <c r="M108" s="1145">
        <f t="shared" si="6"/>
        <v>0</v>
      </c>
      <c r="N108" s="1145">
        <f t="shared" si="6"/>
        <v>1881292</v>
      </c>
      <c r="O108" s="1145">
        <f t="shared" si="6"/>
        <v>1054521</v>
      </c>
      <c r="P108" s="1145">
        <f t="shared" si="6"/>
        <v>7860060</v>
      </c>
      <c r="Q108" s="1145">
        <f t="shared" si="6"/>
        <v>2035</v>
      </c>
      <c r="R108" s="1145">
        <f t="shared" si="6"/>
        <v>5071364</v>
      </c>
      <c r="S108" s="1145">
        <f t="shared" si="6"/>
        <v>2538</v>
      </c>
      <c r="T108" s="1145">
        <f t="shared" si="6"/>
        <v>5071364</v>
      </c>
      <c r="U108" s="1145">
        <f t="shared" si="6"/>
        <v>2538</v>
      </c>
      <c r="V108" s="1145">
        <f t="shared" si="6"/>
        <v>2404456</v>
      </c>
      <c r="W108" s="1145">
        <f t="shared" si="6"/>
        <v>1855</v>
      </c>
      <c r="X108" s="1145">
        <f t="shared" si="6"/>
        <v>3485599</v>
      </c>
      <c r="Y108" s="1145">
        <f t="shared" si="6"/>
        <v>1878</v>
      </c>
      <c r="Z108" s="1145">
        <f t="shared" si="6"/>
        <v>1089531</v>
      </c>
      <c r="AA108" s="1145">
        <f t="shared" si="6"/>
        <v>0</v>
      </c>
      <c r="AB108" s="1147">
        <f t="shared" si="6"/>
        <v>23755224</v>
      </c>
      <c r="AC108" s="1145">
        <f t="shared" si="6"/>
        <v>2530</v>
      </c>
      <c r="AD108" s="1145">
        <f t="shared" si="6"/>
        <v>22478</v>
      </c>
      <c r="AE108" s="1145">
        <f t="shared" si="6"/>
        <v>2527710</v>
      </c>
      <c r="AF108" s="1145">
        <f t="shared" si="6"/>
        <v>620</v>
      </c>
      <c r="AG108" s="1145">
        <f t="shared" si="6"/>
        <v>1090725</v>
      </c>
      <c r="AH108" s="1145">
        <f t="shared" si="6"/>
        <v>1228</v>
      </c>
      <c r="AI108" s="1145">
        <f t="shared" si="6"/>
        <v>32163771</v>
      </c>
      <c r="AJ108" s="1145">
        <f t="shared" si="6"/>
        <v>1500</v>
      </c>
      <c r="AK108" s="1145">
        <f t="shared" si="6"/>
        <v>490316</v>
      </c>
      <c r="AL108" s="1145">
        <f t="shared" si="6"/>
        <v>10787651</v>
      </c>
      <c r="AM108" s="1145">
        <f t="shared" si="6"/>
        <v>304</v>
      </c>
      <c r="AN108" s="1145">
        <f t="shared" si="6"/>
        <v>13711509</v>
      </c>
      <c r="AO108" s="1145">
        <f t="shared" si="6"/>
        <v>250</v>
      </c>
    </row>
    <row r="109" spans="1:41" x14ac:dyDescent="0.2">
      <c r="A109" s="1148" t="s">
        <v>4074</v>
      </c>
      <c r="B109" s="1149"/>
      <c r="C109" s="1149"/>
      <c r="D109" s="1149"/>
      <c r="E109" s="1149"/>
      <c r="F109" s="1149"/>
      <c r="G109" s="1149"/>
      <c r="H109" s="1149"/>
      <c r="I109" s="1149"/>
      <c r="J109" s="1149"/>
      <c r="K109" s="1149"/>
      <c r="L109" s="1149"/>
      <c r="M109" s="1149"/>
      <c r="N109" s="1149"/>
      <c r="O109" s="1149"/>
      <c r="P109" s="1149"/>
      <c r="Q109" s="1149"/>
      <c r="R109" s="1149"/>
      <c r="S109" s="1149"/>
      <c r="T109" s="1149"/>
      <c r="U109" s="1149"/>
      <c r="V109" s="1149"/>
      <c r="W109" s="1149"/>
      <c r="X109" s="1149"/>
      <c r="Y109" s="1149"/>
      <c r="Z109" s="1149"/>
      <c r="AA109" s="1149"/>
      <c r="AB109" s="1149"/>
      <c r="AC109" s="1149"/>
      <c r="AD109" s="1149"/>
      <c r="AE109" s="1149"/>
      <c r="AF109" s="1149"/>
      <c r="AG109" s="1149"/>
      <c r="AH109" s="1149"/>
      <c r="AI109" s="1149"/>
      <c r="AJ109" s="1149"/>
      <c r="AK109" s="1149"/>
      <c r="AL109" s="1149"/>
      <c r="AM109" s="1149"/>
      <c r="AN109" s="1149"/>
      <c r="AO109" s="1150"/>
    </row>
    <row r="110" spans="1:41" x14ac:dyDescent="0.2">
      <c r="A110" s="940" t="s">
        <v>4075</v>
      </c>
      <c r="B110" s="941"/>
      <c r="C110" s="941"/>
      <c r="D110" s="941"/>
      <c r="E110" s="941"/>
      <c r="F110" s="941"/>
      <c r="G110" s="941"/>
      <c r="H110" s="941"/>
      <c r="I110" s="941"/>
      <c r="J110" s="941"/>
      <c r="K110" s="941"/>
      <c r="L110" s="941"/>
      <c r="M110" s="941"/>
      <c r="N110" s="941"/>
      <c r="O110" s="941"/>
      <c r="P110" s="941"/>
      <c r="Q110" s="941"/>
      <c r="R110" s="941"/>
      <c r="S110" s="941"/>
      <c r="T110" s="941"/>
      <c r="U110" s="941"/>
      <c r="V110" s="941"/>
      <c r="W110" s="941"/>
      <c r="X110" s="941"/>
      <c r="Y110" s="941"/>
      <c r="Z110" s="941"/>
      <c r="AA110" s="941"/>
      <c r="AB110" s="941"/>
      <c r="AC110" s="941"/>
      <c r="AD110" s="941"/>
      <c r="AE110" s="941"/>
      <c r="AF110" s="941"/>
      <c r="AG110" s="941"/>
      <c r="AH110" s="941"/>
      <c r="AI110" s="941"/>
      <c r="AJ110" s="941"/>
      <c r="AK110" s="941"/>
      <c r="AL110" s="941"/>
      <c r="AM110" s="941"/>
      <c r="AN110" s="941"/>
      <c r="AO110" s="1151"/>
    </row>
    <row r="114" spans="1:7" x14ac:dyDescent="0.2">
      <c r="A114" s="526" t="s">
        <v>4076</v>
      </c>
    </row>
    <row r="115" spans="1:7" ht="34.25" customHeight="1" x14ac:dyDescent="0.2">
      <c r="A115" s="782" t="s">
        <v>4077</v>
      </c>
      <c r="B115" s="783"/>
      <c r="C115" s="783"/>
      <c r="D115" s="783"/>
      <c r="E115" s="783"/>
      <c r="F115" s="783"/>
      <c r="G115" s="784"/>
    </row>
    <row r="116" spans="1:7" x14ac:dyDescent="0.2">
      <c r="A116" s="1152" t="s">
        <v>4078</v>
      </c>
      <c r="B116" s="1153"/>
      <c r="C116" s="1153"/>
      <c r="D116" s="1153"/>
      <c r="E116" s="1153"/>
      <c r="F116" s="1153"/>
      <c r="G116" s="1154"/>
    </row>
    <row r="117" spans="1:7" ht="23" customHeight="1" x14ac:dyDescent="0.2">
      <c r="A117" s="967" t="s">
        <v>3254</v>
      </c>
      <c r="B117" s="609" t="s">
        <v>2519</v>
      </c>
      <c r="C117" s="967"/>
      <c r="D117" s="967"/>
      <c r="E117" s="967"/>
      <c r="F117" s="967"/>
      <c r="G117" s="967"/>
    </row>
    <row r="118" spans="1:7" ht="19.25" customHeight="1" x14ac:dyDescent="0.2">
      <c r="A118" s="967"/>
      <c r="B118" s="838" t="s">
        <v>4079</v>
      </c>
      <c r="C118" s="838"/>
      <c r="D118" s="838"/>
      <c r="E118" s="838" t="s">
        <v>4080</v>
      </c>
      <c r="F118" s="838"/>
      <c r="G118" s="838"/>
    </row>
    <row r="119" spans="1:7" x14ac:dyDescent="0.2">
      <c r="A119" s="533" t="s">
        <v>1526</v>
      </c>
      <c r="B119" s="131">
        <v>97259</v>
      </c>
      <c r="C119" s="145">
        <v>90</v>
      </c>
      <c r="D119" s="307"/>
      <c r="E119" s="131">
        <v>64999</v>
      </c>
      <c r="F119" s="145">
        <v>95</v>
      </c>
      <c r="G119" s="307"/>
    </row>
    <row r="120" spans="1:7" x14ac:dyDescent="0.2">
      <c r="A120" s="533" t="s">
        <v>1373</v>
      </c>
      <c r="B120" s="131">
        <v>66506</v>
      </c>
      <c r="C120" s="145">
        <v>55</v>
      </c>
      <c r="D120" s="307"/>
      <c r="E120" s="131">
        <v>50780</v>
      </c>
      <c r="F120" s="145">
        <v>10</v>
      </c>
      <c r="G120" s="307"/>
    </row>
    <row r="121" spans="1:7" x14ac:dyDescent="0.2">
      <c r="A121" s="533" t="s">
        <v>3668</v>
      </c>
      <c r="B121" s="131">
        <v>2811453</v>
      </c>
      <c r="C121" s="145">
        <v>15</v>
      </c>
      <c r="D121" s="307"/>
      <c r="E121" s="131">
        <v>3129590</v>
      </c>
      <c r="F121" s="145">
        <v>65</v>
      </c>
      <c r="G121" s="307"/>
    </row>
    <row r="122" spans="1:7" x14ac:dyDescent="0.2">
      <c r="A122" s="533" t="s">
        <v>1369</v>
      </c>
      <c r="B122" s="131">
        <v>273134</v>
      </c>
      <c r="C122" s="145">
        <v>25</v>
      </c>
      <c r="D122" s="307"/>
      <c r="E122" s="131">
        <v>339875</v>
      </c>
      <c r="F122" s="145">
        <v>20</v>
      </c>
      <c r="G122" s="307"/>
    </row>
    <row r="123" spans="1:7" x14ac:dyDescent="0.2">
      <c r="A123" s="533" t="s">
        <v>1517</v>
      </c>
      <c r="B123" s="131">
        <v>245541</v>
      </c>
      <c r="C123" s="145"/>
      <c r="D123" s="307"/>
      <c r="E123" s="131">
        <v>130566</v>
      </c>
      <c r="F123" s="145">
        <v>80</v>
      </c>
      <c r="G123" s="307"/>
    </row>
    <row r="124" spans="1:7" x14ac:dyDescent="0.2">
      <c r="A124" s="533" t="s">
        <v>1527</v>
      </c>
      <c r="B124" s="131">
        <v>63353</v>
      </c>
      <c r="C124" s="145">
        <v>45</v>
      </c>
      <c r="D124" s="307"/>
      <c r="E124" s="131">
        <v>42605</v>
      </c>
      <c r="F124" s="145">
        <v>45</v>
      </c>
      <c r="G124" s="307"/>
    </row>
    <row r="125" spans="1:7" x14ac:dyDescent="0.2">
      <c r="A125" s="533" t="s">
        <v>3266</v>
      </c>
      <c r="B125" s="131">
        <v>2872</v>
      </c>
      <c r="C125" s="145">
        <v>5</v>
      </c>
      <c r="D125" s="307"/>
      <c r="E125" s="131">
        <v>1701</v>
      </c>
      <c r="F125" s="145">
        <v>40</v>
      </c>
      <c r="G125" s="307"/>
    </row>
    <row r="126" spans="1:7" x14ac:dyDescent="0.2">
      <c r="A126" s="533" t="s">
        <v>1519</v>
      </c>
      <c r="B126" s="131">
        <v>464991</v>
      </c>
      <c r="C126" s="145">
        <v>80</v>
      </c>
      <c r="D126" s="307"/>
      <c r="E126" s="131">
        <v>232304</v>
      </c>
      <c r="F126" s="145">
        <v>80</v>
      </c>
      <c r="G126" s="307"/>
    </row>
    <row r="127" spans="1:7" x14ac:dyDescent="0.2">
      <c r="A127" s="785" t="s">
        <v>4081</v>
      </c>
      <c r="B127" s="240">
        <v>4025112</v>
      </c>
      <c r="C127" s="318">
        <v>15</v>
      </c>
      <c r="D127" s="513"/>
      <c r="E127" s="240">
        <v>3992424</v>
      </c>
      <c r="F127" s="318">
        <v>35</v>
      </c>
      <c r="G127" s="513"/>
    </row>
    <row r="128" spans="1:7" x14ac:dyDescent="0.2">
      <c r="B128" s="393">
        <f t="shared" ref="B128:G128" si="7">+SUM(B119:B126)</f>
        <v>4025109</v>
      </c>
      <c r="C128" s="393">
        <f t="shared" si="7"/>
        <v>315</v>
      </c>
      <c r="D128" s="393">
        <f t="shared" si="7"/>
        <v>0</v>
      </c>
      <c r="E128" s="393">
        <f t="shared" si="7"/>
        <v>3992420</v>
      </c>
      <c r="F128" s="393">
        <f t="shared" si="7"/>
        <v>435</v>
      </c>
      <c r="G128" s="393">
        <f t="shared" si="7"/>
        <v>0</v>
      </c>
    </row>
  </sheetData>
  <mergeCells count="70">
    <mergeCell ref="A115:G115"/>
    <mergeCell ref="A116:G116"/>
    <mergeCell ref="A117:A118"/>
    <mergeCell ref="B117:G117"/>
    <mergeCell ref="B118:D118"/>
    <mergeCell ref="E118:G118"/>
    <mergeCell ref="K97:K98"/>
    <mergeCell ref="L97:M98"/>
    <mergeCell ref="N97:N98"/>
    <mergeCell ref="O97:O98"/>
    <mergeCell ref="A109:AO109"/>
    <mergeCell ref="A110:AO110"/>
    <mergeCell ref="AE96:AF97"/>
    <mergeCell ref="AG96:AH97"/>
    <mergeCell ref="AI96:AJ97"/>
    <mergeCell ref="AK96:AK97"/>
    <mergeCell ref="B97:B98"/>
    <mergeCell ref="C97:D98"/>
    <mergeCell ref="E97:E98"/>
    <mergeCell ref="F97:G98"/>
    <mergeCell ref="H97:H98"/>
    <mergeCell ref="I97:J98"/>
    <mergeCell ref="R96:S97"/>
    <mergeCell ref="T96:U97"/>
    <mergeCell ref="V96:W97"/>
    <mergeCell ref="X96:Y97"/>
    <mergeCell ref="Z96:AA97"/>
    <mergeCell ref="AB96:AC97"/>
    <mergeCell ref="P95:AC95"/>
    <mergeCell ref="AD95:AD98"/>
    <mergeCell ref="AE95:AK95"/>
    <mergeCell ref="AL95:AM97"/>
    <mergeCell ref="AN95:AO97"/>
    <mergeCell ref="B96:D96"/>
    <mergeCell ref="E96:G96"/>
    <mergeCell ref="H96:J96"/>
    <mergeCell ref="K96:M96"/>
    <mergeCell ref="P96:Q97"/>
    <mergeCell ref="A93:AO93"/>
    <mergeCell ref="A94:A98"/>
    <mergeCell ref="B94:M94"/>
    <mergeCell ref="N94:O94"/>
    <mergeCell ref="P94:AK94"/>
    <mergeCell ref="AL94:AO94"/>
    <mergeCell ref="B95:G95"/>
    <mergeCell ref="H95:M95"/>
    <mergeCell ref="N95:N96"/>
    <mergeCell ref="O95:O96"/>
    <mergeCell ref="A75:J75"/>
    <mergeCell ref="B76:D76"/>
    <mergeCell ref="E76:G76"/>
    <mergeCell ref="H76:J76"/>
    <mergeCell ref="A91:AO91"/>
    <mergeCell ref="A92:AO92"/>
    <mergeCell ref="A45:G45"/>
    <mergeCell ref="B46:D46"/>
    <mergeCell ref="E46:G46"/>
    <mergeCell ref="A58:M58"/>
    <mergeCell ref="B59:D59"/>
    <mergeCell ref="E59:G59"/>
    <mergeCell ref="H59:J59"/>
    <mergeCell ref="K59:M59"/>
    <mergeCell ref="A4:D4"/>
    <mergeCell ref="A30:S30"/>
    <mergeCell ref="B31:D31"/>
    <mergeCell ref="E31:G31"/>
    <mergeCell ref="H31:J31"/>
    <mergeCell ref="K31:M31"/>
    <mergeCell ref="N31:P31"/>
    <mergeCell ref="Q31:S31"/>
  </mergeCells>
  <pageMargins left="0.7" right="0.7" top="0.75" bottom="0.75" header="0.3" footer="0.3"/>
  <legacy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AS216"/>
  <sheetViews>
    <sheetView topLeftCell="K197" workbookViewId="0">
      <selection activeCell="B1" sqref="B1"/>
    </sheetView>
  </sheetViews>
  <sheetFormatPr baseColWidth="10" defaultRowHeight="15" x14ac:dyDescent="0.2"/>
  <cols>
    <col min="1" max="1" width="46.1640625" style="107" customWidth="1"/>
    <col min="2" max="2" width="10.83203125" style="107"/>
    <col min="3" max="3" width="7.83203125" style="107" customWidth="1"/>
    <col min="4" max="4" width="9.83203125" style="107" customWidth="1"/>
    <col min="5" max="5" width="10.83203125" style="107"/>
    <col min="6" max="6" width="9.5" style="107" customWidth="1"/>
    <col min="7" max="7" width="5.83203125" style="107" customWidth="1"/>
    <col min="8" max="8" width="10.83203125" style="107"/>
    <col min="9" max="9" width="6.33203125" style="107" customWidth="1"/>
    <col min="10" max="10" width="8.83203125" style="107" customWidth="1"/>
    <col min="11" max="11" width="10.83203125" style="107"/>
    <col min="12" max="12" width="11" style="107" customWidth="1"/>
    <col min="13" max="13" width="5.83203125" style="107" customWidth="1"/>
    <col min="14" max="14" width="14.1640625" style="107" customWidth="1"/>
    <col min="15" max="15" width="13.83203125" style="107" customWidth="1"/>
    <col min="16" max="16" width="11" style="107" customWidth="1"/>
    <col min="17" max="17" width="6.83203125" style="107" customWidth="1"/>
    <col min="18" max="18" width="9.83203125" style="107" customWidth="1"/>
    <col min="19" max="19" width="7.83203125" style="107" customWidth="1"/>
    <col min="20" max="20" width="10.83203125" style="107"/>
    <col min="21" max="21" width="6.33203125" style="107" customWidth="1"/>
    <col min="22" max="22" width="10.83203125" style="107"/>
    <col min="23" max="23" width="6.1640625" style="107" customWidth="1"/>
    <col min="24" max="24" width="10.83203125" style="107"/>
    <col min="25" max="25" width="7" style="107" customWidth="1"/>
    <col min="26" max="26" width="10.83203125" style="107"/>
    <col min="27" max="27" width="6.6640625" style="107" customWidth="1"/>
    <col min="28" max="28" width="10.83203125" style="107"/>
    <col min="29" max="29" width="7.1640625" style="107" customWidth="1"/>
    <col min="30" max="30" width="10.83203125" style="107"/>
    <col min="31" max="31" width="9.83203125" style="107" customWidth="1"/>
    <col min="32" max="32" width="10.83203125" style="107"/>
    <col min="33" max="33" width="9.5" style="107" customWidth="1"/>
    <col min="34" max="34" width="10.83203125" style="107"/>
    <col min="35" max="35" width="13.6640625" style="107" customWidth="1"/>
    <col min="36" max="36" width="10.83203125" style="107"/>
    <col min="37" max="37" width="7.6640625" style="107" customWidth="1"/>
    <col min="38" max="38" width="10.83203125" style="107"/>
    <col min="39" max="39" width="7.6640625" style="107" customWidth="1"/>
    <col min="40" max="40" width="10.83203125" style="107"/>
    <col min="41" max="41" width="7.1640625" style="107" customWidth="1"/>
    <col min="42" max="42" width="10.83203125" style="107"/>
    <col min="43" max="43" width="7.1640625" style="107" customWidth="1"/>
    <col min="44" max="44" width="10.83203125" style="107"/>
    <col min="45" max="45" width="7.83203125" style="107" customWidth="1"/>
    <col min="46" max="16384" width="10.83203125" style="107"/>
  </cols>
  <sheetData>
    <row r="1" spans="1:6" x14ac:dyDescent="0.2">
      <c r="A1" s="972" t="s">
        <v>4082</v>
      </c>
    </row>
    <row r="3" spans="1:6" x14ac:dyDescent="0.2">
      <c r="A3" s="526" t="s">
        <v>1111</v>
      </c>
    </row>
    <row r="4" spans="1:6" ht="47.5" customHeight="1" x14ac:dyDescent="0.2">
      <c r="A4" s="528" t="s">
        <v>4083</v>
      </c>
      <c r="B4" s="643"/>
      <c r="C4" s="643"/>
      <c r="D4" s="529"/>
    </row>
    <row r="5" spans="1:6" x14ac:dyDescent="0.2">
      <c r="A5" s="131" t="s">
        <v>1174</v>
      </c>
      <c r="B5" s="145">
        <v>3488218</v>
      </c>
      <c r="C5" s="145">
        <v>350</v>
      </c>
      <c r="D5" s="307"/>
      <c r="E5" s="131"/>
    </row>
    <row r="6" spans="1:6" x14ac:dyDescent="0.2">
      <c r="A6" s="131" t="s">
        <v>1569</v>
      </c>
      <c r="B6" s="145">
        <v>1500428</v>
      </c>
      <c r="C6" s="145">
        <v>300</v>
      </c>
      <c r="D6" s="307"/>
      <c r="E6" s="131"/>
    </row>
    <row r="7" spans="1:6" x14ac:dyDescent="0.2">
      <c r="A7" s="131" t="s">
        <v>1808</v>
      </c>
      <c r="B7" s="145">
        <v>12560</v>
      </c>
      <c r="C7" s="145">
        <v>738</v>
      </c>
      <c r="D7" s="307"/>
      <c r="E7" s="131"/>
    </row>
    <row r="8" spans="1:6" x14ac:dyDescent="0.2">
      <c r="A8" s="131" t="s">
        <v>3617</v>
      </c>
      <c r="B8" s="145">
        <v>190750</v>
      </c>
      <c r="C8" s="1155"/>
      <c r="D8" s="133"/>
      <c r="E8" s="131"/>
    </row>
    <row r="9" spans="1:6" x14ac:dyDescent="0.2">
      <c r="A9" s="131" t="s">
        <v>3645</v>
      </c>
      <c r="B9" s="145">
        <v>139051</v>
      </c>
      <c r="C9" s="145">
        <v>200</v>
      </c>
      <c r="D9" s="133"/>
      <c r="E9" s="131"/>
    </row>
    <row r="10" spans="1:6" x14ac:dyDescent="0.2">
      <c r="A10" s="131" t="s">
        <v>3612</v>
      </c>
      <c r="B10" s="145">
        <v>18310</v>
      </c>
      <c r="C10" s="145">
        <v>800</v>
      </c>
      <c r="D10" s="133"/>
      <c r="E10" s="131"/>
    </row>
    <row r="11" spans="1:6" x14ac:dyDescent="0.2">
      <c r="A11" s="131" t="s">
        <v>4084</v>
      </c>
      <c r="B11" s="145">
        <v>20861</v>
      </c>
      <c r="C11" s="145">
        <v>631</v>
      </c>
      <c r="D11" s="133"/>
      <c r="E11" s="131"/>
    </row>
    <row r="12" spans="1:6" x14ac:dyDescent="0.2">
      <c r="A12" s="131" t="s">
        <v>1175</v>
      </c>
      <c r="B12" s="145">
        <v>97205</v>
      </c>
      <c r="C12" s="145">
        <v>470</v>
      </c>
      <c r="D12" s="133"/>
      <c r="E12" s="131"/>
    </row>
    <row r="13" spans="1:6" x14ac:dyDescent="0.2">
      <c r="A13" s="131" t="s">
        <v>3287</v>
      </c>
      <c r="B13" s="145">
        <v>29996</v>
      </c>
      <c r="C13" s="145">
        <v>300</v>
      </c>
      <c r="D13" s="133"/>
      <c r="E13" s="131"/>
    </row>
    <row r="14" spans="1:6" x14ac:dyDescent="0.2">
      <c r="A14" s="131" t="s">
        <v>4085</v>
      </c>
      <c r="B14" s="145">
        <v>36181</v>
      </c>
      <c r="C14" s="145">
        <v>450</v>
      </c>
      <c r="D14" s="133"/>
      <c r="E14" s="131"/>
    </row>
    <row r="15" spans="1:6" x14ac:dyDescent="0.2">
      <c r="A15" s="131" t="s">
        <v>2763</v>
      </c>
      <c r="B15" s="145">
        <v>331485</v>
      </c>
      <c r="C15" s="145">
        <v>920</v>
      </c>
      <c r="D15" s="133">
        <v>0.5</v>
      </c>
      <c r="E15" s="131"/>
    </row>
    <row r="16" spans="1:6" x14ac:dyDescent="0.2">
      <c r="A16" s="131" t="s">
        <v>4086</v>
      </c>
      <c r="B16" s="145">
        <v>159049</v>
      </c>
      <c r="C16" s="145">
        <v>550</v>
      </c>
      <c r="D16" s="133"/>
      <c r="E16" s="1156">
        <f>B16/(B16+B6)</f>
        <v>9.584284687284006E-2</v>
      </c>
      <c r="F16" s="1157">
        <f>B16/B6</f>
        <v>0.1060024206426433</v>
      </c>
    </row>
    <row r="17" spans="1:13" x14ac:dyDescent="0.2">
      <c r="A17" s="131" t="s">
        <v>4087</v>
      </c>
      <c r="B17" s="145">
        <v>1736</v>
      </c>
      <c r="C17" s="145">
        <v>250</v>
      </c>
      <c r="D17" s="133"/>
      <c r="E17" s="131"/>
    </row>
    <row r="18" spans="1:13" ht="16" thickBot="1" x14ac:dyDescent="0.25">
      <c r="A18" s="794" t="s">
        <v>4088</v>
      </c>
      <c r="B18" s="372">
        <v>6025835</v>
      </c>
      <c r="C18" s="362">
        <v>959</v>
      </c>
      <c r="D18" s="373">
        <v>0.5</v>
      </c>
      <c r="E18" s="131"/>
    </row>
    <row r="19" spans="1:13" ht="16" thickTop="1" x14ac:dyDescent="0.2">
      <c r="B19" s="393">
        <f>+SUM(B5:B17)</f>
        <v>6025830</v>
      </c>
      <c r="C19" s="393">
        <f>+SUM(C5:C17)</f>
        <v>5959</v>
      </c>
      <c r="D19" s="1158">
        <f>+SUM(D5:D17)</f>
        <v>0.5</v>
      </c>
    </row>
    <row r="22" spans="1:13" x14ac:dyDescent="0.2">
      <c r="A22" s="526" t="s">
        <v>1428</v>
      </c>
    </row>
    <row r="23" spans="1:13" ht="30.5" customHeight="1" x14ac:dyDescent="0.2">
      <c r="A23" s="528" t="s">
        <v>4089</v>
      </c>
      <c r="B23" s="643"/>
      <c r="C23" s="643"/>
      <c r="D23" s="643"/>
      <c r="E23" s="643"/>
      <c r="F23" s="643"/>
      <c r="G23" s="643"/>
      <c r="H23" s="643"/>
      <c r="I23" s="643"/>
      <c r="J23" s="643"/>
      <c r="K23" s="643"/>
      <c r="L23" s="643"/>
      <c r="M23" s="529"/>
    </row>
    <row r="24" spans="1:13" ht="14.5" customHeight="1" x14ac:dyDescent="0.2">
      <c r="A24" s="838" t="s">
        <v>4090</v>
      </c>
      <c r="B24" s="1054" t="s">
        <v>4091</v>
      </c>
      <c r="C24" s="1036"/>
      <c r="D24" s="1036"/>
      <c r="E24" s="1036" t="s">
        <v>4092</v>
      </c>
      <c r="F24" s="1036"/>
      <c r="G24" s="1036"/>
      <c r="H24" s="1035" t="s">
        <v>4093</v>
      </c>
      <c r="I24" s="1035"/>
      <c r="J24" s="1035"/>
      <c r="K24" s="1035"/>
      <c r="L24" s="1035"/>
      <c r="M24" s="1035"/>
    </row>
    <row r="25" spans="1:13" x14ac:dyDescent="0.2">
      <c r="A25" s="838"/>
      <c r="B25" s="1054"/>
      <c r="C25" s="1036"/>
      <c r="D25" s="1036"/>
      <c r="E25" s="1036"/>
      <c r="F25" s="1036"/>
      <c r="G25" s="1036"/>
      <c r="H25" s="1036" t="s">
        <v>2520</v>
      </c>
      <c r="I25" s="1036"/>
      <c r="J25" s="1036"/>
      <c r="K25" s="1036" t="s">
        <v>2521</v>
      </c>
      <c r="L25" s="1036"/>
      <c r="M25" s="1036"/>
    </row>
    <row r="26" spans="1:13" x14ac:dyDescent="0.2">
      <c r="A26" s="533" t="s">
        <v>1174</v>
      </c>
      <c r="B26" s="145">
        <v>3992424</v>
      </c>
      <c r="C26" s="145">
        <v>350</v>
      </c>
      <c r="D26" s="145"/>
      <c r="E26" s="349">
        <v>3488218</v>
      </c>
      <c r="F26" s="350">
        <v>350</v>
      </c>
      <c r="G26" s="352"/>
      <c r="H26" s="349"/>
      <c r="I26" s="350"/>
      <c r="J26" s="352"/>
      <c r="K26" s="349">
        <v>504206</v>
      </c>
      <c r="L26" s="350"/>
      <c r="M26" s="717"/>
    </row>
    <row r="27" spans="1:13" x14ac:dyDescent="0.2">
      <c r="A27" s="533" t="s">
        <v>1569</v>
      </c>
      <c r="B27" s="1159">
        <v>1349349</v>
      </c>
      <c r="C27" s="145">
        <v>450</v>
      </c>
      <c r="D27" s="145"/>
      <c r="E27" s="131">
        <v>1500428</v>
      </c>
      <c r="F27" s="145">
        <v>300</v>
      </c>
      <c r="G27" s="133"/>
      <c r="H27" s="131">
        <v>151078</v>
      </c>
      <c r="I27" s="145">
        <v>850</v>
      </c>
      <c r="J27" s="133"/>
      <c r="K27" s="131"/>
      <c r="L27" s="145"/>
      <c r="M27" s="307"/>
    </row>
    <row r="28" spans="1:13" x14ac:dyDescent="0.2">
      <c r="A28" s="533" t="s">
        <v>1808</v>
      </c>
      <c r="B28" s="1159">
        <v>39762</v>
      </c>
      <c r="C28" s="145">
        <v>115</v>
      </c>
      <c r="D28" s="145"/>
      <c r="E28" s="131">
        <v>12560</v>
      </c>
      <c r="F28" s="145">
        <v>738</v>
      </c>
      <c r="G28" s="133"/>
      <c r="H28" s="131"/>
      <c r="I28" s="145"/>
      <c r="J28" s="133"/>
      <c r="K28" s="131">
        <v>27201</v>
      </c>
      <c r="L28" s="145">
        <v>377</v>
      </c>
      <c r="M28" s="307"/>
    </row>
    <row r="29" spans="1:13" x14ac:dyDescent="0.2">
      <c r="A29" s="533" t="s">
        <v>3617</v>
      </c>
      <c r="B29" s="1159">
        <v>250000</v>
      </c>
      <c r="C29" s="145"/>
      <c r="D29" s="145"/>
      <c r="E29" s="131">
        <v>190750</v>
      </c>
      <c r="F29" s="145"/>
      <c r="G29" s="133"/>
      <c r="H29" s="131"/>
      <c r="I29" s="145"/>
      <c r="J29" s="133"/>
      <c r="K29" s="131">
        <v>59250</v>
      </c>
      <c r="L29" s="145"/>
      <c r="M29" s="307"/>
    </row>
    <row r="30" spans="1:13" x14ac:dyDescent="0.2">
      <c r="A30" s="533" t="s">
        <v>3645</v>
      </c>
      <c r="B30" s="1160">
        <v>138237</v>
      </c>
      <c r="C30" s="145"/>
      <c r="D30" s="145"/>
      <c r="E30" s="1161">
        <v>139051</v>
      </c>
      <c r="F30" s="1162">
        <v>200</v>
      </c>
      <c r="G30" s="133"/>
      <c r="H30" s="131"/>
      <c r="I30" s="145"/>
      <c r="J30" s="133"/>
      <c r="K30" s="131">
        <v>814</v>
      </c>
      <c r="L30" s="145">
        <v>200</v>
      </c>
      <c r="M30" s="307"/>
    </row>
    <row r="31" spans="1:13" x14ac:dyDescent="0.2">
      <c r="A31" s="533" t="s">
        <v>4094</v>
      </c>
      <c r="B31" s="1160"/>
      <c r="C31" s="145"/>
      <c r="D31" s="145"/>
      <c r="E31" s="1161"/>
      <c r="F31" s="1162"/>
      <c r="G31" s="133"/>
      <c r="H31" s="131"/>
      <c r="I31" s="145"/>
      <c r="J31" s="133"/>
      <c r="K31" s="131"/>
      <c r="L31" s="145"/>
      <c r="M31" s="307"/>
    </row>
    <row r="32" spans="1:13" x14ac:dyDescent="0.2">
      <c r="A32" s="533" t="s">
        <v>3612</v>
      </c>
      <c r="B32" s="1159">
        <v>12395</v>
      </c>
      <c r="C32" s="145">
        <v>200</v>
      </c>
      <c r="D32" s="145"/>
      <c r="E32" s="131">
        <v>18310</v>
      </c>
      <c r="F32" s="145">
        <v>800</v>
      </c>
      <c r="G32" s="133"/>
      <c r="H32" s="131">
        <v>5915</v>
      </c>
      <c r="I32" s="145">
        <v>600</v>
      </c>
      <c r="J32" s="133"/>
      <c r="K32" s="131"/>
      <c r="L32" s="145"/>
      <c r="M32" s="307"/>
    </row>
    <row r="33" spans="1:19" x14ac:dyDescent="0.2">
      <c r="A33" s="533" t="s">
        <v>4084</v>
      </c>
      <c r="B33" s="1159">
        <v>7618</v>
      </c>
      <c r="C33" s="145">
        <v>821</v>
      </c>
      <c r="D33" s="145"/>
      <c r="E33" s="131">
        <v>20861</v>
      </c>
      <c r="F33" s="145">
        <v>631</v>
      </c>
      <c r="G33" s="133"/>
      <c r="H33" s="131">
        <v>13242</v>
      </c>
      <c r="I33" s="145">
        <v>810</v>
      </c>
      <c r="J33" s="133"/>
      <c r="K33" s="131"/>
      <c r="L33" s="145"/>
      <c r="M33" s="307"/>
    </row>
    <row r="34" spans="1:19" x14ac:dyDescent="0.2">
      <c r="A34" s="533" t="s">
        <v>1175</v>
      </c>
      <c r="B34" s="1159">
        <v>86444</v>
      </c>
      <c r="C34" s="145">
        <v>630</v>
      </c>
      <c r="D34" s="145"/>
      <c r="E34" s="131">
        <v>97205</v>
      </c>
      <c r="F34" s="145">
        <v>470</v>
      </c>
      <c r="G34" s="133"/>
      <c r="H34" s="131">
        <v>10760</v>
      </c>
      <c r="I34" s="145">
        <v>840</v>
      </c>
      <c r="J34" s="133"/>
      <c r="K34" s="131"/>
      <c r="L34" s="145"/>
      <c r="M34" s="307"/>
    </row>
    <row r="35" spans="1:19" x14ac:dyDescent="0.2">
      <c r="A35" s="533" t="s">
        <v>3287</v>
      </c>
      <c r="B35" s="1159">
        <v>23299</v>
      </c>
      <c r="C35" s="145">
        <v>700</v>
      </c>
      <c r="D35" s="145"/>
      <c r="E35" s="131">
        <v>29996</v>
      </c>
      <c r="F35" s="145">
        <v>300</v>
      </c>
      <c r="G35" s="133"/>
      <c r="H35" s="131">
        <v>6696</v>
      </c>
      <c r="I35" s="145">
        <v>600</v>
      </c>
      <c r="J35" s="133"/>
      <c r="K35" s="131"/>
      <c r="L35" s="145"/>
      <c r="M35" s="307"/>
    </row>
    <row r="36" spans="1:19" x14ac:dyDescent="0.2">
      <c r="A36" s="533" t="s">
        <v>2763</v>
      </c>
      <c r="B36" s="1159">
        <v>319421</v>
      </c>
      <c r="C36" s="145">
        <v>574</v>
      </c>
      <c r="D36" s="145"/>
      <c r="E36" s="131">
        <v>331485</v>
      </c>
      <c r="F36" s="145">
        <v>920</v>
      </c>
      <c r="G36" s="133">
        <v>0.5</v>
      </c>
      <c r="H36" s="131">
        <v>12064</v>
      </c>
      <c r="I36" s="145">
        <v>346</v>
      </c>
      <c r="J36" s="133">
        <v>0.5</v>
      </c>
      <c r="K36" s="131"/>
      <c r="L36" s="145"/>
      <c r="M36" s="307"/>
    </row>
    <row r="37" spans="1:19" x14ac:dyDescent="0.2">
      <c r="A37" s="534" t="s">
        <v>4095</v>
      </c>
      <c r="B37" s="1159">
        <v>6914</v>
      </c>
      <c r="C37" s="145">
        <v>25</v>
      </c>
      <c r="D37" s="145"/>
      <c r="E37" s="131"/>
      <c r="F37" s="145"/>
      <c r="G37" s="133"/>
      <c r="H37" s="131"/>
      <c r="I37" s="145"/>
      <c r="J37" s="133"/>
      <c r="K37" s="131"/>
      <c r="L37" s="145"/>
      <c r="M37" s="307"/>
    </row>
    <row r="38" spans="1:19" x14ac:dyDescent="0.2">
      <c r="A38" s="533" t="s">
        <v>4085</v>
      </c>
      <c r="B38" s="1159">
        <v>9989</v>
      </c>
      <c r="C38" s="145">
        <v>800</v>
      </c>
      <c r="D38" s="145"/>
      <c r="E38" s="131">
        <v>36181</v>
      </c>
      <c r="F38" s="145">
        <v>450</v>
      </c>
      <c r="G38" s="133"/>
      <c r="H38" s="131">
        <v>26191</v>
      </c>
      <c r="I38" s="145">
        <v>650</v>
      </c>
      <c r="J38" s="133"/>
      <c r="K38" s="131"/>
      <c r="L38" s="145"/>
      <c r="M38" s="307"/>
    </row>
    <row r="39" spans="1:19" x14ac:dyDescent="0.2">
      <c r="A39" s="533" t="s">
        <v>4087</v>
      </c>
      <c r="B39" s="1159"/>
      <c r="C39" s="145"/>
      <c r="D39" s="145"/>
      <c r="E39" s="131">
        <v>1736</v>
      </c>
      <c r="F39" s="145">
        <v>250</v>
      </c>
      <c r="G39" s="133"/>
      <c r="H39" s="131"/>
      <c r="I39" s="145"/>
      <c r="J39" s="133"/>
      <c r="K39" s="131"/>
      <c r="L39" s="145"/>
      <c r="M39" s="307"/>
    </row>
    <row r="40" spans="1:19" x14ac:dyDescent="0.2">
      <c r="A40" s="533" t="s">
        <v>4086</v>
      </c>
      <c r="B40" s="145"/>
      <c r="C40" s="145"/>
      <c r="D40" s="145"/>
      <c r="E40" s="131">
        <v>159049</v>
      </c>
      <c r="F40" s="145">
        <v>550</v>
      </c>
      <c r="G40" s="133"/>
      <c r="H40" s="131"/>
      <c r="I40" s="145"/>
      <c r="J40" s="133"/>
      <c r="K40" s="131"/>
      <c r="L40" s="145"/>
      <c r="M40" s="307"/>
    </row>
    <row r="41" spans="1:19" x14ac:dyDescent="0.2">
      <c r="A41" s="823" t="s">
        <v>1341</v>
      </c>
      <c r="B41" s="318">
        <v>6235856</v>
      </c>
      <c r="C41" s="318">
        <v>665</v>
      </c>
      <c r="D41" s="318"/>
      <c r="E41" s="240">
        <v>6025835</v>
      </c>
      <c r="F41" s="318">
        <v>959</v>
      </c>
      <c r="G41" s="241">
        <v>0.5</v>
      </c>
      <c r="H41" s="240"/>
      <c r="I41" s="318"/>
      <c r="J41" s="241"/>
      <c r="K41" s="240"/>
      <c r="L41" s="318"/>
      <c r="M41" s="513"/>
    </row>
    <row r="42" spans="1:19" x14ac:dyDescent="0.2">
      <c r="B42" s="393">
        <f t="shared" ref="B42:G42" si="0">+SUM(B26:B40)</f>
        <v>6235852</v>
      </c>
      <c r="C42" s="393">
        <f t="shared" si="0"/>
        <v>4665</v>
      </c>
      <c r="D42" s="393">
        <f t="shared" si="0"/>
        <v>0</v>
      </c>
      <c r="E42" s="393">
        <f t="shared" si="0"/>
        <v>6025830</v>
      </c>
      <c r="F42" s="393">
        <f t="shared" si="0"/>
        <v>5959</v>
      </c>
      <c r="G42" s="1078">
        <f t="shared" si="0"/>
        <v>0.5</v>
      </c>
    </row>
    <row r="45" spans="1:19" x14ac:dyDescent="0.2">
      <c r="A45" s="526" t="s">
        <v>3840</v>
      </c>
    </row>
    <row r="46" spans="1:19" ht="36" customHeight="1" x14ac:dyDescent="0.2">
      <c r="A46" s="1119" t="s">
        <v>4096</v>
      </c>
      <c r="B46" s="1119"/>
      <c r="C46" s="1119"/>
      <c r="D46" s="1119"/>
      <c r="E46" s="1119"/>
      <c r="F46" s="1119"/>
      <c r="G46" s="1119"/>
      <c r="H46" s="1119"/>
      <c r="I46" s="1119"/>
      <c r="J46" s="1119"/>
      <c r="K46" s="1119"/>
      <c r="L46" s="1119"/>
      <c r="M46" s="1119"/>
      <c r="N46" s="1119"/>
      <c r="O46" s="1119"/>
      <c r="P46" s="1119"/>
      <c r="Q46" s="1119"/>
      <c r="R46" s="1119"/>
      <c r="S46" s="1119"/>
    </row>
    <row r="47" spans="1:19" ht="32" customHeight="1" x14ac:dyDescent="0.2">
      <c r="A47" s="1120" t="s">
        <v>3254</v>
      </c>
      <c r="B47" s="1036" t="s">
        <v>4028</v>
      </c>
      <c r="C47" s="1036"/>
      <c r="D47" s="1036"/>
      <c r="E47" s="1036" t="s">
        <v>4097</v>
      </c>
      <c r="F47" s="1036"/>
      <c r="G47" s="1036"/>
      <c r="H47" s="1036" t="s">
        <v>4098</v>
      </c>
      <c r="I47" s="1036"/>
      <c r="J47" s="1036"/>
      <c r="K47" s="1036" t="s">
        <v>4099</v>
      </c>
      <c r="L47" s="1036"/>
      <c r="M47" s="1036"/>
      <c r="N47" s="1036" t="s">
        <v>4100</v>
      </c>
      <c r="O47" s="1036"/>
      <c r="P47" s="1036"/>
      <c r="Q47" s="1036" t="s">
        <v>4101</v>
      </c>
      <c r="R47" s="1036"/>
      <c r="S47" s="1036"/>
    </row>
    <row r="48" spans="1:19" x14ac:dyDescent="0.2">
      <c r="A48" s="131" t="s">
        <v>3668</v>
      </c>
      <c r="B48" s="131">
        <v>3129590</v>
      </c>
      <c r="C48" s="145">
        <v>65</v>
      </c>
      <c r="D48" s="307"/>
      <c r="E48" s="131">
        <v>2441991</v>
      </c>
      <c r="F48" s="145">
        <v>25</v>
      </c>
      <c r="G48" s="307"/>
      <c r="H48" s="131"/>
      <c r="I48" s="145"/>
      <c r="J48" s="307"/>
      <c r="K48" s="131">
        <v>687599</v>
      </c>
      <c r="L48" s="145">
        <v>40</v>
      </c>
      <c r="M48" s="307"/>
      <c r="N48" s="131"/>
      <c r="O48" s="145"/>
      <c r="P48" s="307"/>
      <c r="Q48" s="131"/>
      <c r="R48" s="145"/>
      <c r="S48" s="307"/>
    </row>
    <row r="49" spans="1:19" x14ac:dyDescent="0.2">
      <c r="A49" s="131" t="s">
        <v>1517</v>
      </c>
      <c r="B49" s="131">
        <v>130566</v>
      </c>
      <c r="C49" s="145">
        <v>80</v>
      </c>
      <c r="D49" s="307"/>
      <c r="E49" s="131">
        <v>270002</v>
      </c>
      <c r="F49" s="145">
        <v>75</v>
      </c>
      <c r="G49" s="307"/>
      <c r="H49" s="131">
        <v>139435</v>
      </c>
      <c r="I49" s="145"/>
      <c r="J49" s="307"/>
      <c r="K49" s="131"/>
      <c r="L49" s="145"/>
      <c r="M49" s="307"/>
      <c r="N49" s="131"/>
      <c r="O49" s="145"/>
      <c r="P49" s="307"/>
      <c r="Q49" s="131"/>
      <c r="R49" s="145"/>
      <c r="S49" s="307"/>
    </row>
    <row r="50" spans="1:19" x14ac:dyDescent="0.2">
      <c r="A50" s="131" t="s">
        <v>3266</v>
      </c>
      <c r="B50" s="131">
        <v>1701</v>
      </c>
      <c r="C50" s="145">
        <v>40</v>
      </c>
      <c r="D50" s="307"/>
      <c r="E50" s="131">
        <v>3126</v>
      </c>
      <c r="F50" s="145">
        <v>55</v>
      </c>
      <c r="G50" s="307"/>
      <c r="H50" s="131">
        <v>1425</v>
      </c>
      <c r="I50" s="145">
        <v>15</v>
      </c>
      <c r="J50" s="307"/>
      <c r="K50" s="131"/>
      <c r="L50" s="145"/>
      <c r="M50" s="307"/>
      <c r="N50" s="131"/>
      <c r="O50" s="145"/>
      <c r="P50" s="307"/>
      <c r="Q50" s="131"/>
      <c r="R50" s="145"/>
      <c r="S50" s="307"/>
    </row>
    <row r="51" spans="1:19" x14ac:dyDescent="0.2">
      <c r="A51" s="140" t="s">
        <v>4033</v>
      </c>
      <c r="B51" s="131">
        <v>339875</v>
      </c>
      <c r="C51" s="145">
        <v>20</v>
      </c>
      <c r="D51" s="307"/>
      <c r="E51" s="131">
        <v>290209</v>
      </c>
      <c r="F51" s="145">
        <v>15</v>
      </c>
      <c r="G51" s="307"/>
      <c r="H51" s="131"/>
      <c r="I51" s="145"/>
      <c r="J51" s="307"/>
      <c r="K51" s="131">
        <v>49666</v>
      </c>
      <c r="L51" s="145">
        <v>5</v>
      </c>
      <c r="M51" s="307"/>
      <c r="N51" s="131"/>
      <c r="O51" s="145"/>
      <c r="P51" s="307"/>
      <c r="Q51" s="131"/>
      <c r="R51" s="145"/>
      <c r="S51" s="307"/>
    </row>
    <row r="52" spans="1:19" x14ac:dyDescent="0.2">
      <c r="A52" s="140" t="s">
        <v>1519</v>
      </c>
      <c r="B52" s="131">
        <v>232304</v>
      </c>
      <c r="C52" s="145">
        <v>80</v>
      </c>
      <c r="D52" s="307"/>
      <c r="E52" s="131">
        <v>191721</v>
      </c>
      <c r="F52" s="145">
        <v>10</v>
      </c>
      <c r="G52" s="307"/>
      <c r="H52" s="131"/>
      <c r="I52" s="145"/>
      <c r="J52" s="307"/>
      <c r="K52" s="131">
        <v>40583</v>
      </c>
      <c r="L52" s="145">
        <v>70</v>
      </c>
      <c r="M52" s="307"/>
      <c r="N52" s="131"/>
      <c r="O52" s="145"/>
      <c r="P52" s="307"/>
      <c r="Q52" s="131"/>
      <c r="R52" s="145"/>
      <c r="S52" s="307"/>
    </row>
    <row r="53" spans="1:19" x14ac:dyDescent="0.2">
      <c r="A53" s="140" t="s">
        <v>1526</v>
      </c>
      <c r="B53" s="131">
        <v>64999</v>
      </c>
      <c r="C53" s="145">
        <v>95</v>
      </c>
      <c r="D53" s="307"/>
      <c r="E53" s="131">
        <v>131359</v>
      </c>
      <c r="F53" s="145">
        <v>95</v>
      </c>
      <c r="G53" s="307"/>
      <c r="H53" s="131">
        <v>66360</v>
      </c>
      <c r="I53" s="145"/>
      <c r="J53" s="307"/>
      <c r="K53" s="131"/>
      <c r="L53" s="145"/>
      <c r="M53" s="307"/>
      <c r="N53" s="131"/>
      <c r="O53" s="145"/>
      <c r="P53" s="307"/>
      <c r="Q53" s="131"/>
      <c r="R53" s="145"/>
      <c r="S53" s="307"/>
    </row>
    <row r="54" spans="1:19" x14ac:dyDescent="0.2">
      <c r="A54" s="140" t="s">
        <v>4034</v>
      </c>
      <c r="B54" s="131">
        <v>50780</v>
      </c>
      <c r="C54" s="145">
        <v>10</v>
      </c>
      <c r="D54" s="307"/>
      <c r="E54" s="131">
        <v>115282</v>
      </c>
      <c r="F54" s="145">
        <v>55</v>
      </c>
      <c r="G54" s="307"/>
      <c r="H54" s="131">
        <v>64502</v>
      </c>
      <c r="I54" s="145">
        <v>45</v>
      </c>
      <c r="J54" s="307"/>
      <c r="K54" s="131"/>
      <c r="L54" s="145"/>
      <c r="M54" s="307"/>
      <c r="N54" s="131"/>
      <c r="O54" s="145"/>
      <c r="P54" s="307"/>
      <c r="Q54" s="131"/>
      <c r="R54" s="145"/>
      <c r="S54" s="307"/>
    </row>
    <row r="55" spans="1:19" x14ac:dyDescent="0.2">
      <c r="A55" s="140" t="s">
        <v>1527</v>
      </c>
      <c r="B55" s="131">
        <v>42605</v>
      </c>
      <c r="C55" s="145">
        <v>45</v>
      </c>
      <c r="D55" s="307"/>
      <c r="E55" s="131">
        <v>44525</v>
      </c>
      <c r="F55" s="145">
        <v>5</v>
      </c>
      <c r="G55" s="307"/>
      <c r="H55" s="131">
        <v>1919</v>
      </c>
      <c r="I55" s="145">
        <v>60</v>
      </c>
      <c r="J55" s="307"/>
      <c r="K55" s="131"/>
      <c r="L55" s="145"/>
      <c r="M55" s="307"/>
      <c r="N55" s="131"/>
      <c r="O55" s="145"/>
      <c r="P55" s="307"/>
      <c r="Q55" s="131"/>
      <c r="R55" s="145"/>
      <c r="S55" s="307"/>
    </row>
    <row r="56" spans="1:19" x14ac:dyDescent="0.2">
      <c r="A56" s="801" t="s">
        <v>2663</v>
      </c>
      <c r="B56" s="240">
        <v>3992424</v>
      </c>
      <c r="C56" s="318">
        <v>35</v>
      </c>
      <c r="D56" s="513"/>
      <c r="E56" s="240">
        <v>3488218</v>
      </c>
      <c r="F56" s="318">
        <v>35</v>
      </c>
      <c r="G56" s="513"/>
      <c r="H56" s="240">
        <v>273643</v>
      </c>
      <c r="I56" s="318">
        <v>15</v>
      </c>
      <c r="J56" s="513"/>
      <c r="K56" s="240">
        <v>777849</v>
      </c>
      <c r="L56" s="318">
        <v>15</v>
      </c>
      <c r="M56" s="513"/>
      <c r="N56" s="240"/>
      <c r="O56" s="318"/>
      <c r="P56" s="513"/>
      <c r="Q56" s="240"/>
      <c r="R56" s="318"/>
      <c r="S56" s="513"/>
    </row>
    <row r="60" spans="1:19" x14ac:dyDescent="0.2">
      <c r="A60" s="526" t="s">
        <v>3655</v>
      </c>
    </row>
    <row r="61" spans="1:19" ht="35.5" customHeight="1" x14ac:dyDescent="0.2">
      <c r="A61" s="953" t="s">
        <v>4102</v>
      </c>
      <c r="B61" s="954"/>
      <c r="C61" s="954"/>
      <c r="D61" s="955"/>
    </row>
    <row r="62" spans="1:19" x14ac:dyDescent="0.2">
      <c r="A62" s="131" t="s">
        <v>4103</v>
      </c>
      <c r="B62" s="145">
        <v>1337946</v>
      </c>
      <c r="C62" s="145">
        <v>88</v>
      </c>
      <c r="D62" s="133"/>
    </row>
    <row r="63" spans="1:19" x14ac:dyDescent="0.2">
      <c r="A63" s="131" t="s">
        <v>4104</v>
      </c>
      <c r="B63" s="145">
        <v>1372331</v>
      </c>
      <c r="C63" s="145">
        <v>70</v>
      </c>
      <c r="D63" s="133"/>
    </row>
    <row r="64" spans="1:19" x14ac:dyDescent="0.2">
      <c r="A64" s="131" t="s">
        <v>4105</v>
      </c>
      <c r="B64" s="145">
        <v>1148668</v>
      </c>
      <c r="C64" s="145">
        <v>27</v>
      </c>
      <c r="D64" s="133">
        <v>0.25</v>
      </c>
    </row>
    <row r="65" spans="1:4" x14ac:dyDescent="0.2">
      <c r="A65" s="131" t="s">
        <v>4106</v>
      </c>
      <c r="B65" s="145">
        <v>1544586</v>
      </c>
      <c r="C65" s="145">
        <v>94</v>
      </c>
      <c r="D65" s="133">
        <v>0.75</v>
      </c>
    </row>
    <row r="66" spans="1:4" x14ac:dyDescent="0.2">
      <c r="A66" s="131" t="s">
        <v>4107</v>
      </c>
      <c r="B66" s="145">
        <v>2089065</v>
      </c>
      <c r="C66" s="145">
        <v>81</v>
      </c>
      <c r="D66" s="133">
        <v>0.5</v>
      </c>
    </row>
    <row r="67" spans="1:4" x14ac:dyDescent="0.2">
      <c r="A67" s="131" t="s">
        <v>4108</v>
      </c>
      <c r="B67" s="145">
        <v>1575904</v>
      </c>
      <c r="C67" s="145">
        <v>3</v>
      </c>
      <c r="D67" s="133">
        <v>0.75</v>
      </c>
    </row>
    <row r="68" spans="1:4" x14ac:dyDescent="0.2">
      <c r="A68" s="131" t="s">
        <v>4109</v>
      </c>
      <c r="B68" s="145">
        <v>1561082</v>
      </c>
      <c r="C68" s="145">
        <v>11</v>
      </c>
      <c r="D68" s="133">
        <v>0.75</v>
      </c>
    </row>
    <row r="69" spans="1:4" x14ac:dyDescent="0.2">
      <c r="A69" s="131" t="s">
        <v>4110</v>
      </c>
      <c r="B69" s="145">
        <v>2039450</v>
      </c>
      <c r="C69" s="145">
        <v>21</v>
      </c>
      <c r="D69" s="133"/>
    </row>
    <row r="70" spans="1:4" x14ac:dyDescent="0.2">
      <c r="A70" s="131" t="s">
        <v>4111</v>
      </c>
      <c r="B70" s="145">
        <v>2775450</v>
      </c>
      <c r="C70" s="145">
        <v>38</v>
      </c>
      <c r="D70" s="133">
        <v>0.5</v>
      </c>
    </row>
    <row r="71" spans="1:4" x14ac:dyDescent="0.2">
      <c r="A71" s="131" t="s">
        <v>4112</v>
      </c>
      <c r="B71" s="145">
        <v>2811158</v>
      </c>
      <c r="C71" s="145">
        <v>92</v>
      </c>
      <c r="D71" s="133">
        <v>0.5</v>
      </c>
    </row>
    <row r="72" spans="1:4" x14ac:dyDescent="0.2">
      <c r="A72" s="131" t="s">
        <v>4113</v>
      </c>
      <c r="B72" s="145">
        <v>2574273</v>
      </c>
      <c r="C72" s="145">
        <v>84</v>
      </c>
      <c r="D72" s="133">
        <v>0.5</v>
      </c>
    </row>
    <row r="73" spans="1:4" x14ac:dyDescent="0.2">
      <c r="A73" s="131" t="s">
        <v>4114</v>
      </c>
      <c r="B73" s="145">
        <v>2367816</v>
      </c>
      <c r="C73" s="145">
        <v>83</v>
      </c>
      <c r="D73" s="133"/>
    </row>
    <row r="74" spans="1:4" x14ac:dyDescent="0.2">
      <c r="A74" s="131" t="s">
        <v>4115</v>
      </c>
      <c r="B74" s="145">
        <v>2160104</v>
      </c>
      <c r="C74" s="145">
        <v>15</v>
      </c>
      <c r="D74" s="133"/>
    </row>
    <row r="75" spans="1:4" x14ac:dyDescent="0.2">
      <c r="A75" s="131" t="s">
        <v>4116</v>
      </c>
      <c r="B75" s="145">
        <v>4025112</v>
      </c>
      <c r="C75" s="145">
        <v>15</v>
      </c>
      <c r="D75" s="133"/>
    </row>
    <row r="76" spans="1:4" x14ac:dyDescent="0.2">
      <c r="A76" s="131" t="s">
        <v>4117</v>
      </c>
      <c r="B76" s="145">
        <v>3992424</v>
      </c>
      <c r="C76" s="145">
        <v>35</v>
      </c>
      <c r="D76" s="133"/>
    </row>
    <row r="77" spans="1:4" x14ac:dyDescent="0.2">
      <c r="A77" s="230" t="s">
        <v>4118</v>
      </c>
      <c r="B77" s="309">
        <v>3488218</v>
      </c>
      <c r="C77" s="309">
        <v>35</v>
      </c>
      <c r="D77" s="231"/>
    </row>
    <row r="81" spans="1:19" x14ac:dyDescent="0.2">
      <c r="A81" s="526" t="s">
        <v>3863</v>
      </c>
    </row>
    <row r="82" spans="1:19" ht="38.5" customHeight="1" x14ac:dyDescent="0.2">
      <c r="A82" s="998" t="s">
        <v>4119</v>
      </c>
      <c r="B82" s="998"/>
      <c r="C82" s="998"/>
      <c r="D82" s="998"/>
      <c r="E82" s="998"/>
      <c r="F82" s="998"/>
      <c r="G82" s="998"/>
      <c r="H82" s="998"/>
      <c r="I82" s="998"/>
      <c r="J82" s="998"/>
      <c r="K82" s="998"/>
      <c r="L82" s="998"/>
      <c r="M82" s="998"/>
      <c r="N82" s="998"/>
      <c r="O82" s="998"/>
      <c r="P82" s="998"/>
      <c r="Q82" s="998"/>
      <c r="R82" s="998"/>
      <c r="S82" s="998"/>
    </row>
    <row r="83" spans="1:19" ht="26" customHeight="1" x14ac:dyDescent="0.2">
      <c r="A83" s="967" t="s">
        <v>3254</v>
      </c>
      <c r="B83" s="838" t="s">
        <v>4120</v>
      </c>
      <c r="C83" s="838"/>
      <c r="D83" s="967" t="s">
        <v>4121</v>
      </c>
      <c r="E83" s="967"/>
      <c r="F83" s="967"/>
      <c r="G83" s="967"/>
      <c r="H83" s="967"/>
      <c r="I83" s="967"/>
      <c r="J83" s="967"/>
      <c r="K83" s="967"/>
      <c r="L83" s="967"/>
      <c r="M83" s="967"/>
      <c r="N83" s="967"/>
      <c r="O83" s="967"/>
      <c r="P83" s="1036" t="s">
        <v>4122</v>
      </c>
      <c r="Q83" s="1036"/>
      <c r="R83" s="1036" t="s">
        <v>4123</v>
      </c>
      <c r="S83" s="1036"/>
    </row>
    <row r="84" spans="1:19" ht="33" customHeight="1" x14ac:dyDescent="0.2">
      <c r="A84" s="967"/>
      <c r="B84" s="838"/>
      <c r="C84" s="838"/>
      <c r="D84" s="1036" t="s">
        <v>4124</v>
      </c>
      <c r="E84" s="1036"/>
      <c r="F84" s="1036"/>
      <c r="G84" s="1036"/>
      <c r="H84" s="1036" t="s">
        <v>4125</v>
      </c>
      <c r="I84" s="1036"/>
      <c r="J84" s="1036"/>
      <c r="K84" s="1036"/>
      <c r="L84" s="1036" t="s">
        <v>4126</v>
      </c>
      <c r="M84" s="1036"/>
      <c r="N84" s="1036"/>
      <c r="O84" s="1036"/>
      <c r="P84" s="1036"/>
      <c r="Q84" s="1036"/>
      <c r="R84" s="1036"/>
      <c r="S84" s="1036"/>
    </row>
    <row r="85" spans="1:19" x14ac:dyDescent="0.2">
      <c r="A85" s="967"/>
      <c r="B85" s="838"/>
      <c r="C85" s="838"/>
      <c r="D85" s="793" t="s">
        <v>4127</v>
      </c>
      <c r="E85" s="793"/>
      <c r="F85" s="793" t="s">
        <v>4128</v>
      </c>
      <c r="G85" s="793"/>
      <c r="H85" s="793" t="s">
        <v>4127</v>
      </c>
      <c r="I85" s="793"/>
      <c r="J85" s="793" t="s">
        <v>4128</v>
      </c>
      <c r="K85" s="793"/>
      <c r="L85" s="793" t="s">
        <v>4127</v>
      </c>
      <c r="M85" s="793"/>
      <c r="N85" s="793" t="s">
        <v>4128</v>
      </c>
      <c r="O85" s="793"/>
      <c r="P85" s="1036"/>
      <c r="Q85" s="1036"/>
      <c r="R85" s="1036"/>
      <c r="S85" s="1036"/>
    </row>
    <row r="86" spans="1:19" x14ac:dyDescent="0.2">
      <c r="A86" s="967"/>
      <c r="B86" s="808" t="s">
        <v>3488</v>
      </c>
      <c r="C86" s="808" t="s">
        <v>3374</v>
      </c>
      <c r="D86" s="808" t="s">
        <v>3488</v>
      </c>
      <c r="E86" s="808" t="s">
        <v>3374</v>
      </c>
      <c r="F86" s="808" t="s">
        <v>3488</v>
      </c>
      <c r="G86" s="808" t="s">
        <v>3374</v>
      </c>
      <c r="H86" s="808" t="s">
        <v>3488</v>
      </c>
      <c r="I86" s="808" t="s">
        <v>3374</v>
      </c>
      <c r="J86" s="808" t="s">
        <v>3488</v>
      </c>
      <c r="K86" s="808" t="s">
        <v>3374</v>
      </c>
      <c r="L86" s="808" t="s">
        <v>3488</v>
      </c>
      <c r="M86" s="808" t="s">
        <v>3374</v>
      </c>
      <c r="N86" s="808" t="s">
        <v>3488</v>
      </c>
      <c r="O86" s="808" t="s">
        <v>3374</v>
      </c>
      <c r="P86" s="808" t="s">
        <v>3488</v>
      </c>
      <c r="Q86" s="808" t="s">
        <v>3374</v>
      </c>
      <c r="R86" s="808" t="s">
        <v>3488</v>
      </c>
      <c r="S86" s="808" t="s">
        <v>3374</v>
      </c>
    </row>
    <row r="87" spans="1:19" x14ac:dyDescent="0.2">
      <c r="A87" s="131" t="s">
        <v>3668</v>
      </c>
      <c r="B87" s="349">
        <v>397</v>
      </c>
      <c r="C87" s="717">
        <v>60</v>
      </c>
      <c r="D87" s="349">
        <v>10966</v>
      </c>
      <c r="E87" s="717"/>
      <c r="F87" s="349">
        <v>5706</v>
      </c>
      <c r="G87" s="717">
        <v>80</v>
      </c>
      <c r="H87" s="349">
        <v>19145</v>
      </c>
      <c r="I87" s="717">
        <v>5</v>
      </c>
      <c r="J87" s="349">
        <v>9125</v>
      </c>
      <c r="K87" s="717">
        <v>90</v>
      </c>
      <c r="L87" s="349">
        <v>30111</v>
      </c>
      <c r="M87" s="717">
        <v>5</v>
      </c>
      <c r="N87" s="349">
        <v>14832</v>
      </c>
      <c r="O87" s="717">
        <v>70</v>
      </c>
      <c r="P87" s="349"/>
      <c r="Q87" s="717"/>
      <c r="R87" s="349">
        <v>45341</v>
      </c>
      <c r="S87" s="717">
        <v>35</v>
      </c>
    </row>
    <row r="88" spans="1:19" x14ac:dyDescent="0.2">
      <c r="A88" s="131" t="s">
        <v>1517</v>
      </c>
      <c r="B88" s="131">
        <v>3497</v>
      </c>
      <c r="C88" s="307">
        <v>90</v>
      </c>
      <c r="D88" s="131">
        <v>5836</v>
      </c>
      <c r="E88" s="307">
        <v>75</v>
      </c>
      <c r="F88" s="131">
        <v>3527</v>
      </c>
      <c r="G88" s="307">
        <v>65</v>
      </c>
      <c r="H88" s="131">
        <v>16558</v>
      </c>
      <c r="I88" s="307">
        <v>95</v>
      </c>
      <c r="J88" s="131">
        <v>9955</v>
      </c>
      <c r="K88" s="307">
        <v>55</v>
      </c>
      <c r="L88" s="131">
        <v>22395</v>
      </c>
      <c r="M88" s="307">
        <v>70</v>
      </c>
      <c r="N88" s="131">
        <v>13483</v>
      </c>
      <c r="O88" s="307">
        <v>20</v>
      </c>
      <c r="P88" s="131">
        <v>1207</v>
      </c>
      <c r="Q88" s="307">
        <v>40</v>
      </c>
      <c r="R88" s="131">
        <v>40584</v>
      </c>
      <c r="S88" s="307">
        <v>35</v>
      </c>
    </row>
    <row r="89" spans="1:19" x14ac:dyDescent="0.2">
      <c r="A89" s="131" t="s">
        <v>3266</v>
      </c>
      <c r="B89" s="131">
        <v>122</v>
      </c>
      <c r="C89" s="307"/>
      <c r="D89" s="131">
        <v>828</v>
      </c>
      <c r="E89" s="307"/>
      <c r="F89" s="131">
        <v>71</v>
      </c>
      <c r="G89" s="307">
        <v>20</v>
      </c>
      <c r="H89" s="131">
        <v>1920</v>
      </c>
      <c r="I89" s="307">
        <v>30</v>
      </c>
      <c r="J89" s="131">
        <v>180</v>
      </c>
      <c r="K89" s="307">
        <v>75</v>
      </c>
      <c r="L89" s="131">
        <v>2748</v>
      </c>
      <c r="M89" s="307">
        <v>30</v>
      </c>
      <c r="N89" s="131">
        <v>251</v>
      </c>
      <c r="O89" s="307">
        <v>95</v>
      </c>
      <c r="P89" s="131"/>
      <c r="Q89" s="307"/>
      <c r="R89" s="131">
        <v>3122</v>
      </c>
      <c r="S89" s="307">
        <v>25</v>
      </c>
    </row>
    <row r="90" spans="1:19" x14ac:dyDescent="0.2">
      <c r="A90" s="140" t="s">
        <v>4033</v>
      </c>
      <c r="B90" s="131">
        <v>2012</v>
      </c>
      <c r="C90" s="307">
        <v>65</v>
      </c>
      <c r="D90" s="131">
        <v>13065</v>
      </c>
      <c r="E90" s="307">
        <v>50</v>
      </c>
      <c r="F90" s="131">
        <v>5019</v>
      </c>
      <c r="G90" s="307">
        <v>5</v>
      </c>
      <c r="H90" s="131">
        <v>33719</v>
      </c>
      <c r="I90" s="307">
        <v>35</v>
      </c>
      <c r="J90" s="131">
        <v>6784</v>
      </c>
      <c r="K90" s="307">
        <v>35</v>
      </c>
      <c r="L90" s="131">
        <v>46784</v>
      </c>
      <c r="M90" s="307">
        <v>85</v>
      </c>
      <c r="N90" s="131">
        <v>11803</v>
      </c>
      <c r="O90" s="307">
        <v>40</v>
      </c>
      <c r="P90" s="131">
        <v>1</v>
      </c>
      <c r="Q90" s="307">
        <v>60</v>
      </c>
      <c r="R90" s="131">
        <v>60602</v>
      </c>
      <c r="S90" s="307">
        <v>50</v>
      </c>
    </row>
    <row r="91" spans="1:19" x14ac:dyDescent="0.2">
      <c r="A91" s="140" t="s">
        <v>1519</v>
      </c>
      <c r="B91" s="131">
        <v>2123</v>
      </c>
      <c r="C91" s="307">
        <v>65</v>
      </c>
      <c r="D91" s="131">
        <v>6803</v>
      </c>
      <c r="E91" s="307">
        <v>35</v>
      </c>
      <c r="F91" s="131">
        <v>3833</v>
      </c>
      <c r="G91" s="307">
        <v>10</v>
      </c>
      <c r="H91" s="131">
        <v>9019</v>
      </c>
      <c r="I91" s="307">
        <v>35</v>
      </c>
      <c r="J91" s="131">
        <v>5064</v>
      </c>
      <c r="K91" s="307">
        <v>35</v>
      </c>
      <c r="L91" s="131">
        <v>15822</v>
      </c>
      <c r="M91" s="307">
        <v>70</v>
      </c>
      <c r="N91" s="131">
        <v>8897</v>
      </c>
      <c r="O91" s="307">
        <v>45</v>
      </c>
      <c r="P91" s="131">
        <v>158</v>
      </c>
      <c r="Q91" s="307">
        <v>75</v>
      </c>
      <c r="R91" s="131">
        <v>27002</v>
      </c>
      <c r="S91" s="307">
        <v>55</v>
      </c>
    </row>
    <row r="92" spans="1:19" x14ac:dyDescent="0.2">
      <c r="A92" s="140" t="s">
        <v>1526</v>
      </c>
      <c r="B92" s="131">
        <v>654</v>
      </c>
      <c r="C92" s="307">
        <v>60</v>
      </c>
      <c r="D92" s="131">
        <v>3551</v>
      </c>
      <c r="E92" s="307">
        <v>60</v>
      </c>
      <c r="F92" s="131">
        <v>2507</v>
      </c>
      <c r="G92" s="307">
        <v>50</v>
      </c>
      <c r="H92" s="131">
        <v>6725</v>
      </c>
      <c r="I92" s="307">
        <v>65</v>
      </c>
      <c r="J92" s="131">
        <v>3987</v>
      </c>
      <c r="K92" s="307">
        <v>75</v>
      </c>
      <c r="L92" s="131">
        <v>10277</v>
      </c>
      <c r="M92" s="307">
        <v>25</v>
      </c>
      <c r="N92" s="131">
        <v>6495</v>
      </c>
      <c r="O92" s="307">
        <v>25</v>
      </c>
      <c r="P92" s="131">
        <v>1727</v>
      </c>
      <c r="Q92" s="307">
        <v>10</v>
      </c>
      <c r="R92" s="131">
        <v>19154</v>
      </c>
      <c r="S92" s="307">
        <v>20</v>
      </c>
    </row>
    <row r="93" spans="1:19" x14ac:dyDescent="0.2">
      <c r="A93" s="140" t="s">
        <v>4034</v>
      </c>
      <c r="B93" s="131">
        <v>930</v>
      </c>
      <c r="C93" s="307">
        <v>50</v>
      </c>
      <c r="D93" s="131">
        <v>7877</v>
      </c>
      <c r="E93" s="307">
        <v>15</v>
      </c>
      <c r="F93" s="131">
        <v>992</v>
      </c>
      <c r="G93" s="307">
        <v>70</v>
      </c>
      <c r="H93" s="131">
        <v>10709</v>
      </c>
      <c r="I93" s="307">
        <v>90</v>
      </c>
      <c r="J93" s="131">
        <v>1302</v>
      </c>
      <c r="K93" s="307">
        <v>80</v>
      </c>
      <c r="L93" s="131">
        <v>18587</v>
      </c>
      <c r="M93" s="307">
        <v>5</v>
      </c>
      <c r="N93" s="131">
        <v>2295</v>
      </c>
      <c r="O93" s="307">
        <v>50</v>
      </c>
      <c r="P93" s="131">
        <v>4683</v>
      </c>
      <c r="Q93" s="307">
        <v>40</v>
      </c>
      <c r="R93" s="131">
        <v>26496</v>
      </c>
      <c r="S93" s="307">
        <v>45</v>
      </c>
    </row>
    <row r="94" spans="1:19" x14ac:dyDescent="0.2">
      <c r="A94" s="140" t="s">
        <v>1527</v>
      </c>
      <c r="B94" s="131">
        <v>272</v>
      </c>
      <c r="C94" s="307">
        <v>40</v>
      </c>
      <c r="D94" s="131">
        <v>3416</v>
      </c>
      <c r="E94" s="307">
        <v>80</v>
      </c>
      <c r="F94" s="131">
        <v>1116</v>
      </c>
      <c r="G94" s="307">
        <v>50</v>
      </c>
      <c r="H94" s="131">
        <v>8148</v>
      </c>
      <c r="I94" s="307">
        <v>85</v>
      </c>
      <c r="J94" s="131">
        <v>2447</v>
      </c>
      <c r="K94" s="307">
        <v>80</v>
      </c>
      <c r="L94" s="131">
        <v>11565</v>
      </c>
      <c r="M94" s="307">
        <v>65</v>
      </c>
      <c r="N94" s="131">
        <v>3564</v>
      </c>
      <c r="O94" s="307">
        <v>30</v>
      </c>
      <c r="P94" s="131">
        <v>20</v>
      </c>
      <c r="Q94" s="307">
        <v>20</v>
      </c>
      <c r="R94" s="131">
        <v>15422</v>
      </c>
      <c r="S94" s="307">
        <v>55</v>
      </c>
    </row>
    <row r="95" spans="1:19" x14ac:dyDescent="0.2">
      <c r="A95" s="801" t="s">
        <v>2663</v>
      </c>
      <c r="B95" s="240">
        <v>10011</v>
      </c>
      <c r="C95" s="513">
        <v>30</v>
      </c>
      <c r="D95" s="240">
        <v>52345</v>
      </c>
      <c r="E95" s="513">
        <v>15</v>
      </c>
      <c r="F95" s="240">
        <v>22774</v>
      </c>
      <c r="G95" s="513">
        <v>50</v>
      </c>
      <c r="H95" s="240">
        <v>105947</v>
      </c>
      <c r="I95" s="513">
        <v>40</v>
      </c>
      <c r="J95" s="240">
        <v>38849</v>
      </c>
      <c r="K95" s="513">
        <v>25</v>
      </c>
      <c r="L95" s="240">
        <v>158292</v>
      </c>
      <c r="M95" s="513">
        <v>55</v>
      </c>
      <c r="N95" s="240">
        <v>61623</v>
      </c>
      <c r="O95" s="513">
        <v>75</v>
      </c>
      <c r="P95" s="240">
        <v>7798</v>
      </c>
      <c r="Q95" s="513">
        <v>45</v>
      </c>
      <c r="R95" s="240">
        <v>237726</v>
      </c>
      <c r="S95" s="513">
        <v>20</v>
      </c>
    </row>
    <row r="96" spans="1:19" x14ac:dyDescent="0.2">
      <c r="B96" s="393">
        <f>+SUM(B87:B94)</f>
        <v>10007</v>
      </c>
      <c r="C96" s="393">
        <f t="shared" ref="C96:S96" si="1">+SUM(C87:C94)</f>
        <v>430</v>
      </c>
      <c r="D96" s="393">
        <f t="shared" si="1"/>
        <v>52342</v>
      </c>
      <c r="E96" s="393">
        <f t="shared" si="1"/>
        <v>315</v>
      </c>
      <c r="F96" s="393">
        <f t="shared" si="1"/>
        <v>22771</v>
      </c>
      <c r="G96" s="393">
        <f t="shared" si="1"/>
        <v>350</v>
      </c>
      <c r="H96" s="393">
        <f t="shared" si="1"/>
        <v>105943</v>
      </c>
      <c r="I96" s="393">
        <f t="shared" si="1"/>
        <v>440</v>
      </c>
      <c r="J96" s="393">
        <f t="shared" si="1"/>
        <v>38844</v>
      </c>
      <c r="K96" s="393">
        <f t="shared" si="1"/>
        <v>525</v>
      </c>
      <c r="L96" s="393">
        <f t="shared" si="1"/>
        <v>158289</v>
      </c>
      <c r="M96" s="393">
        <f t="shared" si="1"/>
        <v>355</v>
      </c>
      <c r="N96" s="393">
        <f t="shared" si="1"/>
        <v>61620</v>
      </c>
      <c r="O96" s="393">
        <f t="shared" si="1"/>
        <v>375</v>
      </c>
      <c r="P96" s="393">
        <f t="shared" si="1"/>
        <v>7796</v>
      </c>
      <c r="Q96" s="393">
        <f t="shared" si="1"/>
        <v>245</v>
      </c>
      <c r="R96" s="393">
        <f t="shared" si="1"/>
        <v>237723</v>
      </c>
      <c r="S96" s="393">
        <f t="shared" si="1"/>
        <v>320</v>
      </c>
    </row>
    <row r="99" spans="1:19" x14ac:dyDescent="0.2">
      <c r="A99" s="526" t="s">
        <v>3876</v>
      </c>
    </row>
    <row r="100" spans="1:19" ht="34.25" customHeight="1" x14ac:dyDescent="0.2">
      <c r="A100" s="1026" t="s">
        <v>4129</v>
      </c>
      <c r="B100" s="1026"/>
      <c r="C100" s="1026"/>
      <c r="D100" s="1026"/>
      <c r="E100" s="1026"/>
      <c r="F100" s="1026"/>
      <c r="G100" s="1026"/>
      <c r="H100" s="1026"/>
      <c r="I100" s="1026"/>
      <c r="J100" s="1026"/>
      <c r="K100" s="1026"/>
      <c r="L100" s="1026"/>
      <c r="M100" s="1026"/>
    </row>
    <row r="101" spans="1:19" ht="19.25" customHeight="1" x14ac:dyDescent="0.2">
      <c r="A101" s="967" t="s">
        <v>4130</v>
      </c>
      <c r="B101" s="1027" t="s">
        <v>3271</v>
      </c>
      <c r="C101" s="1027"/>
      <c r="D101" s="1027" t="s">
        <v>3272</v>
      </c>
      <c r="E101" s="1027"/>
      <c r="F101" s="1027" t="s">
        <v>3577</v>
      </c>
      <c r="G101" s="1027"/>
      <c r="H101" s="1027" t="s">
        <v>3578</v>
      </c>
      <c r="I101" s="1027"/>
      <c r="J101" s="1027" t="s">
        <v>3579</v>
      </c>
      <c r="K101" s="1027"/>
      <c r="L101" s="1027" t="s">
        <v>3275</v>
      </c>
      <c r="M101" s="1027"/>
    </row>
    <row r="102" spans="1:19" ht="22.25" customHeight="1" x14ac:dyDescent="0.2">
      <c r="A102" s="967"/>
      <c r="B102" s="1035" t="s">
        <v>3797</v>
      </c>
      <c r="C102" s="1035"/>
      <c r="D102" s="1035" t="s">
        <v>3797</v>
      </c>
      <c r="E102" s="1035"/>
      <c r="F102" s="1035" t="s">
        <v>3797</v>
      </c>
      <c r="G102" s="1035"/>
      <c r="H102" s="1035" t="s">
        <v>3797</v>
      </c>
      <c r="I102" s="1035"/>
      <c r="J102" s="1035" t="s">
        <v>3797</v>
      </c>
      <c r="K102" s="1035"/>
      <c r="L102" s="1035" t="s">
        <v>3797</v>
      </c>
      <c r="M102" s="1035"/>
    </row>
    <row r="103" spans="1:19" x14ac:dyDescent="0.2">
      <c r="A103" s="716" t="s">
        <v>4131</v>
      </c>
      <c r="B103" s="349">
        <v>288448</v>
      </c>
      <c r="C103" s="717"/>
      <c r="D103" s="349">
        <v>87767</v>
      </c>
      <c r="E103" s="717"/>
      <c r="F103" s="349">
        <v>51005</v>
      </c>
      <c r="G103" s="717"/>
      <c r="H103" s="349">
        <v>35170</v>
      </c>
      <c r="I103" s="717">
        <v>0.5</v>
      </c>
      <c r="J103" s="349">
        <v>14739</v>
      </c>
      <c r="K103" s="717"/>
      <c r="L103" s="349"/>
      <c r="M103" s="717"/>
    </row>
    <row r="104" spans="1:19" x14ac:dyDescent="0.2">
      <c r="A104" s="533" t="s">
        <v>4132</v>
      </c>
      <c r="B104" s="131">
        <v>7860062</v>
      </c>
      <c r="C104" s="307"/>
      <c r="D104" s="131">
        <v>4621209</v>
      </c>
      <c r="E104" s="307"/>
      <c r="F104" s="131">
        <v>5071366</v>
      </c>
      <c r="G104" s="307"/>
      <c r="H104" s="131">
        <v>2404457</v>
      </c>
      <c r="I104" s="307"/>
      <c r="J104" s="131">
        <v>3485600</v>
      </c>
      <c r="K104" s="307"/>
      <c r="L104" s="131">
        <v>1089531</v>
      </c>
      <c r="M104" s="307"/>
    </row>
    <row r="105" spans="1:19" x14ac:dyDescent="0.2">
      <c r="A105" s="535" t="s">
        <v>4133</v>
      </c>
      <c r="B105" s="230">
        <v>10642714</v>
      </c>
      <c r="C105" s="364"/>
      <c r="D105" s="230">
        <v>6511511</v>
      </c>
      <c r="E105" s="364"/>
      <c r="F105" s="230">
        <v>4426485</v>
      </c>
      <c r="G105" s="364"/>
      <c r="H105" s="230">
        <v>1944731</v>
      </c>
      <c r="I105" s="364"/>
      <c r="J105" s="230">
        <v>2821053</v>
      </c>
      <c r="K105" s="364"/>
      <c r="L105" s="230">
        <v>5581614</v>
      </c>
      <c r="M105" s="364"/>
    </row>
    <row r="109" spans="1:19" x14ac:dyDescent="0.2">
      <c r="A109" s="526" t="s">
        <v>3885</v>
      </c>
    </row>
    <row r="110" spans="1:19" ht="29.5" customHeight="1" x14ac:dyDescent="0.2">
      <c r="A110" s="528" t="s">
        <v>4134</v>
      </c>
      <c r="B110" s="643"/>
      <c r="C110" s="643"/>
      <c r="D110" s="643"/>
      <c r="E110" s="643"/>
      <c r="F110" s="643"/>
      <c r="G110" s="643"/>
      <c r="H110" s="643"/>
      <c r="I110" s="643"/>
      <c r="J110" s="643"/>
      <c r="K110" s="643"/>
      <c r="L110" s="643"/>
      <c r="M110" s="643"/>
      <c r="N110" s="643"/>
      <c r="O110" s="643"/>
      <c r="P110" s="643"/>
      <c r="Q110" s="643"/>
      <c r="R110" s="643"/>
      <c r="S110" s="529"/>
    </row>
    <row r="111" spans="1:19" ht="27" customHeight="1" x14ac:dyDescent="0.2">
      <c r="A111" s="842"/>
      <c r="B111" s="1163" t="s">
        <v>2590</v>
      </c>
      <c r="C111" s="1164"/>
      <c r="D111" s="1163" t="s">
        <v>2591</v>
      </c>
      <c r="E111" s="1164"/>
      <c r="F111" s="1163" t="s">
        <v>2592</v>
      </c>
      <c r="G111" s="1164"/>
      <c r="H111" s="1163" t="s">
        <v>2593</v>
      </c>
      <c r="I111" s="1164"/>
      <c r="J111" s="1163" t="s">
        <v>4135</v>
      </c>
      <c r="K111" s="1164"/>
      <c r="L111" s="1163" t="s">
        <v>4136</v>
      </c>
      <c r="M111" s="1164"/>
      <c r="N111" s="1163" t="s">
        <v>4137</v>
      </c>
      <c r="O111" s="1164"/>
      <c r="P111" s="1163" t="s">
        <v>4138</v>
      </c>
      <c r="Q111" s="1164"/>
      <c r="R111" s="1163" t="s">
        <v>4139</v>
      </c>
      <c r="S111" s="1164"/>
    </row>
    <row r="112" spans="1:19" ht="22.25" customHeight="1" x14ac:dyDescent="0.2">
      <c r="A112" s="846"/>
      <c r="B112" s="1165" t="s">
        <v>3281</v>
      </c>
      <c r="C112" s="1166" t="s">
        <v>4140</v>
      </c>
      <c r="D112" s="1165" t="s">
        <v>3281</v>
      </c>
      <c r="E112" s="1166" t="s">
        <v>4140</v>
      </c>
      <c r="F112" s="1165" t="s">
        <v>3281</v>
      </c>
      <c r="G112" s="1166" t="s">
        <v>4140</v>
      </c>
      <c r="H112" s="1165" t="s">
        <v>3281</v>
      </c>
      <c r="I112" s="1166" t="s">
        <v>4140</v>
      </c>
      <c r="J112" s="1165" t="s">
        <v>3281</v>
      </c>
      <c r="K112" s="1166" t="s">
        <v>4140</v>
      </c>
      <c r="L112" s="1165" t="s">
        <v>3281</v>
      </c>
      <c r="M112" s="1166" t="s">
        <v>4140</v>
      </c>
      <c r="N112" s="1165" t="s">
        <v>3281</v>
      </c>
      <c r="O112" s="1166" t="s">
        <v>4140</v>
      </c>
      <c r="P112" s="1165" t="s">
        <v>3281</v>
      </c>
      <c r="Q112" s="1166" t="s">
        <v>4140</v>
      </c>
      <c r="R112" s="1165" t="s">
        <v>3281</v>
      </c>
      <c r="S112" s="1166" t="s">
        <v>4140</v>
      </c>
    </row>
    <row r="113" spans="1:19" x14ac:dyDescent="0.2">
      <c r="A113" s="533" t="s">
        <v>4141</v>
      </c>
      <c r="B113" s="145">
        <v>7814143</v>
      </c>
      <c r="C113" s="307">
        <v>500</v>
      </c>
      <c r="D113" s="145">
        <v>7678220</v>
      </c>
      <c r="E113" s="307">
        <v>500</v>
      </c>
      <c r="F113" s="145">
        <v>7215533</v>
      </c>
      <c r="G113" s="1167"/>
      <c r="H113" s="145">
        <v>8857490</v>
      </c>
      <c r="I113" s="1167"/>
      <c r="J113" s="145">
        <v>9375818</v>
      </c>
      <c r="K113" s="307">
        <v>750</v>
      </c>
      <c r="L113" s="145">
        <v>9228310</v>
      </c>
      <c r="M113" s="307">
        <v>500</v>
      </c>
      <c r="N113" s="145">
        <v>9293905</v>
      </c>
      <c r="O113" s="307">
        <v>500</v>
      </c>
      <c r="P113" s="145">
        <v>9036181</v>
      </c>
      <c r="Q113" s="307">
        <v>250</v>
      </c>
      <c r="R113" s="145">
        <v>8581111</v>
      </c>
      <c r="S113" s="307">
        <v>750</v>
      </c>
    </row>
    <row r="114" spans="1:19" x14ac:dyDescent="0.2">
      <c r="A114" s="533" t="s">
        <v>4142</v>
      </c>
      <c r="B114" s="145">
        <v>2716437</v>
      </c>
      <c r="C114" s="307">
        <v>500</v>
      </c>
      <c r="D114" s="145">
        <v>2764512</v>
      </c>
      <c r="E114" s="307">
        <v>500</v>
      </c>
      <c r="F114" s="145">
        <v>2298462</v>
      </c>
      <c r="G114" s="307">
        <v>500</v>
      </c>
      <c r="H114" s="145">
        <v>2452162</v>
      </c>
      <c r="I114" s="307">
        <v>500</v>
      </c>
      <c r="J114" s="145">
        <v>3437290</v>
      </c>
      <c r="K114" s="1167"/>
      <c r="L114" s="145">
        <v>3854303</v>
      </c>
      <c r="M114" s="395">
        <v>250</v>
      </c>
      <c r="N114" s="145">
        <v>4234756</v>
      </c>
      <c r="O114" s="1167"/>
      <c r="P114" s="145">
        <v>5836306</v>
      </c>
      <c r="Q114" s="307">
        <v>250</v>
      </c>
      <c r="R114" s="145">
        <v>7143065</v>
      </c>
      <c r="S114" s="307">
        <v>250</v>
      </c>
    </row>
    <row r="115" spans="1:19" x14ac:dyDescent="0.2">
      <c r="A115" s="533" t="s">
        <v>4143</v>
      </c>
      <c r="B115" s="145">
        <v>94575</v>
      </c>
      <c r="C115" s="1167">
        <v>500</v>
      </c>
      <c r="D115" s="145">
        <v>24350</v>
      </c>
      <c r="E115" s="1167">
        <v>500</v>
      </c>
      <c r="F115" s="145">
        <v>17800</v>
      </c>
      <c r="G115" s="1167"/>
      <c r="H115" s="145">
        <v>17125</v>
      </c>
      <c r="I115" s="1167"/>
      <c r="J115" s="145">
        <v>66413</v>
      </c>
      <c r="K115" s="1167"/>
      <c r="L115" s="145">
        <v>66312</v>
      </c>
      <c r="M115" s="395">
        <v>500</v>
      </c>
      <c r="N115" s="145">
        <v>91700</v>
      </c>
      <c r="O115" s="1167"/>
      <c r="P115" s="145">
        <v>121875</v>
      </c>
      <c r="Q115" s="1168"/>
      <c r="R115" s="145">
        <v>631537</v>
      </c>
      <c r="S115" s="307">
        <v>500</v>
      </c>
    </row>
    <row r="116" spans="1:19" x14ac:dyDescent="0.2">
      <c r="A116" s="785" t="s">
        <v>1341</v>
      </c>
      <c r="B116" s="240">
        <v>10625156</v>
      </c>
      <c r="C116" s="1169">
        <v>500</v>
      </c>
      <c r="D116" s="240">
        <v>10467083</v>
      </c>
      <c r="E116" s="1169">
        <v>500</v>
      </c>
      <c r="F116" s="240">
        <v>9531795</v>
      </c>
      <c r="G116" s="513">
        <v>500</v>
      </c>
      <c r="H116" s="240">
        <v>11326777</v>
      </c>
      <c r="I116" s="513">
        <v>500</v>
      </c>
      <c r="J116" s="240">
        <v>12879521</v>
      </c>
      <c r="K116" s="513">
        <v>750</v>
      </c>
      <c r="L116" s="240">
        <v>13148926</v>
      </c>
      <c r="M116" s="1170">
        <v>500</v>
      </c>
      <c r="N116" s="240">
        <v>13620361</v>
      </c>
      <c r="O116" s="513">
        <v>500</v>
      </c>
      <c r="P116" s="240">
        <v>15021362</v>
      </c>
      <c r="Q116" s="513">
        <v>500</v>
      </c>
      <c r="R116" s="240">
        <v>16355714</v>
      </c>
      <c r="S116" s="513">
        <v>500</v>
      </c>
    </row>
    <row r="117" spans="1:19" ht="17" customHeight="1" x14ac:dyDescent="0.2">
      <c r="B117" s="393">
        <f>+SUM(B113:B115)</f>
        <v>10625155</v>
      </c>
      <c r="C117" s="393">
        <f t="shared" ref="C117:S117" si="2">+SUM(C113:C115)</f>
        <v>1500</v>
      </c>
      <c r="D117" s="393">
        <f t="shared" si="2"/>
        <v>10467082</v>
      </c>
      <c r="E117" s="393">
        <f t="shared" si="2"/>
        <v>1500</v>
      </c>
      <c r="F117" s="393">
        <f t="shared" si="2"/>
        <v>9531795</v>
      </c>
      <c r="G117" s="393">
        <f t="shared" si="2"/>
        <v>500</v>
      </c>
      <c r="H117" s="393">
        <f t="shared" si="2"/>
        <v>11326777</v>
      </c>
      <c r="I117" s="393">
        <f t="shared" si="2"/>
        <v>500</v>
      </c>
      <c r="J117" s="393">
        <f t="shared" si="2"/>
        <v>12879521</v>
      </c>
      <c r="K117" s="393">
        <f t="shared" si="2"/>
        <v>750</v>
      </c>
      <c r="L117" s="393">
        <f t="shared" si="2"/>
        <v>13148925</v>
      </c>
      <c r="M117" s="1137">
        <f t="shared" si="2"/>
        <v>1250</v>
      </c>
      <c r="N117" s="393">
        <f t="shared" si="2"/>
        <v>13620361</v>
      </c>
      <c r="O117" s="393">
        <f t="shared" si="2"/>
        <v>500</v>
      </c>
      <c r="P117" s="393">
        <f t="shared" si="2"/>
        <v>14994362</v>
      </c>
      <c r="Q117" s="393">
        <f t="shared" si="2"/>
        <v>500</v>
      </c>
      <c r="R117" s="393">
        <f t="shared" si="2"/>
        <v>16355713</v>
      </c>
      <c r="S117" s="393">
        <f t="shared" si="2"/>
        <v>1500</v>
      </c>
    </row>
    <row r="118" spans="1:19" ht="17" customHeight="1" x14ac:dyDescent="0.2"/>
    <row r="120" spans="1:19" x14ac:dyDescent="0.2">
      <c r="A120" s="526" t="s">
        <v>3988</v>
      </c>
    </row>
    <row r="121" spans="1:19" ht="30.5" customHeight="1" x14ac:dyDescent="0.2">
      <c r="A121" s="953" t="s">
        <v>4144</v>
      </c>
      <c r="B121" s="954"/>
      <c r="C121" s="954"/>
      <c r="D121" s="954"/>
      <c r="E121" s="954"/>
      <c r="F121" s="954"/>
      <c r="G121" s="954"/>
      <c r="H121" s="954"/>
      <c r="I121" s="954"/>
      <c r="J121" s="954"/>
      <c r="K121" s="954"/>
      <c r="L121" s="954"/>
      <c r="M121" s="954"/>
      <c r="N121" s="954"/>
      <c r="O121" s="954"/>
      <c r="P121" s="954"/>
      <c r="Q121" s="954"/>
      <c r="R121" s="954"/>
      <c r="S121" s="955"/>
    </row>
    <row r="122" spans="1:19" ht="27" customHeight="1" x14ac:dyDescent="0.2">
      <c r="A122" s="808"/>
      <c r="B122" s="1171" t="s">
        <v>2590</v>
      </c>
      <c r="C122" s="1164"/>
      <c r="D122" s="1172" t="s">
        <v>2591</v>
      </c>
      <c r="E122" s="1173"/>
      <c r="F122" s="1172" t="s">
        <v>2592</v>
      </c>
      <c r="G122" s="1173"/>
      <c r="H122" s="1172" t="s">
        <v>2593</v>
      </c>
      <c r="I122" s="1173"/>
      <c r="J122" s="1172" t="s">
        <v>4135</v>
      </c>
      <c r="K122" s="1173"/>
      <c r="L122" s="1172" t="s">
        <v>4136</v>
      </c>
      <c r="M122" s="1173"/>
      <c r="N122" s="1172" t="s">
        <v>4137</v>
      </c>
      <c r="O122" s="1173"/>
      <c r="P122" s="1172" t="s">
        <v>4138</v>
      </c>
      <c r="Q122" s="1173"/>
      <c r="R122" s="1172" t="s">
        <v>4139</v>
      </c>
      <c r="S122" s="1173"/>
    </row>
    <row r="126" spans="1:19" x14ac:dyDescent="0.2">
      <c r="A126" s="526" t="s">
        <v>4145</v>
      </c>
    </row>
    <row r="127" spans="1:19" ht="35" customHeight="1" x14ac:dyDescent="0.2">
      <c r="A127" s="839" t="s">
        <v>4146</v>
      </c>
      <c r="B127" s="942"/>
      <c r="C127" s="942"/>
      <c r="D127" s="942"/>
      <c r="E127" s="942"/>
      <c r="F127" s="942"/>
      <c r="G127" s="942"/>
      <c r="H127" s="942"/>
      <c r="I127" s="942"/>
      <c r="J127" s="840"/>
    </row>
    <row r="128" spans="1:19" ht="42.5" customHeight="1" x14ac:dyDescent="0.2">
      <c r="A128" s="806" t="s">
        <v>3597</v>
      </c>
      <c r="B128" s="978" t="s">
        <v>3598</v>
      </c>
      <c r="C128" s="979"/>
      <c r="D128" s="980"/>
      <c r="E128" s="978" t="s">
        <v>1882</v>
      </c>
      <c r="F128" s="979"/>
      <c r="G128" s="980"/>
      <c r="H128" s="978" t="s">
        <v>3599</v>
      </c>
      <c r="I128" s="979"/>
      <c r="J128" s="980"/>
    </row>
    <row r="129" spans="1:13" x14ac:dyDescent="0.2">
      <c r="A129" s="131" t="s">
        <v>3586</v>
      </c>
      <c r="B129" s="131">
        <v>905375</v>
      </c>
      <c r="C129" s="145">
        <v>50</v>
      </c>
      <c r="D129" s="133"/>
      <c r="E129" s="131">
        <v>95430</v>
      </c>
      <c r="F129" s="145">
        <v>20</v>
      </c>
      <c r="G129" s="307"/>
      <c r="H129" s="131">
        <v>809945</v>
      </c>
      <c r="I129" s="145">
        <v>30</v>
      </c>
      <c r="J129" s="133"/>
    </row>
    <row r="130" spans="1:13" x14ac:dyDescent="0.2">
      <c r="A130" s="131" t="s">
        <v>3587</v>
      </c>
      <c r="B130" s="131">
        <v>163471</v>
      </c>
      <c r="C130" s="145">
        <v>10</v>
      </c>
      <c r="D130" s="133"/>
      <c r="E130" s="131">
        <v>18760</v>
      </c>
      <c r="F130" s="145">
        <v>35</v>
      </c>
      <c r="G130" s="307"/>
      <c r="H130" s="131">
        <v>144710</v>
      </c>
      <c r="I130" s="145">
        <v>75</v>
      </c>
      <c r="J130" s="133"/>
    </row>
    <row r="131" spans="1:13" x14ac:dyDescent="0.2">
      <c r="A131" s="131" t="s">
        <v>3588</v>
      </c>
      <c r="B131" s="131">
        <v>58939</v>
      </c>
      <c r="C131" s="145">
        <v>20</v>
      </c>
      <c r="D131" s="133"/>
      <c r="E131" s="131">
        <v>13182</v>
      </c>
      <c r="F131" s="145">
        <v>10</v>
      </c>
      <c r="G131" s="307"/>
      <c r="H131" s="131">
        <v>45757</v>
      </c>
      <c r="I131" s="145">
        <v>10</v>
      </c>
      <c r="J131" s="133"/>
    </row>
    <row r="132" spans="1:13" x14ac:dyDescent="0.2">
      <c r="A132" s="131" t="s">
        <v>3589</v>
      </c>
      <c r="B132" s="131">
        <v>117901</v>
      </c>
      <c r="C132" s="145">
        <v>60</v>
      </c>
      <c r="D132" s="133"/>
      <c r="E132" s="131">
        <v>24943</v>
      </c>
      <c r="F132" s="145">
        <v>60</v>
      </c>
      <c r="G132" s="307"/>
      <c r="H132" s="131">
        <v>92958</v>
      </c>
      <c r="I132" s="145"/>
      <c r="J132" s="133"/>
    </row>
    <row r="133" spans="1:13" x14ac:dyDescent="0.2">
      <c r="A133" s="131" t="s">
        <v>3590</v>
      </c>
      <c r="B133" s="131">
        <v>5441</v>
      </c>
      <c r="C133" s="145">
        <v>12</v>
      </c>
      <c r="D133" s="133">
        <v>0.5</v>
      </c>
      <c r="E133" s="131">
        <v>2230</v>
      </c>
      <c r="F133" s="145">
        <v>5</v>
      </c>
      <c r="G133" s="307"/>
      <c r="H133" s="131">
        <v>3211</v>
      </c>
      <c r="I133" s="145">
        <v>7</v>
      </c>
      <c r="J133" s="133">
        <v>0.5</v>
      </c>
    </row>
    <row r="134" spans="1:13" x14ac:dyDescent="0.2">
      <c r="A134" s="131" t="s">
        <v>3591</v>
      </c>
      <c r="B134" s="131">
        <v>179316</v>
      </c>
      <c r="C134" s="145">
        <v>25</v>
      </c>
      <c r="D134" s="133"/>
      <c r="E134" s="131">
        <v>63652</v>
      </c>
      <c r="F134" s="145">
        <v>30</v>
      </c>
      <c r="G134" s="307"/>
      <c r="H134" s="131">
        <v>115663</v>
      </c>
      <c r="I134" s="145">
        <v>95</v>
      </c>
      <c r="J134" s="133"/>
    </row>
    <row r="135" spans="1:13" x14ac:dyDescent="0.2">
      <c r="A135" s="131" t="s">
        <v>3807</v>
      </c>
      <c r="B135" s="131">
        <v>13745</v>
      </c>
      <c r="C135" s="145">
        <v>40</v>
      </c>
      <c r="D135" s="133"/>
      <c r="E135" s="131">
        <v>11039</v>
      </c>
      <c r="F135" s="145">
        <v>10</v>
      </c>
      <c r="G135" s="307"/>
      <c r="H135" s="131">
        <v>2706</v>
      </c>
      <c r="I135" s="145">
        <v>30</v>
      </c>
      <c r="J135" s="133"/>
    </row>
    <row r="136" spans="1:13" x14ac:dyDescent="0.2">
      <c r="A136" s="131" t="s">
        <v>4147</v>
      </c>
      <c r="B136" s="131">
        <v>35619</v>
      </c>
      <c r="C136" s="145">
        <v>80</v>
      </c>
      <c r="D136" s="133"/>
      <c r="E136" s="131">
        <v>11455</v>
      </c>
      <c r="F136" s="145">
        <v>10</v>
      </c>
      <c r="G136" s="307"/>
      <c r="H136" s="131">
        <v>24164</v>
      </c>
      <c r="I136" s="145">
        <v>70</v>
      </c>
      <c r="J136" s="133"/>
    </row>
    <row r="137" spans="1:13" x14ac:dyDescent="0.2">
      <c r="A137" s="131" t="s">
        <v>4148</v>
      </c>
      <c r="B137" s="131">
        <v>9709</v>
      </c>
      <c r="C137" s="145">
        <v>72</v>
      </c>
      <c r="D137" s="133">
        <v>0.5</v>
      </c>
      <c r="E137" s="131">
        <v>2831</v>
      </c>
      <c r="F137" s="145"/>
      <c r="G137" s="307"/>
      <c r="H137" s="131">
        <v>6878</v>
      </c>
      <c r="I137" s="145">
        <v>72</v>
      </c>
      <c r="J137" s="133">
        <v>0.5</v>
      </c>
    </row>
    <row r="138" spans="1:13" x14ac:dyDescent="0.2">
      <c r="A138" s="131" t="s">
        <v>4149</v>
      </c>
      <c r="B138" s="131">
        <v>10908</v>
      </c>
      <c r="C138" s="145">
        <v>60</v>
      </c>
      <c r="D138" s="133"/>
      <c r="E138" s="131">
        <v>3430</v>
      </c>
      <c r="F138" s="145">
        <v>25</v>
      </c>
      <c r="G138" s="307"/>
      <c r="H138" s="131">
        <v>7478</v>
      </c>
      <c r="I138" s="145">
        <v>35</v>
      </c>
      <c r="J138" s="133"/>
    </row>
    <row r="139" spans="1:13" x14ac:dyDescent="0.2">
      <c r="A139" s="794" t="s">
        <v>4150</v>
      </c>
      <c r="B139" s="240">
        <v>1500428</v>
      </c>
      <c r="C139" s="318">
        <v>30</v>
      </c>
      <c r="D139" s="241"/>
      <c r="E139" s="240">
        <v>246954</v>
      </c>
      <c r="F139" s="318">
        <v>5</v>
      </c>
      <c r="G139" s="513"/>
      <c r="H139" s="240">
        <v>1253474</v>
      </c>
      <c r="I139" s="318">
        <v>25</v>
      </c>
      <c r="J139" s="241"/>
    </row>
    <row r="140" spans="1:13" x14ac:dyDescent="0.2">
      <c r="B140" s="393">
        <f>+SUM(B129:B138)</f>
        <v>1500424</v>
      </c>
      <c r="C140" s="393">
        <f t="shared" ref="C140:J140" si="3">+SUM(C129:C138)</f>
        <v>429</v>
      </c>
      <c r="D140" s="1158">
        <f t="shared" si="3"/>
        <v>1</v>
      </c>
      <c r="E140" s="393">
        <f t="shared" si="3"/>
        <v>246952</v>
      </c>
      <c r="F140" s="393">
        <f t="shared" si="3"/>
        <v>205</v>
      </c>
      <c r="G140" s="393">
        <f t="shared" si="3"/>
        <v>0</v>
      </c>
      <c r="H140" s="393">
        <f t="shared" si="3"/>
        <v>1253470</v>
      </c>
      <c r="I140" s="393">
        <f t="shared" si="3"/>
        <v>424</v>
      </c>
      <c r="J140" s="1158">
        <f t="shared" si="3"/>
        <v>1</v>
      </c>
    </row>
    <row r="143" spans="1:13" x14ac:dyDescent="0.2">
      <c r="A143" s="526" t="s">
        <v>4151</v>
      </c>
    </row>
    <row r="144" spans="1:13" ht="32" customHeight="1" x14ac:dyDescent="0.2">
      <c r="A144" s="1134" t="s">
        <v>4152</v>
      </c>
      <c r="B144" s="1135"/>
      <c r="C144" s="1135"/>
      <c r="D144" s="1135"/>
      <c r="E144" s="1135"/>
      <c r="F144" s="1135"/>
      <c r="G144" s="1135"/>
      <c r="H144" s="1135"/>
      <c r="I144" s="1135"/>
      <c r="J144" s="1135"/>
      <c r="K144" s="1135"/>
      <c r="L144" s="1135"/>
      <c r="M144" s="1136"/>
    </row>
    <row r="145" spans="1:13" ht="32" customHeight="1" x14ac:dyDescent="0.2">
      <c r="A145" s="838" t="s">
        <v>3597</v>
      </c>
      <c r="B145" s="609" t="s">
        <v>4153</v>
      </c>
      <c r="C145" s="967"/>
      <c r="D145" s="967"/>
      <c r="E145" s="967" t="s">
        <v>4154</v>
      </c>
      <c r="F145" s="967"/>
      <c r="G145" s="967"/>
      <c r="H145" s="967" t="s">
        <v>4155</v>
      </c>
      <c r="I145" s="967"/>
      <c r="J145" s="967"/>
      <c r="K145" s="967" t="s">
        <v>4156</v>
      </c>
      <c r="L145" s="967"/>
      <c r="M145" s="967"/>
    </row>
    <row r="146" spans="1:13" x14ac:dyDescent="0.2">
      <c r="A146" s="838"/>
      <c r="B146" s="1073" t="s">
        <v>3486</v>
      </c>
      <c r="C146" s="1027" t="s">
        <v>3282</v>
      </c>
      <c r="D146" s="1027"/>
      <c r="E146" s="1073" t="s">
        <v>3486</v>
      </c>
      <c r="F146" s="1027" t="s">
        <v>3282</v>
      </c>
      <c r="G146" s="1027"/>
      <c r="H146" s="1073" t="s">
        <v>3486</v>
      </c>
      <c r="I146" s="1027" t="s">
        <v>3282</v>
      </c>
      <c r="J146" s="1027"/>
      <c r="K146" s="1073" t="s">
        <v>3486</v>
      </c>
      <c r="L146" s="1027" t="s">
        <v>3282</v>
      </c>
      <c r="M146" s="1027"/>
    </row>
    <row r="147" spans="1:13" x14ac:dyDescent="0.2">
      <c r="A147" s="533" t="s">
        <v>3586</v>
      </c>
      <c r="B147" s="131">
        <v>7929015</v>
      </c>
      <c r="C147" s="145">
        <v>500</v>
      </c>
      <c r="D147" s="307"/>
      <c r="E147" s="131">
        <v>9881124</v>
      </c>
      <c r="F147" s="145">
        <v>500</v>
      </c>
      <c r="G147" s="307"/>
      <c r="H147" s="131">
        <v>798287</v>
      </c>
      <c r="I147" s="145">
        <v>10</v>
      </c>
      <c r="J147" s="133"/>
      <c r="K147" s="131">
        <v>905375</v>
      </c>
      <c r="L147" s="145">
        <v>50</v>
      </c>
      <c r="M147" s="133"/>
    </row>
    <row r="148" spans="1:13" x14ac:dyDescent="0.2">
      <c r="A148" s="533" t="s">
        <v>3587</v>
      </c>
      <c r="B148" s="131">
        <v>1182075</v>
      </c>
      <c r="C148" s="145"/>
      <c r="D148" s="307"/>
      <c r="E148" s="131">
        <v>1827912</v>
      </c>
      <c r="F148" s="145">
        <v>500</v>
      </c>
      <c r="G148" s="307"/>
      <c r="H148" s="131">
        <v>128818</v>
      </c>
      <c r="I148" s="145">
        <v>30</v>
      </c>
      <c r="J148" s="133"/>
      <c r="K148" s="131">
        <v>163471</v>
      </c>
      <c r="L148" s="145">
        <v>10</v>
      </c>
      <c r="M148" s="133"/>
    </row>
    <row r="149" spans="1:13" x14ac:dyDescent="0.2">
      <c r="A149" s="533" t="s">
        <v>3588</v>
      </c>
      <c r="B149" s="131">
        <v>688475</v>
      </c>
      <c r="C149" s="145"/>
      <c r="D149" s="307"/>
      <c r="E149" s="131">
        <v>554525</v>
      </c>
      <c r="F149" s="145"/>
      <c r="G149" s="307"/>
      <c r="H149" s="131">
        <v>77331</v>
      </c>
      <c r="I149" s="145">
        <v>20</v>
      </c>
      <c r="J149" s="133"/>
      <c r="K149" s="131">
        <v>58939</v>
      </c>
      <c r="L149" s="145">
        <v>20</v>
      </c>
      <c r="M149" s="133"/>
    </row>
    <row r="150" spans="1:13" x14ac:dyDescent="0.2">
      <c r="A150" s="533" t="s">
        <v>3589</v>
      </c>
      <c r="B150" s="131">
        <v>1137172</v>
      </c>
      <c r="C150" s="145">
        <v>500</v>
      </c>
      <c r="D150" s="307"/>
      <c r="E150" s="131">
        <v>1182487</v>
      </c>
      <c r="F150" s="145">
        <v>500</v>
      </c>
      <c r="G150" s="307"/>
      <c r="H150" s="131">
        <v>124032</v>
      </c>
      <c r="I150" s="145">
        <v>70</v>
      </c>
      <c r="J150" s="133"/>
      <c r="K150" s="131">
        <v>117901</v>
      </c>
      <c r="L150" s="145">
        <v>60</v>
      </c>
      <c r="M150" s="133"/>
    </row>
    <row r="151" spans="1:13" x14ac:dyDescent="0.2">
      <c r="A151" s="533" t="s">
        <v>3590</v>
      </c>
      <c r="B151" s="131">
        <v>546427</v>
      </c>
      <c r="C151" s="145"/>
      <c r="D151" s="307"/>
      <c r="E151" s="131">
        <v>507719</v>
      </c>
      <c r="F151" s="145"/>
      <c r="G151" s="307"/>
      <c r="H151" s="131">
        <v>6585</v>
      </c>
      <c r="I151" s="145">
        <v>17</v>
      </c>
      <c r="J151" s="133">
        <v>0.5</v>
      </c>
      <c r="K151" s="131">
        <v>5441</v>
      </c>
      <c r="L151" s="145">
        <v>12</v>
      </c>
      <c r="M151" s="133">
        <v>0.5</v>
      </c>
    </row>
    <row r="152" spans="1:13" x14ac:dyDescent="0.2">
      <c r="A152" s="1174" t="s">
        <v>3602</v>
      </c>
      <c r="B152" s="240">
        <v>11483165</v>
      </c>
      <c r="C152" s="318"/>
      <c r="D152" s="513"/>
      <c r="E152" s="240">
        <v>13953768</v>
      </c>
      <c r="F152" s="318">
        <v>500</v>
      </c>
      <c r="G152" s="513"/>
      <c r="H152" s="240">
        <v>1135054</v>
      </c>
      <c r="I152" s="318">
        <v>47</v>
      </c>
      <c r="J152" s="241">
        <v>0.5</v>
      </c>
      <c r="K152" s="240">
        <v>1251128</v>
      </c>
      <c r="L152" s="318">
        <v>52</v>
      </c>
      <c r="M152" s="241">
        <v>0.5</v>
      </c>
    </row>
    <row r="153" spans="1:13" x14ac:dyDescent="0.2">
      <c r="A153" s="533" t="s">
        <v>3591</v>
      </c>
      <c r="B153" s="131">
        <v>1211404</v>
      </c>
      <c r="C153" s="145"/>
      <c r="D153" s="307"/>
      <c r="E153" s="131">
        <v>1692600</v>
      </c>
      <c r="F153" s="145"/>
      <c r="G153" s="307"/>
      <c r="H153" s="131">
        <v>138880</v>
      </c>
      <c r="I153" s="145">
        <v>30</v>
      </c>
      <c r="J153" s="133"/>
      <c r="K153" s="131">
        <v>179316</v>
      </c>
      <c r="L153" s="145">
        <v>25</v>
      </c>
      <c r="M153" s="133"/>
    </row>
    <row r="154" spans="1:13" x14ac:dyDescent="0.2">
      <c r="A154" s="534" t="s">
        <v>3592</v>
      </c>
      <c r="B154" s="131">
        <v>3118</v>
      </c>
      <c r="C154" s="145">
        <v>750</v>
      </c>
      <c r="D154" s="307"/>
      <c r="E154" s="131"/>
      <c r="F154" s="145"/>
      <c r="G154" s="307"/>
      <c r="H154" s="131">
        <v>215</v>
      </c>
      <c r="I154" s="145">
        <v>20</v>
      </c>
      <c r="J154" s="133"/>
      <c r="K154" s="131"/>
      <c r="L154" s="145"/>
      <c r="M154" s="133"/>
    </row>
    <row r="155" spans="1:13" x14ac:dyDescent="0.2">
      <c r="A155" s="534" t="s">
        <v>3807</v>
      </c>
      <c r="B155" s="131">
        <v>129268</v>
      </c>
      <c r="C155" s="145">
        <v>750</v>
      </c>
      <c r="D155" s="307"/>
      <c r="E155" s="131">
        <v>130700</v>
      </c>
      <c r="F155" s="145"/>
      <c r="G155" s="307"/>
      <c r="H155" s="131">
        <v>14919</v>
      </c>
      <c r="I155" s="145">
        <v>90</v>
      </c>
      <c r="J155" s="133"/>
      <c r="K155" s="131">
        <v>13745</v>
      </c>
      <c r="L155" s="145">
        <v>40</v>
      </c>
      <c r="M155" s="133"/>
    </row>
    <row r="156" spans="1:13" x14ac:dyDescent="0.2">
      <c r="A156" s="1174" t="s">
        <v>3602</v>
      </c>
      <c r="B156" s="240">
        <v>1343791</v>
      </c>
      <c r="C156" s="318">
        <v>500</v>
      </c>
      <c r="D156" s="513"/>
      <c r="E156" s="240">
        <v>1823300</v>
      </c>
      <c r="F156" s="318"/>
      <c r="G156" s="513"/>
      <c r="H156" s="240">
        <v>154015</v>
      </c>
      <c r="I156" s="318">
        <v>40</v>
      </c>
      <c r="J156" s="241"/>
      <c r="K156" s="240">
        <v>193061</v>
      </c>
      <c r="L156" s="318">
        <v>65</v>
      </c>
      <c r="M156" s="241"/>
    </row>
    <row r="157" spans="1:13" x14ac:dyDescent="0.2">
      <c r="A157" s="533" t="s">
        <v>4147</v>
      </c>
      <c r="B157" s="131">
        <v>368237</v>
      </c>
      <c r="C157" s="145">
        <v>500</v>
      </c>
      <c r="D157" s="307"/>
      <c r="E157" s="131">
        <v>262025</v>
      </c>
      <c r="F157" s="145"/>
      <c r="G157" s="307"/>
      <c r="H157" s="131">
        <v>52354</v>
      </c>
      <c r="I157" s="145">
        <v>97</v>
      </c>
      <c r="J157" s="133">
        <v>0.5</v>
      </c>
      <c r="K157" s="131">
        <v>35619</v>
      </c>
      <c r="L157" s="145">
        <v>80</v>
      </c>
      <c r="M157" s="133"/>
    </row>
    <row r="158" spans="1:13" x14ac:dyDescent="0.2">
      <c r="A158" s="533" t="s">
        <v>4148</v>
      </c>
      <c r="B158" s="131"/>
      <c r="C158" s="145"/>
      <c r="D158" s="307"/>
      <c r="E158" s="131">
        <v>73724</v>
      </c>
      <c r="F158" s="145">
        <v>500</v>
      </c>
      <c r="G158" s="307"/>
      <c r="H158" s="131"/>
      <c r="I158" s="145"/>
      <c r="J158" s="133"/>
      <c r="K158" s="131">
        <v>9709</v>
      </c>
      <c r="L158" s="145">
        <v>72</v>
      </c>
      <c r="M158" s="133">
        <v>0.5</v>
      </c>
    </row>
    <row r="159" spans="1:13" x14ac:dyDescent="0.2">
      <c r="A159" s="1174" t="s">
        <v>3602</v>
      </c>
      <c r="B159" s="240">
        <v>368237</v>
      </c>
      <c r="C159" s="318">
        <v>500</v>
      </c>
      <c r="D159" s="513"/>
      <c r="E159" s="240">
        <v>335749</v>
      </c>
      <c r="F159" s="318">
        <v>500</v>
      </c>
      <c r="G159" s="513"/>
      <c r="H159" s="240">
        <v>52354</v>
      </c>
      <c r="I159" s="318">
        <v>97</v>
      </c>
      <c r="J159" s="241">
        <v>0.5</v>
      </c>
      <c r="K159" s="240">
        <v>45329</v>
      </c>
      <c r="L159" s="318">
        <v>52</v>
      </c>
      <c r="M159" s="241">
        <v>0.5</v>
      </c>
    </row>
    <row r="160" spans="1:13" x14ac:dyDescent="0.2">
      <c r="A160" s="535" t="s">
        <v>4149</v>
      </c>
      <c r="B160" s="230">
        <v>188425</v>
      </c>
      <c r="C160" s="309"/>
      <c r="D160" s="364"/>
      <c r="E160" s="230">
        <v>172262</v>
      </c>
      <c r="F160" s="309">
        <v>500</v>
      </c>
      <c r="G160" s="364"/>
      <c r="H160" s="230">
        <v>7924</v>
      </c>
      <c r="I160" s="309">
        <v>60</v>
      </c>
      <c r="J160" s="231"/>
      <c r="K160" s="230">
        <v>10908</v>
      </c>
      <c r="L160" s="309">
        <v>60</v>
      </c>
      <c r="M160" s="231"/>
    </row>
    <row r="161" spans="1:45" x14ac:dyDescent="0.2">
      <c r="A161" s="230"/>
      <c r="B161" s="435">
        <f>+SUM(B147+B148+B149+B150+B151+B153+B154+B155+B157+B160)</f>
        <v>13383616</v>
      </c>
      <c r="C161" s="435">
        <f t="shared" ref="C161:M161" si="4">+SUM(C147+C148+C149+C150+C151+C153+C154+C155+C157+C160)</f>
        <v>3000</v>
      </c>
      <c r="D161" s="435">
        <f t="shared" si="4"/>
        <v>0</v>
      </c>
      <c r="E161" s="1175">
        <f t="shared" si="4"/>
        <v>16211354</v>
      </c>
      <c r="F161" s="1175">
        <f t="shared" si="4"/>
        <v>2000</v>
      </c>
      <c r="G161" s="435">
        <f t="shared" si="4"/>
        <v>0</v>
      </c>
      <c r="H161" s="435">
        <f t="shared" si="4"/>
        <v>1349345</v>
      </c>
      <c r="I161" s="435">
        <f t="shared" si="4"/>
        <v>444</v>
      </c>
      <c r="J161" s="1176">
        <f t="shared" si="4"/>
        <v>1</v>
      </c>
      <c r="K161" s="1175">
        <f t="shared" si="4"/>
        <v>1490715</v>
      </c>
      <c r="L161" s="1175">
        <f t="shared" si="4"/>
        <v>357</v>
      </c>
      <c r="M161" s="1177">
        <f t="shared" si="4"/>
        <v>0.5</v>
      </c>
    </row>
    <row r="162" spans="1:45" ht="29" customHeight="1" x14ac:dyDescent="0.2">
      <c r="A162" s="1134" t="s">
        <v>2358</v>
      </c>
      <c r="B162" s="1135"/>
      <c r="C162" s="1135"/>
      <c r="D162" s="1135"/>
      <c r="E162" s="1135"/>
      <c r="F162" s="1135"/>
      <c r="G162" s="1135"/>
      <c r="H162" s="1135"/>
      <c r="I162" s="1135"/>
      <c r="J162" s="1135"/>
      <c r="K162" s="1135"/>
      <c r="L162" s="1135"/>
      <c r="M162" s="1136"/>
    </row>
    <row r="163" spans="1:45" ht="33.5" customHeight="1" x14ac:dyDescent="0.2">
      <c r="A163" s="838" t="s">
        <v>3597</v>
      </c>
      <c r="B163" s="967" t="s">
        <v>4153</v>
      </c>
      <c r="C163" s="967"/>
      <c r="D163" s="967"/>
      <c r="E163" s="967" t="s">
        <v>4154</v>
      </c>
      <c r="F163" s="967"/>
      <c r="G163" s="967"/>
      <c r="H163" s="967" t="s">
        <v>4155</v>
      </c>
      <c r="I163" s="967"/>
      <c r="J163" s="967"/>
      <c r="K163" s="967" t="s">
        <v>4156</v>
      </c>
      <c r="L163" s="967"/>
      <c r="M163" s="967"/>
    </row>
    <row r="164" spans="1:45" x14ac:dyDescent="0.2">
      <c r="A164" s="838"/>
      <c r="B164" s="1073" t="s">
        <v>3486</v>
      </c>
      <c r="C164" s="1027" t="s">
        <v>3282</v>
      </c>
      <c r="D164" s="1027"/>
      <c r="E164" s="1073" t="s">
        <v>3486</v>
      </c>
      <c r="F164" s="1027" t="s">
        <v>3282</v>
      </c>
      <c r="G164" s="1027"/>
      <c r="H164" s="1073" t="s">
        <v>3486</v>
      </c>
      <c r="I164" s="1027" t="s">
        <v>3282</v>
      </c>
      <c r="J164" s="1027"/>
      <c r="K164" s="1073" t="s">
        <v>3486</v>
      </c>
      <c r="L164" s="1027" t="s">
        <v>3282</v>
      </c>
      <c r="M164" s="1027"/>
    </row>
    <row r="165" spans="1:45" x14ac:dyDescent="0.2">
      <c r="A165" s="533" t="s">
        <v>2595</v>
      </c>
      <c r="B165" s="131">
        <v>11483165</v>
      </c>
      <c r="C165" s="145"/>
      <c r="D165" s="307"/>
      <c r="E165" s="131">
        <v>13953768</v>
      </c>
      <c r="F165" s="145">
        <v>500</v>
      </c>
      <c r="G165" s="307"/>
      <c r="H165" s="131">
        <v>1135054</v>
      </c>
      <c r="I165" s="145">
        <v>47</v>
      </c>
      <c r="J165" s="133">
        <v>0.5</v>
      </c>
      <c r="K165" s="131">
        <v>1251128</v>
      </c>
      <c r="L165" s="145">
        <v>52</v>
      </c>
      <c r="M165" s="133">
        <v>0.5</v>
      </c>
    </row>
    <row r="166" spans="1:45" x14ac:dyDescent="0.2">
      <c r="A166" s="533" t="s">
        <v>2599</v>
      </c>
      <c r="B166" s="131">
        <v>1343791</v>
      </c>
      <c r="C166" s="145">
        <v>500</v>
      </c>
      <c r="D166" s="307"/>
      <c r="E166" s="131">
        <v>1823300</v>
      </c>
      <c r="F166" s="145"/>
      <c r="G166" s="307"/>
      <c r="H166" s="131">
        <v>154015</v>
      </c>
      <c r="I166" s="145">
        <v>40</v>
      </c>
      <c r="J166" s="133"/>
      <c r="K166" s="131">
        <v>193061</v>
      </c>
      <c r="L166" s="145">
        <v>65</v>
      </c>
      <c r="M166" s="133"/>
    </row>
    <row r="167" spans="1:45" x14ac:dyDescent="0.2">
      <c r="A167" s="534" t="s">
        <v>4157</v>
      </c>
      <c r="B167" s="131">
        <v>368237</v>
      </c>
      <c r="C167" s="145">
        <v>500</v>
      </c>
      <c r="D167" s="307"/>
      <c r="E167" s="131">
        <v>335749</v>
      </c>
      <c r="F167" s="145">
        <v>500</v>
      </c>
      <c r="G167" s="307"/>
      <c r="H167" s="131">
        <v>52354</v>
      </c>
      <c r="I167" s="145">
        <v>97</v>
      </c>
      <c r="J167" s="133">
        <v>0.5</v>
      </c>
      <c r="K167" s="131">
        <v>45329</v>
      </c>
      <c r="L167" s="145">
        <v>52</v>
      </c>
      <c r="M167" s="133">
        <v>0.5</v>
      </c>
    </row>
    <row r="168" spans="1:45" x14ac:dyDescent="0.2">
      <c r="A168" s="534" t="s">
        <v>3811</v>
      </c>
      <c r="B168" s="131">
        <v>188425</v>
      </c>
      <c r="C168" s="145"/>
      <c r="D168" s="307"/>
      <c r="E168" s="131">
        <v>172262</v>
      </c>
      <c r="F168" s="145">
        <v>500</v>
      </c>
      <c r="G168" s="307"/>
      <c r="H168" s="131">
        <v>7924</v>
      </c>
      <c r="I168" s="145">
        <v>60</v>
      </c>
      <c r="J168" s="133"/>
      <c r="K168" s="131">
        <v>10908</v>
      </c>
      <c r="L168" s="145">
        <v>60</v>
      </c>
      <c r="M168" s="133"/>
    </row>
    <row r="169" spans="1:45" ht="23" customHeight="1" x14ac:dyDescent="0.2">
      <c r="A169" s="823" t="s">
        <v>3489</v>
      </c>
      <c r="B169" s="240">
        <v>13383619</v>
      </c>
      <c r="C169" s="318"/>
      <c r="D169" s="513"/>
      <c r="E169" s="240">
        <v>16285080</v>
      </c>
      <c r="F169" s="318">
        <v>500</v>
      </c>
      <c r="G169" s="513"/>
      <c r="H169" s="240">
        <v>1349349</v>
      </c>
      <c r="I169" s="318">
        <v>45</v>
      </c>
      <c r="J169" s="241"/>
      <c r="K169" s="240">
        <v>1500428</v>
      </c>
      <c r="L169" s="318">
        <v>30</v>
      </c>
      <c r="M169" s="241"/>
    </row>
    <row r="170" spans="1:45" x14ac:dyDescent="0.2">
      <c r="B170" s="393">
        <f>+SUM(B165:B168)</f>
        <v>13383618</v>
      </c>
      <c r="C170" s="393">
        <f t="shared" ref="C170:M170" si="5">+SUM(C165:C168)</f>
        <v>1000</v>
      </c>
      <c r="D170" s="393">
        <f t="shared" si="5"/>
        <v>0</v>
      </c>
      <c r="E170" s="393">
        <f t="shared" si="5"/>
        <v>16285079</v>
      </c>
      <c r="F170" s="393">
        <f t="shared" si="5"/>
        <v>1500</v>
      </c>
      <c r="G170" s="393">
        <f t="shared" si="5"/>
        <v>0</v>
      </c>
      <c r="H170" s="393">
        <f t="shared" si="5"/>
        <v>1349347</v>
      </c>
      <c r="I170" s="393">
        <f t="shared" si="5"/>
        <v>244</v>
      </c>
      <c r="J170" s="1078">
        <f t="shared" si="5"/>
        <v>1</v>
      </c>
      <c r="K170" s="393">
        <f t="shared" si="5"/>
        <v>1500426</v>
      </c>
      <c r="L170" s="393">
        <f t="shared" si="5"/>
        <v>229</v>
      </c>
      <c r="M170" s="1078">
        <f t="shared" si="5"/>
        <v>1</v>
      </c>
    </row>
    <row r="173" spans="1:45" x14ac:dyDescent="0.2">
      <c r="A173" s="526" t="s">
        <v>4158</v>
      </c>
    </row>
    <row r="174" spans="1:45" ht="36" customHeight="1" x14ac:dyDescent="0.2">
      <c r="A174" s="1178" t="s">
        <v>4159</v>
      </c>
      <c r="B174" s="1179"/>
      <c r="C174" s="1179"/>
      <c r="D174" s="1179"/>
      <c r="E174" s="1179"/>
      <c r="F174" s="1179"/>
      <c r="G174" s="1179"/>
      <c r="H174" s="1179"/>
      <c r="I174" s="1179"/>
      <c r="J174" s="1179"/>
      <c r="K174" s="1179"/>
      <c r="L174" s="1179"/>
      <c r="M174" s="1179"/>
      <c r="N174" s="1179"/>
      <c r="O174" s="1179"/>
      <c r="P174" s="1179"/>
      <c r="Q174" s="1179"/>
      <c r="R174" s="1179"/>
      <c r="S174" s="1179"/>
      <c r="T174" s="1179"/>
      <c r="U174" s="1179"/>
      <c r="V174" s="1179"/>
      <c r="W174" s="1179"/>
      <c r="X174" s="1179"/>
      <c r="Y174" s="1179"/>
      <c r="Z174" s="1179"/>
      <c r="AA174" s="1179"/>
      <c r="AB174" s="1179"/>
      <c r="AC174" s="1179"/>
      <c r="AD174" s="1179"/>
      <c r="AE174" s="1179"/>
      <c r="AF174" s="1179"/>
      <c r="AG174" s="1179"/>
      <c r="AH174" s="1179"/>
      <c r="AI174" s="1179"/>
      <c r="AJ174" s="1179"/>
      <c r="AK174" s="1179"/>
      <c r="AL174" s="1179"/>
      <c r="AM174" s="1179"/>
      <c r="AN174" s="1179"/>
      <c r="AO174" s="1179"/>
      <c r="AP174" s="1179"/>
      <c r="AQ174" s="1179"/>
      <c r="AR174" s="1179"/>
      <c r="AS174" s="1180"/>
    </row>
    <row r="175" spans="1:45" ht="24" customHeight="1" x14ac:dyDescent="0.2">
      <c r="A175" s="967" t="s">
        <v>4160</v>
      </c>
      <c r="B175" s="793" t="s">
        <v>3255</v>
      </c>
      <c r="C175" s="793"/>
      <c r="D175" s="793"/>
      <c r="E175" s="793"/>
      <c r="F175" s="793"/>
      <c r="G175" s="793"/>
      <c r="H175" s="793"/>
      <c r="I175" s="793"/>
      <c r="J175" s="793"/>
      <c r="K175" s="793"/>
      <c r="L175" s="793"/>
      <c r="M175" s="793"/>
      <c r="N175" s="793"/>
      <c r="O175" s="793"/>
      <c r="P175" s="793"/>
      <c r="Q175" s="793"/>
      <c r="R175" s="977" t="s">
        <v>4161</v>
      </c>
      <c r="S175" s="977"/>
      <c r="T175" s="977" t="s">
        <v>4162</v>
      </c>
      <c r="U175" s="977"/>
      <c r="V175" s="977" t="s">
        <v>4163</v>
      </c>
      <c r="W175" s="977"/>
      <c r="X175" s="977" t="s">
        <v>4164</v>
      </c>
      <c r="Y175" s="977"/>
      <c r="Z175" s="977" t="s">
        <v>4165</v>
      </c>
      <c r="AA175" s="977"/>
      <c r="AB175" s="977" t="s">
        <v>4166</v>
      </c>
      <c r="AC175" s="977"/>
      <c r="AD175" s="977" t="s">
        <v>4167</v>
      </c>
      <c r="AE175" s="977"/>
      <c r="AF175" s="977" t="s">
        <v>4168</v>
      </c>
      <c r="AG175" s="977"/>
      <c r="AH175" s="977" t="s">
        <v>4169</v>
      </c>
      <c r="AI175" s="977"/>
      <c r="AJ175" s="977" t="s">
        <v>4170</v>
      </c>
      <c r="AK175" s="977"/>
      <c r="AL175" s="977" t="s">
        <v>4171</v>
      </c>
      <c r="AM175" s="977"/>
      <c r="AN175" s="977" t="s">
        <v>4172</v>
      </c>
      <c r="AO175" s="977"/>
      <c r="AP175" s="977" t="s">
        <v>4173</v>
      </c>
      <c r="AQ175" s="977"/>
      <c r="AR175" s="977" t="s">
        <v>4174</v>
      </c>
      <c r="AS175" s="977"/>
    </row>
    <row r="176" spans="1:45" ht="59.5" customHeight="1" x14ac:dyDescent="0.2">
      <c r="A176" s="967"/>
      <c r="B176" s="977" t="s">
        <v>3272</v>
      </c>
      <c r="C176" s="977"/>
      <c r="D176" s="977" t="s">
        <v>3577</v>
      </c>
      <c r="E176" s="977"/>
      <c r="F176" s="977" t="s">
        <v>3578</v>
      </c>
      <c r="G176" s="977"/>
      <c r="H176" s="977" t="s">
        <v>3579</v>
      </c>
      <c r="I176" s="977"/>
      <c r="J176" s="977" t="s">
        <v>3275</v>
      </c>
      <c r="K176" s="977"/>
      <c r="L176" s="977" t="s">
        <v>4175</v>
      </c>
      <c r="M176" s="977"/>
      <c r="N176" s="977" t="s">
        <v>4176</v>
      </c>
      <c r="O176" s="977"/>
      <c r="P176" s="977" t="s">
        <v>3276</v>
      </c>
      <c r="Q176" s="977"/>
      <c r="R176" s="977"/>
      <c r="S176" s="977"/>
      <c r="T176" s="977"/>
      <c r="U176" s="977"/>
      <c r="V176" s="977"/>
      <c r="W176" s="977"/>
      <c r="X176" s="977"/>
      <c r="Y176" s="977"/>
      <c r="Z176" s="977"/>
      <c r="AA176" s="977"/>
      <c r="AB176" s="977"/>
      <c r="AC176" s="977"/>
      <c r="AD176" s="977"/>
      <c r="AE176" s="977"/>
      <c r="AF176" s="977"/>
      <c r="AG176" s="977"/>
      <c r="AH176" s="977"/>
      <c r="AI176" s="977"/>
      <c r="AJ176" s="977"/>
      <c r="AK176" s="977"/>
      <c r="AL176" s="977"/>
      <c r="AM176" s="977"/>
      <c r="AN176" s="977"/>
      <c r="AO176" s="977"/>
      <c r="AP176" s="977"/>
      <c r="AQ176" s="977"/>
      <c r="AR176" s="977"/>
      <c r="AS176" s="977"/>
    </row>
    <row r="177" spans="1:45" x14ac:dyDescent="0.2">
      <c r="A177" s="967"/>
      <c r="B177" s="1037" t="s">
        <v>4177</v>
      </c>
      <c r="C177" s="1037" t="s">
        <v>3374</v>
      </c>
      <c r="D177" s="1037" t="s">
        <v>4177</v>
      </c>
      <c r="E177" s="1037" t="s">
        <v>3374</v>
      </c>
      <c r="F177" s="1037" t="s">
        <v>4177</v>
      </c>
      <c r="G177" s="1037" t="s">
        <v>3374</v>
      </c>
      <c r="H177" s="1037" t="s">
        <v>4177</v>
      </c>
      <c r="I177" s="1037" t="s">
        <v>3374</v>
      </c>
      <c r="J177" s="1037" t="s">
        <v>4177</v>
      </c>
      <c r="K177" s="1037" t="s">
        <v>3374</v>
      </c>
      <c r="L177" s="1037" t="s">
        <v>4177</v>
      </c>
      <c r="M177" s="1037" t="s">
        <v>3374</v>
      </c>
      <c r="N177" s="1037" t="s">
        <v>4177</v>
      </c>
      <c r="O177" s="1037" t="s">
        <v>3374</v>
      </c>
      <c r="P177" s="1037" t="s">
        <v>4177</v>
      </c>
      <c r="Q177" s="1037" t="s">
        <v>3374</v>
      </c>
      <c r="R177" s="1037" t="s">
        <v>4177</v>
      </c>
      <c r="S177" s="1037" t="s">
        <v>3374</v>
      </c>
      <c r="T177" s="1037" t="s">
        <v>4177</v>
      </c>
      <c r="U177" s="1037" t="s">
        <v>3374</v>
      </c>
      <c r="V177" s="1037" t="s">
        <v>4177</v>
      </c>
      <c r="W177" s="1037" t="s">
        <v>3374</v>
      </c>
      <c r="X177" s="1037" t="s">
        <v>4177</v>
      </c>
      <c r="Y177" s="1037" t="s">
        <v>3374</v>
      </c>
      <c r="Z177" s="1037" t="s">
        <v>4177</v>
      </c>
      <c r="AA177" s="1037" t="s">
        <v>3374</v>
      </c>
      <c r="AB177" s="1037" t="s">
        <v>4177</v>
      </c>
      <c r="AC177" s="1037" t="s">
        <v>3374</v>
      </c>
      <c r="AD177" s="1037" t="s">
        <v>4177</v>
      </c>
      <c r="AE177" s="1037" t="s">
        <v>3374</v>
      </c>
      <c r="AF177" s="1037" t="s">
        <v>4177</v>
      </c>
      <c r="AG177" s="1037" t="s">
        <v>3374</v>
      </c>
      <c r="AH177" s="1037" t="s">
        <v>4177</v>
      </c>
      <c r="AI177" s="1037" t="s">
        <v>3374</v>
      </c>
      <c r="AJ177" s="1037" t="s">
        <v>4177</v>
      </c>
      <c r="AK177" s="1037" t="s">
        <v>3374</v>
      </c>
      <c r="AL177" s="1037" t="s">
        <v>4177</v>
      </c>
      <c r="AM177" s="1037" t="s">
        <v>3374</v>
      </c>
      <c r="AN177" s="1037" t="s">
        <v>4177</v>
      </c>
      <c r="AO177" s="1037" t="s">
        <v>3374</v>
      </c>
      <c r="AP177" s="1037" t="s">
        <v>4177</v>
      </c>
      <c r="AQ177" s="1037" t="s">
        <v>3374</v>
      </c>
      <c r="AR177" s="1037" t="s">
        <v>4177</v>
      </c>
      <c r="AS177" s="1037" t="s">
        <v>3374</v>
      </c>
    </row>
    <row r="178" spans="1:45" ht="36" customHeight="1" x14ac:dyDescent="0.2">
      <c r="A178" s="808" t="s">
        <v>1341</v>
      </c>
      <c r="B178" s="240">
        <v>225207</v>
      </c>
      <c r="C178" s="513">
        <v>95</v>
      </c>
      <c r="D178" s="240">
        <v>665195</v>
      </c>
      <c r="E178" s="513">
        <v>80</v>
      </c>
      <c r="F178" s="240">
        <v>765467</v>
      </c>
      <c r="G178" s="513">
        <v>10</v>
      </c>
      <c r="H178" s="240">
        <v>1625875</v>
      </c>
      <c r="I178" s="513">
        <v>85</v>
      </c>
      <c r="J178" s="240">
        <v>141670</v>
      </c>
      <c r="K178" s="513">
        <v>80</v>
      </c>
      <c r="L178" s="240">
        <v>44472</v>
      </c>
      <c r="M178" s="513">
        <v>15</v>
      </c>
      <c r="N178" s="240">
        <v>4454</v>
      </c>
      <c r="O178" s="513">
        <v>20</v>
      </c>
      <c r="P178" s="240">
        <v>3463485</v>
      </c>
      <c r="Q178" s="513">
        <v>45</v>
      </c>
      <c r="R178" s="240">
        <v>7872</v>
      </c>
      <c r="S178" s="513"/>
      <c r="T178" s="240">
        <v>4667</v>
      </c>
      <c r="U178" s="513">
        <v>10</v>
      </c>
      <c r="V178" s="240">
        <v>520</v>
      </c>
      <c r="W178" s="513">
        <v>5</v>
      </c>
      <c r="X178" s="240">
        <v>1479</v>
      </c>
      <c r="Y178" s="513">
        <v>90</v>
      </c>
      <c r="Z178" s="240">
        <v>7639</v>
      </c>
      <c r="AA178" s="513">
        <v>80</v>
      </c>
      <c r="AB178" s="240">
        <v>903</v>
      </c>
      <c r="AC178" s="513">
        <v>90</v>
      </c>
      <c r="AD178" s="240">
        <v>17</v>
      </c>
      <c r="AE178" s="513">
        <v>40</v>
      </c>
      <c r="AF178" s="240">
        <v>249</v>
      </c>
      <c r="AG178" s="513">
        <v>40</v>
      </c>
      <c r="AH178" s="240">
        <v>1052</v>
      </c>
      <c r="AI178" s="513">
        <v>20</v>
      </c>
      <c r="AJ178" s="240">
        <v>147</v>
      </c>
      <c r="AK178" s="513">
        <v>50</v>
      </c>
      <c r="AL178" s="240">
        <v>4</v>
      </c>
      <c r="AM178" s="513">
        <v>55</v>
      </c>
      <c r="AN178" s="240">
        <v>156</v>
      </c>
      <c r="AO178" s="513"/>
      <c r="AP178" s="240">
        <v>73</v>
      </c>
      <c r="AQ178" s="513">
        <v>20</v>
      </c>
      <c r="AR178" s="240">
        <v>3488218</v>
      </c>
      <c r="AS178" s="513">
        <v>25</v>
      </c>
    </row>
    <row r="182" spans="1:45" x14ac:dyDescent="0.2">
      <c r="A182" s="526" t="s">
        <v>4178</v>
      </c>
    </row>
    <row r="183" spans="1:45" ht="37.25" customHeight="1" x14ac:dyDescent="0.2">
      <c r="A183" s="1178" t="s">
        <v>4179</v>
      </c>
      <c r="B183" s="1179"/>
      <c r="C183" s="1179"/>
      <c r="D183" s="1179"/>
      <c r="E183" s="1179"/>
      <c r="F183" s="1179"/>
      <c r="G183" s="1179"/>
      <c r="H183" s="1179"/>
      <c r="I183" s="1179"/>
      <c r="J183" s="1179"/>
      <c r="K183" s="1179"/>
      <c r="L183" s="1179"/>
      <c r="M183" s="1179"/>
      <c r="N183" s="1179"/>
      <c r="O183" s="1179"/>
      <c r="P183" s="1179"/>
      <c r="Q183" s="1179"/>
      <c r="R183" s="1179"/>
      <c r="S183" s="1179"/>
      <c r="T183" s="1179"/>
      <c r="U183" s="1179"/>
      <c r="V183" s="1179"/>
      <c r="W183" s="1179"/>
      <c r="X183" s="1179"/>
      <c r="Y183" s="1179"/>
      <c r="Z183" s="1179"/>
      <c r="AA183" s="1179"/>
      <c r="AB183" s="1179"/>
      <c r="AC183" s="1179"/>
      <c r="AD183" s="1179"/>
      <c r="AE183" s="1179"/>
      <c r="AF183" s="1179"/>
      <c r="AG183" s="1179"/>
      <c r="AH183" s="1179"/>
      <c r="AI183" s="1179"/>
      <c r="AJ183" s="1179"/>
      <c r="AK183" s="1179"/>
      <c r="AL183" s="1179"/>
      <c r="AM183" s="1179"/>
      <c r="AN183" s="1179"/>
      <c r="AO183" s="1179"/>
      <c r="AP183" s="1179"/>
      <c r="AQ183" s="1179"/>
      <c r="AR183" s="1179"/>
      <c r="AS183" s="1180"/>
    </row>
    <row r="184" spans="1:45" ht="15.5" customHeight="1" x14ac:dyDescent="0.25">
      <c r="A184" s="1181" t="s">
        <v>4180</v>
      </c>
      <c r="B184" s="1181"/>
      <c r="C184" s="1181"/>
      <c r="D184" s="1181"/>
      <c r="E184" s="1181"/>
      <c r="F184" s="1181"/>
      <c r="G184" s="1181"/>
      <c r="H184" s="1181"/>
      <c r="I184" s="1181"/>
      <c r="J184" s="1181"/>
      <c r="K184" s="1181"/>
      <c r="L184" s="1181"/>
      <c r="M184" s="1181"/>
      <c r="N184" s="1181"/>
      <c r="O184" s="1181"/>
      <c r="P184" s="1181"/>
      <c r="Q184" s="1181"/>
      <c r="R184" s="1181"/>
      <c r="S184" s="1181"/>
      <c r="T184" s="1181"/>
      <c r="U184" s="1181"/>
      <c r="V184" s="1181"/>
      <c r="W184" s="1181"/>
      <c r="X184" s="1181"/>
      <c r="Y184" s="1181"/>
      <c r="Z184" s="1181"/>
      <c r="AA184" s="1181"/>
      <c r="AB184" s="1181"/>
      <c r="AC184" s="1181"/>
      <c r="AD184" s="1181"/>
      <c r="AE184" s="1181"/>
      <c r="AF184" s="1181"/>
      <c r="AG184" s="1181"/>
      <c r="AH184" s="1181"/>
      <c r="AI184" s="1181"/>
      <c r="AJ184" s="1181"/>
      <c r="AK184" s="1181"/>
      <c r="AL184" s="1181"/>
      <c r="AM184" s="1181"/>
      <c r="AN184" s="1181"/>
      <c r="AO184" s="1181"/>
      <c r="AP184" s="1181"/>
      <c r="AQ184" s="1181"/>
      <c r="AR184" s="1181"/>
      <c r="AS184" s="1182"/>
    </row>
    <row r="185" spans="1:45" ht="26" customHeight="1" x14ac:dyDescent="0.2">
      <c r="A185" s="967" t="s">
        <v>4160</v>
      </c>
      <c r="B185" s="793" t="s">
        <v>3255</v>
      </c>
      <c r="C185" s="793"/>
      <c r="D185" s="793"/>
      <c r="E185" s="793"/>
      <c r="F185" s="793"/>
      <c r="G185" s="793"/>
      <c r="H185" s="793"/>
      <c r="I185" s="793"/>
      <c r="J185" s="793"/>
      <c r="K185" s="793"/>
      <c r="L185" s="793"/>
      <c r="M185" s="793"/>
      <c r="N185" s="793"/>
      <c r="O185" s="793"/>
      <c r="P185" s="793"/>
      <c r="Q185" s="793"/>
      <c r="R185" s="977" t="s">
        <v>4161</v>
      </c>
      <c r="S185" s="977"/>
      <c r="T185" s="977" t="s">
        <v>4162</v>
      </c>
      <c r="U185" s="977"/>
      <c r="V185" s="977" t="s">
        <v>4163</v>
      </c>
      <c r="W185" s="977"/>
      <c r="X185" s="977" t="s">
        <v>4164</v>
      </c>
      <c r="Y185" s="977"/>
      <c r="Z185" s="977" t="s">
        <v>4165</v>
      </c>
      <c r="AA185" s="977"/>
      <c r="AB185" s="977" t="s">
        <v>4166</v>
      </c>
      <c r="AC185" s="977"/>
      <c r="AD185" s="977" t="s">
        <v>4167</v>
      </c>
      <c r="AE185" s="977"/>
      <c r="AF185" s="977" t="s">
        <v>4168</v>
      </c>
      <c r="AG185" s="977"/>
      <c r="AH185" s="977" t="s">
        <v>4169</v>
      </c>
      <c r="AI185" s="977"/>
      <c r="AJ185" s="977" t="s">
        <v>4170</v>
      </c>
      <c r="AK185" s="977"/>
      <c r="AL185" s="977" t="s">
        <v>4171</v>
      </c>
      <c r="AM185" s="977"/>
      <c r="AN185" s="977" t="s">
        <v>4172</v>
      </c>
      <c r="AO185" s="977"/>
      <c r="AP185" s="977" t="s">
        <v>4173</v>
      </c>
      <c r="AQ185" s="977"/>
      <c r="AR185" s="977" t="s">
        <v>4174</v>
      </c>
      <c r="AS185" s="977"/>
    </row>
    <row r="186" spans="1:45" ht="69" customHeight="1" x14ac:dyDescent="0.2">
      <c r="A186" s="967"/>
      <c r="B186" s="977" t="s">
        <v>3272</v>
      </c>
      <c r="C186" s="977"/>
      <c r="D186" s="977" t="s">
        <v>3577</v>
      </c>
      <c r="E186" s="977"/>
      <c r="F186" s="977" t="s">
        <v>3578</v>
      </c>
      <c r="G186" s="977"/>
      <c r="H186" s="977" t="s">
        <v>3579</v>
      </c>
      <c r="I186" s="977"/>
      <c r="J186" s="977" t="s">
        <v>3275</v>
      </c>
      <c r="K186" s="977"/>
      <c r="L186" s="977" t="s">
        <v>4175</v>
      </c>
      <c r="M186" s="977"/>
      <c r="N186" s="977" t="s">
        <v>4176</v>
      </c>
      <c r="O186" s="977"/>
      <c r="P186" s="977" t="s">
        <v>3276</v>
      </c>
      <c r="Q186" s="977"/>
      <c r="R186" s="977"/>
      <c r="S186" s="977"/>
      <c r="T186" s="977"/>
      <c r="U186" s="977"/>
      <c r="V186" s="977"/>
      <c r="W186" s="977"/>
      <c r="X186" s="977"/>
      <c r="Y186" s="977"/>
      <c r="Z186" s="977"/>
      <c r="AA186" s="977"/>
      <c r="AB186" s="977"/>
      <c r="AC186" s="977"/>
      <c r="AD186" s="977"/>
      <c r="AE186" s="977"/>
      <c r="AF186" s="977"/>
      <c r="AG186" s="977"/>
      <c r="AH186" s="977"/>
      <c r="AI186" s="977"/>
      <c r="AJ186" s="977"/>
      <c r="AK186" s="977"/>
      <c r="AL186" s="977"/>
      <c r="AM186" s="977"/>
      <c r="AN186" s="977"/>
      <c r="AO186" s="977"/>
      <c r="AP186" s="977"/>
      <c r="AQ186" s="977"/>
      <c r="AR186" s="977"/>
      <c r="AS186" s="977"/>
    </row>
    <row r="187" spans="1:45" ht="20" customHeight="1" x14ac:dyDescent="0.2">
      <c r="A187" s="967"/>
      <c r="B187" s="1037" t="s">
        <v>4177</v>
      </c>
      <c r="C187" s="1037" t="s">
        <v>3374</v>
      </c>
      <c r="D187" s="1037" t="s">
        <v>4177</v>
      </c>
      <c r="E187" s="1037" t="s">
        <v>3374</v>
      </c>
      <c r="F187" s="1037" t="s">
        <v>4177</v>
      </c>
      <c r="G187" s="1037" t="s">
        <v>3374</v>
      </c>
      <c r="H187" s="1037" t="s">
        <v>4177</v>
      </c>
      <c r="I187" s="1037" t="s">
        <v>3374</v>
      </c>
      <c r="J187" s="1037" t="s">
        <v>4177</v>
      </c>
      <c r="K187" s="1037" t="s">
        <v>3374</v>
      </c>
      <c r="L187" s="1037" t="s">
        <v>4177</v>
      </c>
      <c r="M187" s="1037" t="s">
        <v>3374</v>
      </c>
      <c r="N187" s="1037" t="s">
        <v>4177</v>
      </c>
      <c r="O187" s="1037" t="s">
        <v>3374</v>
      </c>
      <c r="P187" s="1037" t="s">
        <v>4177</v>
      </c>
      <c r="Q187" s="1037" t="s">
        <v>3374</v>
      </c>
      <c r="R187" s="1037" t="s">
        <v>4177</v>
      </c>
      <c r="S187" s="1037" t="s">
        <v>3374</v>
      </c>
      <c r="T187" s="1037" t="s">
        <v>4177</v>
      </c>
      <c r="U187" s="1037" t="s">
        <v>3374</v>
      </c>
      <c r="V187" s="1037" t="s">
        <v>4177</v>
      </c>
      <c r="W187" s="1037" t="s">
        <v>3374</v>
      </c>
      <c r="X187" s="1037" t="s">
        <v>4177</v>
      </c>
      <c r="Y187" s="1037" t="s">
        <v>3374</v>
      </c>
      <c r="Z187" s="1037" t="s">
        <v>4177</v>
      </c>
      <c r="AA187" s="1037" t="s">
        <v>3374</v>
      </c>
      <c r="AB187" s="1037" t="s">
        <v>4177</v>
      </c>
      <c r="AC187" s="1037" t="s">
        <v>3374</v>
      </c>
      <c r="AD187" s="1037" t="s">
        <v>4177</v>
      </c>
      <c r="AE187" s="1037" t="s">
        <v>3374</v>
      </c>
      <c r="AF187" s="1037" t="s">
        <v>4177</v>
      </c>
      <c r="AG187" s="1037" t="s">
        <v>3374</v>
      </c>
      <c r="AH187" s="1037" t="s">
        <v>4177</v>
      </c>
      <c r="AI187" s="1037" t="s">
        <v>3374</v>
      </c>
      <c r="AJ187" s="1037" t="s">
        <v>4177</v>
      </c>
      <c r="AK187" s="1037" t="s">
        <v>3374</v>
      </c>
      <c r="AL187" s="1037" t="s">
        <v>4177</v>
      </c>
      <c r="AM187" s="1037" t="s">
        <v>3374</v>
      </c>
      <c r="AN187" s="1037" t="s">
        <v>4177</v>
      </c>
      <c r="AO187" s="1037" t="s">
        <v>3374</v>
      </c>
      <c r="AP187" s="1037" t="s">
        <v>4177</v>
      </c>
      <c r="AQ187" s="1037" t="s">
        <v>3374</v>
      </c>
      <c r="AR187" s="1037" t="s">
        <v>4177</v>
      </c>
      <c r="AS187" s="1037" t="s">
        <v>3374</v>
      </c>
    </row>
    <row r="188" spans="1:45" x14ac:dyDescent="0.2">
      <c r="A188" s="131" t="s">
        <v>3668</v>
      </c>
      <c r="B188" s="349">
        <v>98827</v>
      </c>
      <c r="C188" s="717">
        <v>10</v>
      </c>
      <c r="D188" s="349">
        <v>432500</v>
      </c>
      <c r="E188" s="717">
        <v>15</v>
      </c>
      <c r="F188" s="349">
        <v>578558</v>
      </c>
      <c r="G188" s="717">
        <v>80</v>
      </c>
      <c r="H188" s="349">
        <v>1258902</v>
      </c>
      <c r="I188" s="717">
        <v>25</v>
      </c>
      <c r="J188" s="349">
        <v>23577</v>
      </c>
      <c r="K188" s="717">
        <v>95</v>
      </c>
      <c r="L188" s="349">
        <v>44472</v>
      </c>
      <c r="M188" s="717">
        <v>15</v>
      </c>
      <c r="N188" s="349"/>
      <c r="O188" s="717"/>
      <c r="P188" s="349">
        <v>2436818</v>
      </c>
      <c r="Q188" s="717">
        <v>40</v>
      </c>
      <c r="R188" s="349">
        <v>2003</v>
      </c>
      <c r="S188" s="717">
        <v>65</v>
      </c>
      <c r="T188" s="349">
        <v>1422</v>
      </c>
      <c r="U188" s="717">
        <v>35</v>
      </c>
      <c r="V188" s="349"/>
      <c r="W188" s="717"/>
      <c r="X188" s="349"/>
      <c r="Y188" s="717"/>
      <c r="Z188" s="349">
        <v>1676</v>
      </c>
      <c r="AA188" s="717">
        <v>85</v>
      </c>
      <c r="AB188" s="349">
        <v>70</v>
      </c>
      <c r="AC188" s="717"/>
      <c r="AD188" s="349"/>
      <c r="AE188" s="717"/>
      <c r="AF188" s="349"/>
      <c r="AG188" s="717"/>
      <c r="AH188" s="349"/>
      <c r="AI188" s="717"/>
      <c r="AJ188" s="349"/>
      <c r="AK188" s="717"/>
      <c r="AL188" s="349"/>
      <c r="AM188" s="717"/>
      <c r="AN188" s="349"/>
      <c r="AO188" s="717"/>
      <c r="AP188" s="349"/>
      <c r="AQ188" s="717"/>
      <c r="AR188" s="349">
        <v>2441991</v>
      </c>
      <c r="AS188" s="717">
        <v>25</v>
      </c>
    </row>
    <row r="189" spans="1:45" x14ac:dyDescent="0.2">
      <c r="A189" s="131" t="s">
        <v>1517</v>
      </c>
      <c r="B189" s="131">
        <v>4323</v>
      </c>
      <c r="C189" s="307">
        <v>5</v>
      </c>
      <c r="D189" s="131">
        <v>38096</v>
      </c>
      <c r="E189" s="307">
        <v>70</v>
      </c>
      <c r="F189" s="131">
        <v>67728</v>
      </c>
      <c r="G189" s="307">
        <v>20</v>
      </c>
      <c r="H189" s="131">
        <v>154858</v>
      </c>
      <c r="I189" s="307">
        <v>60</v>
      </c>
      <c r="J189" s="131"/>
      <c r="K189" s="307"/>
      <c r="L189" s="131"/>
      <c r="M189" s="307"/>
      <c r="N189" s="131"/>
      <c r="O189" s="307"/>
      <c r="P189" s="131">
        <v>265006</v>
      </c>
      <c r="Q189" s="307">
        <v>55</v>
      </c>
      <c r="R189" s="131">
        <v>1496</v>
      </c>
      <c r="S189" s="307">
        <v>45</v>
      </c>
      <c r="T189" s="131">
        <v>155</v>
      </c>
      <c r="U189" s="307">
        <v>40</v>
      </c>
      <c r="V189" s="131">
        <v>166</v>
      </c>
      <c r="W189" s="307">
        <v>75</v>
      </c>
      <c r="X189" s="131"/>
      <c r="Y189" s="307"/>
      <c r="Z189" s="131">
        <v>2587</v>
      </c>
      <c r="AA189" s="307">
        <v>20</v>
      </c>
      <c r="AB189" s="131">
        <v>406</v>
      </c>
      <c r="AC189" s="307">
        <v>10</v>
      </c>
      <c r="AD189" s="131">
        <v>17</v>
      </c>
      <c r="AE189" s="307">
        <v>40</v>
      </c>
      <c r="AF189" s="131">
        <v>84</v>
      </c>
      <c r="AG189" s="307"/>
      <c r="AH189" s="131">
        <v>82</v>
      </c>
      <c r="AI189" s="307">
        <v>90</v>
      </c>
      <c r="AJ189" s="131"/>
      <c r="AK189" s="307"/>
      <c r="AL189" s="131"/>
      <c r="AM189" s="307"/>
      <c r="AN189" s="131"/>
      <c r="AO189" s="307"/>
      <c r="AP189" s="131"/>
      <c r="AQ189" s="307"/>
      <c r="AR189" s="131">
        <v>270002</v>
      </c>
      <c r="AS189" s="307">
        <v>75</v>
      </c>
    </row>
    <row r="190" spans="1:45" x14ac:dyDescent="0.2">
      <c r="A190" s="131" t="s">
        <v>3266</v>
      </c>
      <c r="B190" s="131">
        <v>39</v>
      </c>
      <c r="C190" s="307">
        <v>95</v>
      </c>
      <c r="D190" s="131">
        <v>450</v>
      </c>
      <c r="E190" s="307">
        <v>30</v>
      </c>
      <c r="F190" s="131">
        <v>2622</v>
      </c>
      <c r="G190" s="307">
        <v>80</v>
      </c>
      <c r="H190" s="131"/>
      <c r="I190" s="307"/>
      <c r="J190" s="131"/>
      <c r="K190" s="307"/>
      <c r="L190" s="131"/>
      <c r="M190" s="307"/>
      <c r="N190" s="131"/>
      <c r="O190" s="307"/>
      <c r="P190" s="131">
        <v>3113</v>
      </c>
      <c r="Q190" s="307">
        <v>5</v>
      </c>
      <c r="R190" s="131"/>
      <c r="S190" s="307"/>
      <c r="T190" s="131"/>
      <c r="U190" s="307"/>
      <c r="V190" s="131"/>
      <c r="W190" s="307"/>
      <c r="X190" s="131"/>
      <c r="Y190" s="307"/>
      <c r="Z190" s="131"/>
      <c r="AA190" s="307"/>
      <c r="AB190" s="131"/>
      <c r="AC190" s="307"/>
      <c r="AD190" s="131"/>
      <c r="AE190" s="307"/>
      <c r="AF190" s="131">
        <v>13</v>
      </c>
      <c r="AG190" s="307">
        <v>50</v>
      </c>
      <c r="AH190" s="131"/>
      <c r="AI190" s="307"/>
      <c r="AJ190" s="131"/>
      <c r="AK190" s="307"/>
      <c r="AL190" s="131"/>
      <c r="AM190" s="307"/>
      <c r="AN190" s="131"/>
      <c r="AO190" s="307"/>
      <c r="AP190" s="131"/>
      <c r="AQ190" s="307"/>
      <c r="AR190" s="131">
        <v>3126</v>
      </c>
      <c r="AS190" s="307">
        <v>55</v>
      </c>
    </row>
    <row r="191" spans="1:45" x14ac:dyDescent="0.2">
      <c r="A191" s="140" t="s">
        <v>4033</v>
      </c>
      <c r="B191" s="131">
        <v>55689</v>
      </c>
      <c r="C191" s="307">
        <v>95</v>
      </c>
      <c r="D191" s="131">
        <v>94808</v>
      </c>
      <c r="E191" s="307">
        <v>40</v>
      </c>
      <c r="F191" s="131">
        <v>38007</v>
      </c>
      <c r="G191" s="307">
        <v>95</v>
      </c>
      <c r="H191" s="131">
        <v>91742</v>
      </c>
      <c r="I191" s="307">
        <v>55</v>
      </c>
      <c r="J191" s="131">
        <v>10255</v>
      </c>
      <c r="K191" s="307">
        <v>95</v>
      </c>
      <c r="L191" s="131"/>
      <c r="M191" s="307"/>
      <c r="N191" s="131">
        <v>4242</v>
      </c>
      <c r="O191" s="307">
        <v>40</v>
      </c>
      <c r="P191" s="131">
        <v>286262</v>
      </c>
      <c r="Q191" s="307">
        <v>40</v>
      </c>
      <c r="R191" s="131">
        <v>1727</v>
      </c>
      <c r="S191" s="307">
        <v>10</v>
      </c>
      <c r="T191" s="131">
        <v>1247</v>
      </c>
      <c r="U191" s="307">
        <v>70</v>
      </c>
      <c r="V191" s="131"/>
      <c r="W191" s="307"/>
      <c r="X191" s="131"/>
      <c r="Y191" s="307"/>
      <c r="Z191" s="131">
        <v>790</v>
      </c>
      <c r="AA191" s="307">
        <v>85</v>
      </c>
      <c r="AB191" s="131">
        <v>29</v>
      </c>
      <c r="AC191" s="307">
        <v>5</v>
      </c>
      <c r="AD191" s="131"/>
      <c r="AE191" s="307"/>
      <c r="AF191" s="131"/>
      <c r="AG191" s="307"/>
      <c r="AH191" s="131"/>
      <c r="AI191" s="307"/>
      <c r="AJ191" s="131">
        <v>147</v>
      </c>
      <c r="AK191" s="307">
        <v>50</v>
      </c>
      <c r="AL191" s="131">
        <v>4</v>
      </c>
      <c r="AM191" s="307">
        <v>55</v>
      </c>
      <c r="AN191" s="131"/>
      <c r="AO191" s="307"/>
      <c r="AP191" s="131"/>
      <c r="AQ191" s="307"/>
      <c r="AR191" s="131">
        <v>290209</v>
      </c>
      <c r="AS191" s="307">
        <v>15</v>
      </c>
    </row>
    <row r="192" spans="1:45" x14ac:dyDescent="0.2">
      <c r="A192" s="140" t="s">
        <v>1519</v>
      </c>
      <c r="B192" s="131">
        <v>29863</v>
      </c>
      <c r="C192" s="307">
        <v>45</v>
      </c>
      <c r="D192" s="131">
        <v>57997</v>
      </c>
      <c r="E192" s="307">
        <v>40</v>
      </c>
      <c r="F192" s="131">
        <v>22366</v>
      </c>
      <c r="G192" s="307">
        <v>75</v>
      </c>
      <c r="H192" s="131">
        <v>52693</v>
      </c>
      <c r="I192" s="307">
        <v>25</v>
      </c>
      <c r="J192" s="131">
        <v>27320</v>
      </c>
      <c r="K192" s="307">
        <v>35</v>
      </c>
      <c r="L192" s="131"/>
      <c r="M192" s="307"/>
      <c r="N192" s="131"/>
      <c r="O192" s="307"/>
      <c r="P192" s="131">
        <v>190241</v>
      </c>
      <c r="Q192" s="307">
        <v>20</v>
      </c>
      <c r="R192" s="131"/>
      <c r="S192" s="307"/>
      <c r="T192" s="131"/>
      <c r="U192" s="307"/>
      <c r="V192" s="131"/>
      <c r="W192" s="307"/>
      <c r="X192" s="131">
        <v>1479</v>
      </c>
      <c r="Y192" s="307">
        <v>90</v>
      </c>
      <c r="Z192" s="131"/>
      <c r="AA192" s="307"/>
      <c r="AB192" s="131"/>
      <c r="AC192" s="307"/>
      <c r="AD192" s="131"/>
      <c r="AE192" s="307"/>
      <c r="AF192" s="131"/>
      <c r="AG192" s="307"/>
      <c r="AH192" s="131"/>
      <c r="AI192" s="307"/>
      <c r="AJ192" s="131"/>
      <c r="AK192" s="307"/>
      <c r="AL192" s="131"/>
      <c r="AM192" s="307"/>
      <c r="AN192" s="131"/>
      <c r="AO192" s="307"/>
      <c r="AP192" s="131"/>
      <c r="AQ192" s="307"/>
      <c r="AR192" s="131">
        <v>191721</v>
      </c>
      <c r="AS192" s="307">
        <v>10</v>
      </c>
    </row>
    <row r="193" spans="1:45" x14ac:dyDescent="0.2">
      <c r="A193" s="140" t="s">
        <v>1526</v>
      </c>
      <c r="B193" s="131">
        <v>16499</v>
      </c>
      <c r="C193" s="307"/>
      <c r="D193" s="131">
        <v>19062</v>
      </c>
      <c r="E193" s="307">
        <v>55</v>
      </c>
      <c r="F193" s="131">
        <v>39231</v>
      </c>
      <c r="G193" s="307">
        <v>45</v>
      </c>
      <c r="H193" s="131">
        <v>29780</v>
      </c>
      <c r="I193" s="307">
        <v>45</v>
      </c>
      <c r="J193" s="131">
        <v>23858</v>
      </c>
      <c r="K193" s="307">
        <v>10</v>
      </c>
      <c r="L193" s="131"/>
      <c r="M193" s="307"/>
      <c r="N193" s="131">
        <v>11</v>
      </c>
      <c r="O193" s="307">
        <v>85</v>
      </c>
      <c r="P193" s="131">
        <v>128419</v>
      </c>
      <c r="Q193" s="307">
        <v>70</v>
      </c>
      <c r="R193" s="131">
        <v>582</v>
      </c>
      <c r="S193" s="307">
        <v>40</v>
      </c>
      <c r="T193" s="131">
        <v>1606</v>
      </c>
      <c r="U193" s="307">
        <v>20</v>
      </c>
      <c r="V193" s="131">
        <v>88</v>
      </c>
      <c r="W193" s="307"/>
      <c r="X193" s="131"/>
      <c r="Y193" s="307"/>
      <c r="Z193" s="131">
        <v>35</v>
      </c>
      <c r="AA193" s="307">
        <v>70</v>
      </c>
      <c r="AB193" s="131">
        <v>398</v>
      </c>
      <c r="AC193" s="307">
        <v>75</v>
      </c>
      <c r="AD193" s="131"/>
      <c r="AE193" s="307"/>
      <c r="AF193" s="131"/>
      <c r="AG193" s="307"/>
      <c r="AH193" s="131"/>
      <c r="AI193" s="307"/>
      <c r="AJ193" s="131"/>
      <c r="AK193" s="307"/>
      <c r="AL193" s="131"/>
      <c r="AM193" s="307"/>
      <c r="AN193" s="131">
        <v>156</v>
      </c>
      <c r="AO193" s="307"/>
      <c r="AP193" s="131">
        <v>73</v>
      </c>
      <c r="AQ193" s="307">
        <v>20</v>
      </c>
      <c r="AR193" s="131">
        <v>131359</v>
      </c>
      <c r="AS193" s="307">
        <v>95</v>
      </c>
    </row>
    <row r="194" spans="1:45" x14ac:dyDescent="0.2">
      <c r="A194" s="140" t="s">
        <v>4034</v>
      </c>
      <c r="B194" s="131">
        <v>16869</v>
      </c>
      <c r="C194" s="307">
        <v>95</v>
      </c>
      <c r="D194" s="131">
        <v>15018</v>
      </c>
      <c r="E194" s="307"/>
      <c r="F194" s="131">
        <v>7254</v>
      </c>
      <c r="G194" s="307">
        <v>55</v>
      </c>
      <c r="H194" s="131">
        <v>14729</v>
      </c>
      <c r="I194" s="307">
        <v>55</v>
      </c>
      <c r="J194" s="131">
        <v>56674</v>
      </c>
      <c r="K194" s="307">
        <v>45</v>
      </c>
      <c r="L194" s="131"/>
      <c r="M194" s="307"/>
      <c r="N194" s="131">
        <v>125</v>
      </c>
      <c r="O194" s="307">
        <v>10</v>
      </c>
      <c r="P194" s="131">
        <v>110421</v>
      </c>
      <c r="Q194" s="307">
        <v>40</v>
      </c>
      <c r="R194" s="131">
        <v>1518</v>
      </c>
      <c r="S194" s="307">
        <v>5</v>
      </c>
      <c r="T194" s="131">
        <v>187</v>
      </c>
      <c r="U194" s="307">
        <v>20</v>
      </c>
      <c r="V194" s="131">
        <v>265</v>
      </c>
      <c r="W194" s="307">
        <v>30</v>
      </c>
      <c r="X194" s="131"/>
      <c r="Y194" s="307"/>
      <c r="Z194" s="131">
        <v>2387</v>
      </c>
      <c r="AA194" s="307">
        <v>5</v>
      </c>
      <c r="AB194" s="131"/>
      <c r="AC194" s="307"/>
      <c r="AD194" s="131"/>
      <c r="AE194" s="307"/>
      <c r="AF194" s="131">
        <v>503</v>
      </c>
      <c r="AG194" s="307">
        <v>55</v>
      </c>
      <c r="AH194" s="131"/>
      <c r="AI194" s="307"/>
      <c r="AJ194" s="131"/>
      <c r="AK194" s="307"/>
      <c r="AL194" s="131"/>
      <c r="AM194" s="307"/>
      <c r="AN194" s="131"/>
      <c r="AO194" s="307"/>
      <c r="AP194" s="131"/>
      <c r="AQ194" s="307"/>
      <c r="AR194" s="131">
        <v>115282</v>
      </c>
      <c r="AS194" s="307">
        <v>55</v>
      </c>
    </row>
    <row r="195" spans="1:45" x14ac:dyDescent="0.2">
      <c r="A195" s="140" t="s">
        <v>1527</v>
      </c>
      <c r="B195" s="131">
        <v>3095</v>
      </c>
      <c r="C195" s="307">
        <v>50</v>
      </c>
      <c r="D195" s="131">
        <v>7262</v>
      </c>
      <c r="E195" s="307">
        <v>30</v>
      </c>
      <c r="F195" s="131">
        <v>9697</v>
      </c>
      <c r="G195" s="307"/>
      <c r="H195" s="131">
        <v>23168</v>
      </c>
      <c r="I195" s="307">
        <v>80</v>
      </c>
      <c r="J195" s="131">
        <v>4</v>
      </c>
      <c r="K195" s="307">
        <v>10</v>
      </c>
      <c r="L195" s="131"/>
      <c r="M195" s="307"/>
      <c r="N195" s="131">
        <v>74</v>
      </c>
      <c r="O195" s="307">
        <v>85</v>
      </c>
      <c r="P195" s="131">
        <v>43152</v>
      </c>
      <c r="Q195" s="307">
        <v>85</v>
      </c>
      <c r="R195" s="131">
        <v>544</v>
      </c>
      <c r="S195" s="307">
        <v>35</v>
      </c>
      <c r="T195" s="131">
        <v>48</v>
      </c>
      <c r="U195" s="307">
        <v>25</v>
      </c>
      <c r="V195" s="131"/>
      <c r="W195" s="307"/>
      <c r="X195" s="131"/>
      <c r="Y195" s="307"/>
      <c r="Z195" s="131">
        <v>162</v>
      </c>
      <c r="AA195" s="307">
        <v>15</v>
      </c>
      <c r="AB195" s="131"/>
      <c r="AC195" s="307"/>
      <c r="AD195" s="131"/>
      <c r="AE195" s="307"/>
      <c r="AF195" s="131">
        <v>151</v>
      </c>
      <c r="AG195" s="307">
        <v>70</v>
      </c>
      <c r="AH195" s="131">
        <v>465</v>
      </c>
      <c r="AI195" s="307">
        <v>75</v>
      </c>
      <c r="AJ195" s="131"/>
      <c r="AK195" s="307"/>
      <c r="AL195" s="131"/>
      <c r="AM195" s="307"/>
      <c r="AN195" s="131"/>
      <c r="AO195" s="307"/>
      <c r="AP195" s="131"/>
      <c r="AQ195" s="307"/>
      <c r="AR195" s="131">
        <v>44525</v>
      </c>
      <c r="AS195" s="307">
        <v>5</v>
      </c>
    </row>
    <row r="196" spans="1:45" x14ac:dyDescent="0.2">
      <c r="A196" s="801" t="s">
        <v>2663</v>
      </c>
      <c r="B196" s="240">
        <v>225207</v>
      </c>
      <c r="C196" s="513">
        <v>95</v>
      </c>
      <c r="D196" s="240">
        <v>665197</v>
      </c>
      <c r="E196" s="513">
        <v>80</v>
      </c>
      <c r="F196" s="240">
        <v>765467</v>
      </c>
      <c r="G196" s="513">
        <v>50</v>
      </c>
      <c r="H196" s="240">
        <v>1625875</v>
      </c>
      <c r="I196" s="513">
        <v>45</v>
      </c>
      <c r="J196" s="240">
        <v>141670</v>
      </c>
      <c r="K196" s="513">
        <v>90</v>
      </c>
      <c r="L196" s="240">
        <v>44472</v>
      </c>
      <c r="M196" s="513">
        <v>15</v>
      </c>
      <c r="N196" s="240">
        <v>4454</v>
      </c>
      <c r="O196" s="513">
        <v>20</v>
      </c>
      <c r="P196" s="240">
        <v>3463435</v>
      </c>
      <c r="Q196" s="513">
        <v>55</v>
      </c>
      <c r="R196" s="240">
        <v>7872</v>
      </c>
      <c r="S196" s="513"/>
      <c r="T196" s="240">
        <v>4667</v>
      </c>
      <c r="U196" s="513">
        <v>10</v>
      </c>
      <c r="V196" s="240">
        <v>520</v>
      </c>
      <c r="W196" s="513">
        <v>5</v>
      </c>
      <c r="X196" s="240">
        <v>1479</v>
      </c>
      <c r="Y196" s="513">
        <v>90</v>
      </c>
      <c r="Z196" s="240">
        <v>7639</v>
      </c>
      <c r="AA196" s="513">
        <v>80</v>
      </c>
      <c r="AB196" s="240">
        <v>903</v>
      </c>
      <c r="AC196" s="513">
        <v>90</v>
      </c>
      <c r="AD196" s="240">
        <v>17</v>
      </c>
      <c r="AE196" s="513">
        <v>40</v>
      </c>
      <c r="AF196" s="240">
        <v>752</v>
      </c>
      <c r="AG196" s="513">
        <v>75</v>
      </c>
      <c r="AH196" s="240">
        <v>548</v>
      </c>
      <c r="AI196" s="513">
        <v>55</v>
      </c>
      <c r="AJ196" s="240">
        <v>147</v>
      </c>
      <c r="AK196" s="513">
        <v>50</v>
      </c>
      <c r="AL196" s="240">
        <v>4</v>
      </c>
      <c r="AM196" s="513">
        <v>55</v>
      </c>
      <c r="AN196" s="240">
        <v>156</v>
      </c>
      <c r="AO196" s="513"/>
      <c r="AP196" s="240">
        <v>73</v>
      </c>
      <c r="AQ196" s="513">
        <v>20</v>
      </c>
      <c r="AR196" s="240">
        <v>3488218</v>
      </c>
      <c r="AS196" s="513">
        <v>35</v>
      </c>
    </row>
    <row r="197" spans="1:45" x14ac:dyDescent="0.2">
      <c r="B197" s="393">
        <f>+SUM(B188:B195)</f>
        <v>225204</v>
      </c>
      <c r="C197" s="393">
        <f t="shared" ref="C197:AS197" si="6">+SUM(C188:C195)</f>
        <v>395</v>
      </c>
      <c r="D197" s="1137">
        <f t="shared" si="6"/>
        <v>665193</v>
      </c>
      <c r="E197" s="393">
        <f t="shared" si="6"/>
        <v>280</v>
      </c>
      <c r="F197" s="393">
        <f t="shared" si="6"/>
        <v>765463</v>
      </c>
      <c r="G197" s="393">
        <f t="shared" si="6"/>
        <v>450</v>
      </c>
      <c r="H197" s="393">
        <f t="shared" si="6"/>
        <v>1625872</v>
      </c>
      <c r="I197" s="393">
        <f t="shared" si="6"/>
        <v>345</v>
      </c>
      <c r="J197" s="393">
        <f t="shared" si="6"/>
        <v>141688</v>
      </c>
      <c r="K197" s="393">
        <f t="shared" si="6"/>
        <v>290</v>
      </c>
      <c r="L197" s="393">
        <f t="shared" si="6"/>
        <v>44472</v>
      </c>
      <c r="M197" s="393">
        <f t="shared" si="6"/>
        <v>15</v>
      </c>
      <c r="N197" s="393">
        <f t="shared" si="6"/>
        <v>4452</v>
      </c>
      <c r="O197" s="393">
        <f t="shared" si="6"/>
        <v>220</v>
      </c>
      <c r="P197" s="393">
        <f t="shared" si="6"/>
        <v>3463432</v>
      </c>
      <c r="Q197" s="393">
        <f t="shared" si="6"/>
        <v>355</v>
      </c>
      <c r="R197" s="393">
        <f t="shared" si="6"/>
        <v>7870</v>
      </c>
      <c r="S197" s="393">
        <f t="shared" si="6"/>
        <v>200</v>
      </c>
      <c r="T197" s="393">
        <f t="shared" si="6"/>
        <v>4665</v>
      </c>
      <c r="U197" s="393">
        <f t="shared" si="6"/>
        <v>210</v>
      </c>
      <c r="V197" s="393">
        <f t="shared" si="6"/>
        <v>519</v>
      </c>
      <c r="W197" s="393">
        <f t="shared" si="6"/>
        <v>105</v>
      </c>
      <c r="X197" s="393">
        <f t="shared" si="6"/>
        <v>1479</v>
      </c>
      <c r="Y197" s="393">
        <f t="shared" si="6"/>
        <v>90</v>
      </c>
      <c r="Z197" s="393">
        <f t="shared" si="6"/>
        <v>7637</v>
      </c>
      <c r="AA197" s="393">
        <f t="shared" si="6"/>
        <v>280</v>
      </c>
      <c r="AB197" s="393">
        <f t="shared" si="6"/>
        <v>903</v>
      </c>
      <c r="AC197" s="393">
        <f t="shared" si="6"/>
        <v>90</v>
      </c>
      <c r="AD197" s="393">
        <f t="shared" si="6"/>
        <v>17</v>
      </c>
      <c r="AE197" s="393">
        <f t="shared" si="6"/>
        <v>40</v>
      </c>
      <c r="AF197" s="393">
        <f t="shared" si="6"/>
        <v>751</v>
      </c>
      <c r="AG197" s="393">
        <f t="shared" si="6"/>
        <v>175</v>
      </c>
      <c r="AH197" s="393">
        <f t="shared" si="6"/>
        <v>547</v>
      </c>
      <c r="AI197" s="1137">
        <f t="shared" si="6"/>
        <v>165</v>
      </c>
      <c r="AJ197" s="393">
        <f t="shared" si="6"/>
        <v>147</v>
      </c>
      <c r="AK197" s="393">
        <f t="shared" si="6"/>
        <v>50</v>
      </c>
      <c r="AL197" s="393">
        <f t="shared" si="6"/>
        <v>4</v>
      </c>
      <c r="AM197" s="393">
        <f t="shared" si="6"/>
        <v>55</v>
      </c>
      <c r="AN197" s="393">
        <f t="shared" si="6"/>
        <v>156</v>
      </c>
      <c r="AO197" s="393">
        <f t="shared" si="6"/>
        <v>0</v>
      </c>
      <c r="AP197" s="393">
        <f t="shared" si="6"/>
        <v>73</v>
      </c>
      <c r="AQ197" s="393">
        <f t="shared" si="6"/>
        <v>20</v>
      </c>
      <c r="AR197" s="393">
        <f t="shared" si="6"/>
        <v>3488215</v>
      </c>
      <c r="AS197" s="393">
        <f t="shared" si="6"/>
        <v>335</v>
      </c>
    </row>
    <row r="200" spans="1:45" x14ac:dyDescent="0.2">
      <c r="A200" s="526" t="s">
        <v>4178</v>
      </c>
    </row>
    <row r="201" spans="1:45" ht="39.5" customHeight="1" x14ac:dyDescent="0.2">
      <c r="A201" s="1183" t="s">
        <v>4181</v>
      </c>
      <c r="B201" s="1183"/>
      <c r="C201" s="1183"/>
      <c r="D201" s="1183"/>
      <c r="E201" s="1183"/>
      <c r="F201" s="1183"/>
      <c r="G201" s="1183"/>
      <c r="H201" s="1183"/>
      <c r="I201" s="1183"/>
      <c r="J201" s="1183"/>
      <c r="K201" s="1183"/>
      <c r="L201" s="1183"/>
      <c r="M201" s="1183"/>
      <c r="N201" s="1183"/>
      <c r="O201" s="1183"/>
      <c r="P201" s="1183"/>
      <c r="Q201" s="1183"/>
      <c r="R201" s="1183"/>
      <c r="S201" s="1183"/>
      <c r="T201" s="1183"/>
      <c r="U201" s="1183"/>
      <c r="V201" s="1183"/>
      <c r="W201" s="1183"/>
      <c r="X201" s="1183"/>
      <c r="Y201" s="1183"/>
      <c r="Z201" s="1183"/>
      <c r="AA201" s="1183"/>
      <c r="AB201" s="1183"/>
      <c r="AC201" s="1183"/>
      <c r="AD201" s="1183"/>
      <c r="AE201" s="1183"/>
      <c r="AF201" s="1183"/>
      <c r="AG201" s="1183"/>
      <c r="AH201" s="1183"/>
      <c r="AI201" s="1183"/>
      <c r="AJ201" s="1183"/>
      <c r="AK201" s="1183"/>
      <c r="AL201" s="1183"/>
      <c r="AM201" s="1183"/>
    </row>
    <row r="202" spans="1:45" ht="21.5" customHeight="1" x14ac:dyDescent="0.2">
      <c r="A202" s="965" t="s">
        <v>4182</v>
      </c>
      <c r="B202" s="965"/>
      <c r="C202" s="965"/>
      <c r="D202" s="965"/>
      <c r="E202" s="965"/>
      <c r="F202" s="965"/>
      <c r="G202" s="965"/>
      <c r="H202" s="965"/>
      <c r="I202" s="965"/>
      <c r="J202" s="965"/>
      <c r="K202" s="965"/>
      <c r="L202" s="965"/>
      <c r="M202" s="965"/>
      <c r="N202" s="965"/>
      <c r="O202" s="965"/>
      <c r="P202" s="965"/>
      <c r="Q202" s="965"/>
      <c r="R202" s="965"/>
      <c r="S202" s="965"/>
      <c r="T202" s="965"/>
      <c r="U202" s="965"/>
      <c r="V202" s="965"/>
      <c r="W202" s="965"/>
      <c r="X202" s="965"/>
      <c r="Y202" s="965"/>
      <c r="Z202" s="965"/>
      <c r="AA202" s="965"/>
      <c r="AB202" s="965"/>
      <c r="AC202" s="965"/>
      <c r="AD202" s="965"/>
      <c r="AE202" s="965"/>
      <c r="AF202" s="965"/>
      <c r="AG202" s="965"/>
      <c r="AH202" s="965"/>
      <c r="AI202" s="965"/>
      <c r="AJ202" s="965"/>
      <c r="AK202" s="965"/>
      <c r="AL202" s="965"/>
      <c r="AM202" s="965"/>
    </row>
    <row r="203" spans="1:45" ht="24.5" customHeight="1" x14ac:dyDescent="0.2">
      <c r="A203" s="1184" t="s">
        <v>1854</v>
      </c>
      <c r="B203" s="793" t="s">
        <v>4056</v>
      </c>
      <c r="C203" s="793"/>
      <c r="D203" s="793"/>
      <c r="E203" s="793"/>
      <c r="F203" s="793"/>
      <c r="G203" s="793"/>
      <c r="H203" s="793"/>
      <c r="I203" s="793"/>
      <c r="J203" s="793"/>
      <c r="K203" s="793"/>
      <c r="L203" s="793"/>
      <c r="M203" s="793"/>
      <c r="N203" s="793" t="s">
        <v>3394</v>
      </c>
      <c r="O203" s="793"/>
      <c r="P203" s="793" t="s">
        <v>4057</v>
      </c>
      <c r="Q203" s="793"/>
      <c r="R203" s="793"/>
      <c r="S203" s="793"/>
      <c r="T203" s="793"/>
      <c r="U203" s="793"/>
      <c r="V203" s="793"/>
      <c r="W203" s="793"/>
      <c r="X203" s="793"/>
      <c r="Y203" s="793"/>
      <c r="Z203" s="793"/>
      <c r="AA203" s="793"/>
      <c r="AB203" s="793"/>
      <c r="AC203" s="793"/>
      <c r="AD203" s="793"/>
      <c r="AE203" s="793"/>
      <c r="AF203" s="793"/>
      <c r="AG203" s="793"/>
      <c r="AH203" s="793"/>
      <c r="AI203" s="793"/>
      <c r="AJ203" s="793" t="s">
        <v>3396</v>
      </c>
      <c r="AK203" s="793"/>
      <c r="AL203" s="793"/>
      <c r="AM203" s="793"/>
    </row>
    <row r="204" spans="1:45" ht="20.5" customHeight="1" x14ac:dyDescent="0.2">
      <c r="A204" s="1184"/>
      <c r="B204" s="967" t="s">
        <v>4183</v>
      </c>
      <c r="C204" s="967"/>
      <c r="D204" s="967"/>
      <c r="E204" s="967"/>
      <c r="F204" s="967"/>
      <c r="G204" s="967"/>
      <c r="H204" s="967" t="s">
        <v>4184</v>
      </c>
      <c r="I204" s="967"/>
      <c r="J204" s="967"/>
      <c r="K204" s="967"/>
      <c r="L204" s="967"/>
      <c r="M204" s="967"/>
      <c r="N204" s="1036" t="s">
        <v>4185</v>
      </c>
      <c r="O204" s="1036" t="s">
        <v>4186</v>
      </c>
      <c r="P204" s="838" t="s">
        <v>4062</v>
      </c>
      <c r="Q204" s="838"/>
      <c r="R204" s="838"/>
      <c r="S204" s="838"/>
      <c r="T204" s="838"/>
      <c r="U204" s="838"/>
      <c r="V204" s="838"/>
      <c r="W204" s="838"/>
      <c r="X204" s="838"/>
      <c r="Y204" s="838"/>
      <c r="Z204" s="838"/>
      <c r="AA204" s="838"/>
      <c r="AB204" s="838"/>
      <c r="AC204" s="838"/>
      <c r="AD204" s="793" t="s">
        <v>4064</v>
      </c>
      <c r="AE204" s="793"/>
      <c r="AF204" s="793"/>
      <c r="AG204" s="793"/>
      <c r="AH204" s="793"/>
      <c r="AI204" s="793"/>
      <c r="AJ204" s="967" t="s">
        <v>4060</v>
      </c>
      <c r="AK204" s="967"/>
      <c r="AL204" s="967" t="s">
        <v>4061</v>
      </c>
      <c r="AM204" s="967"/>
    </row>
    <row r="205" spans="1:45" ht="33" customHeight="1" x14ac:dyDescent="0.2">
      <c r="A205" s="1184"/>
      <c r="B205" s="967" t="s">
        <v>4065</v>
      </c>
      <c r="C205" s="967"/>
      <c r="D205" s="967"/>
      <c r="E205" s="967" t="s">
        <v>4066</v>
      </c>
      <c r="F205" s="967"/>
      <c r="G205" s="967"/>
      <c r="H205" s="967" t="s">
        <v>4065</v>
      </c>
      <c r="I205" s="967"/>
      <c r="J205" s="967"/>
      <c r="K205" s="967" t="s">
        <v>4066</v>
      </c>
      <c r="L205" s="967"/>
      <c r="M205" s="967"/>
      <c r="N205" s="1036"/>
      <c r="O205" s="1036"/>
      <c r="P205" s="977" t="s">
        <v>3271</v>
      </c>
      <c r="Q205" s="977"/>
      <c r="R205" s="977" t="s">
        <v>3272</v>
      </c>
      <c r="S205" s="977"/>
      <c r="T205" s="977" t="s">
        <v>3577</v>
      </c>
      <c r="U205" s="977"/>
      <c r="V205" s="977" t="s">
        <v>3578</v>
      </c>
      <c r="W205" s="977"/>
      <c r="X205" s="977" t="s">
        <v>3579</v>
      </c>
      <c r="Y205" s="977"/>
      <c r="Z205" s="977" t="s">
        <v>3275</v>
      </c>
      <c r="AA205" s="977"/>
      <c r="AB205" s="977" t="s">
        <v>1357</v>
      </c>
      <c r="AC205" s="977"/>
      <c r="AD205" s="810" t="s">
        <v>4187</v>
      </c>
      <c r="AE205" s="810" t="s">
        <v>4188</v>
      </c>
      <c r="AF205" s="810" t="s">
        <v>4189</v>
      </c>
      <c r="AG205" s="967" t="s">
        <v>4190</v>
      </c>
      <c r="AH205" s="967"/>
      <c r="AI205" s="810" t="s">
        <v>4191</v>
      </c>
      <c r="AJ205" s="967"/>
      <c r="AK205" s="967"/>
      <c r="AL205" s="967"/>
      <c r="AM205" s="967"/>
    </row>
    <row r="206" spans="1:45" ht="14.5" customHeight="1" x14ac:dyDescent="0.2">
      <c r="A206" s="1185"/>
      <c r="B206" s="1186" t="s">
        <v>4192</v>
      </c>
      <c r="C206" s="967" t="s">
        <v>3406</v>
      </c>
      <c r="D206" s="967"/>
      <c r="E206" s="1186" t="s">
        <v>4192</v>
      </c>
      <c r="F206" s="609" t="s">
        <v>3406</v>
      </c>
      <c r="G206" s="608"/>
      <c r="H206" s="1186" t="s">
        <v>4192</v>
      </c>
      <c r="I206" s="609" t="s">
        <v>3406</v>
      </c>
      <c r="J206" s="608"/>
      <c r="K206" s="1186" t="s">
        <v>4192</v>
      </c>
      <c r="L206" s="609" t="s">
        <v>3406</v>
      </c>
      <c r="M206" s="967"/>
      <c r="N206" s="1186" t="s">
        <v>4192</v>
      </c>
      <c r="O206" s="1186" t="s">
        <v>4192</v>
      </c>
      <c r="P206" s="1037" t="s">
        <v>3327</v>
      </c>
      <c r="Q206" s="1037" t="s">
        <v>3282</v>
      </c>
      <c r="R206" s="1037" t="s">
        <v>3327</v>
      </c>
      <c r="S206" s="1037" t="s">
        <v>3282</v>
      </c>
      <c r="T206" s="1037" t="s">
        <v>3327</v>
      </c>
      <c r="U206" s="1037" t="s">
        <v>3282</v>
      </c>
      <c r="V206" s="1037" t="s">
        <v>3327</v>
      </c>
      <c r="W206" s="1037" t="s">
        <v>3282</v>
      </c>
      <c r="X206" s="1037" t="s">
        <v>3327</v>
      </c>
      <c r="Y206" s="1037" t="s">
        <v>3282</v>
      </c>
      <c r="Z206" s="1037" t="s">
        <v>3327</v>
      </c>
      <c r="AA206" s="1037" t="s">
        <v>3282</v>
      </c>
      <c r="AB206" s="1037" t="s">
        <v>3327</v>
      </c>
      <c r="AC206" s="1037" t="s">
        <v>3282</v>
      </c>
      <c r="AD206" s="1186" t="s">
        <v>4192</v>
      </c>
      <c r="AE206" s="1037" t="s">
        <v>3327</v>
      </c>
      <c r="AF206" s="1037" t="s">
        <v>3327</v>
      </c>
      <c r="AG206" s="1037" t="s">
        <v>3327</v>
      </c>
      <c r="AH206" s="1037" t="s">
        <v>3282</v>
      </c>
      <c r="AI206" s="1037" t="s">
        <v>3327</v>
      </c>
      <c r="AJ206" s="1037" t="s">
        <v>3373</v>
      </c>
      <c r="AK206" s="1037" t="s">
        <v>3374</v>
      </c>
      <c r="AL206" s="1037" t="s">
        <v>3373</v>
      </c>
      <c r="AM206" s="1037" t="s">
        <v>3374</v>
      </c>
    </row>
    <row r="207" spans="1:45" x14ac:dyDescent="0.2">
      <c r="A207" s="131" t="s">
        <v>3668</v>
      </c>
      <c r="B207" s="533">
        <v>132</v>
      </c>
      <c r="C207" s="131">
        <v>20761</v>
      </c>
      <c r="D207" s="133"/>
      <c r="E207" s="533">
        <v>244</v>
      </c>
      <c r="F207" s="107">
        <v>322673</v>
      </c>
      <c r="H207" s="533">
        <v>130</v>
      </c>
      <c r="I207" s="107">
        <v>20067</v>
      </c>
      <c r="J207" s="133"/>
      <c r="K207" s="533">
        <v>225</v>
      </c>
      <c r="L207" s="107">
        <v>323257</v>
      </c>
      <c r="N207" s="716">
        <v>348515</v>
      </c>
      <c r="O207" s="107">
        <v>460948</v>
      </c>
      <c r="P207" s="349">
        <v>4456562</v>
      </c>
      <c r="Q207" s="717">
        <v>572</v>
      </c>
      <c r="R207" s="349">
        <v>2823626</v>
      </c>
      <c r="S207" s="717">
        <v>693</v>
      </c>
      <c r="T207" s="349">
        <v>2883333</v>
      </c>
      <c r="U207" s="717">
        <v>324</v>
      </c>
      <c r="V207" s="349">
        <v>1446396</v>
      </c>
      <c r="W207" s="717"/>
      <c r="X207" s="349">
        <v>2098170</v>
      </c>
      <c r="Y207" s="717">
        <v>411</v>
      </c>
      <c r="Z207" s="349">
        <v>483841</v>
      </c>
      <c r="AA207" s="717"/>
      <c r="AB207" s="349">
        <v>14191930</v>
      </c>
      <c r="AC207" s="717"/>
      <c r="AD207" s="716">
        <v>8287</v>
      </c>
      <c r="AE207" s="107">
        <v>1815121</v>
      </c>
      <c r="AF207" s="716">
        <v>618272</v>
      </c>
      <c r="AG207" s="107">
        <v>15775800</v>
      </c>
      <c r="AI207" s="716">
        <v>42374</v>
      </c>
      <c r="AJ207" s="107">
        <v>7390611</v>
      </c>
      <c r="AK207" s="107">
        <v>15</v>
      </c>
      <c r="AL207" s="349">
        <v>9955202</v>
      </c>
      <c r="AM207" s="717">
        <v>15</v>
      </c>
    </row>
    <row r="208" spans="1:45" x14ac:dyDescent="0.2">
      <c r="A208" s="131" t="s">
        <v>1517</v>
      </c>
      <c r="B208" s="533">
        <v>82</v>
      </c>
      <c r="C208" s="131">
        <v>4499</v>
      </c>
      <c r="D208" s="133"/>
      <c r="E208" s="533">
        <v>60</v>
      </c>
      <c r="F208" s="107">
        <v>48070</v>
      </c>
      <c r="H208" s="533">
        <v>82</v>
      </c>
      <c r="I208" s="107">
        <v>3864</v>
      </c>
      <c r="J208" s="133"/>
      <c r="K208" s="533">
        <v>57</v>
      </c>
      <c r="L208" s="107">
        <v>45706</v>
      </c>
      <c r="N208" s="533">
        <v>1458612</v>
      </c>
      <c r="O208" s="107">
        <v>43799</v>
      </c>
      <c r="P208" s="131">
        <v>1948228</v>
      </c>
      <c r="Q208" s="307"/>
      <c r="R208" s="131">
        <v>135750</v>
      </c>
      <c r="S208" s="307"/>
      <c r="T208" s="131">
        <v>233560</v>
      </c>
      <c r="U208" s="307"/>
      <c r="V208" s="131">
        <v>172004</v>
      </c>
      <c r="W208" s="307"/>
      <c r="X208" s="131">
        <v>254942</v>
      </c>
      <c r="Y208" s="307"/>
      <c r="Z208" s="131">
        <v>1558725</v>
      </c>
      <c r="AA208" s="307"/>
      <c r="AB208" s="131">
        <v>4303209</v>
      </c>
      <c r="AC208" s="307"/>
      <c r="AD208" s="533"/>
      <c r="AE208" s="107">
        <v>240949</v>
      </c>
      <c r="AF208" s="533">
        <v>134</v>
      </c>
      <c r="AG208" s="107">
        <v>789631</v>
      </c>
      <c r="AI208" s="533">
        <v>10610</v>
      </c>
      <c r="AJ208" s="107">
        <v>846241</v>
      </c>
      <c r="AL208" s="131">
        <v>455838</v>
      </c>
      <c r="AM208" s="307"/>
    </row>
    <row r="209" spans="1:39" x14ac:dyDescent="0.2">
      <c r="A209" s="131" t="s">
        <v>3266</v>
      </c>
      <c r="B209" s="1039" t="s">
        <v>3408</v>
      </c>
      <c r="C209" s="131"/>
      <c r="D209" s="133"/>
      <c r="E209" s="533"/>
      <c r="H209" s="533"/>
      <c r="J209" s="133"/>
      <c r="K209" s="533"/>
      <c r="N209" s="533"/>
      <c r="P209" s="131"/>
      <c r="Q209" s="307"/>
      <c r="R209" s="131"/>
      <c r="S209" s="307"/>
      <c r="T209" s="131"/>
      <c r="U209" s="307"/>
      <c r="V209" s="131"/>
      <c r="W209" s="307"/>
      <c r="X209" s="131"/>
      <c r="Y209" s="307"/>
      <c r="Z209" s="131"/>
      <c r="AA209" s="307"/>
      <c r="AB209" s="131"/>
      <c r="AC209" s="307"/>
      <c r="AD209" s="533"/>
      <c r="AF209" s="533"/>
      <c r="AI209" s="533"/>
      <c r="AL209" s="131"/>
      <c r="AM209" s="307"/>
    </row>
    <row r="210" spans="1:39" x14ac:dyDescent="0.2">
      <c r="A210" s="140" t="s">
        <v>4033</v>
      </c>
      <c r="B210" s="533">
        <v>56</v>
      </c>
      <c r="C210" s="131">
        <v>6330</v>
      </c>
      <c r="D210" s="133"/>
      <c r="E210" s="533">
        <v>132</v>
      </c>
      <c r="F210" s="107">
        <v>212009</v>
      </c>
      <c r="H210" s="533">
        <v>54</v>
      </c>
      <c r="I210" s="107">
        <v>6524</v>
      </c>
      <c r="J210" s="133"/>
      <c r="K210" s="533">
        <v>133</v>
      </c>
      <c r="L210" s="107">
        <v>212791</v>
      </c>
      <c r="N210" s="533">
        <v>231144</v>
      </c>
      <c r="O210" s="107">
        <v>200346</v>
      </c>
      <c r="P210" s="131">
        <v>1634564</v>
      </c>
      <c r="Q210" s="307"/>
      <c r="R210" s="131">
        <v>1590709</v>
      </c>
      <c r="S210" s="307"/>
      <c r="T210" s="131">
        <v>625149</v>
      </c>
      <c r="U210" s="307"/>
      <c r="V210" s="131">
        <v>95001</v>
      </c>
      <c r="W210" s="307"/>
      <c r="X210" s="131">
        <v>154173</v>
      </c>
      <c r="Y210" s="307"/>
      <c r="Z210" s="131">
        <v>213664</v>
      </c>
      <c r="AA210" s="307"/>
      <c r="AB210" s="131">
        <v>4313260</v>
      </c>
      <c r="AC210" s="307"/>
      <c r="AD210" s="533">
        <v>5636</v>
      </c>
      <c r="AE210" s="107">
        <v>1680437</v>
      </c>
      <c r="AF210" s="533">
        <v>4209</v>
      </c>
      <c r="AG210" s="107">
        <v>7557622</v>
      </c>
      <c r="AI210" s="533">
        <v>262796</v>
      </c>
      <c r="AJ210" s="107">
        <v>733611</v>
      </c>
      <c r="AL210" s="131">
        <v>1116915</v>
      </c>
      <c r="AM210" s="307"/>
    </row>
    <row r="211" spans="1:39" x14ac:dyDescent="0.2">
      <c r="A211" s="140" t="s">
        <v>1519</v>
      </c>
      <c r="B211" s="533">
        <v>356</v>
      </c>
      <c r="C211" s="131">
        <v>7273</v>
      </c>
      <c r="D211" s="133"/>
      <c r="E211" s="533"/>
      <c r="H211" s="533">
        <v>344</v>
      </c>
      <c r="I211" s="107">
        <v>7293</v>
      </c>
      <c r="J211" s="133"/>
      <c r="K211" s="533"/>
      <c r="N211" s="533">
        <v>84849</v>
      </c>
      <c r="O211" s="107">
        <v>121586</v>
      </c>
      <c r="P211" s="131">
        <v>741567</v>
      </c>
      <c r="Q211" s="307">
        <v>250</v>
      </c>
      <c r="R211" s="131">
        <v>1053534</v>
      </c>
      <c r="S211" s="307">
        <v>750</v>
      </c>
      <c r="T211" s="131">
        <v>416581</v>
      </c>
      <c r="U211" s="307">
        <v>250</v>
      </c>
      <c r="V211" s="131">
        <v>95644</v>
      </c>
      <c r="W211" s="307"/>
      <c r="X211" s="131">
        <v>193193</v>
      </c>
      <c r="Y211" s="307">
        <v>500</v>
      </c>
      <c r="Z211" s="131">
        <v>1711282</v>
      </c>
      <c r="AA211" s="307"/>
      <c r="AB211" s="131">
        <v>4211802</v>
      </c>
      <c r="AC211" s="307">
        <v>750</v>
      </c>
      <c r="AD211" s="533"/>
      <c r="AE211" s="107">
        <v>100662</v>
      </c>
      <c r="AF211" s="533"/>
      <c r="AG211" s="107">
        <v>6086969</v>
      </c>
      <c r="AH211" s="107">
        <v>250</v>
      </c>
      <c r="AI211" s="533">
        <v>54975</v>
      </c>
      <c r="AJ211" s="107">
        <v>772009</v>
      </c>
      <c r="AK211" s="107">
        <v>69</v>
      </c>
      <c r="AL211" s="131">
        <v>1696193</v>
      </c>
      <c r="AM211" s="307">
        <v>40</v>
      </c>
    </row>
    <row r="212" spans="1:39" x14ac:dyDescent="0.2">
      <c r="A212" s="140" t="s">
        <v>1526</v>
      </c>
      <c r="B212" s="533">
        <v>218</v>
      </c>
      <c r="C212" s="131">
        <v>14224</v>
      </c>
      <c r="D212" s="133"/>
      <c r="E212" s="533">
        <v>12</v>
      </c>
      <c r="F212" s="107">
        <v>1889</v>
      </c>
      <c r="H212" s="533">
        <v>213</v>
      </c>
      <c r="I212" s="107">
        <v>14583</v>
      </c>
      <c r="J212" s="133"/>
      <c r="K212" s="533">
        <v>12</v>
      </c>
      <c r="L212" s="107">
        <v>1889</v>
      </c>
      <c r="N212" s="533">
        <v>123585</v>
      </c>
      <c r="O212" s="107">
        <v>63574</v>
      </c>
      <c r="P212" s="131">
        <v>1164232</v>
      </c>
      <c r="Q212" s="307">
        <v>750</v>
      </c>
      <c r="R212" s="131">
        <v>336306</v>
      </c>
      <c r="S212" s="307">
        <v>500</v>
      </c>
      <c r="T212" s="131">
        <v>114615</v>
      </c>
      <c r="U212" s="307"/>
      <c r="V212" s="131">
        <v>92813</v>
      </c>
      <c r="W212" s="307">
        <v>250</v>
      </c>
      <c r="X212" s="131">
        <v>57001</v>
      </c>
      <c r="Y212" s="307"/>
      <c r="Z212" s="131">
        <v>106773</v>
      </c>
      <c r="AA212" s="307"/>
      <c r="AB212" s="131">
        <v>1871741</v>
      </c>
      <c r="AC212" s="307">
        <v>500</v>
      </c>
      <c r="AD212" s="533">
        <v>2663</v>
      </c>
      <c r="AE212" s="107">
        <v>478165</v>
      </c>
      <c r="AF212" s="533"/>
      <c r="AG212" s="107">
        <v>1516191</v>
      </c>
      <c r="AI212" s="533">
        <v>8789</v>
      </c>
      <c r="AJ212" s="107">
        <v>251352</v>
      </c>
      <c r="AK212" s="107">
        <v>99</v>
      </c>
      <c r="AL212" s="131">
        <v>384501</v>
      </c>
      <c r="AM212" s="307">
        <v>13</v>
      </c>
    </row>
    <row r="213" spans="1:39" x14ac:dyDescent="0.2">
      <c r="A213" s="140" t="s">
        <v>4034</v>
      </c>
      <c r="B213" s="533">
        <v>61</v>
      </c>
      <c r="C213" s="131">
        <v>6215</v>
      </c>
      <c r="D213" s="133"/>
      <c r="E213" s="533">
        <v>44</v>
      </c>
      <c r="F213" s="107">
        <v>31583</v>
      </c>
      <c r="H213" s="533">
        <v>59</v>
      </c>
      <c r="I213" s="107">
        <v>5907</v>
      </c>
      <c r="J213" s="133"/>
      <c r="K213" s="533">
        <v>45</v>
      </c>
      <c r="L213" s="107">
        <v>31659</v>
      </c>
      <c r="N213" s="533">
        <v>49031</v>
      </c>
      <c r="O213" s="107">
        <v>3858</v>
      </c>
      <c r="P213" s="131">
        <v>378350</v>
      </c>
      <c r="Q213" s="307">
        <v>690</v>
      </c>
      <c r="R213" s="131">
        <v>481990</v>
      </c>
      <c r="S213" s="307">
        <v>950</v>
      </c>
      <c r="T213" s="131">
        <v>100119</v>
      </c>
      <c r="U213" s="307">
        <v>700</v>
      </c>
      <c r="V213" s="131">
        <v>18135</v>
      </c>
      <c r="W213" s="307">
        <v>325</v>
      </c>
      <c r="X213" s="131">
        <v>24917</v>
      </c>
      <c r="Y213" s="307">
        <v>240</v>
      </c>
      <c r="Z213" s="131">
        <v>1197184</v>
      </c>
      <c r="AA213" s="307"/>
      <c r="AB213" s="131">
        <v>2200697</v>
      </c>
      <c r="AC213" s="307">
        <v>905</v>
      </c>
      <c r="AD213" s="533"/>
      <c r="AE213" s="107">
        <v>21216</v>
      </c>
      <c r="AF213" s="533"/>
      <c r="AG213" s="107">
        <v>41084</v>
      </c>
      <c r="AI213" s="533">
        <v>7133</v>
      </c>
      <c r="AJ213" s="107">
        <v>165352</v>
      </c>
      <c r="AK213" s="107">
        <v>35</v>
      </c>
      <c r="AL213" s="131">
        <v>15216</v>
      </c>
      <c r="AM213" s="307">
        <v>5</v>
      </c>
    </row>
    <row r="214" spans="1:39" x14ac:dyDescent="0.2">
      <c r="A214" s="140" t="s">
        <v>1527</v>
      </c>
      <c r="B214" s="533">
        <v>51</v>
      </c>
      <c r="C214" s="131">
        <v>2232</v>
      </c>
      <c r="D214" s="133">
        <v>0.5</v>
      </c>
      <c r="E214" s="533">
        <v>69</v>
      </c>
      <c r="F214" s="107">
        <v>28148</v>
      </c>
      <c r="H214" s="533">
        <v>52</v>
      </c>
      <c r="I214" s="107">
        <v>2293</v>
      </c>
      <c r="J214" s="133">
        <v>0.5</v>
      </c>
      <c r="K214" s="533">
        <v>65</v>
      </c>
      <c r="L214" s="107">
        <v>30483</v>
      </c>
      <c r="N214" s="533">
        <v>329638</v>
      </c>
      <c r="O214" s="107">
        <v>26746</v>
      </c>
      <c r="P214" s="131">
        <v>319209</v>
      </c>
      <c r="Q214" s="307"/>
      <c r="R214" s="131">
        <v>89594</v>
      </c>
      <c r="S214" s="307"/>
      <c r="T214" s="131">
        <v>53127</v>
      </c>
      <c r="U214" s="307"/>
      <c r="V214" s="131">
        <v>24738</v>
      </c>
      <c r="W214" s="307"/>
      <c r="X214" s="131">
        <v>38656</v>
      </c>
      <c r="Y214" s="307"/>
      <c r="Z214" s="131">
        <v>310145</v>
      </c>
      <c r="AA214" s="307"/>
      <c r="AB214" s="131">
        <v>835469</v>
      </c>
      <c r="AC214" s="307"/>
      <c r="AD214" s="533"/>
      <c r="AE214" s="107">
        <v>621</v>
      </c>
      <c r="AF214" s="533"/>
      <c r="AG214" s="107">
        <v>1594840</v>
      </c>
      <c r="AH214" s="107">
        <v>500</v>
      </c>
      <c r="AI214" s="533">
        <v>18039</v>
      </c>
      <c r="AJ214" s="107">
        <v>227825</v>
      </c>
      <c r="AK214" s="107">
        <v>41</v>
      </c>
      <c r="AL214" s="131">
        <v>181116</v>
      </c>
      <c r="AM214" s="307">
        <v>23</v>
      </c>
    </row>
    <row r="215" spans="1:39" x14ac:dyDescent="0.2">
      <c r="A215" s="801" t="s">
        <v>2663</v>
      </c>
      <c r="B215" s="808">
        <v>956</v>
      </c>
      <c r="C215" s="240">
        <v>61534</v>
      </c>
      <c r="D215" s="241">
        <v>0.5</v>
      </c>
      <c r="E215" s="808">
        <v>561</v>
      </c>
      <c r="F215" s="318">
        <v>643372</v>
      </c>
      <c r="G215" s="318"/>
      <c r="H215" s="808">
        <v>934</v>
      </c>
      <c r="I215" s="318">
        <v>60531</v>
      </c>
      <c r="J215" s="241">
        <v>0.5</v>
      </c>
      <c r="K215" s="808">
        <v>537</v>
      </c>
      <c r="L215" s="318">
        <v>645776</v>
      </c>
      <c r="M215" s="318"/>
      <c r="N215" s="808">
        <v>2625374</v>
      </c>
      <c r="O215" s="318">
        <v>920857</v>
      </c>
      <c r="P215" s="240">
        <v>10642714</v>
      </c>
      <c r="Q215" s="513">
        <v>262</v>
      </c>
      <c r="R215" s="240">
        <v>6511511</v>
      </c>
      <c r="S215" s="513">
        <v>893</v>
      </c>
      <c r="T215" s="240">
        <v>4426485</v>
      </c>
      <c r="U215" s="513">
        <v>274</v>
      </c>
      <c r="V215" s="240">
        <v>1944731</v>
      </c>
      <c r="W215" s="513">
        <v>575</v>
      </c>
      <c r="X215" s="240">
        <v>2821053</v>
      </c>
      <c r="Y215" s="513">
        <v>151</v>
      </c>
      <c r="Z215" s="240">
        <v>5581614</v>
      </c>
      <c r="AA215" s="513"/>
      <c r="AB215" s="240">
        <v>31928110</v>
      </c>
      <c r="AC215" s="513">
        <v>155</v>
      </c>
      <c r="AD215" s="808">
        <v>16586</v>
      </c>
      <c r="AE215" s="318">
        <v>4337171</v>
      </c>
      <c r="AF215" s="808">
        <v>622615</v>
      </c>
      <c r="AG215" s="318">
        <v>36362137</v>
      </c>
      <c r="AH215" s="318">
        <v>750</v>
      </c>
      <c r="AI215" s="808">
        <v>404716</v>
      </c>
      <c r="AJ215" s="318">
        <v>10887003</v>
      </c>
      <c r="AK215" s="318">
        <v>59</v>
      </c>
      <c r="AL215" s="240">
        <v>13804981</v>
      </c>
      <c r="AM215" s="513">
        <v>96</v>
      </c>
    </row>
    <row r="216" spans="1:39" x14ac:dyDescent="0.2">
      <c r="A216" s="107" t="s">
        <v>4193</v>
      </c>
      <c r="B216" s="393">
        <f>+SUM(B207:B214)</f>
        <v>956</v>
      </c>
      <c r="C216" s="393">
        <f t="shared" ref="C216:AM216" si="7">+SUM(C207:C214)</f>
        <v>61534</v>
      </c>
      <c r="D216" s="1078">
        <f t="shared" si="7"/>
        <v>0.5</v>
      </c>
      <c r="E216" s="393">
        <f t="shared" si="7"/>
        <v>561</v>
      </c>
      <c r="F216" s="1137">
        <f t="shared" si="7"/>
        <v>644372</v>
      </c>
      <c r="G216" s="393">
        <f t="shared" si="7"/>
        <v>0</v>
      </c>
      <c r="H216" s="393">
        <f t="shared" si="7"/>
        <v>934</v>
      </c>
      <c r="I216" s="393">
        <f t="shared" si="7"/>
        <v>60531</v>
      </c>
      <c r="J216" s="1078">
        <f t="shared" si="7"/>
        <v>0.5</v>
      </c>
      <c r="K216" s="393">
        <f t="shared" si="7"/>
        <v>537</v>
      </c>
      <c r="L216" s="1137">
        <f t="shared" si="7"/>
        <v>645785</v>
      </c>
      <c r="M216" s="393">
        <f t="shared" si="7"/>
        <v>0</v>
      </c>
      <c r="N216" s="393">
        <f t="shared" si="7"/>
        <v>2625374</v>
      </c>
      <c r="O216" s="393">
        <f t="shared" si="7"/>
        <v>920857</v>
      </c>
      <c r="P216" s="393">
        <f t="shared" si="7"/>
        <v>10642712</v>
      </c>
      <c r="Q216" s="393">
        <f t="shared" si="7"/>
        <v>2262</v>
      </c>
      <c r="R216" s="393">
        <f t="shared" si="7"/>
        <v>6511509</v>
      </c>
      <c r="S216" s="393">
        <f t="shared" si="7"/>
        <v>2893</v>
      </c>
      <c r="T216" s="393">
        <f t="shared" si="7"/>
        <v>4426484</v>
      </c>
      <c r="U216" s="393">
        <f t="shared" si="7"/>
        <v>1274</v>
      </c>
      <c r="V216" s="393">
        <f t="shared" si="7"/>
        <v>1944731</v>
      </c>
      <c r="W216" s="393">
        <f t="shared" si="7"/>
        <v>575</v>
      </c>
      <c r="X216" s="393">
        <f t="shared" si="7"/>
        <v>2821052</v>
      </c>
      <c r="Y216" s="393">
        <f t="shared" si="7"/>
        <v>1151</v>
      </c>
      <c r="Z216" s="393">
        <f t="shared" si="7"/>
        <v>5581614</v>
      </c>
      <c r="AA216" s="393">
        <f t="shared" si="7"/>
        <v>0</v>
      </c>
      <c r="AB216" s="393">
        <f t="shared" si="7"/>
        <v>31928108</v>
      </c>
      <c r="AC216" s="393">
        <f t="shared" si="7"/>
        <v>2155</v>
      </c>
      <c r="AD216" s="393">
        <f t="shared" si="7"/>
        <v>16586</v>
      </c>
      <c r="AE216" s="393">
        <f t="shared" si="7"/>
        <v>4337171</v>
      </c>
      <c r="AF216" s="393">
        <f t="shared" si="7"/>
        <v>622615</v>
      </c>
      <c r="AG216" s="393">
        <f t="shared" si="7"/>
        <v>33362137</v>
      </c>
      <c r="AH216" s="393">
        <f t="shared" si="7"/>
        <v>750</v>
      </c>
      <c r="AI216" s="393">
        <f t="shared" si="7"/>
        <v>404716</v>
      </c>
      <c r="AJ216" s="393">
        <f t="shared" si="7"/>
        <v>10387001</v>
      </c>
      <c r="AK216" s="393">
        <f t="shared" si="7"/>
        <v>259</v>
      </c>
      <c r="AL216" s="393">
        <f t="shared" si="7"/>
        <v>13804981</v>
      </c>
      <c r="AM216" s="393">
        <f t="shared" si="7"/>
        <v>96</v>
      </c>
    </row>
  </sheetData>
  <mergeCells count="175">
    <mergeCell ref="AG205:AH205"/>
    <mergeCell ref="C206:D206"/>
    <mergeCell ref="F206:G206"/>
    <mergeCell ref="I206:J206"/>
    <mergeCell ref="L206:M206"/>
    <mergeCell ref="R205:S205"/>
    <mergeCell ref="T205:U205"/>
    <mergeCell ref="V205:W205"/>
    <mergeCell ref="X205:Y205"/>
    <mergeCell ref="Z205:AA205"/>
    <mergeCell ref="AB205:AC205"/>
    <mergeCell ref="O204:O205"/>
    <mergeCell ref="P204:AC204"/>
    <mergeCell ref="AD204:AI204"/>
    <mergeCell ref="AJ204:AK205"/>
    <mergeCell ref="AL204:AM205"/>
    <mergeCell ref="B205:D205"/>
    <mergeCell ref="E205:G205"/>
    <mergeCell ref="H205:J205"/>
    <mergeCell ref="K205:M205"/>
    <mergeCell ref="P205:Q205"/>
    <mergeCell ref="A201:AM201"/>
    <mergeCell ref="A202:AM202"/>
    <mergeCell ref="A203:A206"/>
    <mergeCell ref="B203:M203"/>
    <mergeCell ref="N203:O203"/>
    <mergeCell ref="P203:AI203"/>
    <mergeCell ref="AJ203:AM203"/>
    <mergeCell ref="B204:G204"/>
    <mergeCell ref="H204:M204"/>
    <mergeCell ref="N204:N205"/>
    <mergeCell ref="AP185:AQ186"/>
    <mergeCell ref="AR185:AS186"/>
    <mergeCell ref="B186:C186"/>
    <mergeCell ref="D186:E186"/>
    <mergeCell ref="F186:G186"/>
    <mergeCell ref="H186:I186"/>
    <mergeCell ref="J186:K186"/>
    <mergeCell ref="L186:M186"/>
    <mergeCell ref="N186:O186"/>
    <mergeCell ref="P186:Q186"/>
    <mergeCell ref="AD185:AE186"/>
    <mergeCell ref="AF185:AG186"/>
    <mergeCell ref="AH185:AI186"/>
    <mergeCell ref="AJ185:AK186"/>
    <mergeCell ref="AL185:AM186"/>
    <mergeCell ref="AN185:AO186"/>
    <mergeCell ref="A183:AS183"/>
    <mergeCell ref="A184:AS184"/>
    <mergeCell ref="A185:A187"/>
    <mergeCell ref="B185:Q185"/>
    <mergeCell ref="R185:S186"/>
    <mergeCell ref="T185:U186"/>
    <mergeCell ref="V185:W186"/>
    <mergeCell ref="X185:Y186"/>
    <mergeCell ref="Z185:AA186"/>
    <mergeCell ref="AB185:AC186"/>
    <mergeCell ref="AR175:AS176"/>
    <mergeCell ref="B176:C176"/>
    <mergeCell ref="D176:E176"/>
    <mergeCell ref="F176:G176"/>
    <mergeCell ref="H176:I176"/>
    <mergeCell ref="J176:K176"/>
    <mergeCell ref="L176:M176"/>
    <mergeCell ref="N176:O176"/>
    <mergeCell ref="P176:Q176"/>
    <mergeCell ref="AF175:AG176"/>
    <mergeCell ref="AH175:AI176"/>
    <mergeCell ref="AJ175:AK176"/>
    <mergeCell ref="AL175:AM176"/>
    <mergeCell ref="AN175:AO176"/>
    <mergeCell ref="AP175:AQ176"/>
    <mergeCell ref="A174:AS174"/>
    <mergeCell ref="A175:A177"/>
    <mergeCell ref="B175:Q175"/>
    <mergeCell ref="R175:S176"/>
    <mergeCell ref="T175:U176"/>
    <mergeCell ref="V175:W176"/>
    <mergeCell ref="X175:Y176"/>
    <mergeCell ref="Z175:AA176"/>
    <mergeCell ref="AB175:AC176"/>
    <mergeCell ref="AD175:AE176"/>
    <mergeCell ref="A162:M162"/>
    <mergeCell ref="A163:A164"/>
    <mergeCell ref="B163:D163"/>
    <mergeCell ref="E163:G163"/>
    <mergeCell ref="H163:J163"/>
    <mergeCell ref="K163:M163"/>
    <mergeCell ref="C164:D164"/>
    <mergeCell ref="F164:G164"/>
    <mergeCell ref="I164:J164"/>
    <mergeCell ref="L164:M164"/>
    <mergeCell ref="A144:M144"/>
    <mergeCell ref="A145:A146"/>
    <mergeCell ref="B145:D145"/>
    <mergeCell ref="E145:G145"/>
    <mergeCell ref="H145:J145"/>
    <mergeCell ref="K145:M145"/>
    <mergeCell ref="C146:D146"/>
    <mergeCell ref="F146:G146"/>
    <mergeCell ref="I146:J146"/>
    <mergeCell ref="L146:M146"/>
    <mergeCell ref="N122:O122"/>
    <mergeCell ref="P122:Q122"/>
    <mergeCell ref="R122:S122"/>
    <mergeCell ref="A127:J127"/>
    <mergeCell ref="B128:D128"/>
    <mergeCell ref="E128:G128"/>
    <mergeCell ref="H128:J128"/>
    <mergeCell ref="B122:C122"/>
    <mergeCell ref="D122:E122"/>
    <mergeCell ref="F122:G122"/>
    <mergeCell ref="H122:I122"/>
    <mergeCell ref="J122:K122"/>
    <mergeCell ref="L122:M122"/>
    <mergeCell ref="J111:K111"/>
    <mergeCell ref="L111:M111"/>
    <mergeCell ref="N111:O111"/>
    <mergeCell ref="P111:Q111"/>
    <mergeCell ref="R111:S111"/>
    <mergeCell ref="A121:S121"/>
    <mergeCell ref="F102:G102"/>
    <mergeCell ref="H102:I102"/>
    <mergeCell ref="J102:K102"/>
    <mergeCell ref="L102:M102"/>
    <mergeCell ref="A110:S110"/>
    <mergeCell ref="A111:A112"/>
    <mergeCell ref="B111:C111"/>
    <mergeCell ref="D111:E111"/>
    <mergeCell ref="F111:G111"/>
    <mergeCell ref="H111:I111"/>
    <mergeCell ref="A100:M100"/>
    <mergeCell ref="A101:A102"/>
    <mergeCell ref="B101:C101"/>
    <mergeCell ref="D101:E101"/>
    <mergeCell ref="F101:G101"/>
    <mergeCell ref="H101:I101"/>
    <mergeCell ref="J101:K101"/>
    <mergeCell ref="L101:M101"/>
    <mergeCell ref="B102:C102"/>
    <mergeCell ref="D102:E102"/>
    <mergeCell ref="D85:E85"/>
    <mergeCell ref="F85:G85"/>
    <mergeCell ref="H85:I85"/>
    <mergeCell ref="J85:K85"/>
    <mergeCell ref="L85:M85"/>
    <mergeCell ref="N85:O85"/>
    <mergeCell ref="A61:D61"/>
    <mergeCell ref="A82:S82"/>
    <mergeCell ref="A83:A86"/>
    <mergeCell ref="B83:C85"/>
    <mergeCell ref="D83:O83"/>
    <mergeCell ref="P83:Q85"/>
    <mergeCell ref="R83:S85"/>
    <mergeCell ref="D84:G84"/>
    <mergeCell ref="H84:K84"/>
    <mergeCell ref="L84:O84"/>
    <mergeCell ref="B30:B31"/>
    <mergeCell ref="E30:E31"/>
    <mergeCell ref="F30:F31"/>
    <mergeCell ref="A46:S46"/>
    <mergeCell ref="B47:D47"/>
    <mergeCell ref="E47:G47"/>
    <mergeCell ref="H47:J47"/>
    <mergeCell ref="K47:M47"/>
    <mergeCell ref="N47:P47"/>
    <mergeCell ref="Q47:S47"/>
    <mergeCell ref="A4:D4"/>
    <mergeCell ref="A23:M23"/>
    <mergeCell ref="A24:A25"/>
    <mergeCell ref="B24:D25"/>
    <mergeCell ref="E24:G25"/>
    <mergeCell ref="H24:M24"/>
    <mergeCell ref="H25:J25"/>
    <mergeCell ref="K25:M25"/>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6" tint="0.39997558519241921"/>
  </sheetPr>
  <dimension ref="A1:P403"/>
  <sheetViews>
    <sheetView workbookViewId="0">
      <selection activeCell="B1" sqref="B1"/>
    </sheetView>
  </sheetViews>
  <sheetFormatPr baseColWidth="10" defaultRowHeight="15" x14ac:dyDescent="0.2"/>
  <cols>
    <col min="1" max="1" width="46.1640625" style="107" customWidth="1"/>
    <col min="2" max="2" width="10.83203125" style="107"/>
    <col min="3" max="3" width="6.83203125" style="107" customWidth="1"/>
    <col min="4" max="4" width="5.33203125" style="107" customWidth="1"/>
    <col min="5" max="5" width="10.83203125" style="107"/>
    <col min="6" max="6" width="5.83203125" style="107" customWidth="1"/>
    <col min="7" max="7" width="5.33203125" style="107" customWidth="1"/>
    <col min="8" max="8" width="10.83203125" style="107"/>
    <col min="9" max="10" width="5.83203125" style="107" customWidth="1"/>
    <col min="11" max="16384" width="10.83203125" style="107"/>
  </cols>
  <sheetData>
    <row r="1" spans="1:10" x14ac:dyDescent="0.2">
      <c r="A1" s="972" t="s">
        <v>4194</v>
      </c>
    </row>
    <row r="3" spans="1:10" x14ac:dyDescent="0.2">
      <c r="A3" s="526" t="s">
        <v>1111</v>
      </c>
    </row>
    <row r="4" spans="1:10" ht="26.5" customHeight="1" x14ac:dyDescent="0.15">
      <c r="A4" s="1026" t="s">
        <v>4195</v>
      </c>
      <c r="B4" s="1026"/>
      <c r="C4" s="1026"/>
      <c r="D4" s="1026"/>
      <c r="E4" s="1026"/>
      <c r="F4" s="1026"/>
      <c r="G4" s="1026"/>
      <c r="H4" s="1026"/>
      <c r="I4" s="1026"/>
      <c r="J4" s="1026"/>
    </row>
    <row r="5" spans="1:10" ht="30.5" customHeight="1" x14ac:dyDescent="0.2">
      <c r="A5" s="808"/>
      <c r="B5" s="977" t="s">
        <v>4196</v>
      </c>
      <c r="C5" s="977"/>
      <c r="D5" s="977"/>
      <c r="E5" s="977" t="s">
        <v>4197</v>
      </c>
      <c r="F5" s="977"/>
      <c r="G5" s="977"/>
      <c r="H5" s="977" t="s">
        <v>4198</v>
      </c>
      <c r="I5" s="977"/>
      <c r="J5" s="977"/>
    </row>
    <row r="6" spans="1:10" x14ac:dyDescent="0.2">
      <c r="A6" s="716" t="s">
        <v>4199</v>
      </c>
      <c r="B6" s="349">
        <v>204134</v>
      </c>
      <c r="C6" s="350">
        <v>612</v>
      </c>
      <c r="D6" s="717"/>
      <c r="E6" s="349">
        <v>3345268</v>
      </c>
      <c r="F6" s="350">
        <v>946</v>
      </c>
      <c r="G6" s="717"/>
      <c r="H6" s="349">
        <v>3549403</v>
      </c>
      <c r="I6" s="350">
        <v>558</v>
      </c>
      <c r="J6" s="717"/>
    </row>
    <row r="7" spans="1:10" x14ac:dyDescent="0.2">
      <c r="A7" s="533" t="s">
        <v>4200</v>
      </c>
      <c r="B7" s="131">
        <v>166867</v>
      </c>
      <c r="C7" s="145">
        <v>64</v>
      </c>
      <c r="D7" s="307"/>
      <c r="E7" s="131">
        <v>3485605</v>
      </c>
      <c r="F7" s="145">
        <v>696</v>
      </c>
      <c r="G7" s="307"/>
      <c r="H7" s="131">
        <v>3652472</v>
      </c>
      <c r="I7" s="145">
        <v>760</v>
      </c>
      <c r="J7" s="307"/>
    </row>
    <row r="8" spans="1:10" x14ac:dyDescent="0.2">
      <c r="A8" s="533" t="s">
        <v>4201</v>
      </c>
      <c r="B8" s="131">
        <v>1297029</v>
      </c>
      <c r="C8" s="145">
        <v>767</v>
      </c>
      <c r="D8" s="307"/>
      <c r="E8" s="131">
        <v>3916349</v>
      </c>
      <c r="F8" s="145">
        <v>493</v>
      </c>
      <c r="G8" s="307"/>
      <c r="H8" s="131">
        <v>5213379</v>
      </c>
      <c r="I8" s="145">
        <v>260</v>
      </c>
      <c r="J8" s="307"/>
    </row>
    <row r="9" spans="1:10" x14ac:dyDescent="0.2">
      <c r="A9" s="533" t="s">
        <v>4202</v>
      </c>
      <c r="B9" s="131">
        <v>185990</v>
      </c>
      <c r="C9" s="145">
        <v>664</v>
      </c>
      <c r="D9" s="307"/>
      <c r="E9" s="131">
        <v>6008751</v>
      </c>
      <c r="F9" s="145">
        <v>659</v>
      </c>
      <c r="G9" s="307"/>
      <c r="H9" s="131">
        <v>6194742</v>
      </c>
      <c r="I9" s="145">
        <v>323</v>
      </c>
      <c r="J9" s="307"/>
    </row>
    <row r="10" spans="1:10" x14ac:dyDescent="0.2">
      <c r="A10" s="533" t="s">
        <v>4203</v>
      </c>
      <c r="B10" s="131">
        <v>108577</v>
      </c>
      <c r="C10" s="145">
        <v>254</v>
      </c>
      <c r="D10" s="307"/>
      <c r="E10" s="131">
        <v>5951396</v>
      </c>
      <c r="F10" s="145">
        <v>561</v>
      </c>
      <c r="G10" s="307"/>
      <c r="H10" s="131">
        <v>6059973</v>
      </c>
      <c r="I10" s="145">
        <v>815</v>
      </c>
      <c r="J10" s="307"/>
    </row>
    <row r="11" spans="1:10" x14ac:dyDescent="0.2">
      <c r="A11" s="533" t="s">
        <v>4204</v>
      </c>
      <c r="B11" s="131">
        <v>121669</v>
      </c>
      <c r="C11" s="145">
        <v>695</v>
      </c>
      <c r="D11" s="307"/>
      <c r="E11" s="131">
        <v>5651905</v>
      </c>
      <c r="F11" s="145">
        <v>335</v>
      </c>
      <c r="G11" s="307"/>
      <c r="H11" s="131">
        <v>5773575</v>
      </c>
      <c r="I11" s="145">
        <v>30</v>
      </c>
      <c r="J11" s="307"/>
    </row>
    <row r="12" spans="1:10" x14ac:dyDescent="0.2">
      <c r="A12" s="785" t="s">
        <v>2673</v>
      </c>
      <c r="B12" s="240">
        <v>2084269</v>
      </c>
      <c r="C12" s="318">
        <v>56</v>
      </c>
      <c r="D12" s="513"/>
      <c r="E12" s="240">
        <v>28359277</v>
      </c>
      <c r="F12" s="318">
        <v>690</v>
      </c>
      <c r="G12" s="513"/>
      <c r="H12" s="240">
        <v>30443546</v>
      </c>
      <c r="I12" s="318">
        <v>746</v>
      </c>
      <c r="J12" s="513"/>
    </row>
    <row r="13" spans="1:10" x14ac:dyDescent="0.2">
      <c r="B13" s="393">
        <f>+SUM(B6:B11)</f>
        <v>2084266</v>
      </c>
      <c r="C13" s="393">
        <f t="shared" ref="C13:J13" si="0">+SUM(C6:C11)</f>
        <v>3056</v>
      </c>
      <c r="D13" s="393">
        <f t="shared" si="0"/>
        <v>0</v>
      </c>
      <c r="E13" s="393">
        <f t="shared" si="0"/>
        <v>28359274</v>
      </c>
      <c r="F13" s="393">
        <f t="shared" si="0"/>
        <v>3690</v>
      </c>
      <c r="G13" s="393">
        <f t="shared" si="0"/>
        <v>0</v>
      </c>
      <c r="H13" s="393">
        <f t="shared" si="0"/>
        <v>30443544</v>
      </c>
      <c r="I13" s="393">
        <f t="shared" si="0"/>
        <v>2746</v>
      </c>
      <c r="J13" s="393">
        <f t="shared" si="0"/>
        <v>0</v>
      </c>
    </row>
    <row r="16" spans="1:10" x14ac:dyDescent="0.2">
      <c r="A16" s="526" t="s">
        <v>1171</v>
      </c>
    </row>
    <row r="17" spans="1:7" ht="30" customHeight="1" x14ac:dyDescent="0.15">
      <c r="A17" s="528" t="s">
        <v>4205</v>
      </c>
      <c r="B17" s="643"/>
      <c r="C17" s="643"/>
      <c r="D17" s="643"/>
      <c r="E17" s="643"/>
      <c r="F17" s="643"/>
      <c r="G17" s="529"/>
    </row>
    <row r="18" spans="1:7" ht="27" customHeight="1" x14ac:dyDescent="0.2">
      <c r="A18" s="349"/>
      <c r="B18" s="977" t="s">
        <v>1881</v>
      </c>
      <c r="C18" s="977"/>
      <c r="D18" s="977"/>
      <c r="E18" s="977" t="s">
        <v>1882</v>
      </c>
      <c r="F18" s="977"/>
      <c r="G18" s="977"/>
    </row>
    <row r="19" spans="1:7" x14ac:dyDescent="0.2">
      <c r="A19" s="716" t="s">
        <v>4199</v>
      </c>
      <c r="B19" s="349">
        <v>4923728</v>
      </c>
      <c r="C19" s="350"/>
      <c r="D19" s="717"/>
      <c r="E19" s="349">
        <v>6758777</v>
      </c>
      <c r="F19" s="350">
        <v>18</v>
      </c>
      <c r="G19" s="717"/>
    </row>
    <row r="20" spans="1:7" x14ac:dyDescent="0.2">
      <c r="A20" s="533" t="s">
        <v>4200</v>
      </c>
      <c r="B20" s="131">
        <v>4041000</v>
      </c>
      <c r="C20" s="145"/>
      <c r="D20" s="307"/>
      <c r="E20" s="131">
        <v>6447505</v>
      </c>
      <c r="F20" s="145">
        <v>58</v>
      </c>
      <c r="G20" s="307"/>
    </row>
    <row r="21" spans="1:7" x14ac:dyDescent="0.2">
      <c r="A21" s="533" t="s">
        <v>4201</v>
      </c>
      <c r="B21" s="131">
        <v>4337800</v>
      </c>
      <c r="C21" s="145"/>
      <c r="D21" s="307"/>
      <c r="E21" s="131">
        <v>7647360</v>
      </c>
      <c r="F21" s="145">
        <v>39</v>
      </c>
      <c r="G21" s="307"/>
    </row>
    <row r="22" spans="1:7" x14ac:dyDescent="0.2">
      <c r="A22" s="533" t="s">
        <v>4202</v>
      </c>
      <c r="B22" s="131">
        <v>4838800</v>
      </c>
      <c r="C22" s="145"/>
      <c r="D22" s="307"/>
      <c r="E22" s="131">
        <v>7271933</v>
      </c>
      <c r="F22" s="145">
        <v>62</v>
      </c>
      <c r="G22" s="133">
        <v>0.5</v>
      </c>
    </row>
    <row r="23" spans="1:7" x14ac:dyDescent="0.2">
      <c r="A23" s="533" t="s">
        <v>4203</v>
      </c>
      <c r="B23" s="131">
        <v>4938800</v>
      </c>
      <c r="C23" s="145"/>
      <c r="D23" s="307"/>
      <c r="E23" s="131">
        <v>9623709</v>
      </c>
      <c r="F23" s="145">
        <v>81</v>
      </c>
      <c r="G23" s="307"/>
    </row>
    <row r="24" spans="1:7" x14ac:dyDescent="0.2">
      <c r="A24" s="535" t="s">
        <v>4204</v>
      </c>
      <c r="B24" s="230">
        <v>4739000</v>
      </c>
      <c r="C24" s="309"/>
      <c r="D24" s="364"/>
      <c r="E24" s="230">
        <v>10979321</v>
      </c>
      <c r="F24" s="309">
        <v>70</v>
      </c>
      <c r="G24" s="364"/>
    </row>
    <row r="28" spans="1:7" x14ac:dyDescent="0.2">
      <c r="A28" s="526" t="s">
        <v>1853</v>
      </c>
    </row>
    <row r="29" spans="1:7" ht="27.5" customHeight="1" x14ac:dyDescent="0.2">
      <c r="A29" s="953" t="s">
        <v>3877</v>
      </c>
      <c r="B29" s="954"/>
      <c r="C29" s="954"/>
      <c r="D29" s="954"/>
      <c r="E29" s="954"/>
      <c r="F29" s="955"/>
    </row>
    <row r="30" spans="1:7" ht="26.5" customHeight="1" x14ac:dyDescent="0.2">
      <c r="A30" s="806" t="s">
        <v>3878</v>
      </c>
      <c r="B30" s="1187" t="s">
        <v>4206</v>
      </c>
      <c r="C30" s="1188"/>
      <c r="D30" s="1189"/>
      <c r="E30" s="1190" t="s">
        <v>4207</v>
      </c>
      <c r="F30" s="1143"/>
    </row>
    <row r="31" spans="1:7" ht="30" x14ac:dyDescent="0.2">
      <c r="A31" s="539" t="s">
        <v>4208</v>
      </c>
      <c r="B31" s="131">
        <v>6790</v>
      </c>
      <c r="C31" s="145">
        <v>75</v>
      </c>
      <c r="D31" s="555"/>
      <c r="E31" s="131">
        <v>81489</v>
      </c>
      <c r="F31" s="307"/>
    </row>
    <row r="32" spans="1:7" x14ac:dyDescent="0.2">
      <c r="A32" s="131" t="s">
        <v>4209</v>
      </c>
      <c r="B32" s="131">
        <v>6401</v>
      </c>
      <c r="C32" s="145">
        <v>60</v>
      </c>
      <c r="D32" s="555"/>
      <c r="E32" s="131">
        <v>76819</v>
      </c>
      <c r="F32" s="307">
        <v>20</v>
      </c>
    </row>
    <row r="33" spans="1:6" x14ac:dyDescent="0.2">
      <c r="A33" s="131" t="s">
        <v>3881</v>
      </c>
      <c r="B33" s="131">
        <v>3420</v>
      </c>
      <c r="C33" s="145"/>
      <c r="D33" s="133"/>
      <c r="E33" s="131">
        <v>41040</v>
      </c>
      <c r="F33" s="307"/>
    </row>
    <row r="34" spans="1:6" x14ac:dyDescent="0.2">
      <c r="A34" s="131" t="s">
        <v>4210</v>
      </c>
      <c r="B34" s="131">
        <v>33</v>
      </c>
      <c r="C34" s="145">
        <v>35</v>
      </c>
      <c r="D34" s="133"/>
      <c r="E34" s="131">
        <v>400</v>
      </c>
      <c r="F34" s="307">
        <v>20</v>
      </c>
    </row>
    <row r="35" spans="1:6" x14ac:dyDescent="0.2">
      <c r="A35" s="131" t="s">
        <v>4211</v>
      </c>
      <c r="B35" s="131">
        <v>1527</v>
      </c>
      <c r="C35" s="145"/>
      <c r="D35" s="133"/>
      <c r="E35" s="131">
        <v>18324</v>
      </c>
      <c r="F35" s="307"/>
    </row>
    <row r="36" spans="1:6" x14ac:dyDescent="0.2">
      <c r="A36" s="131" t="s">
        <v>4212</v>
      </c>
      <c r="B36" s="131">
        <v>10844</v>
      </c>
      <c r="C36" s="145">
        <v>90</v>
      </c>
      <c r="D36" s="133"/>
      <c r="E36" s="131">
        <v>130138</v>
      </c>
      <c r="F36" s="307">
        <v>80</v>
      </c>
    </row>
    <row r="37" spans="1:6" x14ac:dyDescent="0.2">
      <c r="A37" s="794" t="s">
        <v>3884</v>
      </c>
      <c r="B37" s="240">
        <v>29017</v>
      </c>
      <c r="C37" s="318">
        <v>60</v>
      </c>
      <c r="D37" s="241"/>
      <c r="E37" s="240">
        <v>348211</v>
      </c>
      <c r="F37" s="513">
        <v>20</v>
      </c>
    </row>
    <row r="38" spans="1:6" x14ac:dyDescent="0.2">
      <c r="A38" s="622"/>
      <c r="B38" s="109">
        <f>+SUM(B31:B36)</f>
        <v>29015</v>
      </c>
      <c r="C38" s="109">
        <f>+SUM(C31:C36)</f>
        <v>260</v>
      </c>
      <c r="D38" s="1191">
        <f>+SUM(D31:D36)</f>
        <v>0</v>
      </c>
      <c r="E38" s="109">
        <f>+SUM(E31:E36)</f>
        <v>348210</v>
      </c>
      <c r="F38" s="109">
        <f>+SUM(F31:F36)</f>
        <v>120</v>
      </c>
    </row>
    <row r="39" spans="1:6" ht="27.5" customHeight="1" x14ac:dyDescent="0.2">
      <c r="A39" s="1192" t="s">
        <v>4213</v>
      </c>
      <c r="B39" s="960"/>
      <c r="C39" s="1193"/>
      <c r="D39" s="180"/>
      <c r="E39" s="1194"/>
      <c r="F39" s="1195"/>
    </row>
    <row r="40" spans="1:6" x14ac:dyDescent="0.2">
      <c r="A40" s="140" t="s">
        <v>4214</v>
      </c>
      <c r="B40" s="131">
        <v>27058</v>
      </c>
      <c r="C40" s="145">
        <v>11</v>
      </c>
      <c r="D40" s="180">
        <v>0.66666666666666663</v>
      </c>
      <c r="E40" s="131">
        <v>324697</v>
      </c>
      <c r="F40" s="307">
        <v>40</v>
      </c>
    </row>
    <row r="41" spans="1:6" x14ac:dyDescent="0.2">
      <c r="A41" s="140" t="s">
        <v>4215</v>
      </c>
      <c r="B41" s="240">
        <v>1959</v>
      </c>
      <c r="C41" s="318">
        <v>48</v>
      </c>
      <c r="D41" s="319">
        <v>0.33333333333333331</v>
      </c>
      <c r="E41" s="240">
        <v>23513</v>
      </c>
      <c r="F41" s="513">
        <v>80</v>
      </c>
    </row>
    <row r="42" spans="1:6" ht="30" x14ac:dyDescent="0.2">
      <c r="A42" s="576" t="s">
        <v>4216</v>
      </c>
      <c r="B42" s="131">
        <v>3301</v>
      </c>
      <c r="C42" s="145">
        <v>10</v>
      </c>
      <c r="D42" s="1196"/>
      <c r="E42" s="131">
        <v>39613</v>
      </c>
      <c r="F42" s="307">
        <v>20</v>
      </c>
    </row>
    <row r="43" spans="1:6" ht="45" x14ac:dyDescent="0.2">
      <c r="A43" s="576" t="s">
        <v>4217</v>
      </c>
      <c r="B43" s="131">
        <v>1899</v>
      </c>
      <c r="C43" s="145">
        <v>20</v>
      </c>
      <c r="D43" s="180"/>
      <c r="E43" s="131">
        <v>22790</v>
      </c>
      <c r="F43" s="307">
        <v>40</v>
      </c>
    </row>
    <row r="44" spans="1:6" x14ac:dyDescent="0.2">
      <c r="A44" s="801" t="s">
        <v>4218</v>
      </c>
      <c r="B44" s="240">
        <v>1401</v>
      </c>
      <c r="C44" s="318">
        <v>90</v>
      </c>
      <c r="D44" s="319"/>
      <c r="E44" s="240">
        <v>16822</v>
      </c>
      <c r="F44" s="513">
        <v>80</v>
      </c>
    </row>
    <row r="45" spans="1:6" x14ac:dyDescent="0.2">
      <c r="A45" s="1197" t="s">
        <v>4219</v>
      </c>
      <c r="B45" s="1198"/>
      <c r="C45" s="1198"/>
      <c r="D45" s="1198"/>
      <c r="E45" s="1198"/>
      <c r="F45" s="1199"/>
    </row>
    <row r="48" spans="1:6" x14ac:dyDescent="0.2">
      <c r="A48" s="526" t="s">
        <v>1587</v>
      </c>
    </row>
    <row r="49" spans="1:16" ht="25.25" customHeight="1" x14ac:dyDescent="0.15">
      <c r="A49" s="1113" t="s">
        <v>4220</v>
      </c>
      <c r="B49" s="1113"/>
      <c r="C49" s="1113"/>
      <c r="D49" s="1113"/>
      <c r="E49" s="1113"/>
      <c r="F49" s="1113"/>
      <c r="G49" s="1113"/>
      <c r="H49" s="1113"/>
      <c r="I49" s="1113"/>
      <c r="J49" s="1113"/>
      <c r="K49" s="1113"/>
      <c r="L49" s="1113"/>
      <c r="M49" s="1113"/>
      <c r="N49" s="1113"/>
      <c r="O49" s="1113"/>
      <c r="P49" s="1113"/>
    </row>
    <row r="50" spans="1:16" ht="25.25" customHeight="1" x14ac:dyDescent="0.15">
      <c r="A50" s="838" t="s">
        <v>2798</v>
      </c>
      <c r="B50" s="838"/>
      <c r="C50" s="838"/>
      <c r="D50" s="838"/>
      <c r="E50" s="838"/>
      <c r="F50" s="838"/>
      <c r="G50" s="838"/>
      <c r="H50" s="838"/>
      <c r="I50" s="838"/>
      <c r="J50" s="838"/>
      <c r="K50" s="838"/>
      <c r="L50" s="838"/>
      <c r="M50" s="838"/>
      <c r="N50" s="838"/>
      <c r="O50" s="838"/>
      <c r="P50" s="838"/>
    </row>
    <row r="51" spans="1:16" ht="30" customHeight="1" x14ac:dyDescent="0.15">
      <c r="A51" s="806" t="s">
        <v>3887</v>
      </c>
      <c r="B51" s="977" t="s">
        <v>3888</v>
      </c>
      <c r="C51" s="977"/>
      <c r="D51" s="977"/>
      <c r="E51" s="977" t="s">
        <v>3889</v>
      </c>
      <c r="F51" s="977"/>
      <c r="G51" s="977"/>
      <c r="H51" s="977" t="s">
        <v>3890</v>
      </c>
      <c r="I51" s="977"/>
      <c r="J51" s="977"/>
      <c r="K51" s="977" t="s">
        <v>3891</v>
      </c>
      <c r="L51" s="977"/>
      <c r="M51" s="977"/>
      <c r="N51" s="977" t="s">
        <v>3892</v>
      </c>
      <c r="O51" s="977"/>
      <c r="P51" s="977"/>
    </row>
    <row r="52" spans="1:16" x14ac:dyDescent="0.2">
      <c r="A52" s="107" t="s">
        <v>3893</v>
      </c>
      <c r="B52" s="131">
        <v>42070</v>
      </c>
      <c r="C52" s="145">
        <v>85</v>
      </c>
      <c r="D52" s="307"/>
      <c r="E52" s="131">
        <v>29242</v>
      </c>
      <c r="F52" s="145">
        <v>55</v>
      </c>
      <c r="G52" s="133"/>
      <c r="H52" s="131">
        <v>29242</v>
      </c>
      <c r="I52" s="145">
        <v>55</v>
      </c>
      <c r="J52" s="133"/>
      <c r="K52" s="131">
        <v>12828</v>
      </c>
      <c r="L52" s="145">
        <v>30</v>
      </c>
      <c r="M52" s="133"/>
      <c r="N52" s="131"/>
      <c r="O52" s="145"/>
      <c r="P52" s="307"/>
    </row>
    <row r="53" spans="1:16" x14ac:dyDescent="0.2">
      <c r="A53" s="107" t="s">
        <v>3894</v>
      </c>
      <c r="B53" s="131">
        <v>600</v>
      </c>
      <c r="C53" s="145"/>
      <c r="D53" s="307"/>
      <c r="E53" s="131">
        <v>259</v>
      </c>
      <c r="F53" s="145">
        <v>90</v>
      </c>
      <c r="G53" s="133"/>
      <c r="H53" s="131">
        <v>259</v>
      </c>
      <c r="I53" s="145">
        <v>90</v>
      </c>
      <c r="J53" s="133"/>
      <c r="K53" s="131">
        <v>340</v>
      </c>
      <c r="L53" s="145">
        <v>10</v>
      </c>
      <c r="M53" s="133"/>
      <c r="N53" s="131"/>
      <c r="O53" s="145"/>
      <c r="P53" s="307"/>
    </row>
    <row r="54" spans="1:16" x14ac:dyDescent="0.2">
      <c r="A54" s="107" t="s">
        <v>3895</v>
      </c>
      <c r="B54" s="131">
        <v>87796</v>
      </c>
      <c r="C54" s="145">
        <v>5</v>
      </c>
      <c r="D54" s="307"/>
      <c r="E54" s="131">
        <v>67002</v>
      </c>
      <c r="F54" s="145">
        <v>85</v>
      </c>
      <c r="G54" s="133"/>
      <c r="H54" s="131">
        <v>67002</v>
      </c>
      <c r="I54" s="145">
        <v>85</v>
      </c>
      <c r="J54" s="133"/>
      <c r="K54" s="131">
        <v>20793</v>
      </c>
      <c r="L54" s="145">
        <v>20</v>
      </c>
      <c r="M54" s="133"/>
      <c r="N54" s="131"/>
      <c r="O54" s="145"/>
      <c r="P54" s="307"/>
    </row>
    <row r="55" spans="1:16" x14ac:dyDescent="0.2">
      <c r="A55" s="141" t="s">
        <v>3896</v>
      </c>
      <c r="B55" s="131">
        <v>600</v>
      </c>
      <c r="C55" s="145"/>
      <c r="D55" s="307"/>
      <c r="E55" s="131">
        <v>357</v>
      </c>
      <c r="F55" s="145"/>
      <c r="G55" s="133"/>
      <c r="H55" s="131">
        <v>357</v>
      </c>
      <c r="I55" s="145"/>
      <c r="J55" s="133"/>
      <c r="K55" s="131">
        <v>243</v>
      </c>
      <c r="L55" s="145"/>
      <c r="M55" s="133"/>
      <c r="N55" s="131"/>
      <c r="O55" s="145"/>
      <c r="P55" s="307"/>
    </row>
    <row r="56" spans="1:16" x14ac:dyDescent="0.2">
      <c r="A56" s="141" t="s">
        <v>3897</v>
      </c>
      <c r="B56" s="131">
        <v>114094</v>
      </c>
      <c r="C56" s="145"/>
      <c r="D56" s="307"/>
      <c r="E56" s="131">
        <v>97641</v>
      </c>
      <c r="F56" s="145"/>
      <c r="G56" s="133"/>
      <c r="H56" s="131">
        <v>97641</v>
      </c>
      <c r="I56" s="145"/>
      <c r="J56" s="133"/>
      <c r="K56" s="131">
        <v>16453</v>
      </c>
      <c r="L56" s="145"/>
      <c r="M56" s="133"/>
      <c r="N56" s="131"/>
      <c r="O56" s="145"/>
      <c r="P56" s="307"/>
    </row>
    <row r="57" spans="1:16" x14ac:dyDescent="0.2">
      <c r="A57" s="141" t="s">
        <v>3898</v>
      </c>
      <c r="B57" s="131">
        <v>19512</v>
      </c>
      <c r="C57" s="145"/>
      <c r="D57" s="307"/>
      <c r="E57" s="131">
        <v>13512</v>
      </c>
      <c r="F57" s="145"/>
      <c r="G57" s="133"/>
      <c r="H57" s="131">
        <v>13512</v>
      </c>
      <c r="I57" s="145"/>
      <c r="J57" s="133"/>
      <c r="K57" s="131">
        <v>6000</v>
      </c>
      <c r="L57" s="145"/>
      <c r="M57" s="133"/>
      <c r="N57" s="131"/>
      <c r="O57" s="145"/>
      <c r="P57" s="307"/>
    </row>
    <row r="58" spans="1:16" x14ac:dyDescent="0.2">
      <c r="A58" s="141" t="s">
        <v>3899</v>
      </c>
      <c r="B58" s="131">
        <v>19580</v>
      </c>
      <c r="C58" s="145"/>
      <c r="D58" s="307"/>
      <c r="E58" s="131">
        <v>18777</v>
      </c>
      <c r="F58" s="145">
        <v>80</v>
      </c>
      <c r="G58" s="133"/>
      <c r="H58" s="131">
        <v>18777</v>
      </c>
      <c r="I58" s="145">
        <v>80</v>
      </c>
      <c r="J58" s="133"/>
      <c r="K58" s="131">
        <v>802</v>
      </c>
      <c r="L58" s="145">
        <v>20</v>
      </c>
      <c r="M58" s="133"/>
      <c r="N58" s="131"/>
      <c r="O58" s="145"/>
      <c r="P58" s="307"/>
    </row>
    <row r="59" spans="1:16" x14ac:dyDescent="0.2">
      <c r="A59" s="141" t="s">
        <v>3900</v>
      </c>
      <c r="B59" s="131">
        <v>672</v>
      </c>
      <c r="C59" s="145"/>
      <c r="D59" s="307"/>
      <c r="E59" s="131">
        <v>645</v>
      </c>
      <c r="F59" s="145">
        <v>40</v>
      </c>
      <c r="G59" s="133"/>
      <c r="H59" s="131">
        <v>645</v>
      </c>
      <c r="I59" s="145">
        <v>40</v>
      </c>
      <c r="J59" s="133"/>
      <c r="K59" s="131">
        <v>26</v>
      </c>
      <c r="L59" s="145">
        <v>60</v>
      </c>
      <c r="M59" s="133"/>
      <c r="N59" s="131"/>
      <c r="O59" s="145"/>
      <c r="P59" s="307"/>
    </row>
    <row r="60" spans="1:16" x14ac:dyDescent="0.2">
      <c r="A60" s="141" t="s">
        <v>3901</v>
      </c>
      <c r="B60" s="131">
        <v>21004</v>
      </c>
      <c r="C60" s="145">
        <v>85</v>
      </c>
      <c r="D60" s="307"/>
      <c r="E60" s="131">
        <v>21004</v>
      </c>
      <c r="F60" s="145">
        <v>85</v>
      </c>
      <c r="G60" s="133"/>
      <c r="H60" s="131">
        <v>21004</v>
      </c>
      <c r="I60" s="145">
        <v>85</v>
      </c>
      <c r="J60" s="133"/>
      <c r="K60" s="131"/>
      <c r="L60" s="145"/>
      <c r="M60" s="133"/>
      <c r="N60" s="131"/>
      <c r="O60" s="145"/>
      <c r="P60" s="307"/>
    </row>
    <row r="61" spans="1:16" x14ac:dyDescent="0.2">
      <c r="A61" s="141" t="s">
        <v>3902</v>
      </c>
      <c r="B61" s="131">
        <v>1000</v>
      </c>
      <c r="C61" s="145"/>
      <c r="D61" s="307"/>
      <c r="E61" s="131">
        <v>878</v>
      </c>
      <c r="F61" s="145">
        <v>52</v>
      </c>
      <c r="G61" s="133">
        <v>0.5</v>
      </c>
      <c r="H61" s="131">
        <v>878</v>
      </c>
      <c r="I61" s="145">
        <v>52</v>
      </c>
      <c r="J61" s="133">
        <v>0.5</v>
      </c>
      <c r="K61" s="131">
        <v>121</v>
      </c>
      <c r="L61" s="145">
        <v>47</v>
      </c>
      <c r="M61" s="133">
        <v>0.5</v>
      </c>
      <c r="N61" s="131"/>
      <c r="O61" s="145"/>
      <c r="P61" s="307"/>
    </row>
    <row r="62" spans="1:16" x14ac:dyDescent="0.2">
      <c r="A62" s="141" t="s">
        <v>3903</v>
      </c>
      <c r="B62" s="131">
        <v>42101</v>
      </c>
      <c r="C62" s="145"/>
      <c r="D62" s="307"/>
      <c r="E62" s="131">
        <v>33766</v>
      </c>
      <c r="F62" s="145">
        <v>50</v>
      </c>
      <c r="G62" s="133"/>
      <c r="H62" s="131">
        <v>31761</v>
      </c>
      <c r="I62" s="145">
        <v>50</v>
      </c>
      <c r="J62" s="133"/>
      <c r="K62" s="131">
        <v>8334</v>
      </c>
      <c r="L62" s="145">
        <v>50</v>
      </c>
      <c r="M62" s="133"/>
      <c r="N62" s="131">
        <v>2005</v>
      </c>
      <c r="O62" s="145"/>
      <c r="P62" s="307"/>
    </row>
    <row r="63" spans="1:16" x14ac:dyDescent="0.2">
      <c r="A63" s="141" t="s">
        <v>4221</v>
      </c>
      <c r="B63" s="131">
        <v>5400</v>
      </c>
      <c r="C63" s="145"/>
      <c r="D63" s="307"/>
      <c r="E63" s="131">
        <v>1236</v>
      </c>
      <c r="F63" s="145">
        <v>10</v>
      </c>
      <c r="G63" s="133"/>
      <c r="H63" s="131">
        <v>1236</v>
      </c>
      <c r="I63" s="145">
        <v>10</v>
      </c>
      <c r="J63" s="133"/>
      <c r="K63" s="131">
        <v>4163</v>
      </c>
      <c r="L63" s="145">
        <v>90</v>
      </c>
      <c r="M63" s="133"/>
      <c r="N63" s="131"/>
      <c r="O63" s="145"/>
      <c r="P63" s="307"/>
    </row>
    <row r="64" spans="1:16" x14ac:dyDescent="0.2">
      <c r="A64" s="141" t="s">
        <v>3905</v>
      </c>
      <c r="B64" s="131">
        <v>11200</v>
      </c>
      <c r="C64" s="145"/>
      <c r="D64" s="307"/>
      <c r="E64" s="131">
        <v>100</v>
      </c>
      <c r="F64" s="145"/>
      <c r="G64" s="133"/>
      <c r="H64" s="131">
        <v>100</v>
      </c>
      <c r="I64" s="145"/>
      <c r="J64" s="133"/>
      <c r="K64" s="131">
        <v>11100</v>
      </c>
      <c r="L64" s="145"/>
      <c r="M64" s="133"/>
      <c r="N64" s="131"/>
      <c r="O64" s="145"/>
      <c r="P64" s="307"/>
    </row>
    <row r="65" spans="1:16" x14ac:dyDescent="0.2">
      <c r="A65" s="1114" t="s">
        <v>3906</v>
      </c>
      <c r="B65" s="240">
        <v>365630</v>
      </c>
      <c r="C65" s="318">
        <v>75</v>
      </c>
      <c r="D65" s="513"/>
      <c r="E65" s="240">
        <v>284424</v>
      </c>
      <c r="F65" s="318">
        <v>47</v>
      </c>
      <c r="G65" s="241">
        <v>0.5</v>
      </c>
      <c r="H65" s="240">
        <v>282419</v>
      </c>
      <c r="I65" s="318">
        <v>47</v>
      </c>
      <c r="J65" s="241">
        <v>0.5</v>
      </c>
      <c r="K65" s="240">
        <v>81206</v>
      </c>
      <c r="L65" s="318">
        <v>27</v>
      </c>
      <c r="M65" s="241">
        <v>0.5</v>
      </c>
      <c r="N65" s="240">
        <v>2005</v>
      </c>
      <c r="O65" s="318"/>
      <c r="P65" s="513"/>
    </row>
    <row r="66" spans="1:16" x14ac:dyDescent="0.2">
      <c r="A66" s="1114"/>
      <c r="B66" s="246">
        <f>+SUM(B52:B64)</f>
        <v>365629</v>
      </c>
      <c r="C66" s="246">
        <f t="shared" ref="C66:P66" si="1">+SUM(C52:C64)</f>
        <v>175</v>
      </c>
      <c r="D66" s="246">
        <f t="shared" si="1"/>
        <v>0</v>
      </c>
      <c r="E66" s="246">
        <f t="shared" si="1"/>
        <v>284419</v>
      </c>
      <c r="F66" s="246">
        <f t="shared" si="1"/>
        <v>547</v>
      </c>
      <c r="G66" s="1115">
        <f t="shared" si="1"/>
        <v>0.5</v>
      </c>
      <c r="H66" s="246">
        <f t="shared" si="1"/>
        <v>282414</v>
      </c>
      <c r="I66" s="246">
        <f t="shared" si="1"/>
        <v>547</v>
      </c>
      <c r="J66" s="1115">
        <f t="shared" si="1"/>
        <v>0.5</v>
      </c>
      <c r="K66" s="246">
        <f t="shared" si="1"/>
        <v>81203</v>
      </c>
      <c r="L66" s="246">
        <f t="shared" si="1"/>
        <v>327</v>
      </c>
      <c r="M66" s="1115">
        <f t="shared" si="1"/>
        <v>0.5</v>
      </c>
      <c r="N66" s="246">
        <f t="shared" si="1"/>
        <v>2005</v>
      </c>
      <c r="O66" s="246">
        <f t="shared" si="1"/>
        <v>0</v>
      </c>
      <c r="P66" s="246">
        <f t="shared" si="1"/>
        <v>0</v>
      </c>
    </row>
    <row r="67" spans="1:16" ht="30.5" customHeight="1" x14ac:dyDescent="0.15">
      <c r="A67" s="838" t="s">
        <v>2808</v>
      </c>
      <c r="B67" s="838"/>
      <c r="C67" s="838"/>
      <c r="D67" s="838"/>
      <c r="E67" s="838"/>
      <c r="F67" s="838"/>
      <c r="G67" s="838"/>
      <c r="H67" s="838"/>
      <c r="I67" s="838"/>
      <c r="J67" s="838"/>
      <c r="K67" s="838"/>
      <c r="L67" s="838"/>
      <c r="M67" s="838"/>
      <c r="N67" s="838"/>
      <c r="O67" s="838"/>
      <c r="P67" s="838"/>
    </row>
    <row r="68" spans="1:16" ht="29" customHeight="1" x14ac:dyDescent="0.15">
      <c r="A68" s="751" t="s">
        <v>3887</v>
      </c>
      <c r="B68" s="977" t="s">
        <v>3888</v>
      </c>
      <c r="C68" s="977"/>
      <c r="D68" s="977"/>
      <c r="E68" s="977" t="s">
        <v>3889</v>
      </c>
      <c r="F68" s="977"/>
      <c r="G68" s="977"/>
      <c r="H68" s="977" t="s">
        <v>3890</v>
      </c>
      <c r="I68" s="977"/>
      <c r="J68" s="977"/>
      <c r="K68" s="977" t="s">
        <v>3891</v>
      </c>
      <c r="L68" s="977"/>
      <c r="M68" s="977"/>
      <c r="N68" s="977" t="s">
        <v>3892</v>
      </c>
      <c r="O68" s="977"/>
      <c r="P68" s="977"/>
    </row>
    <row r="69" spans="1:16" x14ac:dyDescent="0.2">
      <c r="A69" s="107" t="s">
        <v>3907</v>
      </c>
      <c r="B69" s="349">
        <v>18715</v>
      </c>
      <c r="C69" s="350"/>
      <c r="D69" s="717"/>
      <c r="E69" s="349">
        <v>17539</v>
      </c>
      <c r="F69" s="350">
        <v>20</v>
      </c>
      <c r="G69" s="717"/>
      <c r="H69" s="349">
        <v>17539</v>
      </c>
      <c r="I69" s="350">
        <v>20</v>
      </c>
      <c r="J69" s="717"/>
      <c r="K69" s="349">
        <v>1175</v>
      </c>
      <c r="L69" s="350">
        <v>80</v>
      </c>
      <c r="M69" s="717"/>
      <c r="N69" s="349"/>
      <c r="O69" s="350"/>
      <c r="P69" s="717"/>
    </row>
    <row r="70" spans="1:16" x14ac:dyDescent="0.2">
      <c r="A70" s="107" t="s">
        <v>3908</v>
      </c>
      <c r="B70" s="131">
        <v>300</v>
      </c>
      <c r="C70" s="145"/>
      <c r="D70" s="307"/>
      <c r="E70" s="131">
        <v>300</v>
      </c>
      <c r="F70" s="145"/>
      <c r="G70" s="307"/>
      <c r="H70" s="131">
        <v>300</v>
      </c>
      <c r="I70" s="145"/>
      <c r="J70" s="307"/>
      <c r="K70" s="131"/>
      <c r="L70" s="145"/>
      <c r="M70" s="307"/>
      <c r="N70" s="131"/>
      <c r="O70" s="145"/>
      <c r="P70" s="307"/>
    </row>
    <row r="71" spans="1:16" x14ac:dyDescent="0.2">
      <c r="A71" s="107" t="s">
        <v>3909</v>
      </c>
      <c r="B71" s="131">
        <v>6219</v>
      </c>
      <c r="C71" s="145"/>
      <c r="D71" s="307"/>
      <c r="E71" s="131">
        <v>5019</v>
      </c>
      <c r="F71" s="145"/>
      <c r="G71" s="307"/>
      <c r="H71" s="131">
        <v>5019</v>
      </c>
      <c r="I71" s="145"/>
      <c r="J71" s="307"/>
      <c r="K71" s="131">
        <v>1200</v>
      </c>
      <c r="L71" s="145"/>
      <c r="M71" s="307"/>
      <c r="N71" s="131"/>
      <c r="O71" s="145"/>
      <c r="P71" s="307"/>
    </row>
    <row r="72" spans="1:16" x14ac:dyDescent="0.2">
      <c r="A72" s="141" t="s">
        <v>3910</v>
      </c>
      <c r="B72" s="131">
        <v>100</v>
      </c>
      <c r="C72" s="145"/>
      <c r="D72" s="307"/>
      <c r="E72" s="131">
        <v>99</v>
      </c>
      <c r="F72" s="145">
        <v>60</v>
      </c>
      <c r="G72" s="307"/>
      <c r="H72" s="131">
        <v>99</v>
      </c>
      <c r="I72" s="145">
        <v>60</v>
      </c>
      <c r="J72" s="307"/>
      <c r="K72" s="131"/>
      <c r="L72" s="145">
        <v>40</v>
      </c>
      <c r="M72" s="307"/>
      <c r="N72" s="131"/>
      <c r="O72" s="145"/>
      <c r="P72" s="307"/>
    </row>
    <row r="73" spans="1:16" x14ac:dyDescent="0.2">
      <c r="A73" s="141" t="s">
        <v>3911</v>
      </c>
      <c r="B73" s="131">
        <v>3000</v>
      </c>
      <c r="C73" s="145"/>
      <c r="D73" s="307"/>
      <c r="E73" s="131"/>
      <c r="F73" s="145"/>
      <c r="G73" s="307"/>
      <c r="H73" s="131"/>
      <c r="I73" s="145"/>
      <c r="J73" s="307"/>
      <c r="K73" s="131">
        <v>3000</v>
      </c>
      <c r="L73" s="145"/>
      <c r="M73" s="307"/>
      <c r="N73" s="131"/>
      <c r="O73" s="145"/>
      <c r="P73" s="307"/>
    </row>
    <row r="74" spans="1:16" x14ac:dyDescent="0.2">
      <c r="A74" s="141" t="s">
        <v>3912</v>
      </c>
      <c r="B74" s="131">
        <v>1000</v>
      </c>
      <c r="C74" s="145"/>
      <c r="D74" s="307"/>
      <c r="E74" s="131"/>
      <c r="F74" s="145"/>
      <c r="G74" s="307"/>
      <c r="H74" s="131"/>
      <c r="I74" s="145"/>
      <c r="J74" s="307"/>
      <c r="K74" s="131">
        <v>1000</v>
      </c>
      <c r="L74" s="145"/>
      <c r="M74" s="307"/>
      <c r="N74" s="131"/>
      <c r="O74" s="145"/>
      <c r="P74" s="307"/>
    </row>
    <row r="75" spans="1:16" x14ac:dyDescent="0.2">
      <c r="A75" s="1114" t="s">
        <v>3906</v>
      </c>
      <c r="B75" s="240">
        <v>29334</v>
      </c>
      <c r="C75" s="318"/>
      <c r="D75" s="513"/>
      <c r="E75" s="240">
        <v>22957</v>
      </c>
      <c r="F75" s="318">
        <v>80</v>
      </c>
      <c r="G75" s="513"/>
      <c r="H75" s="240">
        <v>22957</v>
      </c>
      <c r="I75" s="318">
        <v>80</v>
      </c>
      <c r="J75" s="513"/>
      <c r="K75" s="240">
        <v>6376</v>
      </c>
      <c r="L75" s="318">
        <v>20</v>
      </c>
      <c r="M75" s="513"/>
      <c r="N75" s="240"/>
      <c r="O75" s="318"/>
      <c r="P75" s="513"/>
    </row>
    <row r="76" spans="1:16" x14ac:dyDescent="0.2">
      <c r="A76" s="1114"/>
      <c r="B76" s="246">
        <f>+SUM(B69:B74)</f>
        <v>29334</v>
      </c>
      <c r="C76" s="246">
        <f t="shared" ref="C76:P76" si="2">+SUM(C69:C74)</f>
        <v>0</v>
      </c>
      <c r="D76" s="246">
        <f t="shared" si="2"/>
        <v>0</v>
      </c>
      <c r="E76" s="246">
        <f t="shared" si="2"/>
        <v>22957</v>
      </c>
      <c r="F76" s="246">
        <f t="shared" si="2"/>
        <v>80</v>
      </c>
      <c r="G76" s="246">
        <f t="shared" si="2"/>
        <v>0</v>
      </c>
      <c r="H76" s="246">
        <f t="shared" si="2"/>
        <v>22957</v>
      </c>
      <c r="I76" s="246">
        <f t="shared" si="2"/>
        <v>80</v>
      </c>
      <c r="J76" s="246">
        <f t="shared" si="2"/>
        <v>0</v>
      </c>
      <c r="K76" s="246">
        <f t="shared" si="2"/>
        <v>6375</v>
      </c>
      <c r="L76" s="246">
        <f t="shared" si="2"/>
        <v>120</v>
      </c>
      <c r="M76" s="246">
        <f t="shared" si="2"/>
        <v>0</v>
      </c>
      <c r="N76" s="246">
        <f t="shared" si="2"/>
        <v>0</v>
      </c>
      <c r="O76" s="246">
        <f t="shared" si="2"/>
        <v>0</v>
      </c>
      <c r="P76" s="246">
        <f t="shared" si="2"/>
        <v>0</v>
      </c>
    </row>
    <row r="77" spans="1:16" ht="25.25" customHeight="1" x14ac:dyDescent="0.15">
      <c r="A77" s="838" t="s">
        <v>2805</v>
      </c>
      <c r="B77" s="838"/>
      <c r="C77" s="838"/>
      <c r="D77" s="838"/>
      <c r="E77" s="838"/>
      <c r="F77" s="838"/>
      <c r="G77" s="838"/>
      <c r="H77" s="838"/>
      <c r="I77" s="838"/>
      <c r="J77" s="838"/>
      <c r="K77" s="838"/>
      <c r="L77" s="838"/>
      <c r="M77" s="838"/>
      <c r="N77" s="838"/>
      <c r="O77" s="838"/>
      <c r="P77" s="838"/>
    </row>
    <row r="78" spans="1:16" ht="23.5" customHeight="1" x14ac:dyDescent="0.15">
      <c r="A78" s="751" t="s">
        <v>3887</v>
      </c>
      <c r="B78" s="977" t="s">
        <v>3888</v>
      </c>
      <c r="C78" s="977"/>
      <c r="D78" s="977"/>
      <c r="E78" s="977" t="s">
        <v>3889</v>
      </c>
      <c r="F78" s="977"/>
      <c r="G78" s="977"/>
      <c r="H78" s="977" t="s">
        <v>3890</v>
      </c>
      <c r="I78" s="977"/>
      <c r="J78" s="977"/>
      <c r="K78" s="977" t="s">
        <v>3891</v>
      </c>
      <c r="L78" s="977"/>
      <c r="M78" s="977"/>
      <c r="N78" s="977" t="s">
        <v>3892</v>
      </c>
      <c r="O78" s="977"/>
      <c r="P78" s="977"/>
    </row>
    <row r="79" spans="1:16" x14ac:dyDescent="0.2">
      <c r="A79" s="107" t="s">
        <v>3913</v>
      </c>
      <c r="B79" s="349">
        <v>49500</v>
      </c>
      <c r="C79" s="350"/>
      <c r="D79" s="717"/>
      <c r="E79" s="349">
        <v>49439</v>
      </c>
      <c r="F79" s="350">
        <v>65</v>
      </c>
      <c r="G79" s="717"/>
      <c r="H79" s="349">
        <v>49439</v>
      </c>
      <c r="I79" s="350">
        <v>65</v>
      </c>
      <c r="J79" s="717"/>
      <c r="K79" s="349">
        <v>60</v>
      </c>
      <c r="L79" s="350">
        <v>35</v>
      </c>
      <c r="M79" s="717"/>
      <c r="N79" s="349"/>
      <c r="O79" s="350"/>
      <c r="P79" s="717"/>
    </row>
    <row r="80" spans="1:16" x14ac:dyDescent="0.2">
      <c r="A80" s="107" t="s">
        <v>3914</v>
      </c>
      <c r="B80" s="131">
        <v>28786</v>
      </c>
      <c r="C80" s="145">
        <v>55</v>
      </c>
      <c r="D80" s="307"/>
      <c r="E80" s="131">
        <v>26510</v>
      </c>
      <c r="F80" s="145"/>
      <c r="G80" s="307"/>
      <c r="H80" s="131">
        <v>26510</v>
      </c>
      <c r="I80" s="145"/>
      <c r="J80" s="307"/>
      <c r="K80" s="131">
        <v>2276</v>
      </c>
      <c r="L80" s="145">
        <v>55</v>
      </c>
      <c r="M80" s="307"/>
      <c r="N80" s="131"/>
      <c r="O80" s="145"/>
      <c r="P80" s="307"/>
    </row>
    <row r="81" spans="1:16" x14ac:dyDescent="0.2">
      <c r="A81" s="107" t="s">
        <v>3915</v>
      </c>
      <c r="B81" s="131">
        <v>717974</v>
      </c>
      <c r="C81" s="145">
        <v>55</v>
      </c>
      <c r="D81" s="307"/>
      <c r="E81" s="131">
        <v>680725</v>
      </c>
      <c r="F81" s="145">
        <v>10</v>
      </c>
      <c r="G81" s="307"/>
      <c r="H81" s="131">
        <v>545913</v>
      </c>
      <c r="I81" s="145">
        <v>90</v>
      </c>
      <c r="J81" s="307"/>
      <c r="K81" s="131">
        <v>109248</v>
      </c>
      <c r="L81" s="145">
        <v>70</v>
      </c>
      <c r="M81" s="307"/>
      <c r="N81" s="131">
        <v>62811</v>
      </c>
      <c r="O81" s="145">
        <v>20</v>
      </c>
      <c r="P81" s="307"/>
    </row>
    <row r="82" spans="1:16" x14ac:dyDescent="0.2">
      <c r="A82" s="141" t="s">
        <v>3916</v>
      </c>
      <c r="B82" s="131">
        <v>1000</v>
      </c>
      <c r="C82" s="145"/>
      <c r="D82" s="307"/>
      <c r="E82" s="131">
        <v>26</v>
      </c>
      <c r="F82" s="145">
        <v>99</v>
      </c>
      <c r="G82" s="307"/>
      <c r="H82" s="131">
        <v>26</v>
      </c>
      <c r="I82" s="145">
        <v>99</v>
      </c>
      <c r="J82" s="307"/>
      <c r="K82" s="131">
        <v>973</v>
      </c>
      <c r="L82" s="145">
        <v>76</v>
      </c>
      <c r="M82" s="307"/>
      <c r="N82" s="131"/>
      <c r="O82" s="145"/>
      <c r="P82" s="307"/>
    </row>
    <row r="83" spans="1:16" x14ac:dyDescent="0.2">
      <c r="A83" s="1114" t="s">
        <v>3906</v>
      </c>
      <c r="B83" s="240">
        <v>797261</v>
      </c>
      <c r="C83" s="318">
        <v>10</v>
      </c>
      <c r="D83" s="513"/>
      <c r="E83" s="240">
        <v>684651</v>
      </c>
      <c r="F83" s="318">
        <v>74</v>
      </c>
      <c r="G83" s="513"/>
      <c r="H83" s="240">
        <v>621840</v>
      </c>
      <c r="I83" s="318">
        <v>54</v>
      </c>
      <c r="J83" s="513"/>
      <c r="K83" s="240">
        <v>112609</v>
      </c>
      <c r="L83" s="318">
        <v>36</v>
      </c>
      <c r="M83" s="513"/>
      <c r="N83" s="240">
        <v>62811</v>
      </c>
      <c r="O83" s="318">
        <v>20</v>
      </c>
      <c r="P83" s="513"/>
    </row>
    <row r="84" spans="1:16" x14ac:dyDescent="0.2">
      <c r="A84" s="1114"/>
      <c r="B84" s="246">
        <f>+SUM(B79:B82)</f>
        <v>797260</v>
      </c>
      <c r="C84" s="246">
        <f t="shared" ref="C84:P84" si="3">+SUM(C79:C82)</f>
        <v>110</v>
      </c>
      <c r="D84" s="246">
        <f t="shared" si="3"/>
        <v>0</v>
      </c>
      <c r="E84" s="1116">
        <f t="shared" si="3"/>
        <v>756700</v>
      </c>
      <c r="F84" s="246">
        <f t="shared" si="3"/>
        <v>174</v>
      </c>
      <c r="G84" s="246">
        <f t="shared" si="3"/>
        <v>0</v>
      </c>
      <c r="H84" s="1116">
        <f t="shared" si="3"/>
        <v>621888</v>
      </c>
      <c r="I84" s="246">
        <f t="shared" si="3"/>
        <v>254</v>
      </c>
      <c r="J84" s="246">
        <f t="shared" si="3"/>
        <v>0</v>
      </c>
      <c r="K84" s="1116">
        <f t="shared" si="3"/>
        <v>112557</v>
      </c>
      <c r="L84" s="246">
        <f t="shared" si="3"/>
        <v>236</v>
      </c>
      <c r="M84" s="246">
        <f t="shared" si="3"/>
        <v>0</v>
      </c>
      <c r="N84" s="246">
        <f t="shared" si="3"/>
        <v>62811</v>
      </c>
      <c r="O84" s="246">
        <f t="shared" si="3"/>
        <v>20</v>
      </c>
      <c r="P84" s="246">
        <f t="shared" si="3"/>
        <v>0</v>
      </c>
    </row>
    <row r="85" spans="1:16" ht="29.5" customHeight="1" x14ac:dyDescent="0.15">
      <c r="A85" s="838" t="s">
        <v>2811</v>
      </c>
      <c r="B85" s="838"/>
      <c r="C85" s="838"/>
      <c r="D85" s="838"/>
      <c r="E85" s="838"/>
      <c r="F85" s="838"/>
      <c r="G85" s="838"/>
      <c r="H85" s="838"/>
      <c r="I85" s="838"/>
      <c r="J85" s="838"/>
      <c r="K85" s="838"/>
      <c r="L85" s="838"/>
      <c r="M85" s="838"/>
      <c r="N85" s="838"/>
      <c r="O85" s="838"/>
      <c r="P85" s="838"/>
    </row>
    <row r="86" spans="1:16" ht="26.5" customHeight="1" x14ac:dyDescent="0.15">
      <c r="A86" s="751" t="s">
        <v>3887</v>
      </c>
      <c r="B86" s="977" t="s">
        <v>3888</v>
      </c>
      <c r="C86" s="977"/>
      <c r="D86" s="977"/>
      <c r="E86" s="977" t="s">
        <v>3889</v>
      </c>
      <c r="F86" s="977"/>
      <c r="G86" s="977"/>
      <c r="H86" s="977" t="s">
        <v>3890</v>
      </c>
      <c r="I86" s="977"/>
      <c r="J86" s="977"/>
      <c r="K86" s="977" t="s">
        <v>3891</v>
      </c>
      <c r="L86" s="977"/>
      <c r="M86" s="977"/>
      <c r="N86" s="977" t="s">
        <v>3892</v>
      </c>
      <c r="O86" s="977"/>
      <c r="P86" s="977"/>
    </row>
    <row r="87" spans="1:16" x14ac:dyDescent="0.2">
      <c r="A87" s="107" t="s">
        <v>3917</v>
      </c>
      <c r="B87" s="349">
        <v>68212</v>
      </c>
      <c r="C87" s="350"/>
      <c r="D87" s="717"/>
      <c r="E87" s="349">
        <v>44582</v>
      </c>
      <c r="F87" s="350">
        <v>80</v>
      </c>
      <c r="G87" s="717"/>
      <c r="H87" s="349">
        <v>44582</v>
      </c>
      <c r="I87" s="350">
        <v>80</v>
      </c>
      <c r="J87" s="717"/>
      <c r="K87" s="349">
        <v>23629</v>
      </c>
      <c r="L87" s="350">
        <v>20</v>
      </c>
      <c r="M87" s="717"/>
      <c r="N87" s="349"/>
      <c r="O87" s="350"/>
      <c r="P87" s="717"/>
    </row>
    <row r="88" spans="1:16" x14ac:dyDescent="0.2">
      <c r="A88" s="107" t="s">
        <v>3918</v>
      </c>
      <c r="B88" s="131">
        <v>232047</v>
      </c>
      <c r="C88" s="145">
        <v>38</v>
      </c>
      <c r="D88" s="307"/>
      <c r="E88" s="131">
        <v>149143</v>
      </c>
      <c r="F88" s="145">
        <v>55</v>
      </c>
      <c r="G88" s="307"/>
      <c r="H88" s="131">
        <v>148924</v>
      </c>
      <c r="I88" s="145">
        <v>45</v>
      </c>
      <c r="J88" s="307"/>
      <c r="K88" s="131">
        <v>82903</v>
      </c>
      <c r="L88" s="145">
        <v>83</v>
      </c>
      <c r="M88" s="307"/>
      <c r="N88" s="131">
        <v>219</v>
      </c>
      <c r="O88" s="145">
        <v>10</v>
      </c>
      <c r="P88" s="307"/>
    </row>
    <row r="89" spans="1:16" x14ac:dyDescent="0.2">
      <c r="A89" s="107" t="s">
        <v>3915</v>
      </c>
      <c r="B89" s="131">
        <v>18879</v>
      </c>
      <c r="C89" s="145"/>
      <c r="D89" s="307"/>
      <c r="E89" s="131">
        <v>12740</v>
      </c>
      <c r="F89" s="145">
        <v>50</v>
      </c>
      <c r="G89" s="307"/>
      <c r="H89" s="131">
        <v>12740</v>
      </c>
      <c r="I89" s="145">
        <v>50</v>
      </c>
      <c r="J89" s="307"/>
      <c r="K89" s="131">
        <v>6138</v>
      </c>
      <c r="L89" s="145">
        <v>50</v>
      </c>
      <c r="M89" s="307"/>
      <c r="N89" s="131"/>
      <c r="O89" s="145"/>
      <c r="P89" s="307"/>
    </row>
    <row r="90" spans="1:16" x14ac:dyDescent="0.2">
      <c r="A90" s="1114" t="s">
        <v>3906</v>
      </c>
      <c r="B90" s="240">
        <v>319138</v>
      </c>
      <c r="C90" s="318">
        <v>38</v>
      </c>
      <c r="D90" s="513"/>
      <c r="E90" s="240">
        <v>206466</v>
      </c>
      <c r="F90" s="318">
        <v>85</v>
      </c>
      <c r="G90" s="513"/>
      <c r="H90" s="240">
        <v>206247</v>
      </c>
      <c r="I90" s="318">
        <v>75</v>
      </c>
      <c r="J90" s="513"/>
      <c r="K90" s="240">
        <v>112671</v>
      </c>
      <c r="L90" s="318">
        <v>53</v>
      </c>
      <c r="M90" s="513"/>
      <c r="N90" s="240">
        <v>219</v>
      </c>
      <c r="O90" s="318">
        <v>10</v>
      </c>
      <c r="P90" s="513"/>
    </row>
    <row r="91" spans="1:16" x14ac:dyDescent="0.2">
      <c r="A91" s="1114"/>
      <c r="B91" s="246">
        <f>+SUM(B87:B89)</f>
        <v>319138</v>
      </c>
      <c r="C91" s="246">
        <f t="shared" ref="C91:P91" si="4">+SUM(C87:C89)</f>
        <v>38</v>
      </c>
      <c r="D91" s="246">
        <f t="shared" si="4"/>
        <v>0</v>
      </c>
      <c r="E91" s="246">
        <f t="shared" si="4"/>
        <v>206465</v>
      </c>
      <c r="F91" s="246">
        <f t="shared" si="4"/>
        <v>185</v>
      </c>
      <c r="G91" s="246">
        <f t="shared" si="4"/>
        <v>0</v>
      </c>
      <c r="H91" s="246">
        <f t="shared" si="4"/>
        <v>206246</v>
      </c>
      <c r="I91" s="246">
        <f t="shared" si="4"/>
        <v>175</v>
      </c>
      <c r="J91" s="246">
        <f t="shared" si="4"/>
        <v>0</v>
      </c>
      <c r="K91" s="246">
        <f t="shared" si="4"/>
        <v>112670</v>
      </c>
      <c r="L91" s="246">
        <f t="shared" si="4"/>
        <v>153</v>
      </c>
      <c r="M91" s="246">
        <f t="shared" si="4"/>
        <v>0</v>
      </c>
      <c r="N91" s="246">
        <f t="shared" si="4"/>
        <v>219</v>
      </c>
      <c r="O91" s="246">
        <f t="shared" si="4"/>
        <v>10</v>
      </c>
      <c r="P91" s="246">
        <f t="shared" si="4"/>
        <v>0</v>
      </c>
    </row>
    <row r="92" spans="1:16" ht="25.25" customHeight="1" x14ac:dyDescent="0.15">
      <c r="A92" s="838" t="s">
        <v>2813</v>
      </c>
      <c r="B92" s="838"/>
      <c r="C92" s="838"/>
      <c r="D92" s="838"/>
      <c r="E92" s="838"/>
      <c r="F92" s="838"/>
      <c r="G92" s="838"/>
      <c r="H92" s="838"/>
      <c r="I92" s="838"/>
      <c r="J92" s="838"/>
      <c r="K92" s="838"/>
      <c r="L92" s="838"/>
      <c r="M92" s="838"/>
      <c r="N92" s="838"/>
      <c r="O92" s="838"/>
      <c r="P92" s="838"/>
    </row>
    <row r="93" spans="1:16" ht="27" customHeight="1" x14ac:dyDescent="0.15">
      <c r="A93" s="751" t="s">
        <v>3887</v>
      </c>
      <c r="B93" s="977" t="s">
        <v>3888</v>
      </c>
      <c r="C93" s="977"/>
      <c r="D93" s="977"/>
      <c r="E93" s="977" t="s">
        <v>3889</v>
      </c>
      <c r="F93" s="977"/>
      <c r="G93" s="977"/>
      <c r="H93" s="977" t="s">
        <v>3890</v>
      </c>
      <c r="I93" s="977"/>
      <c r="J93" s="977"/>
      <c r="K93" s="977" t="s">
        <v>3891</v>
      </c>
      <c r="L93" s="977"/>
      <c r="M93" s="977"/>
      <c r="N93" s="977" t="s">
        <v>3892</v>
      </c>
      <c r="O93" s="977"/>
      <c r="P93" s="977"/>
    </row>
    <row r="94" spans="1:16" x14ac:dyDescent="0.2">
      <c r="A94" s="107" t="s">
        <v>3919</v>
      </c>
      <c r="B94" s="349">
        <v>185750</v>
      </c>
      <c r="C94" s="350"/>
      <c r="D94" s="717"/>
      <c r="E94" s="349">
        <v>62375</v>
      </c>
      <c r="F94" s="350">
        <v>35</v>
      </c>
      <c r="G94" s="717"/>
      <c r="H94" s="349">
        <v>61375</v>
      </c>
      <c r="I94" s="350">
        <v>35</v>
      </c>
      <c r="J94" s="717"/>
      <c r="K94" s="349">
        <v>123374</v>
      </c>
      <c r="L94" s="350">
        <v>75</v>
      </c>
      <c r="M94" s="717"/>
      <c r="N94" s="349">
        <v>800</v>
      </c>
      <c r="O94" s="350"/>
      <c r="P94" s="717"/>
    </row>
    <row r="95" spans="1:16" x14ac:dyDescent="0.2">
      <c r="A95" s="1114" t="s">
        <v>3920</v>
      </c>
      <c r="B95" s="240">
        <v>185750</v>
      </c>
      <c r="C95" s="318"/>
      <c r="D95" s="513"/>
      <c r="E95" s="240">
        <v>62375</v>
      </c>
      <c r="F95" s="318">
        <v>35</v>
      </c>
      <c r="G95" s="513"/>
      <c r="H95" s="240">
        <v>31375</v>
      </c>
      <c r="I95" s="318">
        <v>35</v>
      </c>
      <c r="J95" s="513"/>
      <c r="K95" s="240">
        <v>123374</v>
      </c>
      <c r="L95" s="318">
        <v>75</v>
      </c>
      <c r="M95" s="513"/>
      <c r="N95" s="240">
        <v>800</v>
      </c>
      <c r="O95" s="318"/>
      <c r="P95" s="513"/>
    </row>
    <row r="96" spans="1:16" x14ac:dyDescent="0.15">
      <c r="A96" s="838" t="s">
        <v>2829</v>
      </c>
      <c r="B96" s="838"/>
      <c r="C96" s="838"/>
      <c r="D96" s="838"/>
      <c r="E96" s="838"/>
      <c r="F96" s="838"/>
      <c r="G96" s="838"/>
      <c r="H96" s="838"/>
      <c r="I96" s="838"/>
      <c r="J96" s="838"/>
      <c r="K96" s="838"/>
      <c r="L96" s="838"/>
      <c r="M96" s="838"/>
      <c r="N96" s="838"/>
      <c r="O96" s="838"/>
      <c r="P96" s="838"/>
    </row>
    <row r="97" spans="1:16" x14ac:dyDescent="0.15">
      <c r="A97" s="751" t="s">
        <v>3887</v>
      </c>
      <c r="B97" s="977" t="s">
        <v>3888</v>
      </c>
      <c r="C97" s="977"/>
      <c r="D97" s="977"/>
      <c r="E97" s="977" t="s">
        <v>3889</v>
      </c>
      <c r="F97" s="977"/>
      <c r="G97" s="977"/>
      <c r="H97" s="977" t="s">
        <v>3890</v>
      </c>
      <c r="I97" s="977"/>
      <c r="J97" s="977"/>
      <c r="K97" s="977" t="s">
        <v>3891</v>
      </c>
      <c r="L97" s="977"/>
      <c r="M97" s="977"/>
      <c r="N97" s="977" t="s">
        <v>3892</v>
      </c>
      <c r="O97" s="977"/>
      <c r="P97" s="977"/>
    </row>
    <row r="98" spans="1:16" x14ac:dyDescent="0.2">
      <c r="A98" s="107" t="s">
        <v>3922</v>
      </c>
      <c r="B98" s="349">
        <v>25272</v>
      </c>
      <c r="C98" s="350"/>
      <c r="D98" s="717"/>
      <c r="E98" s="349">
        <v>25054</v>
      </c>
      <c r="F98" s="350">
        <v>50</v>
      </c>
      <c r="G98" s="717"/>
      <c r="H98" s="349">
        <v>25054</v>
      </c>
      <c r="I98" s="350">
        <v>50</v>
      </c>
      <c r="J98" s="717"/>
      <c r="K98" s="349">
        <v>217</v>
      </c>
      <c r="L98" s="350">
        <v>50</v>
      </c>
      <c r="M98" s="717"/>
      <c r="N98" s="349"/>
      <c r="O98" s="350"/>
      <c r="P98" s="717"/>
    </row>
    <row r="99" spans="1:16" x14ac:dyDescent="0.2">
      <c r="A99" s="107" t="s">
        <v>3923</v>
      </c>
      <c r="B99" s="131">
        <v>400</v>
      </c>
      <c r="C99" s="145"/>
      <c r="D99" s="307"/>
      <c r="E99" s="131">
        <v>399</v>
      </c>
      <c r="F99" s="145">
        <v>85</v>
      </c>
      <c r="G99" s="307"/>
      <c r="H99" s="131">
        <v>399</v>
      </c>
      <c r="I99" s="145">
        <v>85</v>
      </c>
      <c r="J99" s="307"/>
      <c r="K99" s="131"/>
      <c r="L99" s="145">
        <v>15</v>
      </c>
      <c r="M99" s="307"/>
      <c r="N99" s="131"/>
      <c r="O99" s="145"/>
      <c r="P99" s="307"/>
    </row>
    <row r="100" spans="1:16" x14ac:dyDescent="0.2">
      <c r="A100" s="107" t="s">
        <v>3924</v>
      </c>
      <c r="B100" s="131">
        <v>717908</v>
      </c>
      <c r="C100" s="145"/>
      <c r="D100" s="307"/>
      <c r="E100" s="131">
        <v>518947</v>
      </c>
      <c r="F100" s="145">
        <v>40</v>
      </c>
      <c r="G100" s="307"/>
      <c r="H100" s="131">
        <v>518947</v>
      </c>
      <c r="I100" s="145">
        <v>40</v>
      </c>
      <c r="J100" s="307"/>
      <c r="K100" s="131">
        <v>198960</v>
      </c>
      <c r="L100" s="145">
        <v>60</v>
      </c>
      <c r="M100" s="307"/>
      <c r="N100" s="131"/>
      <c r="O100" s="145"/>
      <c r="P100" s="307"/>
    </row>
    <row r="101" spans="1:16" x14ac:dyDescent="0.2">
      <c r="A101" s="141" t="s">
        <v>3925</v>
      </c>
      <c r="B101" s="131">
        <v>342400</v>
      </c>
      <c r="C101" s="145"/>
      <c r="D101" s="307"/>
      <c r="E101" s="131">
        <v>212345</v>
      </c>
      <c r="F101" s="145">
        <v>85</v>
      </c>
      <c r="G101" s="307"/>
      <c r="H101" s="131">
        <v>212345</v>
      </c>
      <c r="I101" s="145">
        <v>85</v>
      </c>
      <c r="J101" s="307"/>
      <c r="K101" s="131">
        <v>130054</v>
      </c>
      <c r="L101" s="145">
        <v>15</v>
      </c>
      <c r="M101" s="307"/>
      <c r="N101" s="131">
        <v>520</v>
      </c>
      <c r="O101" s="145">
        <v>35</v>
      </c>
      <c r="P101" s="307"/>
    </row>
    <row r="102" spans="1:16" x14ac:dyDescent="0.2">
      <c r="A102" s="141" t="s">
        <v>3926</v>
      </c>
      <c r="B102" s="131">
        <v>44310</v>
      </c>
      <c r="C102" s="145"/>
      <c r="D102" s="307"/>
      <c r="E102" s="131">
        <v>30950</v>
      </c>
      <c r="F102" s="145">
        <v>15</v>
      </c>
      <c r="G102" s="307"/>
      <c r="H102" s="131">
        <v>30950</v>
      </c>
      <c r="I102" s="145">
        <v>15</v>
      </c>
      <c r="J102" s="307"/>
      <c r="K102" s="131">
        <v>13359</v>
      </c>
      <c r="L102" s="145">
        <v>85</v>
      </c>
      <c r="M102" s="307"/>
      <c r="N102" s="131"/>
      <c r="O102" s="145"/>
      <c r="P102" s="307"/>
    </row>
    <row r="103" spans="1:16" x14ac:dyDescent="0.2">
      <c r="A103" s="141" t="s">
        <v>3927</v>
      </c>
      <c r="B103" s="131">
        <v>6520</v>
      </c>
      <c r="C103" s="145"/>
      <c r="D103" s="307"/>
      <c r="E103" s="131">
        <v>4325</v>
      </c>
      <c r="F103" s="145">
        <v>55</v>
      </c>
      <c r="G103" s="307"/>
      <c r="H103" s="131">
        <v>4325</v>
      </c>
      <c r="I103" s="145">
        <v>55</v>
      </c>
      <c r="J103" s="307"/>
      <c r="K103" s="131">
        <v>2194</v>
      </c>
      <c r="L103" s="145">
        <v>45</v>
      </c>
      <c r="M103" s="307"/>
      <c r="N103" s="131"/>
      <c r="O103" s="145"/>
      <c r="P103" s="307"/>
    </row>
    <row r="104" spans="1:16" x14ac:dyDescent="0.2">
      <c r="A104" s="141" t="s">
        <v>3928</v>
      </c>
      <c r="B104" s="131">
        <v>736445</v>
      </c>
      <c r="C104" s="145">
        <v>90</v>
      </c>
      <c r="D104" s="307"/>
      <c r="E104" s="131">
        <v>413673</v>
      </c>
      <c r="F104" s="145">
        <v>65</v>
      </c>
      <c r="G104" s="307"/>
      <c r="H104" s="131">
        <v>413673</v>
      </c>
      <c r="I104" s="145">
        <v>65</v>
      </c>
      <c r="J104" s="307"/>
      <c r="K104" s="131">
        <v>322772</v>
      </c>
      <c r="L104" s="145">
        <v>25</v>
      </c>
      <c r="M104" s="307"/>
      <c r="N104" s="131"/>
      <c r="O104" s="145"/>
      <c r="P104" s="307"/>
    </row>
    <row r="105" spans="1:16" x14ac:dyDescent="0.2">
      <c r="A105" s="1114" t="s">
        <v>3906</v>
      </c>
      <c r="B105" s="240">
        <v>1873255</v>
      </c>
      <c r="C105" s="318">
        <v>90</v>
      </c>
      <c r="D105" s="513"/>
      <c r="E105" s="240">
        <v>1205696</v>
      </c>
      <c r="F105" s="318">
        <v>95</v>
      </c>
      <c r="G105" s="513"/>
      <c r="H105" s="240">
        <v>1205696</v>
      </c>
      <c r="I105" s="318">
        <v>95</v>
      </c>
      <c r="J105" s="513"/>
      <c r="K105" s="240">
        <v>667555</v>
      </c>
      <c r="L105" s="318">
        <v>95</v>
      </c>
      <c r="M105" s="513"/>
      <c r="N105" s="240">
        <v>520</v>
      </c>
      <c r="O105" s="318">
        <v>35</v>
      </c>
      <c r="P105" s="513"/>
    </row>
    <row r="106" spans="1:16" x14ac:dyDescent="0.2">
      <c r="A106" s="1114"/>
      <c r="B106" s="246">
        <f>+SUM(B98:B104)</f>
        <v>1873255</v>
      </c>
      <c r="C106" s="246">
        <f t="shared" ref="C106:P106" si="5">+SUM(C98:C104)</f>
        <v>90</v>
      </c>
      <c r="D106" s="246">
        <f t="shared" si="5"/>
        <v>0</v>
      </c>
      <c r="E106" s="246">
        <f t="shared" si="5"/>
        <v>1205693</v>
      </c>
      <c r="F106" s="246">
        <f t="shared" si="5"/>
        <v>395</v>
      </c>
      <c r="G106" s="246">
        <f t="shared" si="5"/>
        <v>0</v>
      </c>
      <c r="H106" s="246">
        <f t="shared" si="5"/>
        <v>1205693</v>
      </c>
      <c r="I106" s="246">
        <f t="shared" si="5"/>
        <v>395</v>
      </c>
      <c r="J106" s="246">
        <f t="shared" si="5"/>
        <v>0</v>
      </c>
      <c r="K106" s="1116">
        <f t="shared" si="5"/>
        <v>667556</v>
      </c>
      <c r="L106" s="246">
        <f t="shared" si="5"/>
        <v>295</v>
      </c>
      <c r="M106" s="246">
        <f t="shared" si="5"/>
        <v>0</v>
      </c>
      <c r="N106" s="246">
        <f t="shared" si="5"/>
        <v>520</v>
      </c>
      <c r="O106" s="246">
        <f t="shared" si="5"/>
        <v>35</v>
      </c>
      <c r="P106" s="246">
        <f t="shared" si="5"/>
        <v>0</v>
      </c>
    </row>
    <row r="107" spans="1:16" ht="27" customHeight="1" x14ac:dyDescent="0.15">
      <c r="A107" s="838" t="s">
        <v>2826</v>
      </c>
      <c r="B107" s="838"/>
      <c r="C107" s="838"/>
      <c r="D107" s="838"/>
      <c r="E107" s="838"/>
      <c r="F107" s="838"/>
      <c r="G107" s="838"/>
      <c r="H107" s="838"/>
      <c r="I107" s="838"/>
      <c r="J107" s="838"/>
      <c r="K107" s="838"/>
      <c r="L107" s="838"/>
      <c r="M107" s="838"/>
      <c r="N107" s="838"/>
      <c r="O107" s="838"/>
      <c r="P107" s="838"/>
    </row>
    <row r="108" spans="1:16" ht="26.5" customHeight="1" x14ac:dyDescent="0.15">
      <c r="A108" s="751" t="s">
        <v>3887</v>
      </c>
      <c r="B108" s="977" t="s">
        <v>3888</v>
      </c>
      <c r="C108" s="977"/>
      <c r="D108" s="977"/>
      <c r="E108" s="977" t="s">
        <v>3889</v>
      </c>
      <c r="F108" s="977"/>
      <c r="G108" s="977"/>
      <c r="H108" s="977" t="s">
        <v>3890</v>
      </c>
      <c r="I108" s="977"/>
      <c r="J108" s="977"/>
      <c r="K108" s="977" t="s">
        <v>3891</v>
      </c>
      <c r="L108" s="977"/>
      <c r="M108" s="977"/>
      <c r="N108" s="977" t="s">
        <v>3892</v>
      </c>
      <c r="O108" s="977"/>
      <c r="P108" s="977"/>
    </row>
    <row r="109" spans="1:16" ht="30" x14ac:dyDescent="0.2">
      <c r="A109" s="710" t="s">
        <v>3929</v>
      </c>
      <c r="B109" s="349">
        <v>11295</v>
      </c>
      <c r="C109" s="350">
        <v>90</v>
      </c>
      <c r="D109" s="717"/>
      <c r="E109" s="349">
        <v>1032</v>
      </c>
      <c r="F109" s="350"/>
      <c r="G109" s="717"/>
      <c r="H109" s="349">
        <v>1032</v>
      </c>
      <c r="I109" s="350"/>
      <c r="J109" s="717"/>
      <c r="K109" s="349">
        <v>10263</v>
      </c>
      <c r="L109" s="350">
        <v>90</v>
      </c>
      <c r="M109" s="717"/>
      <c r="N109" s="349"/>
      <c r="O109" s="350"/>
      <c r="P109" s="717"/>
    </row>
    <row r="110" spans="1:16" ht="30" x14ac:dyDescent="0.2">
      <c r="A110" s="710" t="s">
        <v>3930</v>
      </c>
      <c r="B110" s="131">
        <v>1271</v>
      </c>
      <c r="C110" s="145">
        <v>35</v>
      </c>
      <c r="D110" s="307"/>
      <c r="E110" s="131">
        <v>184</v>
      </c>
      <c r="F110" s="145">
        <v>30</v>
      </c>
      <c r="G110" s="307"/>
      <c r="H110" s="131">
        <v>184</v>
      </c>
      <c r="I110" s="145">
        <v>30</v>
      </c>
      <c r="J110" s="307"/>
      <c r="K110" s="131">
        <v>1087</v>
      </c>
      <c r="L110" s="145">
        <v>5</v>
      </c>
      <c r="M110" s="307"/>
      <c r="N110" s="131"/>
      <c r="O110" s="145"/>
      <c r="P110" s="307"/>
    </row>
    <row r="111" spans="1:16" x14ac:dyDescent="0.2">
      <c r="A111" s="107" t="s">
        <v>3931</v>
      </c>
      <c r="B111" s="131">
        <v>2984</v>
      </c>
      <c r="C111" s="145">
        <v>70</v>
      </c>
      <c r="D111" s="307"/>
      <c r="E111" s="131"/>
      <c r="F111" s="145"/>
      <c r="G111" s="307"/>
      <c r="H111" s="131"/>
      <c r="I111" s="145"/>
      <c r="J111" s="307"/>
      <c r="K111" s="131">
        <v>2984</v>
      </c>
      <c r="L111" s="145">
        <v>70</v>
      </c>
      <c r="M111" s="307"/>
      <c r="N111" s="131"/>
      <c r="O111" s="145"/>
      <c r="P111" s="307"/>
    </row>
    <row r="112" spans="1:16" x14ac:dyDescent="0.2">
      <c r="A112" s="107" t="s">
        <v>3932</v>
      </c>
      <c r="B112" s="131">
        <v>525</v>
      </c>
      <c r="C112" s="145">
        <v>50</v>
      </c>
      <c r="D112" s="307"/>
      <c r="E112" s="131"/>
      <c r="F112" s="145"/>
      <c r="G112" s="307"/>
      <c r="H112" s="131"/>
      <c r="I112" s="145"/>
      <c r="J112" s="307"/>
      <c r="K112" s="131">
        <v>525</v>
      </c>
      <c r="L112" s="145">
        <v>50</v>
      </c>
      <c r="M112" s="307"/>
      <c r="N112" s="131"/>
      <c r="O112" s="145"/>
      <c r="P112" s="307"/>
    </row>
    <row r="113" spans="1:16" x14ac:dyDescent="0.2">
      <c r="A113" s="107" t="s">
        <v>4222</v>
      </c>
      <c r="B113" s="131">
        <v>12132</v>
      </c>
      <c r="C113" s="145">
        <v>50</v>
      </c>
      <c r="D113" s="307"/>
      <c r="E113" s="131">
        <v>27</v>
      </c>
      <c r="F113" s="145">
        <v>80</v>
      </c>
      <c r="G113" s="307"/>
      <c r="H113" s="131">
        <v>27</v>
      </c>
      <c r="I113" s="145">
        <v>80</v>
      </c>
      <c r="J113" s="307"/>
      <c r="K113" s="131">
        <v>12104</v>
      </c>
      <c r="L113" s="145">
        <v>70</v>
      </c>
      <c r="M113" s="307"/>
      <c r="N113" s="131"/>
      <c r="O113" s="145"/>
      <c r="P113" s="307"/>
    </row>
    <row r="114" spans="1:16" x14ac:dyDescent="0.2">
      <c r="A114" s="107" t="s">
        <v>3912</v>
      </c>
      <c r="B114" s="131">
        <v>3278</v>
      </c>
      <c r="C114" s="145">
        <v>90</v>
      </c>
      <c r="D114" s="307"/>
      <c r="E114" s="131"/>
      <c r="F114" s="145"/>
      <c r="G114" s="307"/>
      <c r="H114" s="131"/>
      <c r="I114" s="145"/>
      <c r="J114" s="307"/>
      <c r="K114" s="131">
        <v>3278</v>
      </c>
      <c r="L114" s="145">
        <v>90</v>
      </c>
      <c r="M114" s="307"/>
      <c r="N114" s="131"/>
      <c r="O114" s="145"/>
      <c r="P114" s="307"/>
    </row>
    <row r="115" spans="1:16" x14ac:dyDescent="0.2">
      <c r="A115" s="107" t="s">
        <v>3934</v>
      </c>
      <c r="B115" s="131">
        <v>16408</v>
      </c>
      <c r="C115" s="145">
        <v>80</v>
      </c>
      <c r="D115" s="307"/>
      <c r="E115" s="131">
        <v>604</v>
      </c>
      <c r="F115" s="145"/>
      <c r="G115" s="307"/>
      <c r="H115" s="131">
        <v>604</v>
      </c>
      <c r="I115" s="145"/>
      <c r="J115" s="307"/>
      <c r="K115" s="131">
        <v>15804</v>
      </c>
      <c r="L115" s="145">
        <v>80</v>
      </c>
      <c r="M115" s="307"/>
      <c r="N115" s="131"/>
      <c r="O115" s="145"/>
      <c r="P115" s="307"/>
    </row>
    <row r="116" spans="1:16" x14ac:dyDescent="0.2">
      <c r="A116" s="107" t="s">
        <v>3935</v>
      </c>
      <c r="B116" s="131">
        <v>210145</v>
      </c>
      <c r="C116" s="145">
        <v>35</v>
      </c>
      <c r="D116" s="307"/>
      <c r="E116" s="131">
        <v>8</v>
      </c>
      <c r="F116" s="145">
        <v>40</v>
      </c>
      <c r="G116" s="307"/>
      <c r="H116" s="131">
        <v>8</v>
      </c>
      <c r="I116" s="145">
        <v>40</v>
      </c>
      <c r="J116" s="307"/>
      <c r="K116" s="131">
        <v>210136</v>
      </c>
      <c r="L116" s="145">
        <v>95</v>
      </c>
      <c r="M116" s="307"/>
      <c r="N116" s="131"/>
      <c r="O116" s="145"/>
      <c r="P116" s="307"/>
    </row>
    <row r="117" spans="1:16" x14ac:dyDescent="0.2">
      <c r="A117" s="1114" t="s">
        <v>3906</v>
      </c>
      <c r="B117" s="240">
        <v>258343</v>
      </c>
      <c r="C117" s="318"/>
      <c r="D117" s="513"/>
      <c r="E117" s="240">
        <v>1856</v>
      </c>
      <c r="F117" s="318">
        <v>50</v>
      </c>
      <c r="G117" s="513"/>
      <c r="H117" s="240">
        <v>1856</v>
      </c>
      <c r="I117" s="318">
        <v>50</v>
      </c>
      <c r="J117" s="513"/>
      <c r="K117" s="240">
        <v>256486</v>
      </c>
      <c r="L117" s="318">
        <v>50</v>
      </c>
      <c r="M117" s="513"/>
      <c r="N117" s="240"/>
      <c r="O117" s="318"/>
      <c r="P117" s="513"/>
    </row>
    <row r="118" spans="1:16" x14ac:dyDescent="0.2">
      <c r="A118" s="1114"/>
      <c r="B118" s="246">
        <f>+SUM(B109:B116)</f>
        <v>258038</v>
      </c>
      <c r="C118" s="246">
        <f t="shared" ref="C118:P118" si="6">+SUM(C109:C116)</f>
        <v>500</v>
      </c>
      <c r="D118" s="246">
        <f t="shared" si="6"/>
        <v>0</v>
      </c>
      <c r="E118" s="246">
        <f t="shared" si="6"/>
        <v>1855</v>
      </c>
      <c r="F118" s="246">
        <f t="shared" si="6"/>
        <v>150</v>
      </c>
      <c r="G118" s="246">
        <f t="shared" si="6"/>
        <v>0</v>
      </c>
      <c r="H118" s="246">
        <f t="shared" si="6"/>
        <v>1855</v>
      </c>
      <c r="I118" s="246">
        <f t="shared" si="6"/>
        <v>150</v>
      </c>
      <c r="J118" s="246">
        <f t="shared" si="6"/>
        <v>0</v>
      </c>
      <c r="K118" s="1116">
        <f t="shared" si="6"/>
        <v>256181</v>
      </c>
      <c r="L118" s="246">
        <f t="shared" si="6"/>
        <v>550</v>
      </c>
      <c r="M118" s="246">
        <f t="shared" si="6"/>
        <v>0</v>
      </c>
      <c r="N118" s="246">
        <f t="shared" si="6"/>
        <v>0</v>
      </c>
      <c r="O118" s="246">
        <f t="shared" si="6"/>
        <v>0</v>
      </c>
      <c r="P118" s="246">
        <f t="shared" si="6"/>
        <v>0</v>
      </c>
    </row>
    <row r="119" spans="1:16" ht="27" customHeight="1" x14ac:dyDescent="0.15">
      <c r="A119" s="838" t="s">
        <v>2826</v>
      </c>
      <c r="B119" s="838"/>
      <c r="C119" s="838"/>
      <c r="D119" s="838"/>
      <c r="E119" s="838"/>
      <c r="F119" s="838"/>
      <c r="G119" s="838"/>
      <c r="H119" s="838"/>
      <c r="I119" s="838"/>
      <c r="J119" s="838"/>
      <c r="K119" s="838"/>
      <c r="L119" s="838"/>
      <c r="M119" s="838"/>
      <c r="N119" s="838"/>
      <c r="O119" s="838"/>
      <c r="P119" s="838"/>
    </row>
    <row r="120" spans="1:16" ht="26.5" customHeight="1" x14ac:dyDescent="0.15">
      <c r="A120" s="751" t="s">
        <v>3887</v>
      </c>
      <c r="B120" s="977" t="s">
        <v>3888</v>
      </c>
      <c r="C120" s="977"/>
      <c r="D120" s="977"/>
      <c r="E120" s="977" t="s">
        <v>3889</v>
      </c>
      <c r="F120" s="977"/>
      <c r="G120" s="977"/>
      <c r="H120" s="977" t="s">
        <v>3890</v>
      </c>
      <c r="I120" s="977"/>
      <c r="J120" s="977"/>
      <c r="K120" s="977" t="s">
        <v>3891</v>
      </c>
      <c r="L120" s="977"/>
      <c r="M120" s="977"/>
      <c r="N120" s="977" t="s">
        <v>3892</v>
      </c>
      <c r="O120" s="977"/>
      <c r="P120" s="977"/>
    </row>
    <row r="121" spans="1:16" ht="30" x14ac:dyDescent="0.2">
      <c r="A121" s="710" t="s">
        <v>3929</v>
      </c>
      <c r="B121" s="349">
        <v>71402</v>
      </c>
      <c r="C121" s="350">
        <v>20</v>
      </c>
      <c r="D121" s="717"/>
      <c r="E121" s="349">
        <v>60106</v>
      </c>
      <c r="F121" s="350">
        <v>30</v>
      </c>
      <c r="G121" s="717"/>
      <c r="H121" s="349">
        <v>60106</v>
      </c>
      <c r="I121" s="350">
        <v>30</v>
      </c>
      <c r="J121" s="717"/>
      <c r="K121" s="349">
        <v>11295</v>
      </c>
      <c r="L121" s="350">
        <v>90</v>
      </c>
      <c r="M121" s="717"/>
      <c r="N121" s="349"/>
      <c r="O121" s="350"/>
      <c r="P121" s="717"/>
    </row>
    <row r="122" spans="1:16" ht="30" x14ac:dyDescent="0.2">
      <c r="A122" s="710" t="s">
        <v>3930</v>
      </c>
      <c r="B122" s="131">
        <v>10064</v>
      </c>
      <c r="C122" s="145"/>
      <c r="D122" s="307"/>
      <c r="E122" s="131">
        <v>8792</v>
      </c>
      <c r="F122" s="145">
        <v>65</v>
      </c>
      <c r="G122" s="307"/>
      <c r="H122" s="131">
        <v>8792</v>
      </c>
      <c r="I122" s="145">
        <v>65</v>
      </c>
      <c r="J122" s="307"/>
      <c r="K122" s="131">
        <v>1271</v>
      </c>
      <c r="L122" s="145">
        <v>35</v>
      </c>
      <c r="M122" s="307"/>
      <c r="N122" s="131"/>
      <c r="O122" s="145"/>
      <c r="P122" s="307"/>
    </row>
    <row r="123" spans="1:16" x14ac:dyDescent="0.2">
      <c r="A123" s="107" t="s">
        <v>3931</v>
      </c>
      <c r="B123" s="131">
        <v>58000</v>
      </c>
      <c r="C123" s="145"/>
      <c r="D123" s="307"/>
      <c r="E123" s="131">
        <v>55015</v>
      </c>
      <c r="F123" s="145">
        <v>30</v>
      </c>
      <c r="G123" s="307"/>
      <c r="H123" s="131">
        <v>55015</v>
      </c>
      <c r="I123" s="145">
        <v>30</v>
      </c>
      <c r="J123" s="307"/>
      <c r="K123" s="131">
        <v>2984</v>
      </c>
      <c r="L123" s="145">
        <v>70</v>
      </c>
      <c r="M123" s="307"/>
      <c r="N123" s="131"/>
      <c r="O123" s="145"/>
      <c r="P123" s="307"/>
    </row>
    <row r="124" spans="1:16" x14ac:dyDescent="0.2">
      <c r="A124" s="107" t="s">
        <v>3932</v>
      </c>
      <c r="B124" s="131">
        <v>2100</v>
      </c>
      <c r="C124" s="145"/>
      <c r="D124" s="307"/>
      <c r="E124" s="131">
        <v>1574</v>
      </c>
      <c r="F124" s="145">
        <v>50</v>
      </c>
      <c r="G124" s="307"/>
      <c r="H124" s="131">
        <v>1574</v>
      </c>
      <c r="I124" s="145">
        <v>50</v>
      </c>
      <c r="J124" s="307"/>
      <c r="K124" s="131">
        <v>525</v>
      </c>
      <c r="L124" s="145">
        <v>50</v>
      </c>
      <c r="M124" s="307"/>
      <c r="N124" s="131"/>
      <c r="O124" s="145"/>
      <c r="P124" s="307"/>
    </row>
    <row r="125" spans="1:16" x14ac:dyDescent="0.2">
      <c r="A125" s="107" t="s">
        <v>4222</v>
      </c>
      <c r="B125" s="131">
        <v>61100</v>
      </c>
      <c r="C125" s="145"/>
      <c r="D125" s="307"/>
      <c r="E125" s="131">
        <v>45967</v>
      </c>
      <c r="F125" s="145">
        <v>50</v>
      </c>
      <c r="G125" s="307"/>
      <c r="H125" s="131">
        <v>45967</v>
      </c>
      <c r="I125" s="145">
        <v>50</v>
      </c>
      <c r="J125" s="307"/>
      <c r="K125" s="131">
        <v>15132</v>
      </c>
      <c r="L125" s="145">
        <v>50</v>
      </c>
      <c r="M125" s="307"/>
      <c r="N125" s="131"/>
      <c r="O125" s="145"/>
      <c r="P125" s="307"/>
    </row>
    <row r="126" spans="1:16" x14ac:dyDescent="0.2">
      <c r="A126" s="107" t="s">
        <v>3912</v>
      </c>
      <c r="B126" s="131">
        <v>12576</v>
      </c>
      <c r="C126" s="145">
        <v>10</v>
      </c>
      <c r="D126" s="307"/>
      <c r="E126" s="131">
        <v>9961</v>
      </c>
      <c r="F126" s="145">
        <v>5</v>
      </c>
      <c r="G126" s="307"/>
      <c r="H126" s="131">
        <v>9961</v>
      </c>
      <c r="I126" s="145">
        <v>5</v>
      </c>
      <c r="J126" s="307"/>
      <c r="K126" s="131">
        <v>2615</v>
      </c>
      <c r="L126" s="145">
        <v>5</v>
      </c>
      <c r="M126" s="307"/>
      <c r="N126" s="131"/>
      <c r="O126" s="145"/>
      <c r="P126" s="307"/>
    </row>
    <row r="127" spans="1:16" x14ac:dyDescent="0.2">
      <c r="A127" s="107" t="s">
        <v>3934</v>
      </c>
      <c r="B127" s="131">
        <v>114102</v>
      </c>
      <c r="C127" s="145"/>
      <c r="D127" s="307"/>
      <c r="E127" s="131">
        <v>97693</v>
      </c>
      <c r="F127" s="145">
        <v>20</v>
      </c>
      <c r="G127" s="307"/>
      <c r="H127" s="131">
        <v>97693</v>
      </c>
      <c r="I127" s="145">
        <v>20</v>
      </c>
      <c r="J127" s="307"/>
      <c r="K127" s="131">
        <v>16408</v>
      </c>
      <c r="L127" s="145">
        <v>80</v>
      </c>
      <c r="M127" s="307"/>
      <c r="N127" s="131"/>
      <c r="O127" s="145"/>
      <c r="P127" s="307"/>
    </row>
    <row r="128" spans="1:16" x14ac:dyDescent="0.2">
      <c r="A128" s="107" t="s">
        <v>3935</v>
      </c>
      <c r="B128" s="131">
        <v>235672</v>
      </c>
      <c r="C128" s="145"/>
      <c r="D128" s="307"/>
      <c r="E128" s="131">
        <v>25526</v>
      </c>
      <c r="F128" s="145">
        <v>65</v>
      </c>
      <c r="G128" s="307"/>
      <c r="H128" s="131">
        <v>25526</v>
      </c>
      <c r="I128" s="145">
        <v>65</v>
      </c>
      <c r="J128" s="307"/>
      <c r="K128" s="131">
        <v>210145</v>
      </c>
      <c r="L128" s="145">
        <v>35</v>
      </c>
      <c r="M128" s="307"/>
      <c r="N128" s="131"/>
      <c r="O128" s="145"/>
      <c r="P128" s="307"/>
    </row>
    <row r="129" spans="1:16" x14ac:dyDescent="0.2">
      <c r="A129" s="1114" t="s">
        <v>3906</v>
      </c>
      <c r="B129" s="240">
        <v>565016</v>
      </c>
      <c r="C129" s="318">
        <v>30</v>
      </c>
      <c r="D129" s="513"/>
      <c r="E129" s="240">
        <v>304637</v>
      </c>
      <c r="F129" s="318">
        <v>15</v>
      </c>
      <c r="G129" s="513"/>
      <c r="H129" s="240">
        <v>304637</v>
      </c>
      <c r="I129" s="318">
        <v>15</v>
      </c>
      <c r="J129" s="513"/>
      <c r="K129" s="240">
        <v>260379</v>
      </c>
      <c r="L129" s="318">
        <v>15</v>
      </c>
      <c r="M129" s="513"/>
      <c r="N129" s="240"/>
      <c r="O129" s="318"/>
      <c r="P129" s="513"/>
    </row>
    <row r="130" spans="1:16" x14ac:dyDescent="0.2">
      <c r="A130" s="1114"/>
      <c r="B130" s="246">
        <f>+SUM(B121:B128)</f>
        <v>565016</v>
      </c>
      <c r="C130" s="246">
        <f t="shared" ref="C130:P130" si="7">+SUM(C121:C128)</f>
        <v>30</v>
      </c>
      <c r="D130" s="246">
        <f t="shared" si="7"/>
        <v>0</v>
      </c>
      <c r="E130" s="246">
        <f t="shared" si="7"/>
        <v>304634</v>
      </c>
      <c r="F130" s="246">
        <f t="shared" si="7"/>
        <v>315</v>
      </c>
      <c r="G130" s="246">
        <f t="shared" si="7"/>
        <v>0</v>
      </c>
      <c r="H130" s="246">
        <f t="shared" si="7"/>
        <v>304634</v>
      </c>
      <c r="I130" s="246">
        <f t="shared" si="7"/>
        <v>315</v>
      </c>
      <c r="J130" s="246">
        <f t="shared" si="7"/>
        <v>0</v>
      </c>
      <c r="K130" s="246">
        <f t="shared" si="7"/>
        <v>260375</v>
      </c>
      <c r="L130" s="246">
        <f t="shared" si="7"/>
        <v>415</v>
      </c>
      <c r="M130" s="246">
        <f t="shared" si="7"/>
        <v>0</v>
      </c>
      <c r="N130" s="246">
        <f t="shared" si="7"/>
        <v>0</v>
      </c>
      <c r="O130" s="246">
        <f t="shared" si="7"/>
        <v>0</v>
      </c>
      <c r="P130" s="246">
        <f t="shared" si="7"/>
        <v>0</v>
      </c>
    </row>
    <row r="131" spans="1:16" ht="29" customHeight="1" x14ac:dyDescent="0.15">
      <c r="A131" s="838" t="s">
        <v>2815</v>
      </c>
      <c r="B131" s="838"/>
      <c r="C131" s="838"/>
      <c r="D131" s="838"/>
      <c r="E131" s="838"/>
      <c r="F131" s="838"/>
      <c r="G131" s="838"/>
      <c r="H131" s="838"/>
      <c r="I131" s="838"/>
      <c r="J131" s="838"/>
      <c r="K131" s="838"/>
      <c r="L131" s="838"/>
      <c r="M131" s="838"/>
      <c r="N131" s="838"/>
      <c r="O131" s="838"/>
      <c r="P131" s="838"/>
    </row>
    <row r="132" spans="1:16" ht="28.25" customHeight="1" x14ac:dyDescent="0.15">
      <c r="A132" s="751" t="s">
        <v>3887</v>
      </c>
      <c r="B132" s="977" t="s">
        <v>3888</v>
      </c>
      <c r="C132" s="977"/>
      <c r="D132" s="977"/>
      <c r="E132" s="977" t="s">
        <v>3889</v>
      </c>
      <c r="F132" s="977"/>
      <c r="G132" s="977"/>
      <c r="H132" s="977" t="s">
        <v>3890</v>
      </c>
      <c r="I132" s="977"/>
      <c r="J132" s="977"/>
      <c r="K132" s="977" t="s">
        <v>3891</v>
      </c>
      <c r="L132" s="977"/>
      <c r="M132" s="977"/>
      <c r="N132" s="977" t="s">
        <v>3892</v>
      </c>
      <c r="O132" s="977"/>
      <c r="P132" s="977"/>
    </row>
    <row r="133" spans="1:16" x14ac:dyDescent="0.2">
      <c r="A133" s="107" t="s">
        <v>3936</v>
      </c>
      <c r="B133" s="349">
        <v>27580</v>
      </c>
      <c r="C133" s="350"/>
      <c r="D133" s="717"/>
      <c r="E133" s="349">
        <v>27212</v>
      </c>
      <c r="F133" s="350">
        <v>35</v>
      </c>
      <c r="G133" s="717"/>
      <c r="H133" s="349">
        <v>27212</v>
      </c>
      <c r="I133" s="350">
        <v>35</v>
      </c>
      <c r="J133" s="717"/>
      <c r="K133" s="349">
        <v>367</v>
      </c>
      <c r="L133" s="350">
        <v>65</v>
      </c>
      <c r="M133" s="717"/>
      <c r="N133" s="349"/>
      <c r="O133" s="350"/>
      <c r="P133" s="717"/>
    </row>
    <row r="134" spans="1:16" x14ac:dyDescent="0.2">
      <c r="A134" s="107" t="s">
        <v>3937</v>
      </c>
      <c r="B134" s="131">
        <v>800</v>
      </c>
      <c r="C134" s="145"/>
      <c r="D134" s="307"/>
      <c r="E134" s="131">
        <v>800</v>
      </c>
      <c r="F134" s="145"/>
      <c r="G134" s="307"/>
      <c r="H134" s="131">
        <v>800</v>
      </c>
      <c r="I134" s="145"/>
      <c r="J134" s="307"/>
      <c r="K134" s="131"/>
      <c r="L134" s="145"/>
      <c r="M134" s="307"/>
      <c r="N134" s="131"/>
      <c r="O134" s="145"/>
      <c r="P134" s="307"/>
    </row>
    <row r="135" spans="1:16" x14ac:dyDescent="0.2">
      <c r="A135" s="107" t="s">
        <v>3938</v>
      </c>
      <c r="B135" s="131">
        <v>113678</v>
      </c>
      <c r="C135" s="145">
        <v>75</v>
      </c>
      <c r="D135" s="307"/>
      <c r="E135" s="131">
        <v>105940</v>
      </c>
      <c r="F135" s="145">
        <v>20</v>
      </c>
      <c r="G135" s="307"/>
      <c r="H135" s="131">
        <v>105940</v>
      </c>
      <c r="I135" s="145">
        <v>20</v>
      </c>
      <c r="J135" s="307"/>
      <c r="K135" s="131">
        <v>17738</v>
      </c>
      <c r="L135" s="145">
        <v>55</v>
      </c>
      <c r="M135" s="307"/>
      <c r="N135" s="131"/>
      <c r="O135" s="145"/>
      <c r="P135" s="307"/>
    </row>
    <row r="136" spans="1:16" x14ac:dyDescent="0.2">
      <c r="A136" s="141" t="s">
        <v>3939</v>
      </c>
      <c r="B136" s="131">
        <v>89998</v>
      </c>
      <c r="C136" s="145"/>
      <c r="D136" s="307"/>
      <c r="E136" s="131">
        <v>6012</v>
      </c>
      <c r="F136" s="145">
        <v>20</v>
      </c>
      <c r="G136" s="307"/>
      <c r="H136" s="131">
        <v>6012</v>
      </c>
      <c r="I136" s="145">
        <v>20</v>
      </c>
      <c r="J136" s="307"/>
      <c r="K136" s="131">
        <v>83985</v>
      </c>
      <c r="L136" s="145">
        <v>80</v>
      </c>
      <c r="M136" s="307"/>
      <c r="N136" s="131"/>
      <c r="O136" s="145"/>
      <c r="P136" s="307"/>
    </row>
    <row r="137" spans="1:16" x14ac:dyDescent="0.2">
      <c r="A137" s="141" t="s">
        <v>3940</v>
      </c>
      <c r="B137" s="131">
        <v>16000</v>
      </c>
      <c r="C137" s="145"/>
      <c r="D137" s="307"/>
      <c r="E137" s="131">
        <v>7965</v>
      </c>
      <c r="F137" s="145">
        <v>10</v>
      </c>
      <c r="G137" s="307"/>
      <c r="H137" s="131">
        <v>7965</v>
      </c>
      <c r="I137" s="145">
        <v>10</v>
      </c>
      <c r="J137" s="307"/>
      <c r="K137" s="131">
        <v>8034</v>
      </c>
      <c r="L137" s="145">
        <v>90</v>
      </c>
      <c r="M137" s="307"/>
      <c r="N137" s="131"/>
      <c r="O137" s="145"/>
      <c r="P137" s="307"/>
    </row>
    <row r="138" spans="1:16" x14ac:dyDescent="0.2">
      <c r="A138" s="141" t="s">
        <v>3941</v>
      </c>
      <c r="B138" s="131">
        <v>1080</v>
      </c>
      <c r="C138" s="145"/>
      <c r="D138" s="307"/>
      <c r="E138" s="131">
        <v>1013</v>
      </c>
      <c r="F138" s="145">
        <v>30</v>
      </c>
      <c r="G138" s="307"/>
      <c r="H138" s="1200">
        <v>1010</v>
      </c>
      <c r="I138" s="145">
        <v>30</v>
      </c>
      <c r="J138" s="307"/>
      <c r="K138" s="131">
        <v>69</v>
      </c>
      <c r="L138" s="145">
        <v>70</v>
      </c>
      <c r="M138" s="307"/>
      <c r="N138" s="131"/>
      <c r="O138" s="145"/>
      <c r="P138" s="307"/>
    </row>
    <row r="139" spans="1:16" x14ac:dyDescent="0.2">
      <c r="A139" s="141" t="s">
        <v>3942</v>
      </c>
      <c r="B139" s="131">
        <v>78392</v>
      </c>
      <c r="C139" s="145"/>
      <c r="D139" s="307"/>
      <c r="E139" s="131">
        <v>36594</v>
      </c>
      <c r="F139" s="145">
        <v>25</v>
      </c>
      <c r="G139" s="307"/>
      <c r="H139" s="131">
        <v>36594</v>
      </c>
      <c r="I139" s="145">
        <v>25</v>
      </c>
      <c r="J139" s="307"/>
      <c r="K139" s="131">
        <v>41797</v>
      </c>
      <c r="L139" s="145">
        <v>75</v>
      </c>
      <c r="M139" s="307"/>
      <c r="N139" s="131"/>
      <c r="O139" s="145"/>
      <c r="P139" s="307"/>
    </row>
    <row r="140" spans="1:16" x14ac:dyDescent="0.2">
      <c r="A140" s="141" t="s">
        <v>3943</v>
      </c>
      <c r="B140" s="131">
        <v>293012</v>
      </c>
      <c r="C140" s="145"/>
      <c r="D140" s="307"/>
      <c r="E140" s="131">
        <v>160940</v>
      </c>
      <c r="F140" s="145">
        <v>35</v>
      </c>
      <c r="G140" s="307"/>
      <c r="H140" s="131">
        <v>160940</v>
      </c>
      <c r="I140" s="145">
        <v>35</v>
      </c>
      <c r="J140" s="307"/>
      <c r="K140" s="131">
        <v>132071</v>
      </c>
      <c r="L140" s="145">
        <v>65</v>
      </c>
      <c r="M140" s="307"/>
      <c r="N140" s="131"/>
      <c r="O140" s="145"/>
      <c r="P140" s="307"/>
    </row>
    <row r="141" spans="1:16" x14ac:dyDescent="0.2">
      <c r="A141" s="141" t="s">
        <v>3944</v>
      </c>
      <c r="B141" s="131">
        <v>10261</v>
      </c>
      <c r="C141" s="145"/>
      <c r="D141" s="307"/>
      <c r="E141" s="131">
        <v>8652</v>
      </c>
      <c r="F141" s="145">
        <v>50</v>
      </c>
      <c r="G141" s="307"/>
      <c r="H141" s="131">
        <v>8652</v>
      </c>
      <c r="I141" s="145">
        <v>50</v>
      </c>
      <c r="J141" s="307"/>
      <c r="K141" s="131">
        <v>1608</v>
      </c>
      <c r="L141" s="145">
        <v>50</v>
      </c>
      <c r="M141" s="307"/>
      <c r="N141" s="131"/>
      <c r="O141" s="145"/>
      <c r="P141" s="307"/>
    </row>
    <row r="142" spans="1:16" x14ac:dyDescent="0.2">
      <c r="A142" s="141" t="s">
        <v>3945</v>
      </c>
      <c r="B142" s="131">
        <v>79970</v>
      </c>
      <c r="C142" s="145"/>
      <c r="D142" s="307"/>
      <c r="E142" s="131">
        <v>14945</v>
      </c>
      <c r="F142" s="145">
        <v>55</v>
      </c>
      <c r="G142" s="307"/>
      <c r="H142" s="131">
        <v>14945</v>
      </c>
      <c r="I142" s="145">
        <v>55</v>
      </c>
      <c r="J142" s="307"/>
      <c r="K142" s="131">
        <v>65024</v>
      </c>
      <c r="L142" s="145">
        <v>45</v>
      </c>
      <c r="M142" s="307"/>
      <c r="N142" s="131"/>
      <c r="O142" s="145"/>
      <c r="P142" s="307"/>
    </row>
    <row r="143" spans="1:16" x14ac:dyDescent="0.2">
      <c r="A143" s="141" t="s">
        <v>3946</v>
      </c>
      <c r="B143" s="131">
        <v>170533</v>
      </c>
      <c r="C143" s="145"/>
      <c r="D143" s="307"/>
      <c r="E143" s="131">
        <v>147426</v>
      </c>
      <c r="F143" s="145"/>
      <c r="G143" s="307"/>
      <c r="H143" s="131">
        <v>147426</v>
      </c>
      <c r="I143" s="145"/>
      <c r="J143" s="307"/>
      <c r="K143" s="131">
        <v>23107</v>
      </c>
      <c r="L143" s="145"/>
      <c r="M143" s="307"/>
      <c r="N143" s="131"/>
      <c r="O143" s="145"/>
      <c r="P143" s="307"/>
    </row>
    <row r="144" spans="1:16" ht="30" x14ac:dyDescent="0.2">
      <c r="A144" s="683" t="s">
        <v>3994</v>
      </c>
      <c r="B144" s="131">
        <v>39684</v>
      </c>
      <c r="C144" s="145"/>
      <c r="D144" s="307"/>
      <c r="E144" s="131">
        <v>21528</v>
      </c>
      <c r="F144" s="145">
        <v>50</v>
      </c>
      <c r="G144" s="307"/>
      <c r="H144" s="131">
        <v>21528</v>
      </c>
      <c r="I144" s="145">
        <v>50</v>
      </c>
      <c r="J144" s="307"/>
      <c r="K144" s="131">
        <v>18155</v>
      </c>
      <c r="L144" s="145">
        <v>50</v>
      </c>
      <c r="M144" s="307"/>
      <c r="N144" s="131"/>
      <c r="O144" s="145"/>
      <c r="P144" s="307"/>
    </row>
    <row r="145" spans="1:16" x14ac:dyDescent="0.2">
      <c r="A145" s="141" t="s">
        <v>3995</v>
      </c>
      <c r="B145" s="131">
        <v>34202</v>
      </c>
      <c r="C145" s="145"/>
      <c r="D145" s="307"/>
      <c r="E145" s="131">
        <v>34127</v>
      </c>
      <c r="F145" s="145">
        <v>95</v>
      </c>
      <c r="G145" s="307"/>
      <c r="H145" s="131">
        <v>34127</v>
      </c>
      <c r="I145" s="145">
        <v>95</v>
      </c>
      <c r="J145" s="307"/>
      <c r="K145" s="131">
        <v>74</v>
      </c>
      <c r="L145" s="145">
        <v>5</v>
      </c>
      <c r="M145" s="307"/>
      <c r="N145" s="131"/>
      <c r="O145" s="145"/>
      <c r="P145" s="307"/>
    </row>
    <row r="146" spans="1:16" x14ac:dyDescent="0.2">
      <c r="A146" s="141" t="s">
        <v>3996</v>
      </c>
      <c r="B146" s="131">
        <v>11216</v>
      </c>
      <c r="C146" s="145">
        <v>75</v>
      </c>
      <c r="D146" s="307"/>
      <c r="E146" s="131">
        <v>9694</v>
      </c>
      <c r="F146" s="145">
        <v>90</v>
      </c>
      <c r="G146" s="307"/>
      <c r="H146" s="131">
        <v>9694</v>
      </c>
      <c r="I146" s="145">
        <v>90</v>
      </c>
      <c r="J146" s="307"/>
      <c r="K146" s="131">
        <v>1521</v>
      </c>
      <c r="L146" s="145">
        <v>85</v>
      </c>
      <c r="M146" s="307"/>
      <c r="N146" s="131"/>
      <c r="O146" s="145"/>
      <c r="P146" s="307"/>
    </row>
    <row r="147" spans="1:16" x14ac:dyDescent="0.2">
      <c r="A147" s="141" t="s">
        <v>3997</v>
      </c>
      <c r="B147" s="131">
        <v>262126</v>
      </c>
      <c r="C147" s="145">
        <v>53</v>
      </c>
      <c r="D147" s="307"/>
      <c r="E147" s="131">
        <v>50972</v>
      </c>
      <c r="F147" s="145">
        <v>85</v>
      </c>
      <c r="G147" s="307"/>
      <c r="H147" s="131">
        <v>50972</v>
      </c>
      <c r="I147" s="145">
        <v>85</v>
      </c>
      <c r="J147" s="307"/>
      <c r="K147" s="131">
        <v>211153</v>
      </c>
      <c r="L147" s="145">
        <v>68</v>
      </c>
      <c r="M147" s="307"/>
      <c r="N147" s="131"/>
      <c r="O147" s="145"/>
      <c r="P147" s="307"/>
    </row>
    <row r="148" spans="1:16" x14ac:dyDescent="0.2">
      <c r="A148" s="141" t="s">
        <v>3998</v>
      </c>
      <c r="B148" s="131">
        <v>3600</v>
      </c>
      <c r="C148" s="145"/>
      <c r="D148" s="307"/>
      <c r="E148" s="131">
        <v>2700</v>
      </c>
      <c r="F148" s="145"/>
      <c r="G148" s="307"/>
      <c r="H148" s="131">
        <v>2700</v>
      </c>
      <c r="I148" s="145"/>
      <c r="J148" s="307"/>
      <c r="K148" s="131">
        <v>900</v>
      </c>
      <c r="L148" s="145"/>
      <c r="M148" s="307"/>
      <c r="N148" s="131"/>
      <c r="O148" s="145"/>
      <c r="P148" s="307"/>
    </row>
    <row r="149" spans="1:16" x14ac:dyDescent="0.2">
      <c r="A149" s="1114" t="s">
        <v>3906</v>
      </c>
      <c r="B149" s="240">
        <v>1232134</v>
      </c>
      <c r="C149" s="318">
        <v>3</v>
      </c>
      <c r="D149" s="513"/>
      <c r="E149" s="240">
        <v>636523</v>
      </c>
      <c r="F149" s="318"/>
      <c r="G149" s="513"/>
      <c r="H149" s="240">
        <v>636523</v>
      </c>
      <c r="I149" s="318"/>
      <c r="J149" s="513"/>
      <c r="K149" s="240">
        <v>595611</v>
      </c>
      <c r="L149" s="318">
        <v>3</v>
      </c>
      <c r="M149" s="513"/>
      <c r="N149" s="240"/>
      <c r="O149" s="318"/>
      <c r="P149" s="513"/>
    </row>
    <row r="150" spans="1:16" x14ac:dyDescent="0.2">
      <c r="A150" s="1114"/>
      <c r="B150" s="246">
        <f>+SUM(B133:B148)</f>
        <v>1232132</v>
      </c>
      <c r="C150" s="246">
        <f t="shared" ref="C150:M150" si="8">+SUM(C133:C148)</f>
        <v>203</v>
      </c>
      <c r="D150" s="246">
        <f t="shared" si="8"/>
        <v>0</v>
      </c>
      <c r="E150" s="246">
        <f t="shared" si="8"/>
        <v>636520</v>
      </c>
      <c r="F150" s="1116">
        <f t="shared" si="8"/>
        <v>600</v>
      </c>
      <c r="G150" s="246">
        <f t="shared" si="8"/>
        <v>0</v>
      </c>
      <c r="H150" s="246">
        <f t="shared" si="8"/>
        <v>636517</v>
      </c>
      <c r="I150" s="246">
        <f t="shared" si="8"/>
        <v>600</v>
      </c>
      <c r="J150" s="246">
        <f t="shared" si="8"/>
        <v>0</v>
      </c>
      <c r="K150" s="246">
        <f t="shared" si="8"/>
        <v>605603</v>
      </c>
      <c r="L150" s="246">
        <f t="shared" si="8"/>
        <v>803</v>
      </c>
      <c r="M150" s="246">
        <f t="shared" si="8"/>
        <v>0</v>
      </c>
      <c r="N150" s="240"/>
      <c r="O150" s="318"/>
      <c r="P150" s="513"/>
    </row>
    <row r="151" spans="1:16" ht="29" customHeight="1" x14ac:dyDescent="0.15">
      <c r="A151" s="838" t="s">
        <v>2824</v>
      </c>
      <c r="B151" s="838"/>
      <c r="C151" s="838"/>
      <c r="D151" s="838"/>
      <c r="E151" s="838"/>
      <c r="F151" s="838"/>
      <c r="G151" s="838"/>
      <c r="H151" s="838"/>
      <c r="I151" s="838"/>
      <c r="J151" s="838"/>
      <c r="K151" s="838"/>
      <c r="L151" s="838"/>
      <c r="M151" s="838"/>
      <c r="N151" s="838"/>
      <c r="O151" s="838"/>
      <c r="P151" s="838"/>
    </row>
    <row r="152" spans="1:16" ht="27.5" customHeight="1" x14ac:dyDescent="0.15">
      <c r="A152" s="751" t="s">
        <v>3887</v>
      </c>
      <c r="B152" s="977" t="s">
        <v>3888</v>
      </c>
      <c r="C152" s="977"/>
      <c r="D152" s="977"/>
      <c r="E152" s="977" t="s">
        <v>3889</v>
      </c>
      <c r="F152" s="977"/>
      <c r="G152" s="977"/>
      <c r="H152" s="977" t="s">
        <v>3890</v>
      </c>
      <c r="I152" s="977"/>
      <c r="J152" s="977"/>
      <c r="K152" s="977" t="s">
        <v>3891</v>
      </c>
      <c r="L152" s="977"/>
      <c r="M152" s="977"/>
      <c r="N152" s="977" t="s">
        <v>3892</v>
      </c>
      <c r="O152" s="977"/>
      <c r="P152" s="977"/>
    </row>
    <row r="153" spans="1:16" x14ac:dyDescent="0.2">
      <c r="A153" s="107" t="s">
        <v>3949</v>
      </c>
      <c r="B153" s="349">
        <v>3013630</v>
      </c>
      <c r="C153" s="350"/>
      <c r="D153" s="717"/>
      <c r="E153" s="349">
        <v>170513</v>
      </c>
      <c r="F153" s="350">
        <v>80</v>
      </c>
      <c r="G153" s="717"/>
      <c r="H153" s="349">
        <v>170513</v>
      </c>
      <c r="I153" s="350">
        <v>80</v>
      </c>
      <c r="J153" s="717"/>
      <c r="K153" s="349">
        <v>2843116</v>
      </c>
      <c r="L153" s="350">
        <v>20</v>
      </c>
      <c r="M153" s="717"/>
      <c r="N153" s="349"/>
      <c r="O153" s="350"/>
      <c r="P153" s="717"/>
    </row>
    <row r="154" spans="1:16" x14ac:dyDescent="0.2">
      <c r="A154" s="1114" t="s">
        <v>3906</v>
      </c>
      <c r="B154" s="240">
        <v>3013630</v>
      </c>
      <c r="C154" s="318"/>
      <c r="D154" s="513"/>
      <c r="E154" s="240">
        <v>170513</v>
      </c>
      <c r="F154" s="318">
        <v>80</v>
      </c>
      <c r="G154" s="513"/>
      <c r="H154" s="240">
        <v>170513</v>
      </c>
      <c r="I154" s="318">
        <v>80</v>
      </c>
      <c r="J154" s="513"/>
      <c r="K154" s="240">
        <v>2843116</v>
      </c>
      <c r="L154" s="318">
        <v>20</v>
      </c>
      <c r="M154" s="513"/>
      <c r="N154" s="240"/>
      <c r="O154" s="318"/>
      <c r="P154" s="513"/>
    </row>
    <row r="155" spans="1:16" ht="29" customHeight="1" x14ac:dyDescent="0.15">
      <c r="A155" s="838" t="s">
        <v>2790</v>
      </c>
      <c r="B155" s="838"/>
      <c r="C155" s="838"/>
      <c r="D155" s="838"/>
      <c r="E155" s="838"/>
      <c r="F155" s="838"/>
      <c r="G155" s="838"/>
      <c r="H155" s="838"/>
      <c r="I155" s="838"/>
      <c r="J155" s="838"/>
      <c r="K155" s="838"/>
      <c r="L155" s="838"/>
      <c r="M155" s="838"/>
      <c r="N155" s="838"/>
      <c r="O155" s="838"/>
      <c r="P155" s="838"/>
    </row>
    <row r="156" spans="1:16" ht="24" customHeight="1" x14ac:dyDescent="0.15">
      <c r="A156" s="751" t="s">
        <v>3887</v>
      </c>
      <c r="B156" s="977" t="s">
        <v>3888</v>
      </c>
      <c r="C156" s="977"/>
      <c r="D156" s="977"/>
      <c r="E156" s="977" t="s">
        <v>3889</v>
      </c>
      <c r="F156" s="977"/>
      <c r="G156" s="977"/>
      <c r="H156" s="977" t="s">
        <v>3890</v>
      </c>
      <c r="I156" s="977"/>
      <c r="J156" s="977"/>
      <c r="K156" s="977" t="s">
        <v>3891</v>
      </c>
      <c r="L156" s="977"/>
      <c r="M156" s="977"/>
      <c r="N156" s="977" t="s">
        <v>3892</v>
      </c>
      <c r="O156" s="977"/>
      <c r="P156" s="977"/>
    </row>
    <row r="157" spans="1:16" x14ac:dyDescent="0.2">
      <c r="A157" s="107" t="s">
        <v>3957</v>
      </c>
      <c r="B157" s="349">
        <v>22072</v>
      </c>
      <c r="C157" s="350"/>
      <c r="D157" s="717"/>
      <c r="E157" s="349">
        <v>21423</v>
      </c>
      <c r="F157" s="350">
        <v>5</v>
      </c>
      <c r="G157" s="717"/>
      <c r="H157" s="349">
        <v>21423</v>
      </c>
      <c r="I157" s="350">
        <v>5</v>
      </c>
      <c r="J157" s="717"/>
      <c r="K157" s="349">
        <v>648</v>
      </c>
      <c r="L157" s="350">
        <v>95</v>
      </c>
      <c r="M157" s="717"/>
      <c r="N157" s="349"/>
      <c r="O157" s="350"/>
      <c r="P157" s="717"/>
    </row>
    <row r="158" spans="1:16" x14ac:dyDescent="0.2">
      <c r="A158" s="107" t="s">
        <v>3958</v>
      </c>
      <c r="B158" s="131">
        <v>1300</v>
      </c>
      <c r="C158" s="145"/>
      <c r="D158" s="307"/>
      <c r="E158" s="131">
        <v>902</v>
      </c>
      <c r="F158" s="145">
        <v>45</v>
      </c>
      <c r="G158" s="307"/>
      <c r="H158" s="131">
        <v>902</v>
      </c>
      <c r="I158" s="145">
        <v>45</v>
      </c>
      <c r="J158" s="307"/>
      <c r="K158" s="131">
        <v>397</v>
      </c>
      <c r="L158" s="145">
        <v>55</v>
      </c>
      <c r="M158" s="307"/>
      <c r="N158" s="131"/>
      <c r="O158" s="145"/>
      <c r="P158" s="307"/>
    </row>
    <row r="159" spans="1:16" x14ac:dyDescent="0.2">
      <c r="A159" s="107" t="s">
        <v>3959</v>
      </c>
      <c r="B159" s="131">
        <v>13068</v>
      </c>
      <c r="C159" s="145"/>
      <c r="D159" s="307"/>
      <c r="E159" s="131">
        <v>13018</v>
      </c>
      <c r="F159" s="145">
        <v>50</v>
      </c>
      <c r="G159" s="307"/>
      <c r="H159" s="131">
        <v>13018</v>
      </c>
      <c r="I159" s="145">
        <v>50</v>
      </c>
      <c r="J159" s="307"/>
      <c r="K159" s="131">
        <v>49</v>
      </c>
      <c r="L159" s="145">
        <v>50</v>
      </c>
      <c r="M159" s="307"/>
      <c r="N159" s="131"/>
      <c r="O159" s="145"/>
      <c r="P159" s="307"/>
    </row>
    <row r="160" spans="1:16" x14ac:dyDescent="0.2">
      <c r="A160" s="141" t="s">
        <v>3960</v>
      </c>
      <c r="B160" s="131">
        <v>360</v>
      </c>
      <c r="C160" s="145"/>
      <c r="D160" s="307"/>
      <c r="E160" s="131">
        <v>360</v>
      </c>
      <c r="F160" s="145"/>
      <c r="G160" s="307"/>
      <c r="H160" s="131">
        <v>360</v>
      </c>
      <c r="I160" s="145"/>
      <c r="J160" s="307"/>
      <c r="K160" s="131"/>
      <c r="L160" s="145"/>
      <c r="M160" s="307"/>
      <c r="N160" s="131"/>
      <c r="O160" s="145"/>
      <c r="P160" s="307"/>
    </row>
    <row r="161" spans="1:16" x14ac:dyDescent="0.2">
      <c r="A161" s="141" t="s">
        <v>3961</v>
      </c>
      <c r="B161" s="131">
        <v>12708</v>
      </c>
      <c r="C161" s="145"/>
      <c r="D161" s="307"/>
      <c r="E161" s="131">
        <v>12644</v>
      </c>
      <c r="F161" s="145">
        <v>55</v>
      </c>
      <c r="G161" s="307"/>
      <c r="H161" s="131">
        <v>12644</v>
      </c>
      <c r="I161" s="145">
        <v>55</v>
      </c>
      <c r="J161" s="307"/>
      <c r="K161" s="131">
        <v>63</v>
      </c>
      <c r="L161" s="145">
        <v>45</v>
      </c>
      <c r="M161" s="307"/>
      <c r="N161" s="131"/>
      <c r="O161" s="145"/>
      <c r="P161" s="307"/>
    </row>
    <row r="162" spans="1:16" x14ac:dyDescent="0.2">
      <c r="A162" s="141" t="s">
        <v>3962</v>
      </c>
      <c r="B162" s="131">
        <v>400</v>
      </c>
      <c r="C162" s="145"/>
      <c r="D162" s="307"/>
      <c r="E162" s="131">
        <v>445</v>
      </c>
      <c r="F162" s="145"/>
      <c r="G162" s="307"/>
      <c r="H162" s="131">
        <v>445</v>
      </c>
      <c r="I162" s="145"/>
      <c r="J162" s="307"/>
      <c r="K162" s="131"/>
      <c r="L162" s="145"/>
      <c r="M162" s="307"/>
      <c r="N162" s="131">
        <v>45</v>
      </c>
      <c r="O162" s="145"/>
      <c r="P162" s="307"/>
    </row>
    <row r="163" spans="1:16" x14ac:dyDescent="0.2">
      <c r="A163" s="141" t="s">
        <v>3963</v>
      </c>
      <c r="B163" s="131">
        <v>58370</v>
      </c>
      <c r="C163" s="145"/>
      <c r="D163" s="307"/>
      <c r="E163" s="131">
        <v>6075</v>
      </c>
      <c r="F163" s="145">
        <v>40</v>
      </c>
      <c r="G163" s="307"/>
      <c r="H163" s="131">
        <v>6075</v>
      </c>
      <c r="I163" s="145">
        <v>40</v>
      </c>
      <c r="J163" s="307"/>
      <c r="K163" s="131">
        <v>52294</v>
      </c>
      <c r="L163" s="145">
        <v>60</v>
      </c>
      <c r="M163" s="307"/>
      <c r="N163" s="131"/>
      <c r="O163" s="145"/>
      <c r="P163" s="307"/>
    </row>
    <row r="164" spans="1:16" x14ac:dyDescent="0.2">
      <c r="A164" s="1114" t="s">
        <v>3906</v>
      </c>
      <c r="B164" s="240">
        <v>108278</v>
      </c>
      <c r="C164" s="318"/>
      <c r="D164" s="513"/>
      <c r="E164" s="240">
        <v>54868</v>
      </c>
      <c r="F164" s="318">
        <v>95</v>
      </c>
      <c r="G164" s="513"/>
      <c r="H164" s="240">
        <v>54868</v>
      </c>
      <c r="I164" s="318">
        <v>95</v>
      </c>
      <c r="J164" s="513"/>
      <c r="K164" s="240">
        <v>53454</v>
      </c>
      <c r="L164" s="318">
        <v>5</v>
      </c>
      <c r="M164" s="513"/>
      <c r="N164" s="240">
        <v>45</v>
      </c>
      <c r="O164" s="318"/>
      <c r="P164" s="513"/>
    </row>
    <row r="165" spans="1:16" x14ac:dyDescent="0.2">
      <c r="A165" s="1114"/>
      <c r="B165" s="246">
        <f>+SUM(B157:B163)</f>
        <v>108278</v>
      </c>
      <c r="C165" s="246">
        <f t="shared" ref="C165:P165" si="9">+SUM(C157:C163)</f>
        <v>0</v>
      </c>
      <c r="D165" s="246">
        <f t="shared" si="9"/>
        <v>0</v>
      </c>
      <c r="E165" s="246">
        <f t="shared" si="9"/>
        <v>54867</v>
      </c>
      <c r="F165" s="246">
        <f t="shared" si="9"/>
        <v>195</v>
      </c>
      <c r="G165" s="246">
        <f t="shared" si="9"/>
        <v>0</v>
      </c>
      <c r="H165" s="246">
        <f t="shared" si="9"/>
        <v>54867</v>
      </c>
      <c r="I165" s="246">
        <f t="shared" si="9"/>
        <v>195</v>
      </c>
      <c r="J165" s="246">
        <f t="shared" si="9"/>
        <v>0</v>
      </c>
      <c r="K165" s="246">
        <f t="shared" si="9"/>
        <v>53451</v>
      </c>
      <c r="L165" s="246">
        <f t="shared" si="9"/>
        <v>305</v>
      </c>
      <c r="M165" s="246">
        <f t="shared" si="9"/>
        <v>0</v>
      </c>
      <c r="N165" s="246">
        <f t="shared" si="9"/>
        <v>45</v>
      </c>
      <c r="O165" s="246">
        <f t="shared" si="9"/>
        <v>0</v>
      </c>
      <c r="P165" s="246">
        <f t="shared" si="9"/>
        <v>0</v>
      </c>
    </row>
    <row r="166" spans="1:16" ht="30.5" customHeight="1" x14ac:dyDescent="0.15">
      <c r="A166" s="838" t="s">
        <v>3950</v>
      </c>
      <c r="B166" s="838"/>
      <c r="C166" s="838"/>
      <c r="D166" s="838"/>
      <c r="E166" s="838"/>
      <c r="F166" s="838"/>
      <c r="G166" s="838"/>
      <c r="H166" s="838"/>
      <c r="I166" s="838"/>
      <c r="J166" s="838"/>
      <c r="K166" s="838"/>
      <c r="L166" s="838"/>
      <c r="M166" s="838"/>
      <c r="N166" s="838"/>
      <c r="O166" s="838"/>
      <c r="P166" s="838"/>
    </row>
    <row r="167" spans="1:16" ht="26" customHeight="1" x14ac:dyDescent="0.15">
      <c r="A167" s="751" t="s">
        <v>3887</v>
      </c>
      <c r="B167" s="977" t="s">
        <v>3888</v>
      </c>
      <c r="C167" s="977"/>
      <c r="D167" s="977"/>
      <c r="E167" s="977" t="s">
        <v>3889</v>
      </c>
      <c r="F167" s="977"/>
      <c r="G167" s="977"/>
      <c r="H167" s="977" t="s">
        <v>3890</v>
      </c>
      <c r="I167" s="977"/>
      <c r="J167" s="977"/>
      <c r="K167" s="977" t="s">
        <v>3891</v>
      </c>
      <c r="L167" s="977"/>
      <c r="M167" s="977"/>
      <c r="N167" s="977" t="s">
        <v>3892</v>
      </c>
      <c r="O167" s="977"/>
      <c r="P167" s="977"/>
    </row>
    <row r="168" spans="1:16" x14ac:dyDescent="0.2">
      <c r="A168" s="107" t="s">
        <v>3951</v>
      </c>
      <c r="B168" s="349">
        <v>540530</v>
      </c>
      <c r="C168" s="350">
        <v>50</v>
      </c>
      <c r="D168" s="717"/>
      <c r="E168" s="131">
        <v>508705</v>
      </c>
      <c r="F168" s="145"/>
      <c r="G168" s="307"/>
      <c r="H168" s="349">
        <v>267341</v>
      </c>
      <c r="I168" s="350">
        <v>90</v>
      </c>
      <c r="J168" s="717"/>
      <c r="K168" s="349">
        <v>31825</v>
      </c>
      <c r="L168" s="350">
        <v>50</v>
      </c>
      <c r="M168" s="717"/>
      <c r="N168" s="349">
        <v>241363</v>
      </c>
      <c r="O168" s="350">
        <v>10</v>
      </c>
      <c r="P168" s="717"/>
    </row>
    <row r="169" spans="1:16" x14ac:dyDescent="0.2">
      <c r="A169" s="107" t="s">
        <v>3952</v>
      </c>
      <c r="B169" s="131">
        <v>1618167</v>
      </c>
      <c r="C169" s="145">
        <v>40</v>
      </c>
      <c r="D169" s="307"/>
      <c r="E169" s="131">
        <v>1270590</v>
      </c>
      <c r="F169" s="145">
        <v>35</v>
      </c>
      <c r="G169" s="307"/>
      <c r="H169" s="131">
        <v>1262808</v>
      </c>
      <c r="I169" s="145">
        <v>55</v>
      </c>
      <c r="J169" s="307"/>
      <c r="K169" s="131">
        <v>347577</v>
      </c>
      <c r="L169" s="145">
        <v>5</v>
      </c>
      <c r="M169" s="307"/>
      <c r="N169" s="131">
        <v>7781</v>
      </c>
      <c r="O169" s="145">
        <v>80</v>
      </c>
      <c r="P169" s="307"/>
    </row>
    <row r="170" spans="1:16" x14ac:dyDescent="0.2">
      <c r="A170" s="107" t="s">
        <v>3953</v>
      </c>
      <c r="B170" s="131">
        <v>110261</v>
      </c>
      <c r="C170" s="145">
        <v>70</v>
      </c>
      <c r="D170" s="307"/>
      <c r="E170" s="131">
        <v>106550</v>
      </c>
      <c r="F170" s="145">
        <v>65</v>
      </c>
      <c r="G170" s="307"/>
      <c r="H170" s="131">
        <v>106436</v>
      </c>
      <c r="I170" s="145">
        <v>65</v>
      </c>
      <c r="J170" s="307"/>
      <c r="K170" s="131">
        <v>3711</v>
      </c>
      <c r="L170" s="145">
        <v>5</v>
      </c>
      <c r="M170" s="307"/>
      <c r="N170" s="131">
        <v>114</v>
      </c>
      <c r="O170" s="145"/>
      <c r="P170" s="307"/>
    </row>
    <row r="171" spans="1:16" x14ac:dyDescent="0.2">
      <c r="A171" s="141" t="s">
        <v>3954</v>
      </c>
      <c r="B171" s="131">
        <v>40753</v>
      </c>
      <c r="C171" s="145">
        <v>20</v>
      </c>
      <c r="D171" s="307"/>
      <c r="E171" s="131">
        <v>4733</v>
      </c>
      <c r="F171" s="145">
        <v>20</v>
      </c>
      <c r="G171" s="307"/>
      <c r="H171" s="131">
        <v>39766</v>
      </c>
      <c r="I171" s="145">
        <v>35</v>
      </c>
      <c r="J171" s="307"/>
      <c r="K171" s="131"/>
      <c r="L171" s="145"/>
      <c r="M171" s="307"/>
      <c r="N171" s="131">
        <v>986</v>
      </c>
      <c r="O171" s="145">
        <v>85</v>
      </c>
      <c r="P171" s="307"/>
    </row>
    <row r="172" spans="1:16" x14ac:dyDescent="0.2">
      <c r="A172" s="141" t="s">
        <v>3955</v>
      </c>
      <c r="B172" s="131">
        <v>192069</v>
      </c>
      <c r="C172" s="145">
        <v>95</v>
      </c>
      <c r="D172" s="307"/>
      <c r="E172" s="131">
        <v>136440</v>
      </c>
      <c r="F172" s="145">
        <v>55</v>
      </c>
      <c r="G172" s="307"/>
      <c r="H172" s="131">
        <v>136440</v>
      </c>
      <c r="I172" s="145">
        <v>55</v>
      </c>
      <c r="J172" s="307"/>
      <c r="K172" s="131">
        <v>15629</v>
      </c>
      <c r="L172" s="145">
        <v>40</v>
      </c>
      <c r="M172" s="307"/>
      <c r="N172" s="131"/>
      <c r="O172" s="145"/>
      <c r="P172" s="307"/>
    </row>
    <row r="173" spans="1:16" x14ac:dyDescent="0.2">
      <c r="A173" s="141" t="s">
        <v>3956</v>
      </c>
      <c r="B173" s="131">
        <v>127925</v>
      </c>
      <c r="C173" s="145">
        <v>15</v>
      </c>
      <c r="D173" s="307"/>
      <c r="E173" s="131">
        <v>112093</v>
      </c>
      <c r="F173" s="145">
        <v>90</v>
      </c>
      <c r="G173" s="307"/>
      <c r="H173" s="131">
        <v>112093</v>
      </c>
      <c r="I173" s="145">
        <v>90</v>
      </c>
      <c r="J173" s="307"/>
      <c r="K173" s="131">
        <v>15831</v>
      </c>
      <c r="L173" s="145">
        <v>25</v>
      </c>
      <c r="M173" s="307"/>
      <c r="N173" s="131"/>
      <c r="O173" s="145"/>
      <c r="P173" s="307"/>
    </row>
    <row r="174" spans="1:16" x14ac:dyDescent="0.2">
      <c r="A174" s="141" t="s">
        <v>4223</v>
      </c>
      <c r="B174" s="131">
        <v>19681</v>
      </c>
      <c r="C174" s="145">
        <v>15</v>
      </c>
      <c r="D174" s="307"/>
      <c r="E174" s="131">
        <v>4976</v>
      </c>
      <c r="F174" s="145">
        <v>95</v>
      </c>
      <c r="G174" s="307"/>
      <c r="H174" s="131">
        <v>4976</v>
      </c>
      <c r="I174" s="145">
        <v>95</v>
      </c>
      <c r="J174" s="307"/>
      <c r="K174" s="131">
        <v>14704</v>
      </c>
      <c r="L174" s="145">
        <v>20</v>
      </c>
      <c r="M174" s="307"/>
      <c r="N174" s="131"/>
      <c r="O174" s="145"/>
      <c r="P174" s="307"/>
    </row>
    <row r="175" spans="1:16" x14ac:dyDescent="0.2">
      <c r="A175" s="1114" t="s">
        <v>3906</v>
      </c>
      <c r="B175" s="240">
        <v>2649389</v>
      </c>
      <c r="C175" s="318">
        <v>5</v>
      </c>
      <c r="D175" s="513"/>
      <c r="E175" s="240">
        <v>1220110</v>
      </c>
      <c r="F175" s="318">
        <v>60</v>
      </c>
      <c r="G175" s="513"/>
      <c r="H175" s="240">
        <v>1969864</v>
      </c>
      <c r="I175" s="318">
        <v>85</v>
      </c>
      <c r="J175" s="513"/>
      <c r="K175" s="240">
        <v>429278</v>
      </c>
      <c r="L175" s="318">
        <v>45</v>
      </c>
      <c r="M175" s="513"/>
      <c r="N175" s="240">
        <v>250245</v>
      </c>
      <c r="O175" s="318">
        <v>75</v>
      </c>
      <c r="P175" s="513"/>
    </row>
    <row r="176" spans="1:16" x14ac:dyDescent="0.2">
      <c r="A176" s="1114"/>
      <c r="B176" s="246">
        <f>+SUM(B168:B174)</f>
        <v>2649386</v>
      </c>
      <c r="C176" s="246">
        <f t="shared" ref="C176:P176" si="10">+SUM(C168:C174)</f>
        <v>305</v>
      </c>
      <c r="D176" s="246">
        <f t="shared" si="10"/>
        <v>0</v>
      </c>
      <c r="E176" s="1116">
        <f t="shared" si="10"/>
        <v>2144087</v>
      </c>
      <c r="F176" s="246">
        <f t="shared" si="10"/>
        <v>360</v>
      </c>
      <c r="G176" s="246">
        <f t="shared" si="10"/>
        <v>0</v>
      </c>
      <c r="H176" s="1116">
        <f t="shared" si="10"/>
        <v>1929860</v>
      </c>
      <c r="I176" s="246">
        <f t="shared" si="10"/>
        <v>485</v>
      </c>
      <c r="J176" s="246">
        <f t="shared" si="10"/>
        <v>0</v>
      </c>
      <c r="K176" s="246">
        <f t="shared" si="10"/>
        <v>429277</v>
      </c>
      <c r="L176" s="246">
        <f t="shared" si="10"/>
        <v>145</v>
      </c>
      <c r="M176" s="246">
        <f t="shared" si="10"/>
        <v>0</v>
      </c>
      <c r="N176" s="246">
        <f t="shared" si="10"/>
        <v>250244</v>
      </c>
      <c r="O176" s="246">
        <f t="shared" si="10"/>
        <v>175</v>
      </c>
      <c r="P176" s="246">
        <f t="shared" si="10"/>
        <v>0</v>
      </c>
    </row>
    <row r="177" spans="1:16" ht="29.5" customHeight="1" x14ac:dyDescent="0.15">
      <c r="A177" s="838" t="s">
        <v>2794</v>
      </c>
      <c r="B177" s="838"/>
      <c r="C177" s="838"/>
      <c r="D177" s="838"/>
      <c r="E177" s="838"/>
      <c r="F177" s="838"/>
      <c r="G177" s="838"/>
      <c r="H177" s="838"/>
      <c r="I177" s="838"/>
      <c r="J177" s="838"/>
      <c r="K177" s="838"/>
      <c r="L177" s="838"/>
      <c r="M177" s="838"/>
      <c r="N177" s="838"/>
      <c r="O177" s="838"/>
      <c r="P177" s="838"/>
    </row>
    <row r="178" spans="1:16" ht="29" customHeight="1" x14ac:dyDescent="0.15">
      <c r="A178" s="751" t="s">
        <v>3887</v>
      </c>
      <c r="B178" s="977" t="s">
        <v>3888</v>
      </c>
      <c r="C178" s="977"/>
      <c r="D178" s="977"/>
      <c r="E178" s="977" t="s">
        <v>3889</v>
      </c>
      <c r="F178" s="977"/>
      <c r="G178" s="977"/>
      <c r="H178" s="977" t="s">
        <v>3890</v>
      </c>
      <c r="I178" s="977"/>
      <c r="J178" s="977"/>
      <c r="K178" s="977" t="s">
        <v>3891</v>
      </c>
      <c r="L178" s="977"/>
      <c r="M178" s="977"/>
      <c r="N178" s="977" t="s">
        <v>3892</v>
      </c>
      <c r="O178" s="977"/>
      <c r="P178" s="977"/>
    </row>
    <row r="179" spans="1:16" x14ac:dyDescent="0.2">
      <c r="A179" s="107" t="s">
        <v>3964</v>
      </c>
      <c r="B179" s="349">
        <v>2000</v>
      </c>
      <c r="C179" s="350"/>
      <c r="D179" s="717"/>
      <c r="E179" s="349">
        <v>3</v>
      </c>
      <c r="F179" s="350">
        <v>5</v>
      </c>
      <c r="G179" s="717"/>
      <c r="H179" s="349">
        <v>3</v>
      </c>
      <c r="I179" s="350">
        <v>5</v>
      </c>
      <c r="J179" s="717"/>
      <c r="K179" s="349">
        <v>1996</v>
      </c>
      <c r="L179" s="350">
        <v>95</v>
      </c>
      <c r="M179" s="717"/>
      <c r="N179" s="349"/>
      <c r="O179" s="350"/>
      <c r="P179" s="717"/>
    </row>
    <row r="180" spans="1:16" x14ac:dyDescent="0.2">
      <c r="A180" s="107" t="s">
        <v>3965</v>
      </c>
      <c r="B180" s="131">
        <v>400</v>
      </c>
      <c r="C180" s="145"/>
      <c r="D180" s="307"/>
      <c r="E180" s="131">
        <v>6</v>
      </c>
      <c r="F180" s="145">
        <v>60</v>
      </c>
      <c r="G180" s="307"/>
      <c r="H180" s="131">
        <v>6</v>
      </c>
      <c r="I180" s="145">
        <v>60</v>
      </c>
      <c r="J180" s="307"/>
      <c r="K180" s="131">
        <v>393</v>
      </c>
      <c r="L180" s="145">
        <v>40</v>
      </c>
      <c r="M180" s="307"/>
      <c r="N180" s="131"/>
      <c r="O180" s="145"/>
      <c r="P180" s="307"/>
    </row>
    <row r="181" spans="1:16" x14ac:dyDescent="0.2">
      <c r="A181" s="107" t="s">
        <v>3915</v>
      </c>
      <c r="B181" s="131">
        <v>5553</v>
      </c>
      <c r="C181" s="145">
        <v>40</v>
      </c>
      <c r="D181" s="307"/>
      <c r="E181" s="131">
        <v>5095</v>
      </c>
      <c r="F181" s="145">
        <v>40</v>
      </c>
      <c r="G181" s="307"/>
      <c r="H181" s="131">
        <v>5095</v>
      </c>
      <c r="I181" s="145">
        <v>40</v>
      </c>
      <c r="J181" s="307"/>
      <c r="K181" s="131">
        <v>458</v>
      </c>
      <c r="L181" s="145"/>
      <c r="M181" s="307"/>
      <c r="N181" s="131"/>
      <c r="O181" s="145"/>
      <c r="P181" s="307"/>
    </row>
    <row r="182" spans="1:16" x14ac:dyDescent="0.2">
      <c r="A182" s="1114" t="s">
        <v>3906</v>
      </c>
      <c r="B182" s="240">
        <v>7953</v>
      </c>
      <c r="C182" s="318">
        <v>40</v>
      </c>
      <c r="D182" s="513"/>
      <c r="E182" s="240">
        <v>5105</v>
      </c>
      <c r="F182" s="318">
        <v>5</v>
      </c>
      <c r="G182" s="513"/>
      <c r="H182" s="240">
        <v>5105</v>
      </c>
      <c r="I182" s="318">
        <v>5</v>
      </c>
      <c r="J182" s="513"/>
      <c r="K182" s="240">
        <v>2848</v>
      </c>
      <c r="L182" s="318">
        <v>35</v>
      </c>
      <c r="M182" s="513"/>
      <c r="N182" s="240"/>
      <c r="O182" s="318"/>
      <c r="P182" s="513"/>
    </row>
    <row r="183" spans="1:16" x14ac:dyDescent="0.2">
      <c r="A183" s="1114"/>
      <c r="B183" s="246">
        <f>+SUM(B179:B181)</f>
        <v>7953</v>
      </c>
      <c r="C183" s="246">
        <f t="shared" ref="C183:P183" si="11">+SUM(C179:C181)</f>
        <v>40</v>
      </c>
      <c r="D183" s="246">
        <f t="shared" si="11"/>
        <v>0</v>
      </c>
      <c r="E183" s="246">
        <f t="shared" si="11"/>
        <v>5104</v>
      </c>
      <c r="F183" s="246">
        <f t="shared" si="11"/>
        <v>105</v>
      </c>
      <c r="G183" s="246">
        <f t="shared" si="11"/>
        <v>0</v>
      </c>
      <c r="H183" s="246">
        <f t="shared" si="11"/>
        <v>5104</v>
      </c>
      <c r="I183" s="246">
        <f t="shared" si="11"/>
        <v>105</v>
      </c>
      <c r="J183" s="246">
        <f t="shared" si="11"/>
        <v>0</v>
      </c>
      <c r="K183" s="246">
        <f t="shared" si="11"/>
        <v>2847</v>
      </c>
      <c r="L183" s="246">
        <f t="shared" si="11"/>
        <v>135</v>
      </c>
      <c r="M183" s="246">
        <f t="shared" si="11"/>
        <v>0</v>
      </c>
      <c r="N183" s="246">
        <f t="shared" si="11"/>
        <v>0</v>
      </c>
      <c r="O183" s="246">
        <f t="shared" si="11"/>
        <v>0</v>
      </c>
      <c r="P183" s="246">
        <f t="shared" si="11"/>
        <v>0</v>
      </c>
    </row>
    <row r="184" spans="1:16" ht="31.25" customHeight="1" x14ac:dyDescent="0.15">
      <c r="A184" s="838" t="s">
        <v>3967</v>
      </c>
      <c r="B184" s="838"/>
      <c r="C184" s="838"/>
      <c r="D184" s="838"/>
      <c r="E184" s="838"/>
      <c r="F184" s="838"/>
      <c r="G184" s="838"/>
      <c r="H184" s="838"/>
      <c r="I184" s="838"/>
      <c r="J184" s="838"/>
      <c r="K184" s="838"/>
      <c r="L184" s="838"/>
      <c r="M184" s="838"/>
      <c r="N184" s="838"/>
      <c r="O184" s="838"/>
      <c r="P184" s="838"/>
    </row>
    <row r="185" spans="1:16" ht="25.25" customHeight="1" x14ac:dyDescent="0.15">
      <c r="A185" s="751" t="s">
        <v>3887</v>
      </c>
      <c r="B185" s="977" t="s">
        <v>3888</v>
      </c>
      <c r="C185" s="977"/>
      <c r="D185" s="977"/>
      <c r="E185" s="977" t="s">
        <v>3889</v>
      </c>
      <c r="F185" s="977"/>
      <c r="G185" s="977"/>
      <c r="H185" s="977" t="s">
        <v>3890</v>
      </c>
      <c r="I185" s="977"/>
      <c r="J185" s="977"/>
      <c r="K185" s="977" t="s">
        <v>3891</v>
      </c>
      <c r="L185" s="977"/>
      <c r="M185" s="977"/>
      <c r="N185" s="977" t="s">
        <v>3892</v>
      </c>
      <c r="O185" s="977"/>
      <c r="P185" s="977"/>
    </row>
    <row r="186" spans="1:16" x14ac:dyDescent="0.2">
      <c r="A186" s="107" t="s">
        <v>3968</v>
      </c>
      <c r="B186" s="349">
        <v>39215</v>
      </c>
      <c r="C186" s="350">
        <v>55</v>
      </c>
      <c r="D186" s="717"/>
      <c r="E186" s="349">
        <v>72</v>
      </c>
      <c r="F186" s="350">
        <v>60</v>
      </c>
      <c r="G186" s="717"/>
      <c r="H186" s="349">
        <v>72</v>
      </c>
      <c r="I186" s="350">
        <v>60</v>
      </c>
      <c r="J186" s="717"/>
      <c r="K186" s="349">
        <v>39142</v>
      </c>
      <c r="L186" s="350">
        <v>95</v>
      </c>
      <c r="M186" s="717"/>
      <c r="N186" s="349"/>
      <c r="O186" s="350"/>
      <c r="P186" s="717"/>
    </row>
    <row r="187" spans="1:16" x14ac:dyDescent="0.2">
      <c r="A187" s="107" t="s">
        <v>3969</v>
      </c>
      <c r="B187" s="131">
        <v>60105</v>
      </c>
      <c r="C187" s="145">
        <v>40</v>
      </c>
      <c r="D187" s="307"/>
      <c r="E187" s="131"/>
      <c r="F187" s="145"/>
      <c r="G187" s="307"/>
      <c r="H187" s="131"/>
      <c r="I187" s="145"/>
      <c r="J187" s="307"/>
      <c r="K187" s="131">
        <v>60105</v>
      </c>
      <c r="L187" s="145">
        <v>40</v>
      </c>
      <c r="M187" s="307"/>
      <c r="N187" s="131"/>
      <c r="O187" s="145"/>
      <c r="P187" s="307"/>
    </row>
    <row r="188" spans="1:16" x14ac:dyDescent="0.2">
      <c r="B188" s="109">
        <f>+SUM(B186:B187)</f>
        <v>99320</v>
      </c>
      <c r="C188" s="109">
        <f t="shared" ref="C188:P188" si="12">+SUM(C186:C187)</f>
        <v>95</v>
      </c>
      <c r="D188" s="109">
        <f t="shared" si="12"/>
        <v>0</v>
      </c>
      <c r="E188" s="109">
        <f t="shared" si="12"/>
        <v>72</v>
      </c>
      <c r="F188" s="109">
        <f t="shared" si="12"/>
        <v>60</v>
      </c>
      <c r="G188" s="109">
        <f t="shared" si="12"/>
        <v>0</v>
      </c>
      <c r="H188" s="109">
        <f t="shared" si="12"/>
        <v>72</v>
      </c>
      <c r="I188" s="109">
        <f t="shared" si="12"/>
        <v>60</v>
      </c>
      <c r="J188" s="109">
        <f t="shared" si="12"/>
        <v>0</v>
      </c>
      <c r="K188" s="109">
        <f t="shared" si="12"/>
        <v>99247</v>
      </c>
      <c r="L188" s="109">
        <f t="shared" si="12"/>
        <v>135</v>
      </c>
      <c r="M188" s="109">
        <f t="shared" si="12"/>
        <v>0</v>
      </c>
      <c r="N188" s="109">
        <f t="shared" si="12"/>
        <v>0</v>
      </c>
      <c r="O188" s="109">
        <f t="shared" si="12"/>
        <v>0</v>
      </c>
      <c r="P188" s="109">
        <f t="shared" si="12"/>
        <v>0</v>
      </c>
    </row>
    <row r="189" spans="1:16" x14ac:dyDescent="0.2">
      <c r="A189" s="1114" t="s">
        <v>3906</v>
      </c>
      <c r="B189" s="240">
        <v>99320</v>
      </c>
      <c r="C189" s="318">
        <v>95</v>
      </c>
      <c r="D189" s="513"/>
      <c r="E189" s="240">
        <v>72</v>
      </c>
      <c r="F189" s="318">
        <v>60</v>
      </c>
      <c r="G189" s="513"/>
      <c r="H189" s="240">
        <v>72</v>
      </c>
      <c r="I189" s="318">
        <v>60</v>
      </c>
      <c r="J189" s="513"/>
      <c r="K189" s="240">
        <v>99248</v>
      </c>
      <c r="L189" s="318">
        <v>35</v>
      </c>
      <c r="M189" s="513"/>
      <c r="N189" s="240"/>
      <c r="O189" s="318"/>
      <c r="P189" s="513"/>
    </row>
    <row r="190" spans="1:16" ht="26.5" customHeight="1" x14ac:dyDescent="0.15">
      <c r="A190" s="838" t="s">
        <v>3999</v>
      </c>
      <c r="B190" s="838"/>
      <c r="C190" s="838"/>
      <c r="D190" s="838"/>
      <c r="E190" s="838"/>
      <c r="F190" s="838"/>
      <c r="G190" s="838"/>
      <c r="H190" s="838"/>
      <c r="I190" s="838"/>
      <c r="J190" s="838"/>
      <c r="K190" s="838"/>
      <c r="L190" s="838"/>
      <c r="M190" s="838"/>
      <c r="N190" s="838"/>
      <c r="O190" s="838"/>
      <c r="P190" s="838"/>
    </row>
    <row r="191" spans="1:16" ht="25.25" customHeight="1" x14ac:dyDescent="0.15">
      <c r="A191" s="751" t="s">
        <v>3887</v>
      </c>
      <c r="B191" s="977" t="s">
        <v>3888</v>
      </c>
      <c r="C191" s="977"/>
      <c r="D191" s="977"/>
      <c r="E191" s="977" t="s">
        <v>3889</v>
      </c>
      <c r="F191" s="977"/>
      <c r="G191" s="977"/>
      <c r="H191" s="977" t="s">
        <v>3890</v>
      </c>
      <c r="I191" s="977"/>
      <c r="J191" s="977"/>
      <c r="K191" s="977" t="s">
        <v>3891</v>
      </c>
      <c r="L191" s="977"/>
      <c r="M191" s="977"/>
      <c r="N191" s="977" t="s">
        <v>3892</v>
      </c>
      <c r="O191" s="977"/>
      <c r="P191" s="977"/>
    </row>
    <row r="192" spans="1:16" x14ac:dyDescent="0.2">
      <c r="A192" s="107" t="s">
        <v>3949</v>
      </c>
      <c r="B192" s="349">
        <v>30000</v>
      </c>
      <c r="C192" s="350"/>
      <c r="D192" s="717"/>
      <c r="E192" s="349">
        <v>5539</v>
      </c>
      <c r="F192" s="350">
        <v>40</v>
      </c>
      <c r="G192" s="717"/>
      <c r="H192" s="349">
        <v>5539</v>
      </c>
      <c r="I192" s="350">
        <v>40</v>
      </c>
      <c r="J192" s="717"/>
      <c r="K192" s="349">
        <v>24460</v>
      </c>
      <c r="L192" s="350">
        <v>60</v>
      </c>
      <c r="M192" s="717"/>
      <c r="N192" s="349"/>
      <c r="O192" s="350"/>
      <c r="P192" s="717"/>
    </row>
    <row r="193" spans="1:16" x14ac:dyDescent="0.2">
      <c r="A193" s="1114" t="s">
        <v>3906</v>
      </c>
      <c r="B193" s="240">
        <v>30000</v>
      </c>
      <c r="C193" s="318"/>
      <c r="D193" s="513"/>
      <c r="E193" s="240">
        <v>5539</v>
      </c>
      <c r="F193" s="318">
        <v>40</v>
      </c>
      <c r="G193" s="513"/>
      <c r="H193" s="240">
        <v>5539</v>
      </c>
      <c r="I193" s="318">
        <v>40</v>
      </c>
      <c r="J193" s="513"/>
      <c r="K193" s="240">
        <v>24460</v>
      </c>
      <c r="L193" s="318">
        <v>60</v>
      </c>
      <c r="M193" s="513"/>
      <c r="N193" s="240"/>
      <c r="O193" s="318"/>
      <c r="P193" s="513"/>
    </row>
    <row r="194" spans="1:16" ht="26.5" customHeight="1" x14ac:dyDescent="0.15">
      <c r="A194" s="838" t="s">
        <v>3999</v>
      </c>
      <c r="B194" s="838"/>
      <c r="C194" s="838"/>
      <c r="D194" s="838"/>
      <c r="E194" s="838"/>
      <c r="F194" s="838"/>
      <c r="G194" s="838"/>
      <c r="H194" s="838"/>
      <c r="I194" s="838"/>
      <c r="J194" s="838"/>
      <c r="K194" s="838"/>
      <c r="L194" s="838"/>
      <c r="M194" s="838"/>
      <c r="N194" s="838"/>
      <c r="O194" s="838"/>
      <c r="P194" s="838"/>
    </row>
    <row r="195" spans="1:16" ht="25.25" customHeight="1" x14ac:dyDescent="0.15">
      <c r="A195" s="751" t="s">
        <v>3887</v>
      </c>
      <c r="B195" s="977" t="s">
        <v>3888</v>
      </c>
      <c r="C195" s="977"/>
      <c r="D195" s="977"/>
      <c r="E195" s="977" t="s">
        <v>3889</v>
      </c>
      <c r="F195" s="977"/>
      <c r="G195" s="977"/>
      <c r="H195" s="977" t="s">
        <v>3890</v>
      </c>
      <c r="I195" s="977"/>
      <c r="J195" s="977"/>
      <c r="K195" s="977" t="s">
        <v>3891</v>
      </c>
      <c r="L195" s="977"/>
      <c r="M195" s="977"/>
      <c r="N195" s="977" t="s">
        <v>3892</v>
      </c>
      <c r="O195" s="977"/>
      <c r="P195" s="977"/>
    </row>
    <row r="196" spans="1:16" x14ac:dyDescent="0.2">
      <c r="A196" s="107" t="s">
        <v>3949</v>
      </c>
      <c r="B196" s="349">
        <v>24460</v>
      </c>
      <c r="C196" s="350">
        <v>60</v>
      </c>
      <c r="D196" s="717"/>
      <c r="E196" s="349">
        <v>598</v>
      </c>
      <c r="F196" s="350"/>
      <c r="G196" s="717"/>
      <c r="H196" s="349">
        <v>598</v>
      </c>
      <c r="I196" s="350"/>
      <c r="J196" s="717"/>
      <c r="K196" s="349">
        <v>23862</v>
      </c>
      <c r="L196" s="350">
        <v>60</v>
      </c>
      <c r="M196" s="717"/>
      <c r="N196" s="349"/>
      <c r="O196" s="350"/>
      <c r="P196" s="717"/>
    </row>
    <row r="197" spans="1:16" x14ac:dyDescent="0.2">
      <c r="A197" s="1114" t="s">
        <v>3906</v>
      </c>
      <c r="B197" s="240">
        <v>24460</v>
      </c>
      <c r="C197" s="318">
        <v>60</v>
      </c>
      <c r="D197" s="513"/>
      <c r="E197" s="240">
        <v>598</v>
      </c>
      <c r="F197" s="318"/>
      <c r="G197" s="513"/>
      <c r="H197" s="240">
        <v>598</v>
      </c>
      <c r="I197" s="318"/>
      <c r="J197" s="513"/>
      <c r="K197" s="240">
        <v>23862</v>
      </c>
      <c r="L197" s="318">
        <v>60</v>
      </c>
      <c r="M197" s="513"/>
      <c r="N197" s="240"/>
      <c r="O197" s="318"/>
      <c r="P197" s="513"/>
    </row>
    <row r="198" spans="1:16" ht="42.5" customHeight="1" x14ac:dyDescent="0.15">
      <c r="A198" s="875" t="s">
        <v>4000</v>
      </c>
      <c r="B198" s="876"/>
      <c r="C198" s="876"/>
      <c r="D198" s="876"/>
      <c r="E198" s="876"/>
      <c r="F198" s="876"/>
      <c r="G198" s="876"/>
      <c r="H198" s="876"/>
      <c r="I198" s="876"/>
      <c r="J198" s="876"/>
      <c r="K198" s="876"/>
      <c r="L198" s="876"/>
      <c r="M198" s="876"/>
      <c r="N198" s="876"/>
      <c r="O198" s="876"/>
      <c r="P198" s="877"/>
    </row>
    <row r="199" spans="1:16" ht="32.5" customHeight="1" x14ac:dyDescent="0.15">
      <c r="A199" s="810" t="s">
        <v>3971</v>
      </c>
      <c r="B199" s="977" t="s">
        <v>3888</v>
      </c>
      <c r="C199" s="977"/>
      <c r="D199" s="977"/>
      <c r="E199" s="977" t="s">
        <v>3889</v>
      </c>
      <c r="F199" s="977"/>
      <c r="G199" s="977"/>
      <c r="H199" s="977" t="s">
        <v>3890</v>
      </c>
      <c r="I199" s="977"/>
      <c r="J199" s="977"/>
      <c r="K199" s="977" t="s">
        <v>3891</v>
      </c>
      <c r="L199" s="977"/>
      <c r="M199" s="977"/>
      <c r="N199" s="977" t="s">
        <v>3892</v>
      </c>
      <c r="O199" s="977"/>
      <c r="P199" s="977"/>
    </row>
    <row r="200" spans="1:16" x14ac:dyDescent="0.2">
      <c r="A200" s="107" t="s">
        <v>3972</v>
      </c>
      <c r="B200" s="349">
        <v>365630</v>
      </c>
      <c r="C200" s="350">
        <v>75</v>
      </c>
      <c r="D200" s="717"/>
      <c r="E200" s="349">
        <v>284424</v>
      </c>
      <c r="F200" s="350">
        <v>47</v>
      </c>
      <c r="G200" s="352">
        <v>0.5</v>
      </c>
      <c r="H200" s="349">
        <v>282419</v>
      </c>
      <c r="I200" s="350">
        <v>47</v>
      </c>
      <c r="J200" s="352">
        <v>0.5</v>
      </c>
      <c r="K200" s="349">
        <v>81206</v>
      </c>
      <c r="L200" s="350">
        <v>27</v>
      </c>
      <c r="M200" s="352">
        <v>0.5</v>
      </c>
      <c r="N200" s="349">
        <v>2005</v>
      </c>
      <c r="O200" s="350"/>
      <c r="P200" s="717"/>
    </row>
    <row r="201" spans="1:16" x14ac:dyDescent="0.2">
      <c r="A201" s="107" t="s">
        <v>3973</v>
      </c>
      <c r="B201" s="131">
        <v>29334</v>
      </c>
      <c r="C201" s="145"/>
      <c r="D201" s="307"/>
      <c r="E201" s="131">
        <v>22957</v>
      </c>
      <c r="F201" s="145">
        <v>80</v>
      </c>
      <c r="G201" s="133"/>
      <c r="H201" s="131">
        <v>22957</v>
      </c>
      <c r="I201" s="145">
        <v>80</v>
      </c>
      <c r="J201" s="133"/>
      <c r="K201" s="131">
        <v>6376</v>
      </c>
      <c r="L201" s="145">
        <v>20</v>
      </c>
      <c r="M201" s="133"/>
      <c r="N201" s="131"/>
      <c r="O201" s="145"/>
      <c r="P201" s="307"/>
    </row>
    <row r="202" spans="1:16" x14ac:dyDescent="0.2">
      <c r="A202" s="107" t="s">
        <v>3974</v>
      </c>
      <c r="B202" s="131">
        <v>797261</v>
      </c>
      <c r="C202" s="145">
        <v>10</v>
      </c>
      <c r="D202" s="307"/>
      <c r="E202" s="131">
        <v>684651</v>
      </c>
      <c r="F202" s="145">
        <v>74</v>
      </c>
      <c r="G202" s="133"/>
      <c r="H202" s="131">
        <v>621840</v>
      </c>
      <c r="I202" s="145">
        <v>54</v>
      </c>
      <c r="J202" s="133"/>
      <c r="K202" s="131">
        <v>112609</v>
      </c>
      <c r="L202" s="145">
        <v>36</v>
      </c>
      <c r="M202" s="133"/>
      <c r="N202" s="131">
        <v>62811</v>
      </c>
      <c r="O202" s="145">
        <v>20</v>
      </c>
      <c r="P202" s="307"/>
    </row>
    <row r="203" spans="1:16" x14ac:dyDescent="0.2">
      <c r="A203" s="141" t="s">
        <v>3975</v>
      </c>
      <c r="B203" s="131">
        <v>319138</v>
      </c>
      <c r="C203" s="145">
        <v>38</v>
      </c>
      <c r="D203" s="307"/>
      <c r="E203" s="131">
        <v>206466</v>
      </c>
      <c r="F203" s="145">
        <v>85</v>
      </c>
      <c r="G203" s="133"/>
      <c r="H203" s="131">
        <v>206247</v>
      </c>
      <c r="I203" s="145">
        <v>75</v>
      </c>
      <c r="J203" s="133"/>
      <c r="K203" s="131">
        <v>112671</v>
      </c>
      <c r="L203" s="145">
        <v>53</v>
      </c>
      <c r="M203" s="133"/>
      <c r="N203" s="131">
        <v>219</v>
      </c>
      <c r="O203" s="145">
        <v>10</v>
      </c>
      <c r="P203" s="307"/>
    </row>
    <row r="204" spans="1:16" x14ac:dyDescent="0.2">
      <c r="A204" s="141" t="s">
        <v>3976</v>
      </c>
      <c r="B204" s="131">
        <v>185750</v>
      </c>
      <c r="C204" s="145"/>
      <c r="D204" s="307"/>
      <c r="E204" s="131">
        <v>62375</v>
      </c>
      <c r="F204" s="145">
        <v>35</v>
      </c>
      <c r="G204" s="133"/>
      <c r="H204" s="131">
        <v>61375</v>
      </c>
      <c r="I204" s="145">
        <v>35</v>
      </c>
      <c r="J204" s="133"/>
      <c r="K204" s="131">
        <v>123374</v>
      </c>
      <c r="L204" s="145">
        <v>75</v>
      </c>
      <c r="M204" s="133"/>
      <c r="N204" s="131">
        <v>800</v>
      </c>
      <c r="O204" s="145"/>
      <c r="P204" s="307"/>
    </row>
    <row r="205" spans="1:16" x14ac:dyDescent="0.2">
      <c r="A205" s="141" t="s">
        <v>3977</v>
      </c>
      <c r="B205" s="131"/>
      <c r="C205" s="145"/>
      <c r="D205" s="307"/>
      <c r="E205" s="131"/>
      <c r="F205" s="145"/>
      <c r="G205" s="133"/>
      <c r="H205" s="131"/>
      <c r="I205" s="145"/>
      <c r="J205" s="133"/>
      <c r="K205" s="131"/>
      <c r="L205" s="145"/>
      <c r="M205" s="133"/>
      <c r="N205" s="131"/>
      <c r="O205" s="145"/>
      <c r="P205" s="307"/>
    </row>
    <row r="206" spans="1:16" x14ac:dyDescent="0.2">
      <c r="A206" s="141" t="s">
        <v>3978</v>
      </c>
      <c r="B206" s="131">
        <v>1873255</v>
      </c>
      <c r="C206" s="145">
        <v>90</v>
      </c>
      <c r="D206" s="307"/>
      <c r="E206" s="131">
        <v>1205696</v>
      </c>
      <c r="F206" s="145">
        <v>95</v>
      </c>
      <c r="G206" s="133"/>
      <c r="H206" s="131">
        <v>1205696</v>
      </c>
      <c r="I206" s="145">
        <v>95</v>
      </c>
      <c r="J206" s="133"/>
      <c r="K206" s="131">
        <v>667555</v>
      </c>
      <c r="L206" s="145">
        <v>95</v>
      </c>
      <c r="M206" s="133"/>
      <c r="N206" s="131">
        <v>520</v>
      </c>
      <c r="O206" s="145">
        <v>35</v>
      </c>
      <c r="P206" s="307"/>
    </row>
    <row r="207" spans="1:16" x14ac:dyDescent="0.2">
      <c r="A207" s="141" t="s">
        <v>3979</v>
      </c>
      <c r="B207" s="131">
        <v>258343</v>
      </c>
      <c r="C207" s="145"/>
      <c r="D207" s="307"/>
      <c r="E207" s="131">
        <v>1856</v>
      </c>
      <c r="F207" s="145">
        <v>50</v>
      </c>
      <c r="G207" s="133"/>
      <c r="H207" s="131">
        <v>1856</v>
      </c>
      <c r="I207" s="145">
        <v>50</v>
      </c>
      <c r="J207" s="133"/>
      <c r="K207" s="131">
        <v>256486</v>
      </c>
      <c r="L207" s="145">
        <v>50</v>
      </c>
      <c r="M207" s="133"/>
      <c r="N207" s="131"/>
      <c r="O207" s="145"/>
      <c r="P207" s="307"/>
    </row>
    <row r="208" spans="1:16" x14ac:dyDescent="0.2">
      <c r="A208" s="141" t="s">
        <v>3979</v>
      </c>
      <c r="B208" s="131">
        <v>565016</v>
      </c>
      <c r="C208" s="145">
        <v>30</v>
      </c>
      <c r="D208" s="307"/>
      <c r="E208" s="131">
        <v>304637</v>
      </c>
      <c r="F208" s="145">
        <v>15</v>
      </c>
      <c r="G208" s="133"/>
      <c r="H208" s="131">
        <v>304637</v>
      </c>
      <c r="I208" s="145">
        <v>15</v>
      </c>
      <c r="J208" s="133"/>
      <c r="K208" s="131">
        <v>260379</v>
      </c>
      <c r="L208" s="145">
        <v>15</v>
      </c>
      <c r="M208" s="133"/>
      <c r="N208" s="131"/>
      <c r="O208" s="145"/>
      <c r="P208" s="307"/>
    </row>
    <row r="209" spans="1:16" x14ac:dyDescent="0.2">
      <c r="A209" s="141" t="s">
        <v>3980</v>
      </c>
      <c r="B209" s="131"/>
      <c r="C209" s="145"/>
      <c r="D209" s="307"/>
      <c r="E209" s="131"/>
      <c r="F209" s="145"/>
      <c r="G209" s="133"/>
      <c r="H209" s="131"/>
      <c r="I209" s="145"/>
      <c r="J209" s="133"/>
      <c r="K209" s="131"/>
      <c r="L209" s="145"/>
      <c r="M209" s="133"/>
      <c r="N209" s="131"/>
      <c r="O209" s="145"/>
      <c r="P209" s="307"/>
    </row>
    <row r="210" spans="1:16" x14ac:dyDescent="0.2">
      <c r="A210" s="141" t="s">
        <v>3981</v>
      </c>
      <c r="B210" s="131">
        <v>1232134</v>
      </c>
      <c r="C210" s="145">
        <v>3</v>
      </c>
      <c r="D210" s="307"/>
      <c r="E210" s="131">
        <v>636523</v>
      </c>
      <c r="F210" s="145"/>
      <c r="G210" s="133"/>
      <c r="H210" s="131">
        <v>636523</v>
      </c>
      <c r="I210" s="145"/>
      <c r="J210" s="133"/>
      <c r="K210" s="131">
        <v>595611</v>
      </c>
      <c r="L210" s="145">
        <v>3</v>
      </c>
      <c r="M210" s="133"/>
      <c r="N210" s="131"/>
      <c r="O210" s="145"/>
      <c r="P210" s="307"/>
    </row>
    <row r="211" spans="1:16" x14ac:dyDescent="0.2">
      <c r="A211" s="141" t="s">
        <v>3982</v>
      </c>
      <c r="B211" s="131">
        <v>3013630</v>
      </c>
      <c r="C211" s="145"/>
      <c r="D211" s="307"/>
      <c r="E211" s="131">
        <v>170513</v>
      </c>
      <c r="F211" s="145">
        <v>80</v>
      </c>
      <c r="G211" s="133"/>
      <c r="H211" s="131">
        <v>170513</v>
      </c>
      <c r="I211" s="145">
        <v>80</v>
      </c>
      <c r="J211" s="133"/>
      <c r="K211" s="131">
        <v>2843116</v>
      </c>
      <c r="L211" s="145">
        <v>20</v>
      </c>
      <c r="M211" s="133"/>
      <c r="N211" s="131"/>
      <c r="O211" s="145"/>
      <c r="P211" s="307"/>
    </row>
    <row r="212" spans="1:16" x14ac:dyDescent="0.2">
      <c r="A212" s="141" t="s">
        <v>3983</v>
      </c>
      <c r="B212" s="131"/>
      <c r="C212" s="145"/>
      <c r="D212" s="307"/>
      <c r="E212" s="131"/>
      <c r="F212" s="145"/>
      <c r="G212" s="133"/>
      <c r="H212" s="131"/>
      <c r="I212" s="145"/>
      <c r="J212" s="133"/>
      <c r="K212" s="131"/>
      <c r="L212" s="145"/>
      <c r="M212" s="133"/>
      <c r="N212" s="131"/>
      <c r="O212" s="145"/>
      <c r="P212" s="307"/>
    </row>
    <row r="213" spans="1:16" x14ac:dyDescent="0.2">
      <c r="A213" s="141" t="s">
        <v>3984</v>
      </c>
      <c r="B213" s="131">
        <v>108278</v>
      </c>
      <c r="C213" s="145"/>
      <c r="D213" s="307"/>
      <c r="E213" s="131">
        <v>54868</v>
      </c>
      <c r="F213" s="145">
        <v>95</v>
      </c>
      <c r="G213" s="133"/>
      <c r="H213" s="131">
        <v>54868</v>
      </c>
      <c r="I213" s="145">
        <v>95</v>
      </c>
      <c r="J213" s="133"/>
      <c r="K213" s="131">
        <v>53454</v>
      </c>
      <c r="L213" s="145">
        <v>5</v>
      </c>
      <c r="M213" s="133"/>
      <c r="N213" s="131">
        <v>45</v>
      </c>
      <c r="O213" s="145"/>
      <c r="P213" s="307"/>
    </row>
    <row r="214" spans="1:16" x14ac:dyDescent="0.2">
      <c r="A214" s="141" t="s">
        <v>1825</v>
      </c>
      <c r="B214" s="131">
        <v>2649389</v>
      </c>
      <c r="C214" s="145">
        <v>5</v>
      </c>
      <c r="D214" s="307"/>
      <c r="E214" s="131">
        <v>1220110</v>
      </c>
      <c r="F214" s="145">
        <v>60</v>
      </c>
      <c r="G214" s="133"/>
      <c r="H214" s="131">
        <v>1969864</v>
      </c>
      <c r="I214" s="145">
        <v>85</v>
      </c>
      <c r="J214" s="133"/>
      <c r="K214" s="131">
        <v>429278</v>
      </c>
      <c r="L214" s="145">
        <v>45</v>
      </c>
      <c r="M214" s="133"/>
      <c r="N214" s="131">
        <v>250245</v>
      </c>
      <c r="O214" s="145">
        <v>75</v>
      </c>
      <c r="P214" s="307"/>
    </row>
    <row r="215" spans="1:16" x14ac:dyDescent="0.2">
      <c r="A215" s="141" t="s">
        <v>4224</v>
      </c>
      <c r="B215" s="131">
        <v>7953</v>
      </c>
      <c r="C215" s="145">
        <v>40</v>
      </c>
      <c r="D215" s="307"/>
      <c r="E215" s="131">
        <v>5105</v>
      </c>
      <c r="F215" s="145">
        <v>5</v>
      </c>
      <c r="G215" s="133"/>
      <c r="H215" s="131">
        <v>5105</v>
      </c>
      <c r="I215" s="145">
        <v>5</v>
      </c>
      <c r="J215" s="133"/>
      <c r="K215" s="131">
        <v>2848</v>
      </c>
      <c r="L215" s="145">
        <v>35</v>
      </c>
      <c r="M215" s="133"/>
      <c r="N215" s="131"/>
      <c r="O215" s="145"/>
      <c r="P215" s="307"/>
    </row>
    <row r="216" spans="1:16" x14ac:dyDescent="0.2">
      <c r="A216" s="141" t="s">
        <v>4225</v>
      </c>
      <c r="B216" s="131">
        <v>99320</v>
      </c>
      <c r="C216" s="145">
        <v>95</v>
      </c>
      <c r="D216" s="307"/>
      <c r="E216" s="131">
        <v>72</v>
      </c>
      <c r="F216" s="145">
        <v>60</v>
      </c>
      <c r="G216" s="133"/>
      <c r="H216" s="131">
        <v>72</v>
      </c>
      <c r="I216" s="145">
        <v>60</v>
      </c>
      <c r="J216" s="133"/>
      <c r="K216" s="131">
        <v>99248</v>
      </c>
      <c r="L216" s="145">
        <v>35</v>
      </c>
      <c r="M216" s="133"/>
      <c r="N216" s="131"/>
      <c r="O216" s="145"/>
      <c r="P216" s="307"/>
    </row>
    <row r="217" spans="1:16" x14ac:dyDescent="0.2">
      <c r="A217" s="141" t="s">
        <v>4001</v>
      </c>
      <c r="B217" s="131">
        <v>30000</v>
      </c>
      <c r="C217" s="145"/>
      <c r="D217" s="307"/>
      <c r="E217" s="131">
        <v>5539</v>
      </c>
      <c r="F217" s="145">
        <v>40</v>
      </c>
      <c r="G217" s="133"/>
      <c r="H217" s="131">
        <v>5539</v>
      </c>
      <c r="I217" s="145">
        <v>40</v>
      </c>
      <c r="J217" s="133"/>
      <c r="K217" s="131">
        <v>24460</v>
      </c>
      <c r="L217" s="145">
        <v>60</v>
      </c>
      <c r="M217" s="133"/>
      <c r="N217" s="131"/>
      <c r="O217" s="145"/>
      <c r="P217" s="307"/>
    </row>
    <row r="218" spans="1:16" x14ac:dyDescent="0.2">
      <c r="A218" s="141" t="s">
        <v>4001</v>
      </c>
      <c r="B218" s="131">
        <v>24460</v>
      </c>
      <c r="C218" s="145">
        <v>60</v>
      </c>
      <c r="D218" s="307"/>
      <c r="E218" s="131">
        <v>598</v>
      </c>
      <c r="F218" s="145"/>
      <c r="G218" s="133"/>
      <c r="H218" s="131">
        <v>598</v>
      </c>
      <c r="I218" s="145"/>
      <c r="J218" s="133"/>
      <c r="K218" s="131">
        <v>23862</v>
      </c>
      <c r="L218" s="145">
        <v>60</v>
      </c>
      <c r="M218" s="133"/>
      <c r="N218" s="131"/>
      <c r="O218" s="145"/>
      <c r="P218" s="307"/>
    </row>
    <row r="219" spans="1:16" x14ac:dyDescent="0.2">
      <c r="A219" s="1114" t="s">
        <v>3987</v>
      </c>
      <c r="B219" s="240">
        <v>11558895</v>
      </c>
      <c r="C219" s="318">
        <v>46</v>
      </c>
      <c r="D219" s="513"/>
      <c r="E219" s="240">
        <v>4866398</v>
      </c>
      <c r="F219" s="318">
        <v>21</v>
      </c>
      <c r="G219" s="241">
        <v>0.5</v>
      </c>
      <c r="H219" s="240">
        <v>5550117</v>
      </c>
      <c r="I219" s="318">
        <v>16</v>
      </c>
      <c r="J219" s="241">
        <v>0.5</v>
      </c>
      <c r="K219" s="240">
        <v>5692539</v>
      </c>
      <c r="L219" s="318">
        <v>34</v>
      </c>
      <c r="M219" s="241">
        <v>0.5</v>
      </c>
      <c r="N219" s="240">
        <v>316746</v>
      </c>
      <c r="O219" s="318">
        <v>35</v>
      </c>
      <c r="P219" s="513"/>
    </row>
    <row r="220" spans="1:16" x14ac:dyDescent="0.2">
      <c r="B220" s="393">
        <f>+SUM(B200:B218)</f>
        <v>11558891</v>
      </c>
      <c r="C220" s="393">
        <f t="shared" ref="C220:P220" si="13">+SUM(C200:C218)</f>
        <v>446</v>
      </c>
      <c r="D220" s="393">
        <f t="shared" si="13"/>
        <v>0</v>
      </c>
      <c r="E220" s="393">
        <f t="shared" si="13"/>
        <v>4866390</v>
      </c>
      <c r="F220" s="393">
        <f t="shared" si="13"/>
        <v>821</v>
      </c>
      <c r="G220" s="1078">
        <f t="shared" si="13"/>
        <v>0.5</v>
      </c>
      <c r="H220" s="393">
        <f t="shared" si="13"/>
        <v>5550109</v>
      </c>
      <c r="I220" s="393">
        <f t="shared" si="13"/>
        <v>816</v>
      </c>
      <c r="J220" s="1078">
        <f t="shared" si="13"/>
        <v>0.5</v>
      </c>
      <c r="K220" s="393">
        <f t="shared" si="13"/>
        <v>5692533</v>
      </c>
      <c r="L220" s="393">
        <f t="shared" si="13"/>
        <v>634</v>
      </c>
      <c r="M220" s="1078">
        <f t="shared" si="13"/>
        <v>0.5</v>
      </c>
      <c r="N220" s="1137">
        <f t="shared" si="13"/>
        <v>316645</v>
      </c>
      <c r="O220" s="1137">
        <f t="shared" si="13"/>
        <v>140</v>
      </c>
      <c r="P220" s="393">
        <f t="shared" si="13"/>
        <v>0</v>
      </c>
    </row>
    <row r="223" spans="1:16" x14ac:dyDescent="0.2">
      <c r="A223" s="526" t="s">
        <v>2602</v>
      </c>
    </row>
    <row r="224" spans="1:16" ht="19" x14ac:dyDescent="0.15">
      <c r="A224" s="1113" t="s">
        <v>4226</v>
      </c>
      <c r="B224" s="1113"/>
      <c r="C224" s="1113"/>
      <c r="D224" s="1113"/>
      <c r="E224" s="1113"/>
      <c r="F224" s="1113"/>
      <c r="G224" s="1113"/>
      <c r="H224" s="1113"/>
      <c r="I224" s="1113"/>
      <c r="J224" s="1113"/>
      <c r="K224" s="1113"/>
      <c r="L224" s="1113"/>
      <c r="M224" s="1113"/>
      <c r="N224" s="1113"/>
      <c r="O224" s="1113"/>
      <c r="P224" s="1113"/>
    </row>
    <row r="225" spans="1:16" ht="23.5" customHeight="1" x14ac:dyDescent="0.15">
      <c r="A225" s="838" t="s">
        <v>4227</v>
      </c>
      <c r="B225" s="838"/>
      <c r="C225" s="838"/>
      <c r="D225" s="838"/>
      <c r="E225" s="838"/>
      <c r="F225" s="838"/>
      <c r="G225" s="838"/>
      <c r="H225" s="838"/>
      <c r="I225" s="838"/>
      <c r="J225" s="838"/>
      <c r="K225" s="838"/>
      <c r="L225" s="838"/>
      <c r="M225" s="838"/>
      <c r="N225" s="838"/>
      <c r="O225" s="838"/>
      <c r="P225" s="838"/>
    </row>
    <row r="226" spans="1:16" ht="27" customHeight="1" x14ac:dyDescent="0.15">
      <c r="A226" s="806" t="s">
        <v>3887</v>
      </c>
      <c r="B226" s="977" t="s">
        <v>3888</v>
      </c>
      <c r="C226" s="977"/>
      <c r="D226" s="977"/>
      <c r="E226" s="977" t="s">
        <v>3889</v>
      </c>
      <c r="F226" s="977"/>
      <c r="G226" s="977"/>
      <c r="H226" s="977" t="s">
        <v>3890</v>
      </c>
      <c r="I226" s="977"/>
      <c r="J226" s="977"/>
      <c r="K226" s="977" t="s">
        <v>3891</v>
      </c>
      <c r="L226" s="977"/>
      <c r="M226" s="977"/>
      <c r="N226" s="977" t="s">
        <v>3892</v>
      </c>
      <c r="O226" s="977"/>
      <c r="P226" s="977"/>
    </row>
    <row r="227" spans="1:16" x14ac:dyDescent="0.2">
      <c r="A227" s="107" t="s">
        <v>3893</v>
      </c>
      <c r="B227" s="131">
        <v>38443</v>
      </c>
      <c r="C227" s="145">
        <v>15</v>
      </c>
      <c r="D227" s="307"/>
      <c r="E227" s="131">
        <v>32247</v>
      </c>
      <c r="F227" s="145">
        <v>80</v>
      </c>
      <c r="G227" s="307"/>
      <c r="H227" s="131">
        <v>32247</v>
      </c>
      <c r="I227" s="145">
        <v>80</v>
      </c>
      <c r="J227" s="307"/>
      <c r="K227" s="131">
        <v>6195</v>
      </c>
      <c r="L227" s="145">
        <v>35</v>
      </c>
      <c r="M227" s="307"/>
      <c r="N227" s="131"/>
      <c r="O227" s="145"/>
      <c r="P227" s="307"/>
    </row>
    <row r="228" spans="1:16" x14ac:dyDescent="0.2">
      <c r="A228" s="107" t="s">
        <v>3894</v>
      </c>
      <c r="B228" s="131">
        <v>277</v>
      </c>
      <c r="C228" s="145">
        <v>10</v>
      </c>
      <c r="D228" s="307"/>
      <c r="E228" s="131">
        <v>241</v>
      </c>
      <c r="F228" s="145">
        <v>80</v>
      </c>
      <c r="G228" s="307"/>
      <c r="H228" s="131">
        <v>237</v>
      </c>
      <c r="I228" s="145">
        <v>80</v>
      </c>
      <c r="J228" s="307"/>
      <c r="K228" s="131">
        <v>35</v>
      </c>
      <c r="L228" s="145">
        <v>30</v>
      </c>
      <c r="M228" s="307"/>
      <c r="N228" s="131">
        <v>4</v>
      </c>
      <c r="O228" s="145"/>
      <c r="P228" s="307"/>
    </row>
    <row r="229" spans="1:16" x14ac:dyDescent="0.2">
      <c r="A229" s="107" t="s">
        <v>3895</v>
      </c>
      <c r="B229" s="131">
        <v>83261</v>
      </c>
      <c r="C229" s="145">
        <v>30</v>
      </c>
      <c r="D229" s="307"/>
      <c r="E229" s="131">
        <v>60889</v>
      </c>
      <c r="F229" s="145">
        <v>15</v>
      </c>
      <c r="G229" s="307"/>
      <c r="H229" s="131">
        <v>60031</v>
      </c>
      <c r="I229" s="145">
        <v>20</v>
      </c>
      <c r="J229" s="307"/>
      <c r="K229" s="131">
        <v>22372</v>
      </c>
      <c r="L229" s="145">
        <v>15</v>
      </c>
      <c r="M229" s="307"/>
      <c r="N229" s="131">
        <v>857</v>
      </c>
      <c r="O229" s="145">
        <v>95</v>
      </c>
      <c r="P229" s="307"/>
    </row>
    <row r="230" spans="1:16" x14ac:dyDescent="0.2">
      <c r="A230" s="141" t="s">
        <v>3896</v>
      </c>
      <c r="B230" s="131">
        <v>222</v>
      </c>
      <c r="C230" s="145">
        <v>80</v>
      </c>
      <c r="D230" s="307"/>
      <c r="E230" s="131">
        <v>162</v>
      </c>
      <c r="F230" s="145">
        <v>70</v>
      </c>
      <c r="G230" s="307"/>
      <c r="H230" s="131">
        <v>144</v>
      </c>
      <c r="I230" s="145">
        <v>70</v>
      </c>
      <c r="J230" s="307"/>
      <c r="K230" s="131">
        <v>60</v>
      </c>
      <c r="L230" s="145">
        <v>10</v>
      </c>
      <c r="M230" s="307"/>
      <c r="N230" s="131">
        <v>18</v>
      </c>
      <c r="O230" s="145"/>
      <c r="P230" s="307"/>
    </row>
    <row r="231" spans="1:16" x14ac:dyDescent="0.2">
      <c r="A231" s="141" t="s">
        <v>3897</v>
      </c>
      <c r="B231" s="131">
        <v>71861</v>
      </c>
      <c r="C231" s="145"/>
      <c r="D231" s="307"/>
      <c r="E231" s="131">
        <v>61562</v>
      </c>
      <c r="F231" s="145"/>
      <c r="G231" s="307"/>
      <c r="H231" s="131">
        <v>61562</v>
      </c>
      <c r="I231" s="145"/>
      <c r="J231" s="307"/>
      <c r="K231" s="131">
        <v>10299</v>
      </c>
      <c r="L231" s="145"/>
      <c r="M231" s="307"/>
      <c r="N231" s="131"/>
      <c r="O231" s="145"/>
      <c r="P231" s="307"/>
    </row>
    <row r="232" spans="1:16" x14ac:dyDescent="0.2">
      <c r="A232" s="141" t="s">
        <v>4228</v>
      </c>
      <c r="B232" s="131">
        <v>14066</v>
      </c>
      <c r="C232" s="145"/>
      <c r="D232" s="307"/>
      <c r="E232" s="131">
        <v>5303</v>
      </c>
      <c r="F232" s="145">
        <v>25</v>
      </c>
      <c r="G232" s="307"/>
      <c r="H232" s="131">
        <v>5303</v>
      </c>
      <c r="I232" s="145">
        <v>25</v>
      </c>
      <c r="J232" s="307"/>
      <c r="K232" s="131">
        <v>8762</v>
      </c>
      <c r="L232" s="145">
        <v>75</v>
      </c>
      <c r="M232" s="307"/>
      <c r="N232" s="131"/>
      <c r="O232" s="145"/>
      <c r="P232" s="307"/>
    </row>
    <row r="233" spans="1:16" x14ac:dyDescent="0.2">
      <c r="A233" s="141" t="s">
        <v>4229</v>
      </c>
      <c r="B233" s="131">
        <v>430</v>
      </c>
      <c r="C233" s="145">
        <v>70</v>
      </c>
      <c r="D233" s="307"/>
      <c r="E233" s="131">
        <v>406</v>
      </c>
      <c r="F233" s="145"/>
      <c r="G233" s="307"/>
      <c r="H233" s="131">
        <v>406</v>
      </c>
      <c r="I233" s="145"/>
      <c r="J233" s="307"/>
      <c r="K233" s="131">
        <v>24</v>
      </c>
      <c r="L233" s="145">
        <v>70</v>
      </c>
      <c r="M233" s="307"/>
      <c r="N233" s="131"/>
      <c r="O233" s="145"/>
      <c r="P233" s="307"/>
    </row>
    <row r="234" spans="1:16" x14ac:dyDescent="0.2">
      <c r="A234" s="141" t="s">
        <v>4230</v>
      </c>
      <c r="B234" s="131">
        <v>6045</v>
      </c>
      <c r="C234" s="145"/>
      <c r="D234" s="307"/>
      <c r="E234" s="131">
        <v>5613</v>
      </c>
      <c r="F234" s="145">
        <v>50</v>
      </c>
      <c r="G234" s="307"/>
      <c r="H234" s="131">
        <v>5613</v>
      </c>
      <c r="I234" s="145">
        <v>50</v>
      </c>
      <c r="J234" s="307"/>
      <c r="K234" s="131">
        <v>431</v>
      </c>
      <c r="L234" s="145">
        <v>50</v>
      </c>
      <c r="M234" s="307"/>
      <c r="N234" s="131"/>
      <c r="O234" s="145"/>
      <c r="P234" s="307"/>
    </row>
    <row r="235" spans="1:16" x14ac:dyDescent="0.2">
      <c r="A235" s="141" t="s">
        <v>4231</v>
      </c>
      <c r="B235" s="131">
        <v>346</v>
      </c>
      <c r="C235" s="145">
        <v>25</v>
      </c>
      <c r="D235" s="307"/>
      <c r="E235" s="131">
        <v>284</v>
      </c>
      <c r="F235" s="145">
        <v>85</v>
      </c>
      <c r="G235" s="307"/>
      <c r="H235" s="131">
        <v>284</v>
      </c>
      <c r="I235" s="145">
        <v>85</v>
      </c>
      <c r="J235" s="307"/>
      <c r="K235" s="131">
        <v>61</v>
      </c>
      <c r="L235" s="145">
        <v>40</v>
      </c>
      <c r="M235" s="307"/>
      <c r="N235" s="131"/>
      <c r="O235" s="145"/>
      <c r="P235" s="307"/>
    </row>
    <row r="236" spans="1:16" x14ac:dyDescent="0.2">
      <c r="A236" s="141" t="s">
        <v>4232</v>
      </c>
      <c r="B236" s="131">
        <v>33794</v>
      </c>
      <c r="C236" s="145">
        <v>15</v>
      </c>
      <c r="D236" s="307"/>
      <c r="E236" s="131">
        <v>16305</v>
      </c>
      <c r="F236" s="145">
        <v>20</v>
      </c>
      <c r="G236" s="307"/>
      <c r="H236" s="131">
        <v>12642</v>
      </c>
      <c r="I236" s="145">
        <v>80</v>
      </c>
      <c r="J236" s="307"/>
      <c r="K236" s="131">
        <v>17488</v>
      </c>
      <c r="L236" s="145">
        <v>95</v>
      </c>
      <c r="M236" s="307"/>
      <c r="N236" s="131">
        <v>3662</v>
      </c>
      <c r="O236" s="145">
        <v>40</v>
      </c>
      <c r="P236" s="307"/>
    </row>
    <row r="237" spans="1:16" x14ac:dyDescent="0.2">
      <c r="A237" s="141" t="s">
        <v>4233</v>
      </c>
      <c r="B237" s="131">
        <v>46343</v>
      </c>
      <c r="C237" s="145">
        <v>25</v>
      </c>
      <c r="D237" s="307"/>
      <c r="E237" s="131">
        <v>220</v>
      </c>
      <c r="F237" s="145"/>
      <c r="G237" s="307"/>
      <c r="H237" s="131"/>
      <c r="I237" s="145"/>
      <c r="J237" s="307"/>
      <c r="K237" s="131">
        <v>46123</v>
      </c>
      <c r="L237" s="145">
        <v>25</v>
      </c>
      <c r="M237" s="307"/>
      <c r="N237" s="131">
        <v>220</v>
      </c>
      <c r="O237" s="145"/>
      <c r="P237" s="307"/>
    </row>
    <row r="238" spans="1:16" x14ac:dyDescent="0.2">
      <c r="A238" s="141" t="s">
        <v>4234</v>
      </c>
      <c r="B238" s="131">
        <v>3800</v>
      </c>
      <c r="C238" s="145"/>
      <c r="D238" s="307"/>
      <c r="E238" s="131">
        <v>1624</v>
      </c>
      <c r="F238" s="145">
        <v>90</v>
      </c>
      <c r="G238" s="307"/>
      <c r="H238" s="131">
        <v>1624</v>
      </c>
      <c r="I238" s="145">
        <v>90</v>
      </c>
      <c r="J238" s="307"/>
      <c r="K238" s="131">
        <v>2175</v>
      </c>
      <c r="L238" s="145">
        <v>10</v>
      </c>
      <c r="M238" s="307"/>
      <c r="N238" s="131"/>
      <c r="O238" s="145"/>
      <c r="P238" s="307"/>
    </row>
    <row r="239" spans="1:16" x14ac:dyDescent="0.2">
      <c r="A239" s="141" t="s">
        <v>4235</v>
      </c>
      <c r="B239" s="131">
        <v>1500</v>
      </c>
      <c r="C239" s="145"/>
      <c r="D239" s="307"/>
      <c r="E239" s="131">
        <v>887</v>
      </c>
      <c r="F239" s="145">
        <v>5</v>
      </c>
      <c r="G239" s="307"/>
      <c r="H239" s="131">
        <v>887</v>
      </c>
      <c r="I239" s="145">
        <v>5</v>
      </c>
      <c r="J239" s="307"/>
      <c r="K239" s="131">
        <v>612</v>
      </c>
      <c r="L239" s="145">
        <v>95</v>
      </c>
      <c r="M239" s="307"/>
      <c r="N239" s="131"/>
      <c r="O239" s="145"/>
      <c r="P239" s="307"/>
    </row>
    <row r="240" spans="1:16" x14ac:dyDescent="0.2">
      <c r="A240" s="1114" t="s">
        <v>3906</v>
      </c>
      <c r="B240" s="240">
        <v>300390</v>
      </c>
      <c r="C240" s="318">
        <v>70</v>
      </c>
      <c r="D240" s="513"/>
      <c r="E240" s="240">
        <v>185748</v>
      </c>
      <c r="F240" s="318">
        <v>20</v>
      </c>
      <c r="G240" s="513"/>
      <c r="H240" s="240">
        <v>180985</v>
      </c>
      <c r="I240" s="318">
        <v>85</v>
      </c>
      <c r="J240" s="513"/>
      <c r="K240" s="240">
        <v>114642</v>
      </c>
      <c r="L240" s="318">
        <v>50</v>
      </c>
      <c r="M240" s="513"/>
      <c r="N240" s="240">
        <v>4762</v>
      </c>
      <c r="O240" s="318">
        <v>30</v>
      </c>
      <c r="P240" s="513"/>
    </row>
    <row r="241" spans="1:16" x14ac:dyDescent="0.2">
      <c r="A241" s="1114"/>
      <c r="B241" s="246">
        <f>+SUM(B227:B239)</f>
        <v>300388</v>
      </c>
      <c r="C241" s="246">
        <f t="shared" ref="C241:P241" si="14">+SUM(C227:C239)</f>
        <v>270</v>
      </c>
      <c r="D241" s="246">
        <f t="shared" si="14"/>
        <v>0</v>
      </c>
      <c r="E241" s="246">
        <f t="shared" si="14"/>
        <v>185743</v>
      </c>
      <c r="F241" s="246">
        <f t="shared" si="14"/>
        <v>520</v>
      </c>
      <c r="G241" s="246">
        <f t="shared" si="14"/>
        <v>0</v>
      </c>
      <c r="H241" s="246">
        <f t="shared" si="14"/>
        <v>180980</v>
      </c>
      <c r="I241" s="246">
        <f t="shared" si="14"/>
        <v>585</v>
      </c>
      <c r="J241" s="246">
        <f t="shared" si="14"/>
        <v>0</v>
      </c>
      <c r="K241" s="246">
        <f t="shared" si="14"/>
        <v>114637</v>
      </c>
      <c r="L241" s="246">
        <f t="shared" si="14"/>
        <v>550</v>
      </c>
      <c r="M241" s="246">
        <f t="shared" si="14"/>
        <v>0</v>
      </c>
      <c r="N241" s="246">
        <f t="shared" si="14"/>
        <v>4761</v>
      </c>
      <c r="O241" s="1116">
        <f t="shared" si="14"/>
        <v>135</v>
      </c>
      <c r="P241" s="246">
        <f t="shared" si="14"/>
        <v>0</v>
      </c>
    </row>
    <row r="242" spans="1:16" ht="25.25" customHeight="1" x14ac:dyDescent="0.15">
      <c r="A242" s="838" t="s">
        <v>2808</v>
      </c>
      <c r="B242" s="838"/>
      <c r="C242" s="838"/>
      <c r="D242" s="838"/>
      <c r="E242" s="838"/>
      <c r="F242" s="838"/>
      <c r="G242" s="838"/>
      <c r="H242" s="838"/>
      <c r="I242" s="838"/>
      <c r="J242" s="838"/>
      <c r="K242" s="838"/>
      <c r="L242" s="838"/>
      <c r="M242" s="838"/>
      <c r="N242" s="838"/>
      <c r="O242" s="838"/>
      <c r="P242" s="838"/>
    </row>
    <row r="243" spans="1:16" ht="25.25" customHeight="1" x14ac:dyDescent="0.15">
      <c r="A243" s="751" t="s">
        <v>3887</v>
      </c>
      <c r="B243" s="977" t="s">
        <v>3888</v>
      </c>
      <c r="C243" s="977"/>
      <c r="D243" s="977"/>
      <c r="E243" s="977" t="s">
        <v>3889</v>
      </c>
      <c r="F243" s="977"/>
      <c r="G243" s="977"/>
      <c r="H243" s="977" t="s">
        <v>3890</v>
      </c>
      <c r="I243" s="977"/>
      <c r="J243" s="977"/>
      <c r="K243" s="977" t="s">
        <v>3891</v>
      </c>
      <c r="L243" s="977"/>
      <c r="M243" s="977"/>
      <c r="N243" s="977" t="s">
        <v>3892</v>
      </c>
      <c r="O243" s="977"/>
      <c r="P243" s="977"/>
    </row>
    <row r="244" spans="1:16" x14ac:dyDescent="0.2">
      <c r="A244" s="107" t="s">
        <v>3907</v>
      </c>
      <c r="B244" s="349">
        <v>11607</v>
      </c>
      <c r="C244" s="350"/>
      <c r="D244" s="717"/>
      <c r="E244" s="349">
        <v>9249</v>
      </c>
      <c r="F244" s="350">
        <v>10</v>
      </c>
      <c r="G244" s="717"/>
      <c r="H244" s="349">
        <v>9249</v>
      </c>
      <c r="I244" s="350">
        <v>10</v>
      </c>
      <c r="J244" s="717"/>
      <c r="K244" s="349">
        <v>2357</v>
      </c>
      <c r="L244" s="350">
        <v>90</v>
      </c>
      <c r="M244" s="717"/>
      <c r="N244" s="349"/>
      <c r="O244" s="350"/>
      <c r="P244" s="717"/>
    </row>
    <row r="245" spans="1:16" x14ac:dyDescent="0.2">
      <c r="A245" s="107" t="s">
        <v>3908</v>
      </c>
      <c r="B245" s="131">
        <v>125</v>
      </c>
      <c r="C245" s="145"/>
      <c r="D245" s="307"/>
      <c r="E245" s="131">
        <v>125</v>
      </c>
      <c r="F245" s="145"/>
      <c r="G245" s="307"/>
      <c r="H245" s="131">
        <v>125</v>
      </c>
      <c r="I245" s="145"/>
      <c r="J245" s="307"/>
      <c r="K245" s="131"/>
      <c r="L245" s="145"/>
      <c r="M245" s="307"/>
      <c r="N245" s="131"/>
      <c r="O245" s="145"/>
      <c r="P245" s="307"/>
    </row>
    <row r="246" spans="1:16" x14ac:dyDescent="0.2">
      <c r="A246" s="107" t="s">
        <v>3909</v>
      </c>
      <c r="B246" s="131">
        <v>4196</v>
      </c>
      <c r="C246" s="145">
        <v>70</v>
      </c>
      <c r="D246" s="307"/>
      <c r="E246" s="131">
        <v>2579</v>
      </c>
      <c r="F246" s="145">
        <v>90</v>
      </c>
      <c r="G246" s="307"/>
      <c r="H246" s="131">
        <v>2063</v>
      </c>
      <c r="I246" s="145">
        <v>90</v>
      </c>
      <c r="J246" s="307"/>
      <c r="K246" s="131">
        <v>1616</v>
      </c>
      <c r="L246" s="145">
        <v>80</v>
      </c>
      <c r="M246" s="307"/>
      <c r="N246" s="131">
        <v>516</v>
      </c>
      <c r="O246" s="145"/>
      <c r="P246" s="307"/>
    </row>
    <row r="247" spans="1:16" x14ac:dyDescent="0.2">
      <c r="A247" s="141" t="s">
        <v>3910</v>
      </c>
      <c r="B247" s="131">
        <v>41</v>
      </c>
      <c r="C247" s="145">
        <v>90</v>
      </c>
      <c r="D247" s="307"/>
      <c r="E247" s="131">
        <v>41</v>
      </c>
      <c r="F247" s="145">
        <v>50</v>
      </c>
      <c r="G247" s="307"/>
      <c r="H247" s="131">
        <v>41</v>
      </c>
      <c r="I247" s="145">
        <v>50</v>
      </c>
      <c r="J247" s="307"/>
      <c r="K247" s="131"/>
      <c r="L247" s="145">
        <v>40</v>
      </c>
      <c r="M247" s="307"/>
      <c r="N247" s="131"/>
      <c r="O247" s="145"/>
      <c r="P247" s="307"/>
    </row>
    <row r="248" spans="1:16" x14ac:dyDescent="0.2">
      <c r="A248" s="141" t="s">
        <v>3911</v>
      </c>
      <c r="B248" s="131">
        <v>2603</v>
      </c>
      <c r="C248" s="145"/>
      <c r="D248" s="307"/>
      <c r="E248" s="131">
        <v>275</v>
      </c>
      <c r="F248" s="145">
        <v>40</v>
      </c>
      <c r="G248" s="307"/>
      <c r="H248" s="131">
        <v>275</v>
      </c>
      <c r="I248" s="145">
        <v>40</v>
      </c>
      <c r="J248" s="307"/>
      <c r="K248" s="131">
        <v>2327</v>
      </c>
      <c r="L248" s="145">
        <v>60</v>
      </c>
      <c r="M248" s="307"/>
      <c r="N248" s="131"/>
      <c r="O248" s="145"/>
      <c r="P248" s="307"/>
    </row>
    <row r="249" spans="1:16" x14ac:dyDescent="0.2">
      <c r="A249" s="141" t="s">
        <v>3912</v>
      </c>
      <c r="B249" s="131">
        <v>1000</v>
      </c>
      <c r="C249" s="145"/>
      <c r="D249" s="307"/>
      <c r="E249" s="131"/>
      <c r="F249" s="145"/>
      <c r="G249" s="307"/>
      <c r="H249" s="131"/>
      <c r="I249" s="145"/>
      <c r="J249" s="307"/>
      <c r="K249" s="131">
        <v>1000</v>
      </c>
      <c r="L249" s="145"/>
      <c r="M249" s="307"/>
      <c r="N249" s="131"/>
      <c r="O249" s="145"/>
      <c r="P249" s="307"/>
    </row>
    <row r="250" spans="1:16" x14ac:dyDescent="0.2">
      <c r="A250" s="141" t="s">
        <v>4236</v>
      </c>
      <c r="B250" s="131">
        <v>10689</v>
      </c>
      <c r="C250" s="145"/>
      <c r="D250" s="307"/>
      <c r="E250" s="131">
        <v>4750</v>
      </c>
      <c r="F250" s="145">
        <v>25</v>
      </c>
      <c r="G250" s="307"/>
      <c r="H250" s="131">
        <v>4210</v>
      </c>
      <c r="I250" s="145">
        <v>25</v>
      </c>
      <c r="J250" s="307"/>
      <c r="K250" s="131">
        <v>5938</v>
      </c>
      <c r="L250" s="145">
        <v>75</v>
      </c>
      <c r="M250" s="307"/>
      <c r="N250" s="131">
        <v>540</v>
      </c>
      <c r="O250" s="145"/>
      <c r="P250" s="307"/>
    </row>
    <row r="251" spans="1:16" x14ac:dyDescent="0.2">
      <c r="A251" s="1114" t="s">
        <v>3906</v>
      </c>
      <c r="B251" s="240">
        <v>30262</v>
      </c>
      <c r="C251" s="318">
        <v>60</v>
      </c>
      <c r="D251" s="513"/>
      <c r="E251" s="240">
        <v>17021</v>
      </c>
      <c r="F251" s="318">
        <v>15</v>
      </c>
      <c r="G251" s="513"/>
      <c r="H251" s="240">
        <v>15965</v>
      </c>
      <c r="I251" s="318">
        <v>15</v>
      </c>
      <c r="J251" s="513"/>
      <c r="K251" s="240">
        <v>13241</v>
      </c>
      <c r="L251" s="318">
        <v>45</v>
      </c>
      <c r="M251" s="513"/>
      <c r="N251" s="240">
        <v>1056</v>
      </c>
      <c r="O251" s="318"/>
      <c r="P251" s="513"/>
    </row>
    <row r="252" spans="1:16" x14ac:dyDescent="0.2">
      <c r="A252" s="1114"/>
      <c r="B252" s="246">
        <f>+SUM(B244:B250)</f>
        <v>30261</v>
      </c>
      <c r="C252" s="246">
        <f t="shared" ref="C252:P252" si="15">+SUM(C244:C250)</f>
        <v>160</v>
      </c>
      <c r="D252" s="246">
        <f t="shared" si="15"/>
        <v>0</v>
      </c>
      <c r="E252" s="246">
        <f t="shared" si="15"/>
        <v>17019</v>
      </c>
      <c r="F252" s="246">
        <f t="shared" si="15"/>
        <v>215</v>
      </c>
      <c r="G252" s="246">
        <f t="shared" si="15"/>
        <v>0</v>
      </c>
      <c r="H252" s="246">
        <f t="shared" si="15"/>
        <v>15963</v>
      </c>
      <c r="I252" s="246">
        <f t="shared" si="15"/>
        <v>215</v>
      </c>
      <c r="J252" s="246">
        <f t="shared" si="15"/>
        <v>0</v>
      </c>
      <c r="K252" s="246">
        <f t="shared" si="15"/>
        <v>13238</v>
      </c>
      <c r="L252" s="246">
        <f t="shared" si="15"/>
        <v>345</v>
      </c>
      <c r="M252" s="246">
        <f t="shared" si="15"/>
        <v>0</v>
      </c>
      <c r="N252" s="246">
        <f t="shared" si="15"/>
        <v>1056</v>
      </c>
      <c r="O252" s="246">
        <f t="shared" si="15"/>
        <v>0</v>
      </c>
      <c r="P252" s="246">
        <f t="shared" si="15"/>
        <v>0</v>
      </c>
    </row>
    <row r="253" spans="1:16" ht="26.5" customHeight="1" x14ac:dyDescent="0.15">
      <c r="A253" s="838" t="s">
        <v>4237</v>
      </c>
      <c r="B253" s="838"/>
      <c r="C253" s="838"/>
      <c r="D253" s="838"/>
      <c r="E253" s="838"/>
      <c r="F253" s="838"/>
      <c r="G253" s="838"/>
      <c r="H253" s="838"/>
      <c r="I253" s="838"/>
      <c r="J253" s="838"/>
      <c r="K253" s="838"/>
      <c r="L253" s="838"/>
      <c r="M253" s="838"/>
      <c r="N253" s="838"/>
      <c r="O253" s="838"/>
      <c r="P253" s="838"/>
    </row>
    <row r="254" spans="1:16" ht="30.5" customHeight="1" x14ac:dyDescent="0.15">
      <c r="A254" s="751" t="s">
        <v>3887</v>
      </c>
      <c r="B254" s="977" t="s">
        <v>3888</v>
      </c>
      <c r="C254" s="977"/>
      <c r="D254" s="977"/>
      <c r="E254" s="977" t="s">
        <v>3889</v>
      </c>
      <c r="F254" s="977"/>
      <c r="G254" s="977"/>
      <c r="H254" s="977" t="s">
        <v>3890</v>
      </c>
      <c r="I254" s="977"/>
      <c r="J254" s="977"/>
      <c r="K254" s="977" t="s">
        <v>3891</v>
      </c>
      <c r="L254" s="977"/>
      <c r="M254" s="977"/>
      <c r="N254" s="977" t="s">
        <v>3892</v>
      </c>
      <c r="O254" s="977"/>
      <c r="P254" s="977"/>
    </row>
    <row r="255" spans="1:16" x14ac:dyDescent="0.2">
      <c r="A255" s="107" t="s">
        <v>4238</v>
      </c>
      <c r="B255" s="131">
        <v>27858</v>
      </c>
      <c r="C255" s="145">
        <v>60</v>
      </c>
      <c r="D255" s="307"/>
      <c r="E255" s="131">
        <v>12963</v>
      </c>
      <c r="F255" s="145">
        <v>5</v>
      </c>
      <c r="G255" s="307"/>
      <c r="H255" s="131">
        <v>12963</v>
      </c>
      <c r="I255" s="145">
        <v>5</v>
      </c>
      <c r="J255" s="307"/>
      <c r="K255" s="131">
        <v>14895</v>
      </c>
      <c r="L255" s="145">
        <v>55</v>
      </c>
      <c r="M255" s="307"/>
      <c r="N255" s="131"/>
      <c r="O255" s="145"/>
      <c r="P255" s="307"/>
    </row>
    <row r="256" spans="1:16" x14ac:dyDescent="0.2">
      <c r="A256" s="107" t="s">
        <v>4239</v>
      </c>
      <c r="B256" s="131">
        <v>2170</v>
      </c>
      <c r="C256" s="145"/>
      <c r="D256" s="307"/>
      <c r="E256" s="131">
        <v>717</v>
      </c>
      <c r="F256" s="145">
        <v>5</v>
      </c>
      <c r="G256" s="307"/>
      <c r="H256" s="131">
        <v>717</v>
      </c>
      <c r="I256" s="145">
        <v>5</v>
      </c>
      <c r="J256" s="307"/>
      <c r="K256" s="131">
        <v>1452</v>
      </c>
      <c r="L256" s="145">
        <v>95</v>
      </c>
      <c r="M256" s="307"/>
      <c r="N256" s="131"/>
      <c r="O256" s="145"/>
      <c r="P256" s="307"/>
    </row>
    <row r="257" spans="1:16" x14ac:dyDescent="0.2">
      <c r="A257" s="141" t="s">
        <v>4240</v>
      </c>
      <c r="B257" s="131">
        <v>1000</v>
      </c>
      <c r="C257" s="145"/>
      <c r="D257" s="307"/>
      <c r="E257" s="131"/>
      <c r="F257" s="145"/>
      <c r="G257" s="307"/>
      <c r="H257" s="131"/>
      <c r="I257" s="145"/>
      <c r="J257" s="307"/>
      <c r="K257" s="131">
        <v>1000</v>
      </c>
      <c r="L257" s="145"/>
      <c r="M257" s="307"/>
      <c r="N257" s="131"/>
      <c r="O257" s="145"/>
      <c r="P257" s="307"/>
    </row>
    <row r="258" spans="1:16" x14ac:dyDescent="0.2">
      <c r="A258" s="1114" t="s">
        <v>3906</v>
      </c>
      <c r="B258" s="240">
        <v>31028</v>
      </c>
      <c r="C258" s="318">
        <v>60</v>
      </c>
      <c r="D258" s="513"/>
      <c r="E258" s="240">
        <v>13680</v>
      </c>
      <c r="F258" s="318">
        <v>10</v>
      </c>
      <c r="G258" s="513"/>
      <c r="H258" s="240">
        <v>13680</v>
      </c>
      <c r="I258" s="318">
        <v>10</v>
      </c>
      <c r="J258" s="513"/>
      <c r="K258" s="240">
        <v>17348</v>
      </c>
      <c r="L258" s="318">
        <v>50</v>
      </c>
      <c r="M258" s="513"/>
      <c r="N258" s="240"/>
      <c r="O258" s="318"/>
      <c r="P258" s="513"/>
    </row>
    <row r="259" spans="1:16" x14ac:dyDescent="0.2">
      <c r="A259" s="1114"/>
      <c r="B259" s="246">
        <f>+SUM(B255:B257)</f>
        <v>31028</v>
      </c>
      <c r="C259" s="246">
        <f t="shared" ref="C259:P259" si="16">+SUM(C255:C257)</f>
        <v>60</v>
      </c>
      <c r="D259" s="246">
        <f t="shared" si="16"/>
        <v>0</v>
      </c>
      <c r="E259" s="246">
        <f t="shared" si="16"/>
        <v>13680</v>
      </c>
      <c r="F259" s="246">
        <f t="shared" si="16"/>
        <v>10</v>
      </c>
      <c r="G259" s="246">
        <f t="shared" si="16"/>
        <v>0</v>
      </c>
      <c r="H259" s="246">
        <f t="shared" si="16"/>
        <v>13680</v>
      </c>
      <c r="I259" s="246">
        <f t="shared" si="16"/>
        <v>10</v>
      </c>
      <c r="J259" s="246">
        <f t="shared" si="16"/>
        <v>0</v>
      </c>
      <c r="K259" s="246">
        <f t="shared" si="16"/>
        <v>17347</v>
      </c>
      <c r="L259" s="246">
        <f t="shared" si="16"/>
        <v>150</v>
      </c>
      <c r="M259" s="246">
        <f t="shared" si="16"/>
        <v>0</v>
      </c>
      <c r="N259" s="246">
        <f t="shared" si="16"/>
        <v>0</v>
      </c>
      <c r="O259" s="246">
        <f t="shared" si="16"/>
        <v>0</v>
      </c>
      <c r="P259" s="246">
        <f t="shared" si="16"/>
        <v>0</v>
      </c>
    </row>
    <row r="260" spans="1:16" ht="26" customHeight="1" x14ac:dyDescent="0.15">
      <c r="A260" s="838" t="s">
        <v>2813</v>
      </c>
      <c r="B260" s="838"/>
      <c r="C260" s="838"/>
      <c r="D260" s="838"/>
      <c r="E260" s="838"/>
      <c r="F260" s="838"/>
      <c r="G260" s="838"/>
      <c r="H260" s="838"/>
      <c r="I260" s="838"/>
      <c r="J260" s="838"/>
      <c r="K260" s="838"/>
      <c r="L260" s="838"/>
      <c r="M260" s="838"/>
      <c r="N260" s="838"/>
      <c r="O260" s="838"/>
      <c r="P260" s="838"/>
    </row>
    <row r="261" spans="1:16" ht="24" customHeight="1" x14ac:dyDescent="0.15">
      <c r="A261" s="751" t="s">
        <v>3887</v>
      </c>
      <c r="B261" s="977" t="s">
        <v>3888</v>
      </c>
      <c r="C261" s="977"/>
      <c r="D261" s="977"/>
      <c r="E261" s="977" t="s">
        <v>3889</v>
      </c>
      <c r="F261" s="977"/>
      <c r="G261" s="977"/>
      <c r="H261" s="977" t="s">
        <v>3890</v>
      </c>
      <c r="I261" s="977"/>
      <c r="J261" s="977"/>
      <c r="K261" s="977" t="s">
        <v>3891</v>
      </c>
      <c r="L261" s="977"/>
      <c r="M261" s="977"/>
      <c r="N261" s="977" t="s">
        <v>3892</v>
      </c>
      <c r="O261" s="977"/>
      <c r="P261" s="977"/>
    </row>
    <row r="262" spans="1:16" x14ac:dyDescent="0.2">
      <c r="A262" s="107" t="s">
        <v>3919</v>
      </c>
      <c r="B262" s="349">
        <v>290555</v>
      </c>
      <c r="C262" s="350">
        <v>95</v>
      </c>
      <c r="D262" s="717"/>
      <c r="E262" s="349">
        <v>16330</v>
      </c>
      <c r="F262" s="350">
        <v>20</v>
      </c>
      <c r="G262" s="717"/>
      <c r="H262" s="349">
        <v>9574</v>
      </c>
      <c r="I262" s="350">
        <v>60</v>
      </c>
      <c r="J262" s="717"/>
      <c r="K262" s="349">
        <v>274225</v>
      </c>
      <c r="L262" s="350">
        <v>75</v>
      </c>
      <c r="M262" s="717"/>
      <c r="N262" s="349">
        <v>6755</v>
      </c>
      <c r="O262" s="350">
        <v>60</v>
      </c>
      <c r="P262" s="717"/>
    </row>
    <row r="263" spans="1:16" x14ac:dyDescent="0.2">
      <c r="A263" s="1114" t="s">
        <v>3920</v>
      </c>
      <c r="B263" s="240">
        <v>290555</v>
      </c>
      <c r="C263" s="318">
        <v>95</v>
      </c>
      <c r="D263" s="513"/>
      <c r="E263" s="240">
        <v>16330</v>
      </c>
      <c r="F263" s="318">
        <v>20</v>
      </c>
      <c r="G263" s="513"/>
      <c r="H263" s="240">
        <v>9574</v>
      </c>
      <c r="I263" s="318">
        <v>60</v>
      </c>
      <c r="J263" s="513"/>
      <c r="K263" s="240">
        <v>274225</v>
      </c>
      <c r="L263" s="318">
        <v>75</v>
      </c>
      <c r="M263" s="513"/>
      <c r="N263" s="240">
        <v>6755</v>
      </c>
      <c r="O263" s="318">
        <v>60</v>
      </c>
      <c r="P263" s="513"/>
    </row>
    <row r="264" spans="1:16" ht="30.5" customHeight="1" x14ac:dyDescent="0.15">
      <c r="A264" s="838" t="s">
        <v>2805</v>
      </c>
      <c r="B264" s="838"/>
      <c r="C264" s="838"/>
      <c r="D264" s="838"/>
      <c r="E264" s="838"/>
      <c r="F264" s="838"/>
      <c r="G264" s="838"/>
      <c r="H264" s="838"/>
      <c r="I264" s="838"/>
      <c r="J264" s="838"/>
      <c r="K264" s="838"/>
      <c r="L264" s="838"/>
      <c r="M264" s="838"/>
      <c r="N264" s="838"/>
      <c r="O264" s="838"/>
      <c r="P264" s="838"/>
    </row>
    <row r="265" spans="1:16" ht="29" customHeight="1" x14ac:dyDescent="0.15">
      <c r="A265" s="751" t="s">
        <v>3887</v>
      </c>
      <c r="B265" s="977" t="s">
        <v>3888</v>
      </c>
      <c r="C265" s="977"/>
      <c r="D265" s="977"/>
      <c r="E265" s="977" t="s">
        <v>3889</v>
      </c>
      <c r="F265" s="977"/>
      <c r="G265" s="977"/>
      <c r="H265" s="977" t="s">
        <v>3890</v>
      </c>
      <c r="I265" s="977"/>
      <c r="J265" s="977"/>
      <c r="K265" s="977" t="s">
        <v>3891</v>
      </c>
      <c r="L265" s="977"/>
      <c r="M265" s="977"/>
      <c r="N265" s="977" t="s">
        <v>3892</v>
      </c>
      <c r="O265" s="977"/>
      <c r="P265" s="977"/>
    </row>
    <row r="266" spans="1:16" x14ac:dyDescent="0.2">
      <c r="A266" s="107" t="s">
        <v>4241</v>
      </c>
      <c r="B266" s="349">
        <v>5141</v>
      </c>
      <c r="C266" s="350">
        <v>75</v>
      </c>
      <c r="D266" s="717"/>
      <c r="E266" s="349">
        <v>4299</v>
      </c>
      <c r="F266" s="350">
        <v>40</v>
      </c>
      <c r="G266" s="717"/>
      <c r="H266" s="349">
        <v>4299</v>
      </c>
      <c r="I266" s="350">
        <v>40</v>
      </c>
      <c r="J266" s="717"/>
      <c r="K266" s="349">
        <v>842</v>
      </c>
      <c r="L266" s="350">
        <v>35</v>
      </c>
      <c r="M266" s="717"/>
      <c r="N266" s="349"/>
      <c r="O266" s="350"/>
      <c r="P266" s="717"/>
    </row>
    <row r="267" spans="1:16" x14ac:dyDescent="0.2">
      <c r="A267" s="107" t="s">
        <v>4239</v>
      </c>
      <c r="B267" s="131">
        <v>200</v>
      </c>
      <c r="C267" s="145"/>
      <c r="D267" s="307"/>
      <c r="E267" s="131">
        <v>102</v>
      </c>
      <c r="F267" s="145">
        <v>70</v>
      </c>
      <c r="G267" s="307"/>
      <c r="H267" s="131">
        <v>64</v>
      </c>
      <c r="I267" s="145">
        <v>90</v>
      </c>
      <c r="J267" s="307"/>
      <c r="K267" s="131">
        <v>97</v>
      </c>
      <c r="L267" s="145">
        <v>30</v>
      </c>
      <c r="M267" s="307"/>
      <c r="N267" s="131">
        <v>37</v>
      </c>
      <c r="O267" s="145">
        <v>80</v>
      </c>
      <c r="P267" s="307"/>
    </row>
    <row r="268" spans="1:16" x14ac:dyDescent="0.2">
      <c r="A268" s="107" t="s">
        <v>4242</v>
      </c>
      <c r="B268" s="131">
        <v>86539</v>
      </c>
      <c r="C268" s="145">
        <v>70</v>
      </c>
      <c r="D268" s="307"/>
      <c r="E268" s="131">
        <v>63813</v>
      </c>
      <c r="F268" s="145">
        <v>35</v>
      </c>
      <c r="G268" s="307"/>
      <c r="H268" s="131">
        <v>61350</v>
      </c>
      <c r="I268" s="145">
        <v>55</v>
      </c>
      <c r="J268" s="307"/>
      <c r="K268" s="131">
        <v>22726</v>
      </c>
      <c r="L268" s="145">
        <v>35</v>
      </c>
      <c r="M268" s="307"/>
      <c r="N268" s="131">
        <v>2462</v>
      </c>
      <c r="O268" s="145">
        <v>80</v>
      </c>
      <c r="P268" s="307"/>
    </row>
    <row r="269" spans="1:16" x14ac:dyDescent="0.2">
      <c r="A269" s="107" t="s">
        <v>4243</v>
      </c>
      <c r="B269" s="131">
        <v>44267</v>
      </c>
      <c r="C269" s="145">
        <v>85</v>
      </c>
      <c r="D269" s="307"/>
      <c r="E269" s="131">
        <v>38377</v>
      </c>
      <c r="F269" s="145">
        <v>75</v>
      </c>
      <c r="G269" s="307"/>
      <c r="H269" s="131">
        <v>30464</v>
      </c>
      <c r="I269" s="145">
        <v>90</v>
      </c>
      <c r="J269" s="307"/>
      <c r="K269" s="131">
        <v>5890</v>
      </c>
      <c r="L269" s="145">
        <v>10</v>
      </c>
      <c r="M269" s="307"/>
      <c r="N269" s="131">
        <v>7912</v>
      </c>
      <c r="O269" s="145">
        <v>85</v>
      </c>
      <c r="P269" s="307"/>
    </row>
    <row r="270" spans="1:16" x14ac:dyDescent="0.2">
      <c r="A270" s="141" t="s">
        <v>4244</v>
      </c>
      <c r="B270" s="131">
        <v>3821</v>
      </c>
      <c r="C270" s="145">
        <v>65</v>
      </c>
      <c r="D270" s="307"/>
      <c r="E270" s="131">
        <v>1095</v>
      </c>
      <c r="F270" s="145">
        <v>55</v>
      </c>
      <c r="G270" s="307"/>
      <c r="H270" s="131">
        <v>1035</v>
      </c>
      <c r="I270" s="145">
        <v>55</v>
      </c>
      <c r="J270" s="307"/>
      <c r="K270" s="131">
        <v>2726</v>
      </c>
      <c r="L270" s="145">
        <v>10</v>
      </c>
      <c r="M270" s="307"/>
      <c r="N270" s="131">
        <v>60</v>
      </c>
      <c r="O270" s="145"/>
      <c r="P270" s="307"/>
    </row>
    <row r="271" spans="1:16" x14ac:dyDescent="0.2">
      <c r="A271" s="107" t="s">
        <v>3912</v>
      </c>
      <c r="B271" s="131">
        <v>152915</v>
      </c>
      <c r="C271" s="145"/>
      <c r="D271" s="307"/>
      <c r="E271" s="131">
        <v>149750</v>
      </c>
      <c r="F271" s="145">
        <v>80</v>
      </c>
      <c r="G271" s="307"/>
      <c r="H271" s="131">
        <v>120854</v>
      </c>
      <c r="I271" s="145">
        <v>85</v>
      </c>
      <c r="J271" s="307"/>
      <c r="K271" s="131">
        <v>3164</v>
      </c>
      <c r="L271" s="145">
        <v>20</v>
      </c>
      <c r="M271" s="307"/>
      <c r="N271" s="131">
        <v>28895</v>
      </c>
      <c r="O271" s="145">
        <v>95</v>
      </c>
      <c r="P271" s="307"/>
    </row>
    <row r="272" spans="1:16" x14ac:dyDescent="0.2">
      <c r="A272" s="141" t="s">
        <v>4245</v>
      </c>
      <c r="B272" s="131">
        <v>1000</v>
      </c>
      <c r="C272" s="145"/>
      <c r="D272" s="307"/>
      <c r="E272" s="131">
        <v>57</v>
      </c>
      <c r="F272" s="145"/>
      <c r="G272" s="307"/>
      <c r="H272" s="131">
        <v>57</v>
      </c>
      <c r="I272" s="145"/>
      <c r="J272" s="307"/>
      <c r="K272" s="131">
        <v>943</v>
      </c>
      <c r="L272" s="145"/>
      <c r="M272" s="307"/>
      <c r="N272" s="131"/>
      <c r="O272" s="145"/>
      <c r="P272" s="307"/>
    </row>
    <row r="273" spans="1:16" x14ac:dyDescent="0.2">
      <c r="A273" s="1114" t="s">
        <v>3906</v>
      </c>
      <c r="B273" s="240">
        <v>293885</v>
      </c>
      <c r="C273" s="318">
        <v>95</v>
      </c>
      <c r="D273" s="513"/>
      <c r="E273" s="240">
        <v>257496</v>
      </c>
      <c r="F273" s="318">
        <v>55</v>
      </c>
      <c r="G273" s="513"/>
      <c r="H273" s="240">
        <v>218127</v>
      </c>
      <c r="I273" s="318">
        <v>15</v>
      </c>
      <c r="J273" s="513"/>
      <c r="K273" s="240">
        <v>36389</v>
      </c>
      <c r="L273" s="318">
        <v>40</v>
      </c>
      <c r="M273" s="513"/>
      <c r="N273" s="240">
        <v>39369</v>
      </c>
      <c r="O273" s="318">
        <v>40</v>
      </c>
      <c r="P273" s="513"/>
    </row>
    <row r="274" spans="1:16" x14ac:dyDescent="0.2">
      <c r="A274" s="1114"/>
      <c r="B274" s="246">
        <f>+SUM(B266:B272)</f>
        <v>293883</v>
      </c>
      <c r="C274" s="246">
        <f t="shared" ref="C274:P274" si="17">+SUM(C266:C272)</f>
        <v>295</v>
      </c>
      <c r="D274" s="246">
        <f t="shared" si="17"/>
        <v>0</v>
      </c>
      <c r="E274" s="246">
        <f t="shared" si="17"/>
        <v>257493</v>
      </c>
      <c r="F274" s="246">
        <f t="shared" si="17"/>
        <v>355</v>
      </c>
      <c r="G274" s="246">
        <f t="shared" si="17"/>
        <v>0</v>
      </c>
      <c r="H274" s="246">
        <f t="shared" si="17"/>
        <v>218123</v>
      </c>
      <c r="I274" s="246">
        <f t="shared" si="17"/>
        <v>415</v>
      </c>
      <c r="J274" s="246">
        <f t="shared" si="17"/>
        <v>0</v>
      </c>
      <c r="K274" s="246">
        <f t="shared" si="17"/>
        <v>36388</v>
      </c>
      <c r="L274" s="246">
        <f t="shared" si="17"/>
        <v>140</v>
      </c>
      <c r="M274" s="246">
        <f t="shared" si="17"/>
        <v>0</v>
      </c>
      <c r="N274" s="246">
        <f t="shared" si="17"/>
        <v>39366</v>
      </c>
      <c r="O274" s="246">
        <f t="shared" si="17"/>
        <v>340</v>
      </c>
      <c r="P274" s="246">
        <f t="shared" si="17"/>
        <v>0</v>
      </c>
    </row>
    <row r="275" spans="1:16" ht="29" customHeight="1" x14ac:dyDescent="0.15">
      <c r="A275" s="838" t="s">
        <v>3921</v>
      </c>
      <c r="B275" s="838"/>
      <c r="C275" s="838"/>
      <c r="D275" s="838"/>
      <c r="E275" s="838"/>
      <c r="F275" s="838"/>
      <c r="G275" s="838"/>
      <c r="H275" s="838"/>
      <c r="I275" s="838"/>
      <c r="J275" s="838"/>
      <c r="K275" s="838"/>
      <c r="L275" s="838"/>
      <c r="M275" s="838"/>
      <c r="N275" s="838"/>
      <c r="O275" s="838"/>
      <c r="P275" s="838"/>
    </row>
    <row r="276" spans="1:16" ht="30" customHeight="1" x14ac:dyDescent="0.15">
      <c r="A276" s="751" t="s">
        <v>3887</v>
      </c>
      <c r="B276" s="977" t="s">
        <v>3888</v>
      </c>
      <c r="C276" s="977"/>
      <c r="D276" s="977"/>
      <c r="E276" s="977" t="s">
        <v>3889</v>
      </c>
      <c r="F276" s="977"/>
      <c r="G276" s="977"/>
      <c r="H276" s="977" t="s">
        <v>3890</v>
      </c>
      <c r="I276" s="977"/>
      <c r="J276" s="977"/>
      <c r="K276" s="977" t="s">
        <v>3891</v>
      </c>
      <c r="L276" s="977"/>
      <c r="M276" s="977"/>
      <c r="N276" s="977" t="s">
        <v>3892</v>
      </c>
      <c r="O276" s="977"/>
      <c r="P276" s="977"/>
    </row>
    <row r="277" spans="1:16" x14ac:dyDescent="0.2">
      <c r="A277" s="107" t="s">
        <v>4246</v>
      </c>
      <c r="B277" s="349">
        <v>27624</v>
      </c>
      <c r="C277" s="350"/>
      <c r="D277" s="717"/>
      <c r="E277" s="349">
        <v>21013</v>
      </c>
      <c r="F277" s="350">
        <v>75</v>
      </c>
      <c r="G277" s="717"/>
      <c r="H277" s="349">
        <v>21013</v>
      </c>
      <c r="I277" s="350">
        <v>75</v>
      </c>
      <c r="J277" s="717"/>
      <c r="K277" s="349">
        <v>6610</v>
      </c>
      <c r="L277" s="350">
        <v>25</v>
      </c>
      <c r="M277" s="717"/>
      <c r="N277" s="349"/>
      <c r="O277" s="350"/>
      <c r="P277" s="717"/>
    </row>
    <row r="278" spans="1:16" x14ac:dyDescent="0.2">
      <c r="A278" s="107" t="s">
        <v>4247</v>
      </c>
      <c r="B278" s="131">
        <v>670</v>
      </c>
      <c r="C278" s="145"/>
      <c r="D278" s="307"/>
      <c r="E278" s="131">
        <v>453</v>
      </c>
      <c r="F278" s="145">
        <v>20</v>
      </c>
      <c r="G278" s="307"/>
      <c r="H278" s="131">
        <v>453</v>
      </c>
      <c r="I278" s="145">
        <v>20</v>
      </c>
      <c r="J278" s="307"/>
      <c r="K278" s="131">
        <v>216</v>
      </c>
      <c r="L278" s="145">
        <v>80</v>
      </c>
      <c r="M278" s="307"/>
      <c r="N278" s="131"/>
      <c r="O278" s="145"/>
      <c r="P278" s="307"/>
    </row>
    <row r="279" spans="1:16" x14ac:dyDescent="0.2">
      <c r="A279" s="107" t="s">
        <v>3924</v>
      </c>
      <c r="B279" s="131">
        <v>781285</v>
      </c>
      <c r="C279" s="145"/>
      <c r="D279" s="307"/>
      <c r="E279" s="131">
        <v>457240</v>
      </c>
      <c r="F279" s="145">
        <v>15</v>
      </c>
      <c r="G279" s="307"/>
      <c r="H279" s="131">
        <v>457240</v>
      </c>
      <c r="I279" s="145">
        <v>15</v>
      </c>
      <c r="J279" s="307"/>
      <c r="K279" s="131">
        <v>324044</v>
      </c>
      <c r="L279" s="145">
        <v>85</v>
      </c>
      <c r="M279" s="307"/>
      <c r="N279" s="131"/>
      <c r="O279" s="145"/>
      <c r="P279" s="307"/>
    </row>
    <row r="280" spans="1:16" x14ac:dyDescent="0.2">
      <c r="A280" s="141" t="s">
        <v>3925</v>
      </c>
      <c r="B280" s="131">
        <v>305721</v>
      </c>
      <c r="C280" s="145">
        <v>30</v>
      </c>
      <c r="D280" s="307"/>
      <c r="E280" s="131">
        <v>214514</v>
      </c>
      <c r="F280" s="145">
        <v>15</v>
      </c>
      <c r="G280" s="307"/>
      <c r="H280" s="131">
        <v>200474</v>
      </c>
      <c r="I280" s="145">
        <v>15</v>
      </c>
      <c r="J280" s="307"/>
      <c r="K280" s="131">
        <v>91207</v>
      </c>
      <c r="L280" s="145">
        <v>15</v>
      </c>
      <c r="M280" s="307"/>
      <c r="N280" s="131">
        <v>14040</v>
      </c>
      <c r="O280" s="145"/>
      <c r="P280" s="307"/>
    </row>
    <row r="281" spans="1:16" x14ac:dyDescent="0.2">
      <c r="A281" s="141" t="s">
        <v>3926</v>
      </c>
      <c r="B281" s="131">
        <v>39572</v>
      </c>
      <c r="C281" s="145">
        <v>55</v>
      </c>
      <c r="D281" s="307"/>
      <c r="E281" s="131">
        <v>34192</v>
      </c>
      <c r="F281" s="145">
        <v>85</v>
      </c>
      <c r="G281" s="307"/>
      <c r="H281" s="131">
        <v>34192</v>
      </c>
      <c r="I281" s="145">
        <v>85</v>
      </c>
      <c r="J281" s="307"/>
      <c r="K281" s="131">
        <v>5379</v>
      </c>
      <c r="L281" s="145">
        <v>70</v>
      </c>
      <c r="M281" s="307"/>
      <c r="N281" s="131"/>
      <c r="O281" s="145"/>
      <c r="P281" s="307"/>
    </row>
    <row r="282" spans="1:16" x14ac:dyDescent="0.2">
      <c r="A282" s="141" t="s">
        <v>3927</v>
      </c>
      <c r="B282" s="131">
        <v>6152</v>
      </c>
      <c r="C282" s="145">
        <v>40</v>
      </c>
      <c r="D282" s="307"/>
      <c r="E282" s="131">
        <v>3226</v>
      </c>
      <c r="F282" s="145">
        <v>85</v>
      </c>
      <c r="G282" s="307"/>
      <c r="H282" s="131">
        <v>3226</v>
      </c>
      <c r="I282" s="145">
        <v>85</v>
      </c>
      <c r="J282" s="307"/>
      <c r="K282" s="131">
        <v>2925</v>
      </c>
      <c r="L282" s="145">
        <v>55</v>
      </c>
      <c r="M282" s="307"/>
      <c r="N282" s="131"/>
      <c r="O282" s="145"/>
      <c r="P282" s="307"/>
    </row>
    <row r="283" spans="1:16" x14ac:dyDescent="0.2">
      <c r="A283" s="141" t="s">
        <v>3928</v>
      </c>
      <c r="B283" s="131">
        <v>299002</v>
      </c>
      <c r="C283" s="145">
        <v>90</v>
      </c>
      <c r="D283" s="307"/>
      <c r="E283" s="131">
        <v>106457</v>
      </c>
      <c r="F283" s="145"/>
      <c r="G283" s="307"/>
      <c r="H283" s="131">
        <v>105567</v>
      </c>
      <c r="I283" s="145">
        <v>50</v>
      </c>
      <c r="J283" s="307"/>
      <c r="K283" s="131">
        <v>192545</v>
      </c>
      <c r="L283" s="145">
        <v>90</v>
      </c>
      <c r="M283" s="307"/>
      <c r="N283" s="131">
        <v>889</v>
      </c>
      <c r="O283" s="145">
        <v>50</v>
      </c>
      <c r="P283" s="307"/>
    </row>
    <row r="284" spans="1:16" x14ac:dyDescent="0.2">
      <c r="A284" s="141" t="s">
        <v>4248</v>
      </c>
      <c r="B284" s="131">
        <v>2480</v>
      </c>
      <c r="C284" s="145"/>
      <c r="D284" s="307"/>
      <c r="E284" s="131">
        <v>720</v>
      </c>
      <c r="F284" s="145"/>
      <c r="G284" s="307"/>
      <c r="H284" s="131">
        <v>720</v>
      </c>
      <c r="I284" s="145"/>
      <c r="J284" s="307"/>
      <c r="K284" s="131">
        <v>1760</v>
      </c>
      <c r="L284" s="145"/>
      <c r="M284" s="307"/>
      <c r="N284" s="131"/>
      <c r="O284" s="145"/>
      <c r="P284" s="307"/>
    </row>
    <row r="285" spans="1:16" x14ac:dyDescent="0.2">
      <c r="A285" s="1114" t="s">
        <v>3906</v>
      </c>
      <c r="B285" s="240">
        <v>1462508</v>
      </c>
      <c r="C285" s="318">
        <v>15</v>
      </c>
      <c r="D285" s="513"/>
      <c r="E285" s="240">
        <v>837817</v>
      </c>
      <c r="F285" s="318">
        <v>95</v>
      </c>
      <c r="G285" s="513"/>
      <c r="H285" s="240">
        <v>822888</v>
      </c>
      <c r="I285" s="318">
        <v>45</v>
      </c>
      <c r="J285" s="513"/>
      <c r="K285" s="240">
        <v>624690</v>
      </c>
      <c r="L285" s="318">
        <v>20</v>
      </c>
      <c r="M285" s="513"/>
      <c r="N285" s="240">
        <v>14929</v>
      </c>
      <c r="O285" s="318">
        <v>50</v>
      </c>
      <c r="P285" s="513"/>
    </row>
    <row r="286" spans="1:16" x14ac:dyDescent="0.2">
      <c r="A286" s="1114"/>
      <c r="B286" s="246">
        <f>+SUM(B277:B284)</f>
        <v>1462506</v>
      </c>
      <c r="C286" s="246">
        <f t="shared" ref="C286:P286" si="18">+SUM(C277:C284)</f>
        <v>215</v>
      </c>
      <c r="D286" s="246">
        <f t="shared" si="18"/>
        <v>0</v>
      </c>
      <c r="E286" s="246">
        <f t="shared" si="18"/>
        <v>837815</v>
      </c>
      <c r="F286" s="246">
        <f t="shared" si="18"/>
        <v>295</v>
      </c>
      <c r="G286" s="246">
        <f t="shared" si="18"/>
        <v>0</v>
      </c>
      <c r="H286" s="246">
        <f t="shared" si="18"/>
        <v>822885</v>
      </c>
      <c r="I286" s="246">
        <f t="shared" si="18"/>
        <v>345</v>
      </c>
      <c r="J286" s="246">
        <f t="shared" si="18"/>
        <v>0</v>
      </c>
      <c r="K286" s="246">
        <f t="shared" si="18"/>
        <v>624686</v>
      </c>
      <c r="L286" s="246">
        <f t="shared" si="18"/>
        <v>420</v>
      </c>
      <c r="M286" s="246">
        <f t="shared" si="18"/>
        <v>0</v>
      </c>
      <c r="N286" s="246">
        <f t="shared" si="18"/>
        <v>14929</v>
      </c>
      <c r="O286" s="246">
        <f t="shared" si="18"/>
        <v>50</v>
      </c>
      <c r="P286" s="246">
        <f t="shared" si="18"/>
        <v>0</v>
      </c>
    </row>
    <row r="287" spans="1:16" ht="29.5" customHeight="1" x14ac:dyDescent="0.15">
      <c r="A287" s="838" t="s">
        <v>2790</v>
      </c>
      <c r="B287" s="838"/>
      <c r="C287" s="838"/>
      <c r="D287" s="838"/>
      <c r="E287" s="838"/>
      <c r="F287" s="838"/>
      <c r="G287" s="838"/>
      <c r="H287" s="838"/>
      <c r="I287" s="838"/>
      <c r="J287" s="838"/>
      <c r="K287" s="838"/>
      <c r="L287" s="838"/>
      <c r="M287" s="838"/>
      <c r="N287" s="838"/>
      <c r="O287" s="838"/>
      <c r="P287" s="838"/>
    </row>
    <row r="288" spans="1:16" ht="29.5" customHeight="1" x14ac:dyDescent="0.15">
      <c r="A288" s="751" t="s">
        <v>3887</v>
      </c>
      <c r="B288" s="977" t="s">
        <v>3888</v>
      </c>
      <c r="C288" s="977"/>
      <c r="D288" s="977"/>
      <c r="E288" s="977" t="s">
        <v>3889</v>
      </c>
      <c r="F288" s="977"/>
      <c r="G288" s="977"/>
      <c r="H288" s="977" t="s">
        <v>3890</v>
      </c>
      <c r="I288" s="977"/>
      <c r="J288" s="977"/>
      <c r="K288" s="977" t="s">
        <v>3891</v>
      </c>
      <c r="L288" s="977"/>
      <c r="M288" s="977"/>
      <c r="N288" s="977" t="s">
        <v>3892</v>
      </c>
      <c r="O288" s="977"/>
      <c r="P288" s="977"/>
    </row>
    <row r="289" spans="1:16" x14ac:dyDescent="0.2">
      <c r="A289" s="107" t="s">
        <v>4249</v>
      </c>
      <c r="B289" s="349">
        <v>23344</v>
      </c>
      <c r="C289" s="350"/>
      <c r="D289" s="717"/>
      <c r="E289" s="349">
        <v>22148</v>
      </c>
      <c r="F289" s="350">
        <v>5</v>
      </c>
      <c r="G289" s="717"/>
      <c r="H289" s="349">
        <v>22148</v>
      </c>
      <c r="I289" s="350">
        <v>5</v>
      </c>
      <c r="J289" s="717"/>
      <c r="K289" s="349">
        <v>1195</v>
      </c>
      <c r="L289" s="350">
        <v>95</v>
      </c>
      <c r="M289" s="717"/>
      <c r="N289" s="349"/>
      <c r="O289" s="350"/>
      <c r="P289" s="717"/>
    </row>
    <row r="290" spans="1:16" x14ac:dyDescent="0.2">
      <c r="A290" s="107" t="s">
        <v>3958</v>
      </c>
      <c r="B290" s="131">
        <v>1967</v>
      </c>
      <c r="C290" s="145"/>
      <c r="D290" s="307"/>
      <c r="E290" s="131">
        <v>906</v>
      </c>
      <c r="F290" s="145">
        <v>20</v>
      </c>
      <c r="G290" s="307"/>
      <c r="H290" s="131">
        <v>906</v>
      </c>
      <c r="I290" s="145">
        <v>20</v>
      </c>
      <c r="J290" s="307"/>
      <c r="K290" s="131">
        <v>1060</v>
      </c>
      <c r="L290" s="145">
        <v>80</v>
      </c>
      <c r="M290" s="307"/>
      <c r="N290" s="131"/>
      <c r="O290" s="145"/>
      <c r="P290" s="307"/>
    </row>
    <row r="291" spans="1:16" x14ac:dyDescent="0.2">
      <c r="A291" s="107" t="s">
        <v>3959</v>
      </c>
      <c r="B291" s="131">
        <v>15798</v>
      </c>
      <c r="C291" s="145"/>
      <c r="D291" s="307"/>
      <c r="E291" s="131">
        <v>15302</v>
      </c>
      <c r="F291" s="145">
        <v>90</v>
      </c>
      <c r="G291" s="307"/>
      <c r="H291" s="131">
        <v>15302</v>
      </c>
      <c r="I291" s="145">
        <v>90</v>
      </c>
      <c r="J291" s="307"/>
      <c r="K291" s="131">
        <v>495</v>
      </c>
      <c r="L291" s="145">
        <v>10</v>
      </c>
      <c r="M291" s="307"/>
      <c r="N291" s="131"/>
      <c r="O291" s="145"/>
      <c r="P291" s="307"/>
    </row>
    <row r="292" spans="1:16" x14ac:dyDescent="0.2">
      <c r="A292" s="141" t="s">
        <v>3960</v>
      </c>
      <c r="B292" s="131">
        <v>360</v>
      </c>
      <c r="C292" s="145"/>
      <c r="D292" s="307"/>
      <c r="E292" s="131">
        <v>360</v>
      </c>
      <c r="F292" s="145"/>
      <c r="G292" s="307"/>
      <c r="H292" s="131">
        <v>360</v>
      </c>
      <c r="I292" s="145"/>
      <c r="J292" s="307"/>
      <c r="K292" s="131"/>
      <c r="L292" s="145"/>
      <c r="M292" s="307"/>
      <c r="N292" s="131"/>
      <c r="O292" s="145"/>
      <c r="P292" s="307"/>
    </row>
    <row r="293" spans="1:16" x14ac:dyDescent="0.2">
      <c r="A293" s="141" t="s">
        <v>3961</v>
      </c>
      <c r="B293" s="131">
        <v>13088</v>
      </c>
      <c r="C293" s="145"/>
      <c r="D293" s="307"/>
      <c r="E293" s="131">
        <v>12852</v>
      </c>
      <c r="F293" s="145">
        <v>5</v>
      </c>
      <c r="G293" s="307"/>
      <c r="H293" s="131">
        <v>12852</v>
      </c>
      <c r="I293" s="145">
        <v>5</v>
      </c>
      <c r="J293" s="307"/>
      <c r="K293" s="131">
        <v>235</v>
      </c>
      <c r="L293" s="145">
        <v>95</v>
      </c>
      <c r="M293" s="307"/>
      <c r="N293" s="131"/>
      <c r="O293" s="145"/>
      <c r="P293" s="307"/>
    </row>
    <row r="294" spans="1:16" x14ac:dyDescent="0.2">
      <c r="A294" s="141" t="s">
        <v>3962</v>
      </c>
      <c r="B294" s="131">
        <v>460</v>
      </c>
      <c r="C294" s="145"/>
      <c r="D294" s="307"/>
      <c r="E294" s="131">
        <v>440</v>
      </c>
      <c r="F294" s="145">
        <v>60</v>
      </c>
      <c r="G294" s="307"/>
      <c r="H294" s="131">
        <v>440</v>
      </c>
      <c r="I294" s="145">
        <v>60</v>
      </c>
      <c r="J294" s="307"/>
      <c r="K294" s="131">
        <v>19</v>
      </c>
      <c r="L294" s="145">
        <v>40</v>
      </c>
      <c r="M294" s="307"/>
      <c r="N294" s="131"/>
      <c r="O294" s="145"/>
      <c r="P294" s="307"/>
    </row>
    <row r="295" spans="1:16" x14ac:dyDescent="0.2">
      <c r="A295" s="141" t="s">
        <v>3963</v>
      </c>
      <c r="B295" s="131">
        <v>45000</v>
      </c>
      <c r="C295" s="145"/>
      <c r="D295" s="307"/>
      <c r="E295" s="131">
        <v>36676</v>
      </c>
      <c r="F295" s="145">
        <v>65</v>
      </c>
      <c r="G295" s="307"/>
      <c r="H295" s="131">
        <v>36676</v>
      </c>
      <c r="I295" s="145">
        <v>65</v>
      </c>
      <c r="J295" s="307"/>
      <c r="K295" s="131">
        <v>8323</v>
      </c>
      <c r="L295" s="145">
        <v>35</v>
      </c>
      <c r="M295" s="307"/>
      <c r="N295" s="131"/>
      <c r="O295" s="145"/>
      <c r="P295" s="307"/>
    </row>
    <row r="296" spans="1:16" x14ac:dyDescent="0.2">
      <c r="A296" s="1114" t="s">
        <v>3906</v>
      </c>
      <c r="B296" s="240">
        <v>100017</v>
      </c>
      <c r="C296" s="318"/>
      <c r="D296" s="513"/>
      <c r="E296" s="240">
        <v>88686</v>
      </c>
      <c r="F296" s="318">
        <v>45</v>
      </c>
      <c r="G296" s="513"/>
      <c r="H296" s="240">
        <v>88686</v>
      </c>
      <c r="I296" s="318">
        <v>45</v>
      </c>
      <c r="J296" s="513"/>
      <c r="K296" s="240">
        <v>11330</v>
      </c>
      <c r="L296" s="318">
        <v>55</v>
      </c>
      <c r="M296" s="513"/>
      <c r="N296" s="240"/>
      <c r="O296" s="318"/>
      <c r="P296" s="513"/>
    </row>
    <row r="297" spans="1:16" x14ac:dyDescent="0.2">
      <c r="A297" s="1114"/>
      <c r="B297" s="246">
        <f>+SUM(B289:B295)</f>
        <v>100017</v>
      </c>
      <c r="C297" s="246">
        <f t="shared" ref="C297:P297" si="19">+SUM(C289:C295)</f>
        <v>0</v>
      </c>
      <c r="D297" s="246">
        <f t="shared" si="19"/>
        <v>0</v>
      </c>
      <c r="E297" s="246">
        <f t="shared" si="19"/>
        <v>88684</v>
      </c>
      <c r="F297" s="246">
        <f t="shared" si="19"/>
        <v>245</v>
      </c>
      <c r="G297" s="246">
        <f t="shared" si="19"/>
        <v>0</v>
      </c>
      <c r="H297" s="246">
        <f t="shared" si="19"/>
        <v>88684</v>
      </c>
      <c r="I297" s="246">
        <f t="shared" si="19"/>
        <v>245</v>
      </c>
      <c r="J297" s="246">
        <f t="shared" si="19"/>
        <v>0</v>
      </c>
      <c r="K297" s="246">
        <f t="shared" si="19"/>
        <v>11327</v>
      </c>
      <c r="L297" s="246">
        <f t="shared" si="19"/>
        <v>355</v>
      </c>
      <c r="M297" s="246">
        <f t="shared" si="19"/>
        <v>0</v>
      </c>
      <c r="N297" s="246">
        <f t="shared" si="19"/>
        <v>0</v>
      </c>
      <c r="O297" s="246">
        <f t="shared" si="19"/>
        <v>0</v>
      </c>
      <c r="P297" s="246">
        <f t="shared" si="19"/>
        <v>0</v>
      </c>
    </row>
    <row r="298" spans="1:16" ht="30.5" customHeight="1" x14ac:dyDescent="0.15">
      <c r="A298" s="838" t="s">
        <v>3950</v>
      </c>
      <c r="B298" s="838"/>
      <c r="C298" s="838"/>
      <c r="D298" s="838"/>
      <c r="E298" s="838"/>
      <c r="F298" s="838"/>
      <c r="G298" s="838"/>
      <c r="H298" s="838"/>
      <c r="I298" s="838"/>
      <c r="J298" s="838"/>
      <c r="K298" s="838"/>
      <c r="L298" s="838"/>
      <c r="M298" s="838"/>
      <c r="N298" s="838"/>
      <c r="O298" s="838"/>
      <c r="P298" s="838"/>
    </row>
    <row r="299" spans="1:16" ht="28.25" customHeight="1" x14ac:dyDescent="0.15">
      <c r="A299" s="751" t="s">
        <v>3887</v>
      </c>
      <c r="B299" s="977" t="s">
        <v>3888</v>
      </c>
      <c r="C299" s="977"/>
      <c r="D299" s="977"/>
      <c r="E299" s="977" t="s">
        <v>3889</v>
      </c>
      <c r="F299" s="977"/>
      <c r="G299" s="977"/>
      <c r="H299" s="977" t="s">
        <v>3890</v>
      </c>
      <c r="I299" s="977"/>
      <c r="J299" s="977"/>
      <c r="K299" s="977" t="s">
        <v>3891</v>
      </c>
      <c r="L299" s="977"/>
      <c r="M299" s="977"/>
      <c r="N299" s="977" t="s">
        <v>3892</v>
      </c>
      <c r="O299" s="977"/>
      <c r="P299" s="977"/>
    </row>
    <row r="300" spans="1:16" x14ac:dyDescent="0.2">
      <c r="A300" s="107" t="s">
        <v>3951</v>
      </c>
      <c r="B300" s="349">
        <v>538950</v>
      </c>
      <c r="C300" s="350"/>
      <c r="D300" s="717"/>
      <c r="E300" s="349">
        <v>452052</v>
      </c>
      <c r="F300" s="350">
        <v>50</v>
      </c>
      <c r="G300" s="717"/>
      <c r="H300" s="349">
        <v>179347</v>
      </c>
      <c r="I300" s="350">
        <v>50</v>
      </c>
      <c r="J300" s="717"/>
      <c r="K300" s="349">
        <v>86897</v>
      </c>
      <c r="L300" s="350">
        <v>50</v>
      </c>
      <c r="M300" s="717"/>
      <c r="N300" s="349">
        <v>272705</v>
      </c>
      <c r="O300" s="350"/>
      <c r="P300" s="717"/>
    </row>
    <row r="301" spans="1:16" x14ac:dyDescent="0.2">
      <c r="A301" s="107" t="s">
        <v>4250</v>
      </c>
      <c r="B301" s="131">
        <v>1369850</v>
      </c>
      <c r="C301" s="145"/>
      <c r="D301" s="307"/>
      <c r="E301" s="131">
        <v>1069342</v>
      </c>
      <c r="F301" s="145">
        <v>15</v>
      </c>
      <c r="G301" s="307"/>
      <c r="H301" s="131">
        <v>961935</v>
      </c>
      <c r="I301" s="145">
        <v>45</v>
      </c>
      <c r="J301" s="307"/>
      <c r="K301" s="131">
        <v>300507</v>
      </c>
      <c r="L301" s="145">
        <v>85</v>
      </c>
      <c r="M301" s="307"/>
      <c r="N301" s="131">
        <v>107406</v>
      </c>
      <c r="O301" s="145">
        <v>70</v>
      </c>
      <c r="P301" s="307"/>
    </row>
    <row r="302" spans="1:16" x14ac:dyDescent="0.2">
      <c r="A302" s="107" t="s">
        <v>3953</v>
      </c>
      <c r="B302" s="131">
        <v>115621</v>
      </c>
      <c r="C302" s="145"/>
      <c r="D302" s="307"/>
      <c r="E302" s="131">
        <v>114480</v>
      </c>
      <c r="F302" s="145">
        <v>30</v>
      </c>
      <c r="G302" s="307"/>
      <c r="H302" s="131">
        <v>53369</v>
      </c>
      <c r="I302" s="145"/>
      <c r="J302" s="307"/>
      <c r="K302" s="131">
        <v>1140</v>
      </c>
      <c r="L302" s="145">
        <v>70</v>
      </c>
      <c r="M302" s="307"/>
      <c r="N302" s="131">
        <v>61111</v>
      </c>
      <c r="O302" s="145">
        <v>30</v>
      </c>
      <c r="P302" s="307"/>
    </row>
    <row r="303" spans="1:16" x14ac:dyDescent="0.2">
      <c r="A303" s="141" t="s">
        <v>3954</v>
      </c>
      <c r="B303" s="131">
        <v>53034</v>
      </c>
      <c r="C303" s="145">
        <v>50</v>
      </c>
      <c r="D303" s="307"/>
      <c r="E303" s="131">
        <v>27058</v>
      </c>
      <c r="F303" s="145">
        <v>10</v>
      </c>
      <c r="G303" s="307"/>
      <c r="H303" s="131">
        <v>13415</v>
      </c>
      <c r="I303" s="145">
        <v>15</v>
      </c>
      <c r="J303" s="307"/>
      <c r="K303" s="131">
        <v>25976</v>
      </c>
      <c r="L303" s="145">
        <v>40</v>
      </c>
      <c r="M303" s="307"/>
      <c r="N303" s="131">
        <v>13642</v>
      </c>
      <c r="O303" s="145">
        <v>95</v>
      </c>
      <c r="P303" s="307"/>
    </row>
    <row r="304" spans="1:16" x14ac:dyDescent="0.2">
      <c r="A304" s="141" t="s">
        <v>3955</v>
      </c>
      <c r="B304" s="131">
        <v>222091</v>
      </c>
      <c r="C304" s="145">
        <v>40</v>
      </c>
      <c r="D304" s="307"/>
      <c r="E304" s="131">
        <v>207815</v>
      </c>
      <c r="F304" s="145">
        <v>25</v>
      </c>
      <c r="G304" s="307"/>
      <c r="H304" s="131">
        <v>205935</v>
      </c>
      <c r="I304" s="145"/>
      <c r="J304" s="307"/>
      <c r="K304" s="131">
        <v>14276</v>
      </c>
      <c r="L304" s="145">
        <v>15</v>
      </c>
      <c r="M304" s="307"/>
      <c r="N304" s="131">
        <v>1880</v>
      </c>
      <c r="O304" s="145">
        <v>25</v>
      </c>
      <c r="P304" s="307"/>
    </row>
    <row r="305" spans="1:16" x14ac:dyDescent="0.2">
      <c r="A305" s="141" t="s">
        <v>3956</v>
      </c>
      <c r="B305" s="131">
        <v>120601</v>
      </c>
      <c r="C305" s="145">
        <v>50</v>
      </c>
      <c r="D305" s="307"/>
      <c r="E305" s="131">
        <v>115218</v>
      </c>
      <c r="F305" s="145"/>
      <c r="G305" s="307"/>
      <c r="H305" s="131">
        <v>109782</v>
      </c>
      <c r="I305" s="145">
        <v>85</v>
      </c>
      <c r="J305" s="307"/>
      <c r="K305" s="131">
        <v>5383</v>
      </c>
      <c r="L305" s="145">
        <v>50</v>
      </c>
      <c r="M305" s="307"/>
      <c r="N305" s="131">
        <v>5435</v>
      </c>
      <c r="O305" s="145">
        <v>15</v>
      </c>
      <c r="P305" s="307"/>
    </row>
    <row r="306" spans="1:16" x14ac:dyDescent="0.2">
      <c r="A306" s="141" t="s">
        <v>3928</v>
      </c>
      <c r="B306" s="131">
        <v>5237</v>
      </c>
      <c r="C306" s="145">
        <v>50</v>
      </c>
      <c r="D306" s="307"/>
      <c r="E306" s="131">
        <v>1725</v>
      </c>
      <c r="F306" s="145">
        <v>75</v>
      </c>
      <c r="G306" s="307"/>
      <c r="H306" s="131">
        <v>1725</v>
      </c>
      <c r="I306" s="145">
        <v>75</v>
      </c>
      <c r="J306" s="307"/>
      <c r="K306" s="131">
        <v>3511</v>
      </c>
      <c r="L306" s="145">
        <v>75</v>
      </c>
      <c r="M306" s="307"/>
      <c r="N306" s="131"/>
      <c r="O306" s="145"/>
      <c r="P306" s="307"/>
    </row>
    <row r="307" spans="1:16" x14ac:dyDescent="0.2">
      <c r="A307" s="1114" t="s">
        <v>3906</v>
      </c>
      <c r="B307" s="240">
        <v>2425385</v>
      </c>
      <c r="C307" s="318">
        <v>90</v>
      </c>
      <c r="D307" s="513"/>
      <c r="E307" s="240">
        <v>1987692</v>
      </c>
      <c r="F307" s="318">
        <v>5</v>
      </c>
      <c r="G307" s="513"/>
      <c r="H307" s="240">
        <v>1525510</v>
      </c>
      <c r="I307" s="318">
        <v>70</v>
      </c>
      <c r="J307" s="513"/>
      <c r="K307" s="240">
        <v>437693</v>
      </c>
      <c r="L307" s="318">
        <v>85</v>
      </c>
      <c r="M307" s="513"/>
      <c r="N307" s="240">
        <v>462181</v>
      </c>
      <c r="O307" s="318">
        <v>35</v>
      </c>
      <c r="P307" s="513"/>
    </row>
    <row r="308" spans="1:16" x14ac:dyDescent="0.2">
      <c r="A308" s="1114"/>
      <c r="B308" s="246">
        <f>+SUM(B300:B306)</f>
        <v>2425384</v>
      </c>
      <c r="C308" s="246">
        <f t="shared" ref="C308:P308" si="20">+SUM(C300:C306)</f>
        <v>190</v>
      </c>
      <c r="D308" s="246">
        <f t="shared" si="20"/>
        <v>0</v>
      </c>
      <c r="E308" s="246">
        <f t="shared" si="20"/>
        <v>1987690</v>
      </c>
      <c r="F308" s="246">
        <f t="shared" si="20"/>
        <v>205</v>
      </c>
      <c r="G308" s="246">
        <f t="shared" si="20"/>
        <v>0</v>
      </c>
      <c r="H308" s="246">
        <f t="shared" si="20"/>
        <v>1525508</v>
      </c>
      <c r="I308" s="246">
        <f t="shared" si="20"/>
        <v>270</v>
      </c>
      <c r="J308" s="246">
        <f t="shared" si="20"/>
        <v>0</v>
      </c>
      <c r="K308" s="246">
        <f t="shared" si="20"/>
        <v>437690</v>
      </c>
      <c r="L308" s="246">
        <f t="shared" si="20"/>
        <v>385</v>
      </c>
      <c r="M308" s="246">
        <f t="shared" si="20"/>
        <v>0</v>
      </c>
      <c r="N308" s="246">
        <f t="shared" si="20"/>
        <v>462179</v>
      </c>
      <c r="O308" s="246">
        <f t="shared" si="20"/>
        <v>235</v>
      </c>
      <c r="P308" s="246">
        <f t="shared" si="20"/>
        <v>0</v>
      </c>
    </row>
    <row r="309" spans="1:16" ht="23.5" customHeight="1" x14ac:dyDescent="0.15">
      <c r="A309" s="838" t="s">
        <v>2794</v>
      </c>
      <c r="B309" s="838"/>
      <c r="C309" s="838"/>
      <c r="D309" s="838"/>
      <c r="E309" s="838"/>
      <c r="F309" s="838"/>
      <c r="G309" s="838"/>
      <c r="H309" s="838"/>
      <c r="I309" s="838"/>
      <c r="J309" s="838"/>
      <c r="K309" s="838"/>
      <c r="L309" s="838"/>
      <c r="M309" s="838"/>
      <c r="N309" s="838"/>
      <c r="O309" s="838"/>
      <c r="P309" s="838"/>
    </row>
    <row r="310" spans="1:16" ht="26.5" customHeight="1" x14ac:dyDescent="0.15">
      <c r="A310" s="751" t="s">
        <v>3887</v>
      </c>
      <c r="B310" s="977" t="s">
        <v>3888</v>
      </c>
      <c r="C310" s="977"/>
      <c r="D310" s="977"/>
      <c r="E310" s="977" t="s">
        <v>3889</v>
      </c>
      <c r="F310" s="977"/>
      <c r="G310" s="977"/>
      <c r="H310" s="977" t="s">
        <v>3890</v>
      </c>
      <c r="I310" s="977"/>
      <c r="J310" s="977"/>
      <c r="K310" s="977" t="s">
        <v>3891</v>
      </c>
      <c r="L310" s="977"/>
      <c r="M310" s="977"/>
      <c r="N310" s="977" t="s">
        <v>3892</v>
      </c>
      <c r="O310" s="977"/>
      <c r="P310" s="977"/>
    </row>
    <row r="311" spans="1:16" x14ac:dyDescent="0.2">
      <c r="A311" s="107" t="s">
        <v>4251</v>
      </c>
      <c r="B311" s="349">
        <v>10800</v>
      </c>
      <c r="C311" s="350"/>
      <c r="D311" s="717"/>
      <c r="E311" s="349">
        <v>5343</v>
      </c>
      <c r="F311" s="350">
        <v>45</v>
      </c>
      <c r="G311" s="717"/>
      <c r="H311" s="349">
        <v>5343</v>
      </c>
      <c r="I311" s="350">
        <v>45</v>
      </c>
      <c r="J311" s="717"/>
      <c r="K311" s="349">
        <v>5456</v>
      </c>
      <c r="L311" s="350">
        <v>55</v>
      </c>
      <c r="M311" s="717"/>
      <c r="N311" s="349"/>
      <c r="O311" s="350"/>
      <c r="P311" s="717"/>
    </row>
    <row r="312" spans="1:16" x14ac:dyDescent="0.2">
      <c r="A312" s="107" t="s">
        <v>3965</v>
      </c>
      <c r="B312" s="131">
        <v>400</v>
      </c>
      <c r="C312" s="145"/>
      <c r="D312" s="307"/>
      <c r="E312" s="131">
        <v>145</v>
      </c>
      <c r="F312" s="145">
        <v>40</v>
      </c>
      <c r="G312" s="307"/>
      <c r="H312" s="131">
        <v>145</v>
      </c>
      <c r="I312" s="145">
        <v>40</v>
      </c>
      <c r="J312" s="307"/>
      <c r="K312" s="131">
        <v>254</v>
      </c>
      <c r="L312" s="145">
        <v>60</v>
      </c>
      <c r="M312" s="307"/>
      <c r="N312" s="131"/>
      <c r="O312" s="145"/>
      <c r="P312" s="307"/>
    </row>
    <row r="313" spans="1:16" x14ac:dyDescent="0.2">
      <c r="A313" s="107" t="s">
        <v>3915</v>
      </c>
      <c r="B313" s="131">
        <v>4171</v>
      </c>
      <c r="C313" s="145"/>
      <c r="D313" s="307"/>
      <c r="E313" s="131">
        <v>4139</v>
      </c>
      <c r="F313" s="145"/>
      <c r="G313" s="307"/>
      <c r="H313" s="131">
        <v>4139</v>
      </c>
      <c r="I313" s="145"/>
      <c r="J313" s="307"/>
      <c r="K313" s="131">
        <v>32</v>
      </c>
      <c r="L313" s="145"/>
      <c r="M313" s="307"/>
      <c r="N313" s="131"/>
      <c r="O313" s="145"/>
      <c r="P313" s="307"/>
    </row>
    <row r="314" spans="1:16" x14ac:dyDescent="0.2">
      <c r="A314" s="1114" t="s">
        <v>3906</v>
      </c>
      <c r="B314" s="240">
        <v>15371</v>
      </c>
      <c r="C314" s="318"/>
      <c r="D314" s="513"/>
      <c r="E314" s="240">
        <v>9627</v>
      </c>
      <c r="F314" s="318">
        <v>85</v>
      </c>
      <c r="G314" s="513"/>
      <c r="H314" s="240">
        <v>9627</v>
      </c>
      <c r="I314" s="318">
        <v>85</v>
      </c>
      <c r="J314" s="513"/>
      <c r="K314" s="240">
        <v>5743</v>
      </c>
      <c r="L314" s="318">
        <v>15</v>
      </c>
      <c r="M314" s="513"/>
      <c r="N314" s="240"/>
      <c r="O314" s="318"/>
      <c r="P314" s="513"/>
    </row>
    <row r="315" spans="1:16" x14ac:dyDescent="0.2">
      <c r="A315" s="1114"/>
      <c r="B315" s="246">
        <f>+SUM(B311:B313)</f>
        <v>15371</v>
      </c>
      <c r="C315" s="246">
        <f t="shared" ref="C315:P315" si="21">+SUM(C311:C313)</f>
        <v>0</v>
      </c>
      <c r="D315" s="246">
        <f t="shared" si="21"/>
        <v>0</v>
      </c>
      <c r="E315" s="246">
        <f t="shared" si="21"/>
        <v>9627</v>
      </c>
      <c r="F315" s="246">
        <f t="shared" si="21"/>
        <v>85</v>
      </c>
      <c r="G315" s="246">
        <f t="shared" si="21"/>
        <v>0</v>
      </c>
      <c r="H315" s="246">
        <f t="shared" si="21"/>
        <v>9627</v>
      </c>
      <c r="I315" s="246">
        <f t="shared" si="21"/>
        <v>85</v>
      </c>
      <c r="J315" s="246">
        <f t="shared" si="21"/>
        <v>0</v>
      </c>
      <c r="K315" s="246">
        <f t="shared" si="21"/>
        <v>5742</v>
      </c>
      <c r="L315" s="246">
        <f t="shared" si="21"/>
        <v>115</v>
      </c>
      <c r="M315" s="246">
        <f t="shared" si="21"/>
        <v>0</v>
      </c>
      <c r="N315" s="246">
        <f t="shared" si="21"/>
        <v>0</v>
      </c>
      <c r="O315" s="246">
        <f t="shared" si="21"/>
        <v>0</v>
      </c>
      <c r="P315" s="246">
        <f t="shared" si="21"/>
        <v>0</v>
      </c>
    </row>
    <row r="316" spans="1:16" ht="27" customHeight="1" x14ac:dyDescent="0.15">
      <c r="A316" s="838" t="s">
        <v>2815</v>
      </c>
      <c r="B316" s="838"/>
      <c r="C316" s="838"/>
      <c r="D316" s="838"/>
      <c r="E316" s="838"/>
      <c r="F316" s="838"/>
      <c r="G316" s="838"/>
      <c r="H316" s="838"/>
      <c r="I316" s="838"/>
      <c r="J316" s="838"/>
      <c r="K316" s="838"/>
      <c r="L316" s="838"/>
      <c r="M316" s="838"/>
      <c r="N316" s="838"/>
      <c r="O316" s="838"/>
      <c r="P316" s="838"/>
    </row>
    <row r="317" spans="1:16" ht="24.5" customHeight="1" x14ac:dyDescent="0.15">
      <c r="A317" s="751" t="s">
        <v>3887</v>
      </c>
      <c r="B317" s="977" t="s">
        <v>3888</v>
      </c>
      <c r="C317" s="977"/>
      <c r="D317" s="977"/>
      <c r="E317" s="977" t="s">
        <v>3889</v>
      </c>
      <c r="F317" s="977"/>
      <c r="G317" s="977"/>
      <c r="H317" s="977" t="s">
        <v>3890</v>
      </c>
      <c r="I317" s="977"/>
      <c r="J317" s="977"/>
      <c r="K317" s="977" t="s">
        <v>3891</v>
      </c>
      <c r="L317" s="977"/>
      <c r="M317" s="977"/>
      <c r="N317" s="977" t="s">
        <v>3892</v>
      </c>
      <c r="O317" s="977"/>
      <c r="P317" s="977"/>
    </row>
    <row r="318" spans="1:16" x14ac:dyDescent="0.2">
      <c r="A318" s="107" t="s">
        <v>3936</v>
      </c>
      <c r="B318" s="349">
        <v>27580</v>
      </c>
      <c r="C318" s="350"/>
      <c r="D318" s="717"/>
      <c r="E318" s="349">
        <v>15940</v>
      </c>
      <c r="F318" s="350">
        <v>75</v>
      </c>
      <c r="G318" s="717"/>
      <c r="H318" s="349">
        <v>15940</v>
      </c>
      <c r="I318" s="350">
        <v>75</v>
      </c>
      <c r="J318" s="717"/>
      <c r="K318" s="349">
        <v>11639</v>
      </c>
      <c r="L318" s="350">
        <v>25</v>
      </c>
      <c r="M318" s="717"/>
      <c r="N318" s="349"/>
      <c r="O318" s="350"/>
      <c r="P318" s="717"/>
    </row>
    <row r="319" spans="1:16" x14ac:dyDescent="0.2">
      <c r="A319" s="107" t="s">
        <v>3937</v>
      </c>
      <c r="B319" s="131">
        <v>600</v>
      </c>
      <c r="C319" s="145"/>
      <c r="D319" s="307"/>
      <c r="E319" s="131">
        <v>203</v>
      </c>
      <c r="F319" s="145">
        <v>80</v>
      </c>
      <c r="G319" s="307"/>
      <c r="H319" s="131">
        <v>203</v>
      </c>
      <c r="I319" s="145">
        <v>80</v>
      </c>
      <c r="J319" s="307"/>
      <c r="K319" s="131">
        <v>396</v>
      </c>
      <c r="L319" s="145">
        <v>20</v>
      </c>
      <c r="M319" s="307"/>
      <c r="N319" s="131"/>
      <c r="O319" s="145"/>
      <c r="P319" s="307"/>
    </row>
    <row r="320" spans="1:16" x14ac:dyDescent="0.2">
      <c r="A320" s="107" t="s">
        <v>3938</v>
      </c>
      <c r="B320" s="131">
        <v>102280</v>
      </c>
      <c r="C320" s="145"/>
      <c r="D320" s="307"/>
      <c r="E320" s="131">
        <v>7135</v>
      </c>
      <c r="F320" s="145">
        <v>30</v>
      </c>
      <c r="G320" s="307"/>
      <c r="H320" s="131">
        <v>7135</v>
      </c>
      <c r="I320" s="145">
        <v>30</v>
      </c>
      <c r="J320" s="307"/>
      <c r="K320" s="131">
        <v>95144</v>
      </c>
      <c r="L320" s="145">
        <v>70</v>
      </c>
      <c r="M320" s="307"/>
      <c r="N320" s="131"/>
      <c r="O320" s="145"/>
      <c r="P320" s="307"/>
    </row>
    <row r="321" spans="1:16" x14ac:dyDescent="0.2">
      <c r="A321" s="141" t="s">
        <v>3939</v>
      </c>
      <c r="B321" s="131">
        <v>88913</v>
      </c>
      <c r="C321" s="145"/>
      <c r="D321" s="307"/>
      <c r="E321" s="131">
        <v>115</v>
      </c>
      <c r="F321" s="145">
        <v>75</v>
      </c>
      <c r="G321" s="307"/>
      <c r="H321" s="131">
        <v>115</v>
      </c>
      <c r="I321" s="145">
        <v>75</v>
      </c>
      <c r="J321" s="307"/>
      <c r="K321" s="131">
        <v>88797</v>
      </c>
      <c r="L321" s="145">
        <v>25</v>
      </c>
      <c r="M321" s="307"/>
      <c r="N321" s="131"/>
      <c r="O321" s="145"/>
      <c r="P321" s="307"/>
    </row>
    <row r="322" spans="1:16" x14ac:dyDescent="0.2">
      <c r="A322" s="141" t="s">
        <v>3940</v>
      </c>
      <c r="B322" s="131">
        <v>10600</v>
      </c>
      <c r="C322" s="145"/>
      <c r="D322" s="307"/>
      <c r="E322" s="131">
        <v>34</v>
      </c>
      <c r="F322" s="145"/>
      <c r="G322" s="307"/>
      <c r="H322" s="131">
        <v>34</v>
      </c>
      <c r="I322" s="145"/>
      <c r="J322" s="307"/>
      <c r="K322" s="131">
        <v>10566</v>
      </c>
      <c r="L322" s="145"/>
      <c r="M322" s="307"/>
      <c r="N322" s="131"/>
      <c r="O322" s="145"/>
      <c r="P322" s="307"/>
    </row>
    <row r="323" spans="1:16" x14ac:dyDescent="0.2">
      <c r="A323" s="141" t="s">
        <v>3941</v>
      </c>
      <c r="B323" s="131">
        <v>1080</v>
      </c>
      <c r="C323" s="145"/>
      <c r="D323" s="307"/>
      <c r="E323" s="131"/>
      <c r="F323" s="145"/>
      <c r="G323" s="307"/>
      <c r="H323" s="131"/>
      <c r="I323" s="145"/>
      <c r="J323" s="307"/>
      <c r="K323" s="131">
        <v>1080</v>
      </c>
      <c r="L323" s="145"/>
      <c r="M323" s="307"/>
      <c r="N323" s="131"/>
      <c r="O323" s="145"/>
      <c r="P323" s="307"/>
    </row>
    <row r="324" spans="1:16" x14ac:dyDescent="0.2">
      <c r="A324" s="141" t="s">
        <v>3942</v>
      </c>
      <c r="B324" s="131">
        <v>78476</v>
      </c>
      <c r="C324" s="145"/>
      <c r="D324" s="307"/>
      <c r="E324" s="131">
        <v>7922</v>
      </c>
      <c r="F324" s="145"/>
      <c r="G324" s="307"/>
      <c r="H324" s="131">
        <v>7922</v>
      </c>
      <c r="I324" s="145"/>
      <c r="J324" s="307"/>
      <c r="K324" s="131">
        <v>70554</v>
      </c>
      <c r="L324" s="145"/>
      <c r="M324" s="307"/>
      <c r="N324" s="131"/>
      <c r="O324" s="145"/>
      <c r="P324" s="307"/>
    </row>
    <row r="325" spans="1:16" x14ac:dyDescent="0.2">
      <c r="A325" s="141" t="s">
        <v>3943</v>
      </c>
      <c r="B325" s="131">
        <v>886153</v>
      </c>
      <c r="C325" s="145"/>
      <c r="D325" s="307"/>
      <c r="E325" s="131">
        <v>141837</v>
      </c>
      <c r="F325" s="145">
        <v>60</v>
      </c>
      <c r="G325" s="307"/>
      <c r="H325" s="131">
        <v>141837</v>
      </c>
      <c r="I325" s="145">
        <v>60</v>
      </c>
      <c r="J325" s="307"/>
      <c r="K325" s="131">
        <v>744325</v>
      </c>
      <c r="L325" s="145">
        <v>40</v>
      </c>
      <c r="M325" s="307"/>
      <c r="N325" s="131"/>
      <c r="O325" s="145"/>
      <c r="P325" s="307"/>
    </row>
    <row r="326" spans="1:16" x14ac:dyDescent="0.2">
      <c r="A326" s="141" t="s">
        <v>3944</v>
      </c>
      <c r="B326" s="131">
        <v>10284</v>
      </c>
      <c r="C326" s="145"/>
      <c r="D326" s="307"/>
      <c r="E326" s="131">
        <v>4139</v>
      </c>
      <c r="F326" s="145">
        <v>90</v>
      </c>
      <c r="G326" s="307"/>
      <c r="H326" s="131">
        <v>4139</v>
      </c>
      <c r="I326" s="145">
        <v>90</v>
      </c>
      <c r="J326" s="307"/>
      <c r="K326" s="131">
        <v>6144</v>
      </c>
      <c r="L326" s="145">
        <v>10</v>
      </c>
      <c r="M326" s="307"/>
      <c r="N326" s="131"/>
      <c r="O326" s="145"/>
      <c r="P326" s="307"/>
    </row>
    <row r="327" spans="1:16" x14ac:dyDescent="0.2">
      <c r="A327" s="141" t="s">
        <v>3945</v>
      </c>
      <c r="B327" s="131">
        <v>79970</v>
      </c>
      <c r="C327" s="145"/>
      <c r="D327" s="307"/>
      <c r="E327" s="131">
        <v>11052</v>
      </c>
      <c r="F327" s="145">
        <v>30</v>
      </c>
      <c r="G327" s="307"/>
      <c r="H327" s="131">
        <v>11052</v>
      </c>
      <c r="I327" s="145">
        <v>30</v>
      </c>
      <c r="J327" s="307"/>
      <c r="K327" s="131">
        <v>68917</v>
      </c>
      <c r="L327" s="145">
        <v>70</v>
      </c>
      <c r="M327" s="307"/>
      <c r="N327" s="131"/>
      <c r="O327" s="145"/>
      <c r="P327" s="307"/>
    </row>
    <row r="328" spans="1:16" x14ac:dyDescent="0.2">
      <c r="A328" s="141" t="s">
        <v>3946</v>
      </c>
      <c r="B328" s="131">
        <v>172050</v>
      </c>
      <c r="C328" s="145">
        <v>90</v>
      </c>
      <c r="D328" s="307"/>
      <c r="E328" s="131">
        <v>14937</v>
      </c>
      <c r="F328" s="145">
        <v>65</v>
      </c>
      <c r="G328" s="307"/>
      <c r="H328" s="131">
        <v>14937</v>
      </c>
      <c r="I328" s="145">
        <v>65</v>
      </c>
      <c r="J328" s="307"/>
      <c r="K328" s="131">
        <v>157113</v>
      </c>
      <c r="L328" s="145">
        <v>25</v>
      </c>
      <c r="M328" s="307"/>
      <c r="N328" s="131"/>
      <c r="O328" s="145"/>
      <c r="P328" s="307"/>
    </row>
    <row r="329" spans="1:16" ht="30" x14ac:dyDescent="0.2">
      <c r="A329" s="683" t="s">
        <v>3994</v>
      </c>
      <c r="B329" s="131">
        <v>41664</v>
      </c>
      <c r="C329" s="145"/>
      <c r="D329" s="307"/>
      <c r="E329" s="131"/>
      <c r="F329" s="145"/>
      <c r="G329" s="307"/>
      <c r="H329" s="131"/>
      <c r="I329" s="145"/>
      <c r="J329" s="307"/>
      <c r="K329" s="131">
        <v>41664</v>
      </c>
      <c r="L329" s="145"/>
      <c r="M329" s="307"/>
      <c r="N329" s="131"/>
      <c r="O329" s="145"/>
      <c r="P329" s="307"/>
    </row>
    <row r="330" spans="1:16" x14ac:dyDescent="0.2">
      <c r="A330" s="141" t="s">
        <v>3995</v>
      </c>
      <c r="B330" s="131">
        <v>36000</v>
      </c>
      <c r="C330" s="145"/>
      <c r="D330" s="307"/>
      <c r="E330" s="131"/>
      <c r="F330" s="145"/>
      <c r="G330" s="307"/>
      <c r="H330" s="131"/>
      <c r="I330" s="145"/>
      <c r="J330" s="307"/>
      <c r="K330" s="131">
        <v>36000</v>
      </c>
      <c r="L330" s="145"/>
      <c r="M330" s="307"/>
      <c r="N330" s="131"/>
      <c r="O330" s="145"/>
      <c r="P330" s="307"/>
    </row>
    <row r="331" spans="1:16" x14ac:dyDescent="0.2">
      <c r="A331" s="141" t="s">
        <v>3996</v>
      </c>
      <c r="B331" s="131">
        <v>122669</v>
      </c>
      <c r="C331" s="145"/>
      <c r="D331" s="307"/>
      <c r="E331" s="131">
        <v>91459</v>
      </c>
      <c r="F331" s="145">
        <v>15</v>
      </c>
      <c r="G331" s="307"/>
      <c r="H331" s="131">
        <v>91459</v>
      </c>
      <c r="I331" s="145">
        <v>15</v>
      </c>
      <c r="J331" s="307"/>
      <c r="K331" s="131">
        <v>31209</v>
      </c>
      <c r="L331" s="145">
        <v>85</v>
      </c>
      <c r="M331" s="307"/>
      <c r="N331" s="131"/>
      <c r="O331" s="145"/>
      <c r="P331" s="307"/>
    </row>
    <row r="332" spans="1:16" x14ac:dyDescent="0.2">
      <c r="A332" s="141" t="s">
        <v>3997</v>
      </c>
      <c r="B332" s="131">
        <v>318364</v>
      </c>
      <c r="C332" s="145">
        <v>40</v>
      </c>
      <c r="D332" s="307"/>
      <c r="E332" s="131">
        <v>20373</v>
      </c>
      <c r="F332" s="145">
        <v>65</v>
      </c>
      <c r="G332" s="307"/>
      <c r="H332" s="131">
        <v>20373</v>
      </c>
      <c r="I332" s="145">
        <v>65</v>
      </c>
      <c r="J332" s="307"/>
      <c r="K332" s="131">
        <v>297990</v>
      </c>
      <c r="L332" s="145">
        <v>75</v>
      </c>
      <c r="M332" s="307"/>
      <c r="N332" s="131"/>
      <c r="O332" s="145"/>
      <c r="P332" s="307"/>
    </row>
    <row r="333" spans="1:16" x14ac:dyDescent="0.2">
      <c r="A333" s="141" t="s">
        <v>4252</v>
      </c>
      <c r="B333" s="131">
        <v>3800</v>
      </c>
      <c r="C333" s="145"/>
      <c r="D333" s="307"/>
      <c r="E333" s="131">
        <v>900</v>
      </c>
      <c r="F333" s="145"/>
      <c r="G333" s="307"/>
      <c r="H333" s="131">
        <v>900</v>
      </c>
      <c r="I333" s="145"/>
      <c r="J333" s="307"/>
      <c r="K333" s="131">
        <v>2900</v>
      </c>
      <c r="L333" s="145"/>
      <c r="M333" s="307"/>
      <c r="N333" s="131"/>
      <c r="O333" s="145"/>
      <c r="P333" s="307"/>
    </row>
    <row r="334" spans="1:16" x14ac:dyDescent="0.2">
      <c r="A334" s="141" t="s">
        <v>4253</v>
      </c>
      <c r="B334" s="131">
        <v>3000</v>
      </c>
      <c r="C334" s="145"/>
      <c r="D334" s="307"/>
      <c r="E334" s="131">
        <v>1500</v>
      </c>
      <c r="F334" s="145"/>
      <c r="G334" s="307"/>
      <c r="H334" s="131">
        <v>1500</v>
      </c>
      <c r="I334" s="145"/>
      <c r="J334" s="307"/>
      <c r="K334" s="131">
        <v>1500</v>
      </c>
      <c r="L334" s="145"/>
      <c r="M334" s="307"/>
      <c r="N334" s="131"/>
      <c r="O334" s="145"/>
      <c r="P334" s="307"/>
    </row>
    <row r="335" spans="1:16" x14ac:dyDescent="0.2">
      <c r="A335" s="1114" t="s">
        <v>3906</v>
      </c>
      <c r="B335" s="240">
        <v>1983484</v>
      </c>
      <c r="C335" s="318">
        <v>30</v>
      </c>
      <c r="D335" s="513"/>
      <c r="E335" s="240">
        <v>317551</v>
      </c>
      <c r="F335" s="318">
        <v>85</v>
      </c>
      <c r="G335" s="513"/>
      <c r="H335" s="240">
        <v>317551</v>
      </c>
      <c r="I335" s="318">
        <v>85</v>
      </c>
      <c r="J335" s="513"/>
      <c r="K335" s="240">
        <v>1665942</v>
      </c>
      <c r="L335" s="318">
        <v>45</v>
      </c>
      <c r="M335" s="513"/>
      <c r="N335" s="240"/>
      <c r="O335" s="318"/>
      <c r="P335" s="513"/>
    </row>
    <row r="336" spans="1:16" x14ac:dyDescent="0.2">
      <c r="A336" s="1114"/>
      <c r="B336" s="240">
        <f>+SUM(B318:B334)</f>
        <v>1983483</v>
      </c>
      <c r="C336" s="318"/>
      <c r="D336" s="513"/>
      <c r="E336" s="240"/>
      <c r="F336" s="318"/>
      <c r="G336" s="513"/>
      <c r="H336" s="240"/>
      <c r="I336" s="318"/>
      <c r="J336" s="513"/>
      <c r="K336" s="240"/>
      <c r="L336" s="318"/>
      <c r="M336" s="513"/>
      <c r="N336" s="240"/>
      <c r="O336" s="318"/>
      <c r="P336" s="513"/>
    </row>
    <row r="337" spans="1:16" x14ac:dyDescent="0.2">
      <c r="A337" s="1114"/>
      <c r="B337" s="1116">
        <f>+SUM(B318:B334)</f>
        <v>1983483</v>
      </c>
      <c r="C337" s="246">
        <f t="shared" ref="C337:P337" si="22">+SUM(C318:C334)</f>
        <v>130</v>
      </c>
      <c r="D337" s="246">
        <f t="shared" si="22"/>
        <v>0</v>
      </c>
      <c r="E337" s="246">
        <f t="shared" si="22"/>
        <v>317546</v>
      </c>
      <c r="F337" s="246">
        <f t="shared" si="22"/>
        <v>585</v>
      </c>
      <c r="G337" s="246">
        <f t="shared" si="22"/>
        <v>0</v>
      </c>
      <c r="H337" s="246">
        <f t="shared" si="22"/>
        <v>317546</v>
      </c>
      <c r="I337" s="246">
        <f t="shared" si="22"/>
        <v>585</v>
      </c>
      <c r="J337" s="246">
        <f t="shared" si="22"/>
        <v>0</v>
      </c>
      <c r="K337" s="246">
        <f t="shared" si="22"/>
        <v>1665938</v>
      </c>
      <c r="L337" s="246">
        <f t="shared" si="22"/>
        <v>445</v>
      </c>
      <c r="M337" s="246">
        <f t="shared" si="22"/>
        <v>0</v>
      </c>
      <c r="N337" s="246">
        <f t="shared" si="22"/>
        <v>0</v>
      </c>
      <c r="O337" s="246">
        <f t="shared" si="22"/>
        <v>0</v>
      </c>
      <c r="P337" s="246">
        <f t="shared" si="22"/>
        <v>0</v>
      </c>
    </row>
    <row r="338" spans="1:16" ht="29" customHeight="1" x14ac:dyDescent="0.15">
      <c r="A338" s="838" t="s">
        <v>2824</v>
      </c>
      <c r="B338" s="838"/>
      <c r="C338" s="838"/>
      <c r="D338" s="838"/>
      <c r="E338" s="838"/>
      <c r="F338" s="838"/>
      <c r="G338" s="838"/>
      <c r="H338" s="838"/>
      <c r="I338" s="838"/>
      <c r="J338" s="838"/>
      <c r="K338" s="838"/>
      <c r="L338" s="838"/>
      <c r="M338" s="838"/>
      <c r="N338" s="838"/>
      <c r="O338" s="838"/>
      <c r="P338" s="838"/>
    </row>
    <row r="339" spans="1:16" ht="27.5" customHeight="1" x14ac:dyDescent="0.15">
      <c r="A339" s="751" t="s">
        <v>3887</v>
      </c>
      <c r="B339" s="977" t="s">
        <v>3888</v>
      </c>
      <c r="C339" s="977"/>
      <c r="D339" s="977"/>
      <c r="E339" s="977" t="s">
        <v>3889</v>
      </c>
      <c r="F339" s="977"/>
      <c r="G339" s="977"/>
      <c r="H339" s="977" t="s">
        <v>3890</v>
      </c>
      <c r="I339" s="977"/>
      <c r="J339" s="977"/>
      <c r="K339" s="977" t="s">
        <v>3891</v>
      </c>
      <c r="L339" s="977"/>
      <c r="M339" s="977"/>
      <c r="N339" s="977" t="s">
        <v>3892</v>
      </c>
      <c r="O339" s="977"/>
      <c r="P339" s="977"/>
    </row>
    <row r="340" spans="1:16" x14ac:dyDescent="0.2">
      <c r="A340" s="107" t="s">
        <v>3949</v>
      </c>
      <c r="B340" s="349">
        <v>2830106</v>
      </c>
      <c r="C340" s="350">
        <v>20</v>
      </c>
      <c r="D340" s="717"/>
      <c r="E340" s="349">
        <v>19300</v>
      </c>
      <c r="F340" s="350"/>
      <c r="G340" s="717"/>
      <c r="H340" s="349">
        <v>19300</v>
      </c>
      <c r="I340" s="350"/>
      <c r="J340" s="717"/>
      <c r="K340" s="349">
        <v>2810716</v>
      </c>
      <c r="L340" s="350">
        <v>20</v>
      </c>
      <c r="M340" s="717"/>
      <c r="N340" s="349"/>
      <c r="O340" s="350"/>
      <c r="P340" s="717"/>
    </row>
    <row r="341" spans="1:16" x14ac:dyDescent="0.2">
      <c r="A341" s="1114" t="s">
        <v>3906</v>
      </c>
      <c r="B341" s="240">
        <v>2830016</v>
      </c>
      <c r="C341" s="318">
        <v>20</v>
      </c>
      <c r="D341" s="513"/>
      <c r="E341" s="240">
        <v>19300</v>
      </c>
      <c r="F341" s="318"/>
      <c r="G341" s="513"/>
      <c r="H341" s="240">
        <v>19300</v>
      </c>
      <c r="I341" s="318"/>
      <c r="J341" s="513"/>
      <c r="K341" s="240">
        <v>2810716</v>
      </c>
      <c r="L341" s="318">
        <v>20</v>
      </c>
      <c r="M341" s="513"/>
      <c r="N341" s="240"/>
      <c r="O341" s="318"/>
      <c r="P341" s="513"/>
    </row>
    <row r="342" spans="1:16" ht="27.5" customHeight="1" x14ac:dyDescent="0.15">
      <c r="A342" s="838" t="s">
        <v>3967</v>
      </c>
      <c r="B342" s="838"/>
      <c r="C342" s="838"/>
      <c r="D342" s="838"/>
      <c r="E342" s="838"/>
      <c r="F342" s="838"/>
      <c r="G342" s="838"/>
      <c r="H342" s="838"/>
      <c r="I342" s="838"/>
      <c r="J342" s="838"/>
      <c r="K342" s="838"/>
      <c r="L342" s="838"/>
      <c r="M342" s="838"/>
      <c r="N342" s="838"/>
      <c r="O342" s="838"/>
      <c r="P342" s="838"/>
    </row>
    <row r="343" spans="1:16" ht="25.25" customHeight="1" x14ac:dyDescent="0.15">
      <c r="A343" s="751" t="s">
        <v>3887</v>
      </c>
      <c r="B343" s="977" t="s">
        <v>3888</v>
      </c>
      <c r="C343" s="977"/>
      <c r="D343" s="977"/>
      <c r="E343" s="977" t="s">
        <v>3889</v>
      </c>
      <c r="F343" s="977"/>
      <c r="G343" s="977"/>
      <c r="H343" s="977" t="s">
        <v>3890</v>
      </c>
      <c r="I343" s="977"/>
      <c r="J343" s="977"/>
      <c r="K343" s="977" t="s">
        <v>3891</v>
      </c>
      <c r="L343" s="977"/>
      <c r="M343" s="977"/>
      <c r="N343" s="977" t="s">
        <v>3892</v>
      </c>
      <c r="O343" s="977"/>
      <c r="P343" s="977"/>
    </row>
    <row r="344" spans="1:16" ht="15.5" customHeight="1" x14ac:dyDescent="0.2">
      <c r="A344" s="107" t="s">
        <v>3968</v>
      </c>
      <c r="B344" s="349">
        <v>39215</v>
      </c>
      <c r="C344" s="350">
        <v>55</v>
      </c>
      <c r="D344" s="717"/>
      <c r="E344" s="349">
        <v>72</v>
      </c>
      <c r="F344" s="350">
        <v>60</v>
      </c>
      <c r="G344" s="717"/>
      <c r="H344" s="349">
        <v>72</v>
      </c>
      <c r="I344" s="350">
        <v>60</v>
      </c>
      <c r="J344" s="717"/>
      <c r="K344" s="349">
        <v>39142</v>
      </c>
      <c r="L344" s="350">
        <v>95</v>
      </c>
      <c r="M344" s="717"/>
      <c r="N344" s="349"/>
      <c r="O344" s="350"/>
      <c r="P344" s="717"/>
    </row>
    <row r="345" spans="1:16" ht="15.5" customHeight="1" x14ac:dyDescent="0.2">
      <c r="A345" s="107" t="s">
        <v>3969</v>
      </c>
      <c r="B345" s="131">
        <v>60105</v>
      </c>
      <c r="C345" s="145">
        <v>40</v>
      </c>
      <c r="D345" s="307"/>
      <c r="E345" s="131"/>
      <c r="F345" s="145"/>
      <c r="G345" s="307"/>
      <c r="H345" s="131"/>
      <c r="I345" s="145"/>
      <c r="J345" s="307"/>
      <c r="K345" s="131">
        <v>60105</v>
      </c>
      <c r="L345" s="145">
        <v>40</v>
      </c>
      <c r="M345" s="307"/>
      <c r="N345" s="131"/>
      <c r="O345" s="145"/>
      <c r="P345" s="307"/>
    </row>
    <row r="346" spans="1:16" ht="15.5" customHeight="1" x14ac:dyDescent="0.2">
      <c r="A346" s="1114" t="s">
        <v>3906</v>
      </c>
      <c r="B346" s="240">
        <v>99320</v>
      </c>
      <c r="C346" s="318">
        <v>95</v>
      </c>
      <c r="D346" s="513"/>
      <c r="E346" s="240">
        <v>72</v>
      </c>
      <c r="F346" s="318">
        <v>60</v>
      </c>
      <c r="G346" s="513"/>
      <c r="H346" s="240">
        <v>72</v>
      </c>
      <c r="I346" s="318">
        <v>60</v>
      </c>
      <c r="J346" s="513"/>
      <c r="K346" s="240">
        <v>99248</v>
      </c>
      <c r="L346" s="318">
        <v>35</v>
      </c>
      <c r="M346" s="513"/>
      <c r="N346" s="240"/>
      <c r="O346" s="318"/>
      <c r="P346" s="513"/>
    </row>
    <row r="347" spans="1:16" ht="15.5" customHeight="1" x14ac:dyDescent="0.2">
      <c r="A347" s="1114"/>
      <c r="B347" s="246">
        <f>+SUM(B344:B345)</f>
        <v>99320</v>
      </c>
      <c r="C347" s="246">
        <f t="shared" ref="C347:P347" si="23">+SUM(C344:C345)</f>
        <v>95</v>
      </c>
      <c r="D347" s="246">
        <f t="shared" si="23"/>
        <v>0</v>
      </c>
      <c r="E347" s="246">
        <f t="shared" si="23"/>
        <v>72</v>
      </c>
      <c r="F347" s="246">
        <f t="shared" si="23"/>
        <v>60</v>
      </c>
      <c r="G347" s="246">
        <f t="shared" si="23"/>
        <v>0</v>
      </c>
      <c r="H347" s="246">
        <f t="shared" si="23"/>
        <v>72</v>
      </c>
      <c r="I347" s="246">
        <f t="shared" si="23"/>
        <v>60</v>
      </c>
      <c r="J347" s="246">
        <f t="shared" si="23"/>
        <v>0</v>
      </c>
      <c r="K347" s="246">
        <f t="shared" si="23"/>
        <v>99247</v>
      </c>
      <c r="L347" s="246">
        <f t="shared" si="23"/>
        <v>135</v>
      </c>
      <c r="M347" s="246">
        <f t="shared" si="23"/>
        <v>0</v>
      </c>
      <c r="N347" s="246">
        <f t="shared" si="23"/>
        <v>0</v>
      </c>
      <c r="O347" s="246">
        <f t="shared" si="23"/>
        <v>0</v>
      </c>
      <c r="P347" s="246">
        <f t="shared" si="23"/>
        <v>0</v>
      </c>
    </row>
    <row r="348" spans="1:16" ht="24.5" customHeight="1" x14ac:dyDescent="0.15">
      <c r="A348" s="838" t="s">
        <v>2826</v>
      </c>
      <c r="B348" s="838"/>
      <c r="C348" s="838"/>
      <c r="D348" s="838"/>
      <c r="E348" s="838"/>
      <c r="F348" s="838"/>
      <c r="G348" s="838"/>
      <c r="H348" s="838"/>
      <c r="I348" s="838"/>
      <c r="J348" s="838"/>
      <c r="K348" s="838"/>
      <c r="L348" s="838"/>
      <c r="M348" s="838"/>
      <c r="N348" s="838"/>
      <c r="O348" s="838"/>
      <c r="P348" s="838"/>
    </row>
    <row r="349" spans="1:16" ht="24" customHeight="1" x14ac:dyDescent="0.15">
      <c r="A349" s="751" t="s">
        <v>3887</v>
      </c>
      <c r="B349" s="977" t="s">
        <v>3888</v>
      </c>
      <c r="C349" s="977"/>
      <c r="D349" s="977"/>
      <c r="E349" s="977" t="s">
        <v>3889</v>
      </c>
      <c r="F349" s="977"/>
      <c r="G349" s="977"/>
      <c r="H349" s="977" t="s">
        <v>3890</v>
      </c>
      <c r="I349" s="977"/>
      <c r="J349" s="977"/>
      <c r="K349" s="977" t="s">
        <v>3891</v>
      </c>
      <c r="L349" s="977"/>
      <c r="M349" s="977"/>
      <c r="N349" s="977" t="s">
        <v>3892</v>
      </c>
      <c r="O349" s="977"/>
      <c r="P349" s="977"/>
    </row>
    <row r="350" spans="1:16" ht="30" x14ac:dyDescent="0.2">
      <c r="A350" s="710" t="s">
        <v>3929</v>
      </c>
      <c r="B350" s="349">
        <v>72896</v>
      </c>
      <c r="C350" s="350"/>
      <c r="D350" s="717"/>
      <c r="E350" s="349">
        <v>16805</v>
      </c>
      <c r="F350" s="350">
        <v>20</v>
      </c>
      <c r="G350" s="717"/>
      <c r="H350" s="349">
        <v>16805</v>
      </c>
      <c r="I350" s="350">
        <v>20</v>
      </c>
      <c r="J350" s="717"/>
      <c r="K350" s="349">
        <v>56090</v>
      </c>
      <c r="L350" s="350">
        <v>80</v>
      </c>
      <c r="M350" s="717"/>
      <c r="N350" s="349"/>
      <c r="O350" s="350"/>
      <c r="P350" s="717"/>
    </row>
    <row r="351" spans="1:16" ht="30" x14ac:dyDescent="0.2">
      <c r="A351" s="710" t="s">
        <v>3930</v>
      </c>
      <c r="B351" s="131">
        <v>10496</v>
      </c>
      <c r="C351" s="145"/>
      <c r="D351" s="307"/>
      <c r="E351" s="131">
        <v>2104</v>
      </c>
      <c r="F351" s="145">
        <v>65</v>
      </c>
      <c r="G351" s="307"/>
      <c r="H351" s="131">
        <v>2104</v>
      </c>
      <c r="I351" s="145">
        <v>65</v>
      </c>
      <c r="J351" s="307"/>
      <c r="K351" s="131">
        <v>8391</v>
      </c>
      <c r="L351" s="145">
        <v>35</v>
      </c>
      <c r="M351" s="307"/>
      <c r="N351" s="131"/>
      <c r="O351" s="145"/>
      <c r="P351" s="307"/>
    </row>
    <row r="352" spans="1:16" x14ac:dyDescent="0.2">
      <c r="A352" s="107" t="s">
        <v>3931</v>
      </c>
      <c r="B352" s="131">
        <v>62000</v>
      </c>
      <c r="C352" s="145"/>
      <c r="D352" s="307"/>
      <c r="E352" s="131">
        <v>21454</v>
      </c>
      <c r="F352" s="145">
        <v>5</v>
      </c>
      <c r="G352" s="307"/>
      <c r="H352" s="131">
        <v>21454</v>
      </c>
      <c r="I352" s="145">
        <v>65</v>
      </c>
      <c r="J352" s="307"/>
      <c r="K352" s="131">
        <v>40545</v>
      </c>
      <c r="L352" s="145">
        <v>95</v>
      </c>
      <c r="M352" s="307"/>
      <c r="N352" s="131"/>
      <c r="O352" s="145"/>
      <c r="P352" s="307"/>
    </row>
    <row r="353" spans="1:16" x14ac:dyDescent="0.2">
      <c r="A353" s="107" t="s">
        <v>3932</v>
      </c>
      <c r="B353" s="131">
        <v>1900</v>
      </c>
      <c r="C353" s="145"/>
      <c r="D353" s="307"/>
      <c r="E353" s="131">
        <v>1818</v>
      </c>
      <c r="F353" s="145">
        <v>10</v>
      </c>
      <c r="G353" s="307"/>
      <c r="H353" s="131">
        <v>1818</v>
      </c>
      <c r="I353" s="145">
        <v>10</v>
      </c>
      <c r="J353" s="307"/>
      <c r="K353" s="131">
        <v>81</v>
      </c>
      <c r="L353" s="145">
        <v>90</v>
      </c>
      <c r="M353" s="307"/>
      <c r="N353" s="131"/>
      <c r="O353" s="145"/>
      <c r="P353" s="307"/>
    </row>
    <row r="354" spans="1:16" x14ac:dyDescent="0.2">
      <c r="A354" s="107" t="s">
        <v>4222</v>
      </c>
      <c r="B354" s="131">
        <v>57100</v>
      </c>
      <c r="C354" s="145"/>
      <c r="D354" s="307"/>
      <c r="E354" s="131">
        <v>12905</v>
      </c>
      <c r="F354" s="145">
        <v>60</v>
      </c>
      <c r="G354" s="307"/>
      <c r="H354" s="131">
        <v>12905</v>
      </c>
      <c r="I354" s="145">
        <v>60</v>
      </c>
      <c r="J354" s="307"/>
      <c r="K354" s="131">
        <v>44194</v>
      </c>
      <c r="L354" s="145">
        <v>40</v>
      </c>
      <c r="M354" s="307"/>
      <c r="N354" s="131"/>
      <c r="O354" s="145"/>
      <c r="P354" s="307"/>
    </row>
    <row r="355" spans="1:16" x14ac:dyDescent="0.2">
      <c r="A355" s="107" t="s">
        <v>3912</v>
      </c>
      <c r="B355" s="131">
        <v>33716</v>
      </c>
      <c r="C355" s="145">
        <v>50</v>
      </c>
      <c r="D355" s="307"/>
      <c r="E355" s="131">
        <v>4434</v>
      </c>
      <c r="F355" s="145">
        <v>95</v>
      </c>
      <c r="G355" s="307"/>
      <c r="H355" s="131">
        <v>4434</v>
      </c>
      <c r="I355" s="145">
        <v>95</v>
      </c>
      <c r="J355" s="307"/>
      <c r="K355" s="131">
        <v>29281</v>
      </c>
      <c r="L355" s="145">
        <v>55</v>
      </c>
      <c r="M355" s="307"/>
      <c r="N355" s="131"/>
      <c r="O355" s="145"/>
      <c r="P355" s="307"/>
    </row>
    <row r="356" spans="1:16" x14ac:dyDescent="0.2">
      <c r="A356" s="107" t="s">
        <v>3934</v>
      </c>
      <c r="B356" s="131">
        <v>113546</v>
      </c>
      <c r="C356" s="145"/>
      <c r="D356" s="307"/>
      <c r="E356" s="131">
        <v>29281</v>
      </c>
      <c r="F356" s="145">
        <v>30</v>
      </c>
      <c r="G356" s="307"/>
      <c r="H356" s="131">
        <v>29281</v>
      </c>
      <c r="I356" s="145">
        <v>30</v>
      </c>
      <c r="J356" s="307"/>
      <c r="K356" s="131">
        <v>84264</v>
      </c>
      <c r="L356" s="145">
        <v>70</v>
      </c>
      <c r="M356" s="307"/>
      <c r="N356" s="131"/>
      <c r="O356" s="145"/>
      <c r="P356" s="307"/>
    </row>
    <row r="357" spans="1:16" x14ac:dyDescent="0.2">
      <c r="A357" s="107" t="s">
        <v>3935</v>
      </c>
      <c r="B357" s="131">
        <v>259776</v>
      </c>
      <c r="C357" s="145"/>
      <c r="D357" s="307"/>
      <c r="E357" s="131">
        <v>11191</v>
      </c>
      <c r="F357" s="145">
        <v>45</v>
      </c>
      <c r="G357" s="307"/>
      <c r="H357" s="131">
        <v>11191</v>
      </c>
      <c r="I357" s="145">
        <v>45</v>
      </c>
      <c r="J357" s="307"/>
      <c r="K357" s="131">
        <v>248584</v>
      </c>
      <c r="L357" s="145">
        <v>55</v>
      </c>
      <c r="M357" s="307"/>
      <c r="N357" s="131"/>
      <c r="O357" s="145"/>
      <c r="P357" s="307"/>
    </row>
    <row r="358" spans="1:16" x14ac:dyDescent="0.2">
      <c r="A358" s="1114" t="s">
        <v>3906</v>
      </c>
      <c r="B358" s="240">
        <v>611430</v>
      </c>
      <c r="C358" s="318">
        <v>50</v>
      </c>
      <c r="D358" s="513"/>
      <c r="E358" s="240">
        <v>99995</v>
      </c>
      <c r="F358" s="318">
        <v>30</v>
      </c>
      <c r="G358" s="513"/>
      <c r="H358" s="240">
        <v>99995</v>
      </c>
      <c r="I358" s="318">
        <v>30</v>
      </c>
      <c r="J358" s="513"/>
      <c r="K358" s="240">
        <v>501435</v>
      </c>
      <c r="L358" s="318">
        <v>20</v>
      </c>
      <c r="M358" s="513"/>
      <c r="N358" s="240"/>
      <c r="O358" s="318"/>
      <c r="P358" s="513"/>
    </row>
    <row r="359" spans="1:16" x14ac:dyDescent="0.2">
      <c r="A359" s="1114"/>
      <c r="B359" s="246">
        <f>+SUM(B350:B357)</f>
        <v>611430</v>
      </c>
      <c r="C359" s="246">
        <f t="shared" ref="C359:P359" si="24">+SUM(C350:C357)</f>
        <v>50</v>
      </c>
      <c r="D359" s="246">
        <f t="shared" si="24"/>
        <v>0</v>
      </c>
      <c r="E359" s="246">
        <f t="shared" si="24"/>
        <v>99992</v>
      </c>
      <c r="F359" s="246">
        <f t="shared" si="24"/>
        <v>330</v>
      </c>
      <c r="G359" s="246">
        <f t="shared" si="24"/>
        <v>0</v>
      </c>
      <c r="H359" s="246">
        <f t="shared" si="24"/>
        <v>99992</v>
      </c>
      <c r="I359" s="246">
        <f t="shared" si="24"/>
        <v>390</v>
      </c>
      <c r="J359" s="246">
        <f t="shared" si="24"/>
        <v>0</v>
      </c>
      <c r="K359" s="246">
        <f t="shared" si="24"/>
        <v>511430</v>
      </c>
      <c r="L359" s="246">
        <f t="shared" si="24"/>
        <v>520</v>
      </c>
      <c r="M359" s="246">
        <f t="shared" si="24"/>
        <v>0</v>
      </c>
      <c r="N359" s="246">
        <f t="shared" si="24"/>
        <v>0</v>
      </c>
      <c r="O359" s="246">
        <f t="shared" si="24"/>
        <v>0</v>
      </c>
      <c r="P359" s="246">
        <f t="shared" si="24"/>
        <v>0</v>
      </c>
    </row>
    <row r="360" spans="1:16" ht="32.5" customHeight="1" x14ac:dyDescent="0.15">
      <c r="A360" s="838" t="s">
        <v>2826</v>
      </c>
      <c r="B360" s="838"/>
      <c r="C360" s="838"/>
      <c r="D360" s="838"/>
      <c r="E360" s="838"/>
      <c r="F360" s="838"/>
      <c r="G360" s="838"/>
      <c r="H360" s="838"/>
      <c r="I360" s="838"/>
      <c r="J360" s="838"/>
      <c r="K360" s="838"/>
      <c r="L360" s="838"/>
      <c r="M360" s="838"/>
      <c r="N360" s="838"/>
      <c r="O360" s="838"/>
      <c r="P360" s="838"/>
    </row>
    <row r="361" spans="1:16" x14ac:dyDescent="0.15">
      <c r="A361" s="751" t="s">
        <v>3887</v>
      </c>
      <c r="B361" s="977" t="s">
        <v>3888</v>
      </c>
      <c r="C361" s="977"/>
      <c r="D361" s="977"/>
      <c r="E361" s="977" t="s">
        <v>3889</v>
      </c>
      <c r="F361" s="977"/>
      <c r="G361" s="977"/>
      <c r="H361" s="977" t="s">
        <v>3890</v>
      </c>
      <c r="I361" s="977"/>
      <c r="J361" s="977"/>
      <c r="K361" s="977" t="s">
        <v>3891</v>
      </c>
      <c r="L361" s="977"/>
      <c r="M361" s="977"/>
      <c r="N361" s="977" t="s">
        <v>3892</v>
      </c>
      <c r="O361" s="977"/>
      <c r="P361" s="977"/>
    </row>
    <row r="362" spans="1:16" ht="30" x14ac:dyDescent="0.2">
      <c r="A362" s="710" t="s">
        <v>3929</v>
      </c>
      <c r="B362" s="349">
        <v>11295</v>
      </c>
      <c r="C362" s="350">
        <v>90</v>
      </c>
      <c r="D362" s="717"/>
      <c r="E362" s="349">
        <v>1032</v>
      </c>
      <c r="F362" s="350"/>
      <c r="G362" s="717"/>
      <c r="H362" s="349">
        <v>1032</v>
      </c>
      <c r="I362" s="350"/>
      <c r="J362" s="717"/>
      <c r="K362" s="349">
        <v>10263</v>
      </c>
      <c r="L362" s="350">
        <v>90</v>
      </c>
      <c r="M362" s="717"/>
      <c r="N362" s="349"/>
      <c r="O362" s="350"/>
      <c r="P362" s="717"/>
    </row>
    <row r="363" spans="1:16" ht="30" x14ac:dyDescent="0.2">
      <c r="A363" s="710" t="s">
        <v>3930</v>
      </c>
      <c r="B363" s="131">
        <v>1271</v>
      </c>
      <c r="C363" s="145">
        <v>35</v>
      </c>
      <c r="D363" s="307"/>
      <c r="E363" s="131">
        <v>184</v>
      </c>
      <c r="F363" s="145">
        <v>30</v>
      </c>
      <c r="G363" s="307"/>
      <c r="H363" s="131">
        <v>184</v>
      </c>
      <c r="I363" s="145">
        <v>30</v>
      </c>
      <c r="J363" s="307"/>
      <c r="K363" s="131">
        <v>1087</v>
      </c>
      <c r="L363" s="145">
        <v>5</v>
      </c>
      <c r="M363" s="307"/>
      <c r="N363" s="131"/>
      <c r="O363" s="145"/>
      <c r="P363" s="307"/>
    </row>
    <row r="364" spans="1:16" x14ac:dyDescent="0.2">
      <c r="A364" s="107" t="s">
        <v>3931</v>
      </c>
      <c r="B364" s="131">
        <v>2984</v>
      </c>
      <c r="C364" s="145">
        <v>70</v>
      </c>
      <c r="D364" s="307"/>
      <c r="E364" s="131"/>
      <c r="F364" s="145"/>
      <c r="G364" s="307"/>
      <c r="H364" s="131"/>
      <c r="I364" s="145"/>
      <c r="J364" s="307"/>
      <c r="K364" s="131">
        <v>2984</v>
      </c>
      <c r="L364" s="145">
        <v>70</v>
      </c>
      <c r="M364" s="307"/>
      <c r="N364" s="131"/>
      <c r="O364" s="145"/>
      <c r="P364" s="307"/>
    </row>
    <row r="365" spans="1:16" x14ac:dyDescent="0.2">
      <c r="A365" s="107" t="s">
        <v>3932</v>
      </c>
      <c r="B365" s="131">
        <v>525</v>
      </c>
      <c r="C365" s="145">
        <v>50</v>
      </c>
      <c r="D365" s="307"/>
      <c r="E365" s="131"/>
      <c r="F365" s="145"/>
      <c r="G365" s="307"/>
      <c r="H365" s="131"/>
      <c r="I365" s="145"/>
      <c r="J365" s="307"/>
      <c r="K365" s="131">
        <v>525</v>
      </c>
      <c r="L365" s="145">
        <v>50</v>
      </c>
      <c r="M365" s="307"/>
      <c r="N365" s="131"/>
      <c r="O365" s="145"/>
      <c r="P365" s="307"/>
    </row>
    <row r="366" spans="1:16" x14ac:dyDescent="0.2">
      <c r="A366" s="107" t="s">
        <v>4222</v>
      </c>
      <c r="B366" s="131">
        <v>12432</v>
      </c>
      <c r="C366" s="145">
        <v>50</v>
      </c>
      <c r="D366" s="307"/>
      <c r="E366" s="131">
        <v>27</v>
      </c>
      <c r="F366" s="145">
        <v>80</v>
      </c>
      <c r="G366" s="307"/>
      <c r="H366" s="131">
        <v>27</v>
      </c>
      <c r="I366" s="145">
        <v>80</v>
      </c>
      <c r="J366" s="307"/>
      <c r="K366" s="131">
        <v>12404</v>
      </c>
      <c r="L366" s="145">
        <v>70</v>
      </c>
      <c r="M366" s="307"/>
      <c r="N366" s="131"/>
      <c r="O366" s="145"/>
      <c r="P366" s="307"/>
    </row>
    <row r="367" spans="1:16" x14ac:dyDescent="0.2">
      <c r="A367" s="107" t="s">
        <v>3912</v>
      </c>
      <c r="B367" s="131">
        <v>3278</v>
      </c>
      <c r="C367" s="145">
        <v>90</v>
      </c>
      <c r="D367" s="307"/>
      <c r="E367" s="131"/>
      <c r="F367" s="145"/>
      <c r="G367" s="307"/>
      <c r="H367" s="131"/>
      <c r="I367" s="145"/>
      <c r="J367" s="307"/>
      <c r="K367" s="131">
        <v>3278</v>
      </c>
      <c r="L367" s="145">
        <v>90</v>
      </c>
      <c r="M367" s="307"/>
      <c r="N367" s="131"/>
      <c r="O367" s="145"/>
      <c r="P367" s="307"/>
    </row>
    <row r="368" spans="1:16" x14ac:dyDescent="0.2">
      <c r="A368" s="107" t="s">
        <v>3934</v>
      </c>
      <c r="B368" s="131">
        <v>16408</v>
      </c>
      <c r="C368" s="145">
        <v>80</v>
      </c>
      <c r="D368" s="307"/>
      <c r="E368" s="131">
        <v>604</v>
      </c>
      <c r="F368" s="145"/>
      <c r="G368" s="307"/>
      <c r="H368" s="131">
        <v>604</v>
      </c>
      <c r="I368" s="145"/>
      <c r="J368" s="307"/>
      <c r="K368" s="131">
        <v>15804</v>
      </c>
      <c r="L368" s="145">
        <v>80</v>
      </c>
      <c r="M368" s="307"/>
      <c r="N368" s="131"/>
      <c r="O368" s="145"/>
      <c r="P368" s="307"/>
    </row>
    <row r="369" spans="1:16" x14ac:dyDescent="0.2">
      <c r="A369" s="107" t="s">
        <v>3935</v>
      </c>
      <c r="B369" s="131">
        <v>210145</v>
      </c>
      <c r="C369" s="145">
        <v>35</v>
      </c>
      <c r="D369" s="307"/>
      <c r="E369" s="131">
        <v>8</v>
      </c>
      <c r="F369" s="145">
        <v>40</v>
      </c>
      <c r="G369" s="307"/>
      <c r="H369" s="131">
        <v>8</v>
      </c>
      <c r="I369" s="145">
        <v>40</v>
      </c>
      <c r="J369" s="307"/>
      <c r="K369" s="131">
        <v>210136</v>
      </c>
      <c r="L369" s="145">
        <v>95</v>
      </c>
      <c r="M369" s="307"/>
      <c r="N369" s="131"/>
      <c r="O369" s="145"/>
      <c r="P369" s="307"/>
    </row>
    <row r="370" spans="1:16" x14ac:dyDescent="0.2">
      <c r="A370" s="1114" t="s">
        <v>3906</v>
      </c>
      <c r="B370" s="240">
        <v>258343</v>
      </c>
      <c r="C370" s="318"/>
      <c r="D370" s="513"/>
      <c r="E370" s="240">
        <v>1856</v>
      </c>
      <c r="F370" s="318">
        <v>50</v>
      </c>
      <c r="G370" s="513"/>
      <c r="H370" s="240">
        <v>1856</v>
      </c>
      <c r="I370" s="318">
        <v>50</v>
      </c>
      <c r="J370" s="513"/>
      <c r="K370" s="240">
        <v>256486</v>
      </c>
      <c r="L370" s="318">
        <v>50</v>
      </c>
      <c r="M370" s="513"/>
      <c r="N370" s="240"/>
      <c r="O370" s="318"/>
      <c r="P370" s="513"/>
    </row>
    <row r="371" spans="1:16" x14ac:dyDescent="0.2">
      <c r="A371" s="1114"/>
      <c r="B371" s="246">
        <f>+SUM(B362:B369)</f>
        <v>258338</v>
      </c>
      <c r="C371" s="246">
        <f t="shared" ref="C371:P371" si="25">+SUM(C362:C369)</f>
        <v>500</v>
      </c>
      <c r="D371" s="246">
        <f t="shared" si="25"/>
        <v>0</v>
      </c>
      <c r="E371" s="246">
        <f t="shared" si="25"/>
        <v>1855</v>
      </c>
      <c r="F371" s="246">
        <f t="shared" si="25"/>
        <v>150</v>
      </c>
      <c r="G371" s="246">
        <f t="shared" si="25"/>
        <v>0</v>
      </c>
      <c r="H371" s="246">
        <f t="shared" si="25"/>
        <v>1855</v>
      </c>
      <c r="I371" s="246">
        <f t="shared" si="25"/>
        <v>150</v>
      </c>
      <c r="J371" s="246">
        <f t="shared" si="25"/>
        <v>0</v>
      </c>
      <c r="K371" s="246">
        <f t="shared" si="25"/>
        <v>256481</v>
      </c>
      <c r="L371" s="246">
        <f t="shared" si="25"/>
        <v>550</v>
      </c>
      <c r="M371" s="246">
        <f t="shared" si="25"/>
        <v>0</v>
      </c>
      <c r="N371" s="246">
        <f t="shared" si="25"/>
        <v>0</v>
      </c>
      <c r="O371" s="246">
        <f t="shared" si="25"/>
        <v>0</v>
      </c>
      <c r="P371" s="246">
        <f t="shared" si="25"/>
        <v>0</v>
      </c>
    </row>
    <row r="372" spans="1:16" ht="27.5" customHeight="1" x14ac:dyDescent="0.15">
      <c r="A372" s="838" t="s">
        <v>3999</v>
      </c>
      <c r="B372" s="838"/>
      <c r="C372" s="838"/>
      <c r="D372" s="838"/>
      <c r="E372" s="838"/>
      <c r="F372" s="838"/>
      <c r="G372" s="838"/>
      <c r="H372" s="838"/>
      <c r="I372" s="838"/>
      <c r="J372" s="838"/>
      <c r="K372" s="838"/>
      <c r="L372" s="838"/>
      <c r="M372" s="838"/>
      <c r="N372" s="838"/>
      <c r="O372" s="838"/>
      <c r="P372" s="838"/>
    </row>
    <row r="373" spans="1:16" x14ac:dyDescent="0.15">
      <c r="A373" s="751" t="s">
        <v>3887</v>
      </c>
      <c r="B373" s="1201" t="s">
        <v>3888</v>
      </c>
      <c r="C373" s="1201"/>
      <c r="D373" s="1201"/>
      <c r="E373" s="1201" t="s">
        <v>3889</v>
      </c>
      <c r="F373" s="1201"/>
      <c r="G373" s="1201"/>
      <c r="H373" s="1201" t="s">
        <v>3890</v>
      </c>
      <c r="I373" s="1201"/>
      <c r="J373" s="1201"/>
      <c r="K373" s="1201" t="s">
        <v>3891</v>
      </c>
      <c r="L373" s="1201"/>
      <c r="M373" s="1201"/>
      <c r="N373" s="1201" t="s">
        <v>3892</v>
      </c>
      <c r="O373" s="1201"/>
      <c r="P373" s="1201"/>
    </row>
    <row r="374" spans="1:16" x14ac:dyDescent="0.2">
      <c r="A374" s="107" t="s">
        <v>4254</v>
      </c>
      <c r="B374" s="349">
        <v>4000</v>
      </c>
      <c r="C374" s="350"/>
      <c r="D374" s="717"/>
      <c r="E374" s="349">
        <v>1561</v>
      </c>
      <c r="F374" s="350">
        <v>50</v>
      </c>
      <c r="G374" s="717"/>
      <c r="H374" s="349">
        <v>1561</v>
      </c>
      <c r="I374" s="350">
        <v>50</v>
      </c>
      <c r="J374" s="717"/>
      <c r="K374" s="349">
        <v>2438</v>
      </c>
      <c r="L374" s="350">
        <v>50</v>
      </c>
      <c r="M374" s="717"/>
      <c r="N374" s="349"/>
      <c r="O374" s="350"/>
      <c r="P374" s="717"/>
    </row>
    <row r="375" spans="1:16" x14ac:dyDescent="0.2">
      <c r="A375" s="107" t="s">
        <v>4255</v>
      </c>
      <c r="B375" s="131">
        <v>42000</v>
      </c>
      <c r="C375" s="145"/>
      <c r="D375" s="307"/>
      <c r="E375" s="131">
        <v>1363</v>
      </c>
      <c r="F375" s="145">
        <v>30</v>
      </c>
      <c r="G375" s="307"/>
      <c r="H375" s="131">
        <v>1363</v>
      </c>
      <c r="I375" s="145">
        <v>30</v>
      </c>
      <c r="J375" s="307"/>
      <c r="K375" s="131">
        <v>40636</v>
      </c>
      <c r="L375" s="145">
        <v>70</v>
      </c>
      <c r="M375" s="307"/>
      <c r="N375" s="131"/>
      <c r="O375" s="145"/>
      <c r="P375" s="307"/>
    </row>
    <row r="376" spans="1:16" x14ac:dyDescent="0.2">
      <c r="A376" s="107" t="s">
        <v>4256</v>
      </c>
      <c r="B376" s="230">
        <v>54000</v>
      </c>
      <c r="C376" s="309"/>
      <c r="D376" s="364"/>
      <c r="E376" s="230">
        <v>10043</v>
      </c>
      <c r="F376" s="309">
        <v>60</v>
      </c>
      <c r="G376" s="364"/>
      <c r="H376" s="230">
        <v>10043</v>
      </c>
      <c r="I376" s="309">
        <v>60</v>
      </c>
      <c r="J376" s="364"/>
      <c r="K376" s="230">
        <v>43956</v>
      </c>
      <c r="L376" s="309">
        <v>40</v>
      </c>
      <c r="M376" s="364"/>
      <c r="N376" s="230"/>
      <c r="O376" s="309"/>
      <c r="P376" s="364"/>
    </row>
    <row r="377" spans="1:16" x14ac:dyDescent="0.2">
      <c r="A377" s="1114" t="s">
        <v>3906</v>
      </c>
      <c r="B377" s="230">
        <v>100000</v>
      </c>
      <c r="C377" s="309"/>
      <c r="D377" s="364"/>
      <c r="E377" s="230">
        <v>12968</v>
      </c>
      <c r="F377" s="309">
        <v>40</v>
      </c>
      <c r="G377" s="364"/>
      <c r="H377" s="230">
        <v>12968</v>
      </c>
      <c r="I377" s="309">
        <v>40</v>
      </c>
      <c r="J377" s="364"/>
      <c r="K377" s="230">
        <v>87031</v>
      </c>
      <c r="L377" s="309">
        <v>60</v>
      </c>
      <c r="M377" s="364"/>
      <c r="N377" s="230"/>
      <c r="O377" s="309"/>
      <c r="P377" s="364"/>
    </row>
    <row r="378" spans="1:16" x14ac:dyDescent="0.2">
      <c r="A378" s="1114"/>
      <c r="B378" s="435">
        <f>+SUM(B374:B376)</f>
        <v>100000</v>
      </c>
      <c r="C378" s="435">
        <f t="shared" ref="C378:P378" si="26">+SUM(C374:C376)</f>
        <v>0</v>
      </c>
      <c r="D378" s="435">
        <f t="shared" si="26"/>
        <v>0</v>
      </c>
      <c r="E378" s="435">
        <f t="shared" si="26"/>
        <v>12967</v>
      </c>
      <c r="F378" s="435">
        <f t="shared" si="26"/>
        <v>140</v>
      </c>
      <c r="G378" s="435">
        <f t="shared" si="26"/>
        <v>0</v>
      </c>
      <c r="H378" s="435">
        <f t="shared" si="26"/>
        <v>12967</v>
      </c>
      <c r="I378" s="435">
        <f t="shared" si="26"/>
        <v>140</v>
      </c>
      <c r="J378" s="435">
        <f t="shared" si="26"/>
        <v>0</v>
      </c>
      <c r="K378" s="435">
        <f t="shared" si="26"/>
        <v>87030</v>
      </c>
      <c r="L378" s="435">
        <f t="shared" si="26"/>
        <v>160</v>
      </c>
      <c r="M378" s="435">
        <f t="shared" si="26"/>
        <v>0</v>
      </c>
      <c r="N378" s="435">
        <f t="shared" si="26"/>
        <v>0</v>
      </c>
      <c r="O378" s="435">
        <f t="shared" si="26"/>
        <v>0</v>
      </c>
      <c r="P378" s="435">
        <f t="shared" si="26"/>
        <v>0</v>
      </c>
    </row>
    <row r="379" spans="1:16" ht="30" customHeight="1" x14ac:dyDescent="0.15">
      <c r="A379" s="875" t="s">
        <v>4257</v>
      </c>
      <c r="B379" s="876"/>
      <c r="C379" s="876"/>
      <c r="D379" s="876"/>
      <c r="E379" s="876"/>
      <c r="F379" s="876"/>
      <c r="G379" s="876"/>
      <c r="H379" s="876"/>
      <c r="I379" s="876"/>
      <c r="J379" s="876"/>
      <c r="K379" s="876"/>
      <c r="L379" s="876"/>
      <c r="M379" s="876"/>
      <c r="N379" s="876"/>
      <c r="O379" s="876"/>
      <c r="P379" s="877"/>
    </row>
    <row r="380" spans="1:16" x14ac:dyDescent="0.15">
      <c r="A380" s="810"/>
      <c r="B380" s="1201" t="s">
        <v>3888</v>
      </c>
      <c r="C380" s="1201"/>
      <c r="D380" s="1201"/>
      <c r="E380" s="977" t="s">
        <v>3889</v>
      </c>
      <c r="F380" s="977"/>
      <c r="G380" s="977"/>
      <c r="H380" s="977" t="s">
        <v>3890</v>
      </c>
      <c r="I380" s="977"/>
      <c r="J380" s="977"/>
      <c r="K380" s="977" t="s">
        <v>3891</v>
      </c>
      <c r="L380" s="977"/>
      <c r="M380" s="977"/>
      <c r="N380" s="977" t="s">
        <v>3892</v>
      </c>
      <c r="O380" s="977"/>
      <c r="P380" s="977"/>
    </row>
    <row r="381" spans="1:16" x14ac:dyDescent="0.2">
      <c r="A381" s="1202" t="s">
        <v>4258</v>
      </c>
      <c r="B381" s="1203"/>
      <c r="C381" s="1204"/>
      <c r="D381" s="1205"/>
      <c r="E381" s="1203"/>
      <c r="F381" s="1204"/>
      <c r="G381" s="1205"/>
      <c r="H381" s="1203"/>
      <c r="I381" s="1204"/>
      <c r="J381" s="1205"/>
      <c r="K381" s="1203"/>
      <c r="L381" s="1204"/>
      <c r="M381" s="1205"/>
      <c r="N381" s="1203"/>
      <c r="O381" s="1204"/>
      <c r="P381" s="1205"/>
    </row>
    <row r="382" spans="1:16" x14ac:dyDescent="0.2">
      <c r="A382" s="107" t="s">
        <v>4259</v>
      </c>
      <c r="B382" s="131">
        <v>300390</v>
      </c>
      <c r="C382" s="145">
        <v>70</v>
      </c>
      <c r="D382" s="307"/>
      <c r="E382" s="131">
        <v>185748</v>
      </c>
      <c r="F382" s="145">
        <v>20</v>
      </c>
      <c r="G382" s="307"/>
      <c r="H382" s="131">
        <v>180985</v>
      </c>
      <c r="I382" s="145">
        <v>85</v>
      </c>
      <c r="J382" s="307"/>
      <c r="K382" s="131">
        <v>114642</v>
      </c>
      <c r="L382" s="145">
        <v>50</v>
      </c>
      <c r="M382" s="307"/>
      <c r="N382" s="131">
        <v>4762</v>
      </c>
      <c r="O382" s="145">
        <v>30</v>
      </c>
      <c r="P382" s="307"/>
    </row>
    <row r="383" spans="1:16" x14ac:dyDescent="0.2">
      <c r="A383" s="107" t="s">
        <v>3973</v>
      </c>
      <c r="B383" s="131">
        <v>30262</v>
      </c>
      <c r="C383" s="145">
        <v>60</v>
      </c>
      <c r="D383" s="307"/>
      <c r="E383" s="131">
        <v>17021</v>
      </c>
      <c r="F383" s="145">
        <v>15</v>
      </c>
      <c r="G383" s="307"/>
      <c r="H383" s="131">
        <v>15965</v>
      </c>
      <c r="I383" s="145">
        <v>15</v>
      </c>
      <c r="J383" s="307"/>
      <c r="K383" s="131">
        <v>13241</v>
      </c>
      <c r="L383" s="145">
        <v>45</v>
      </c>
      <c r="M383" s="307"/>
      <c r="N383" s="131">
        <v>1056</v>
      </c>
      <c r="O383" s="145"/>
      <c r="P383" s="307"/>
    </row>
    <row r="384" spans="1:16" x14ac:dyDescent="0.2">
      <c r="A384" s="107" t="s">
        <v>4260</v>
      </c>
      <c r="B384" s="131">
        <v>31028</v>
      </c>
      <c r="C384" s="145">
        <v>60</v>
      </c>
      <c r="D384" s="307"/>
      <c r="E384" s="131">
        <v>13680</v>
      </c>
      <c r="F384" s="145">
        <v>10</v>
      </c>
      <c r="G384" s="307"/>
      <c r="H384" s="131">
        <v>13680</v>
      </c>
      <c r="I384" s="145">
        <v>10</v>
      </c>
      <c r="J384" s="307"/>
      <c r="K384" s="131">
        <v>17348</v>
      </c>
      <c r="L384" s="145">
        <v>50</v>
      </c>
      <c r="M384" s="307"/>
      <c r="N384" s="131"/>
      <c r="O384" s="145"/>
      <c r="P384" s="307"/>
    </row>
    <row r="385" spans="1:16" x14ac:dyDescent="0.2">
      <c r="A385" s="141" t="s">
        <v>3976</v>
      </c>
      <c r="B385" s="131">
        <v>290555</v>
      </c>
      <c r="C385" s="145">
        <v>95</v>
      </c>
      <c r="D385" s="307"/>
      <c r="E385" s="131">
        <v>16330</v>
      </c>
      <c r="F385" s="145">
        <v>20</v>
      </c>
      <c r="G385" s="307"/>
      <c r="H385" s="131">
        <v>9574</v>
      </c>
      <c r="I385" s="145">
        <v>60</v>
      </c>
      <c r="J385" s="307"/>
      <c r="K385" s="131">
        <v>274225</v>
      </c>
      <c r="L385" s="145">
        <v>75</v>
      </c>
      <c r="M385" s="307"/>
      <c r="N385" s="131">
        <v>6755</v>
      </c>
      <c r="O385" s="145">
        <v>60</v>
      </c>
      <c r="P385" s="307"/>
    </row>
    <row r="386" spans="1:16" x14ac:dyDescent="0.2">
      <c r="A386" s="141" t="s">
        <v>4261</v>
      </c>
      <c r="B386" s="131"/>
      <c r="C386" s="145"/>
      <c r="D386" s="307"/>
      <c r="E386" s="131"/>
      <c r="F386" s="145"/>
      <c r="G386" s="307"/>
      <c r="H386" s="131"/>
      <c r="I386" s="145"/>
      <c r="J386" s="307"/>
      <c r="K386" s="131"/>
      <c r="L386" s="145"/>
      <c r="M386" s="307"/>
      <c r="N386" s="131"/>
      <c r="O386" s="145"/>
      <c r="P386" s="307"/>
    </row>
    <row r="387" spans="1:16" x14ac:dyDescent="0.2">
      <c r="A387" s="107" t="s">
        <v>3974</v>
      </c>
      <c r="B387" s="131">
        <v>293885</v>
      </c>
      <c r="C387" s="145">
        <v>95</v>
      </c>
      <c r="D387" s="307"/>
      <c r="E387" s="131">
        <v>257496</v>
      </c>
      <c r="F387" s="145">
        <v>55</v>
      </c>
      <c r="G387" s="307"/>
      <c r="H387" s="131">
        <v>218127</v>
      </c>
      <c r="I387" s="145">
        <v>15</v>
      </c>
      <c r="J387" s="307"/>
      <c r="K387" s="131">
        <v>36389</v>
      </c>
      <c r="L387" s="145">
        <v>40</v>
      </c>
      <c r="M387" s="307"/>
      <c r="N387" s="131">
        <v>39369</v>
      </c>
      <c r="O387" s="145">
        <v>40</v>
      </c>
      <c r="P387" s="307"/>
    </row>
    <row r="388" spans="1:16" x14ac:dyDescent="0.2">
      <c r="A388" s="141" t="s">
        <v>3977</v>
      </c>
      <c r="B388" s="131"/>
      <c r="C388" s="145"/>
      <c r="D388" s="307"/>
      <c r="E388" s="131"/>
      <c r="F388" s="145"/>
      <c r="G388" s="307"/>
      <c r="H388" s="131"/>
      <c r="I388" s="145"/>
      <c r="J388" s="307"/>
      <c r="K388" s="131"/>
      <c r="L388" s="145"/>
      <c r="M388" s="307"/>
      <c r="N388" s="131"/>
      <c r="O388" s="145"/>
      <c r="P388" s="307"/>
    </row>
    <row r="389" spans="1:16" x14ac:dyDescent="0.2">
      <c r="A389" s="141" t="s">
        <v>4262</v>
      </c>
      <c r="B389" s="131">
        <v>1462508</v>
      </c>
      <c r="C389" s="145">
        <v>15</v>
      </c>
      <c r="D389" s="307"/>
      <c r="E389" s="131">
        <v>837817</v>
      </c>
      <c r="F389" s="145">
        <v>95</v>
      </c>
      <c r="G389" s="307"/>
      <c r="H389" s="131">
        <v>822888</v>
      </c>
      <c r="I389" s="145">
        <v>45</v>
      </c>
      <c r="J389" s="307"/>
      <c r="K389" s="131">
        <v>624690</v>
      </c>
      <c r="L389" s="145">
        <v>20</v>
      </c>
      <c r="M389" s="307"/>
      <c r="N389" s="131">
        <v>14929</v>
      </c>
      <c r="O389" s="145">
        <v>50</v>
      </c>
      <c r="P389" s="307"/>
    </row>
    <row r="390" spans="1:16" x14ac:dyDescent="0.2">
      <c r="A390" s="141" t="s">
        <v>4263</v>
      </c>
      <c r="B390" s="131"/>
      <c r="C390" s="145"/>
      <c r="D390" s="307"/>
      <c r="E390" s="131"/>
      <c r="F390" s="145"/>
      <c r="G390" s="307"/>
      <c r="H390" s="131"/>
      <c r="I390" s="145"/>
      <c r="J390" s="307"/>
      <c r="K390" s="131"/>
      <c r="L390" s="145"/>
      <c r="M390" s="307"/>
      <c r="N390" s="131"/>
      <c r="O390" s="145"/>
      <c r="P390" s="307"/>
    </row>
    <row r="391" spans="1:16" x14ac:dyDescent="0.2">
      <c r="A391" s="141" t="s">
        <v>3984</v>
      </c>
      <c r="B391" s="131">
        <v>100017</v>
      </c>
      <c r="C391" s="145"/>
      <c r="D391" s="307"/>
      <c r="E391" s="131">
        <v>88686</v>
      </c>
      <c r="F391" s="145">
        <v>45</v>
      </c>
      <c r="G391" s="307"/>
      <c r="H391" s="131">
        <v>88686</v>
      </c>
      <c r="I391" s="145">
        <v>45</v>
      </c>
      <c r="J391" s="307"/>
      <c r="K391" s="131">
        <v>11330</v>
      </c>
      <c r="L391" s="145">
        <v>55</v>
      </c>
      <c r="M391" s="307"/>
      <c r="N391" s="131"/>
      <c r="O391" s="145"/>
      <c r="P391" s="307"/>
    </row>
    <row r="392" spans="1:16" x14ac:dyDescent="0.2">
      <c r="A392" s="141" t="s">
        <v>1825</v>
      </c>
      <c r="B392" s="131">
        <v>2425385</v>
      </c>
      <c r="C392" s="145">
        <v>90</v>
      </c>
      <c r="D392" s="307"/>
      <c r="E392" s="131">
        <v>1987692</v>
      </c>
      <c r="F392" s="145">
        <v>5</v>
      </c>
      <c r="G392" s="307"/>
      <c r="H392" s="131">
        <v>1525510</v>
      </c>
      <c r="I392" s="145">
        <v>70</v>
      </c>
      <c r="J392" s="307"/>
      <c r="K392" s="131">
        <v>437693</v>
      </c>
      <c r="L392" s="145">
        <v>85</v>
      </c>
      <c r="M392" s="307"/>
      <c r="N392" s="131">
        <v>462181</v>
      </c>
      <c r="O392" s="145">
        <v>35</v>
      </c>
      <c r="P392" s="307"/>
    </row>
    <row r="393" spans="1:16" x14ac:dyDescent="0.2">
      <c r="A393" s="141" t="s">
        <v>4224</v>
      </c>
      <c r="B393" s="131">
        <v>15371</v>
      </c>
      <c r="C393" s="145"/>
      <c r="D393" s="307"/>
      <c r="E393" s="131">
        <v>9627</v>
      </c>
      <c r="F393" s="145">
        <v>85</v>
      </c>
      <c r="G393" s="307"/>
      <c r="H393" s="131">
        <v>9627</v>
      </c>
      <c r="I393" s="145">
        <v>85</v>
      </c>
      <c r="J393" s="307"/>
      <c r="K393" s="131">
        <v>5743</v>
      </c>
      <c r="L393" s="145">
        <v>15</v>
      </c>
      <c r="M393" s="307"/>
      <c r="N393" s="131"/>
      <c r="O393" s="145"/>
      <c r="P393" s="307"/>
    </row>
    <row r="394" spans="1:16" x14ac:dyDescent="0.2">
      <c r="A394" s="141" t="s">
        <v>4264</v>
      </c>
      <c r="B394" s="131"/>
      <c r="C394" s="145"/>
      <c r="D394" s="307"/>
      <c r="E394" s="131"/>
      <c r="F394" s="145"/>
      <c r="G394" s="307"/>
      <c r="H394" s="131"/>
      <c r="I394" s="145"/>
      <c r="J394" s="307"/>
      <c r="K394" s="131"/>
      <c r="L394" s="145"/>
      <c r="M394" s="307"/>
      <c r="N394" s="131"/>
      <c r="O394" s="145"/>
      <c r="P394" s="307"/>
    </row>
    <row r="395" spans="1:16" x14ac:dyDescent="0.2">
      <c r="A395" s="141" t="s">
        <v>3981</v>
      </c>
      <c r="B395" s="131">
        <v>1983484</v>
      </c>
      <c r="C395" s="145">
        <v>30</v>
      </c>
      <c r="D395" s="307"/>
      <c r="E395" s="131">
        <v>317551</v>
      </c>
      <c r="F395" s="145">
        <v>85</v>
      </c>
      <c r="G395" s="307"/>
      <c r="H395" s="131">
        <v>317551</v>
      </c>
      <c r="I395" s="145">
        <v>85</v>
      </c>
      <c r="J395" s="307"/>
      <c r="K395" s="131">
        <v>1665942</v>
      </c>
      <c r="L395" s="145">
        <v>45</v>
      </c>
      <c r="M395" s="307"/>
      <c r="N395" s="131"/>
      <c r="O395" s="145"/>
      <c r="P395" s="307"/>
    </row>
    <row r="396" spans="1:16" x14ac:dyDescent="0.2">
      <c r="A396" s="141" t="s">
        <v>4265</v>
      </c>
      <c r="B396" s="131"/>
      <c r="C396" s="145"/>
      <c r="D396" s="307"/>
      <c r="E396" s="131"/>
      <c r="F396" s="145"/>
      <c r="G396" s="307"/>
      <c r="H396" s="131"/>
      <c r="I396" s="145"/>
      <c r="J396" s="307"/>
      <c r="K396" s="131"/>
      <c r="L396" s="145"/>
      <c r="M396" s="307"/>
      <c r="N396" s="131"/>
      <c r="O396" s="145"/>
      <c r="P396" s="307"/>
    </row>
    <row r="397" spans="1:16" x14ac:dyDescent="0.2">
      <c r="A397" s="141" t="s">
        <v>3982</v>
      </c>
      <c r="B397" s="131">
        <v>2830016</v>
      </c>
      <c r="C397" s="145">
        <v>20</v>
      </c>
      <c r="D397" s="307"/>
      <c r="E397" s="131">
        <v>19300</v>
      </c>
      <c r="F397" s="145"/>
      <c r="G397" s="307"/>
      <c r="H397" s="131">
        <v>19300</v>
      </c>
      <c r="I397" s="145"/>
      <c r="J397" s="307"/>
      <c r="K397" s="131">
        <v>2810716</v>
      </c>
      <c r="L397" s="145">
        <v>20</v>
      </c>
      <c r="M397" s="307"/>
      <c r="N397" s="131"/>
      <c r="O397" s="145"/>
      <c r="P397" s="307"/>
    </row>
    <row r="398" spans="1:16" x14ac:dyDescent="0.2">
      <c r="A398" s="141" t="s">
        <v>4225</v>
      </c>
      <c r="B398" s="131">
        <v>99320</v>
      </c>
      <c r="C398" s="145">
        <v>95</v>
      </c>
      <c r="D398" s="307"/>
      <c r="E398" s="131">
        <v>72</v>
      </c>
      <c r="F398" s="145">
        <v>60</v>
      </c>
      <c r="G398" s="307"/>
      <c r="H398" s="131">
        <v>72</v>
      </c>
      <c r="I398" s="145">
        <v>60</v>
      </c>
      <c r="J398" s="307"/>
      <c r="K398" s="131">
        <v>99248</v>
      </c>
      <c r="L398" s="145">
        <v>35</v>
      </c>
      <c r="M398" s="307"/>
      <c r="N398" s="131"/>
      <c r="O398" s="145"/>
      <c r="P398" s="307"/>
    </row>
    <row r="399" spans="1:16" x14ac:dyDescent="0.2">
      <c r="A399" s="141" t="s">
        <v>3979</v>
      </c>
      <c r="B399" s="131">
        <v>611430</v>
      </c>
      <c r="C399" s="145">
        <v>50</v>
      </c>
      <c r="D399" s="307"/>
      <c r="E399" s="131">
        <v>99995</v>
      </c>
      <c r="F399" s="145">
        <v>30</v>
      </c>
      <c r="G399" s="307"/>
      <c r="H399" s="131">
        <v>99995</v>
      </c>
      <c r="I399" s="145">
        <v>30</v>
      </c>
      <c r="J399" s="307"/>
      <c r="K399" s="131">
        <v>501435</v>
      </c>
      <c r="L399" s="145">
        <v>20</v>
      </c>
      <c r="M399" s="307"/>
      <c r="N399" s="131"/>
      <c r="O399" s="145"/>
      <c r="P399" s="307"/>
    </row>
    <row r="400" spans="1:16" x14ac:dyDescent="0.2">
      <c r="A400" s="141" t="s">
        <v>3979</v>
      </c>
      <c r="B400" s="131">
        <v>258343</v>
      </c>
      <c r="C400" s="145"/>
      <c r="D400" s="307"/>
      <c r="E400" s="131">
        <v>1856</v>
      </c>
      <c r="F400" s="145">
        <v>50</v>
      </c>
      <c r="G400" s="307"/>
      <c r="H400" s="131">
        <v>1856</v>
      </c>
      <c r="I400" s="145">
        <v>50</v>
      </c>
      <c r="J400" s="307"/>
      <c r="K400" s="131">
        <v>256486</v>
      </c>
      <c r="L400" s="145">
        <v>50</v>
      </c>
      <c r="M400" s="307"/>
      <c r="N400" s="131"/>
      <c r="O400" s="145"/>
      <c r="P400" s="307"/>
    </row>
    <row r="401" spans="1:16" x14ac:dyDescent="0.2">
      <c r="A401" s="141" t="s">
        <v>4001</v>
      </c>
      <c r="B401" s="230">
        <v>100000</v>
      </c>
      <c r="C401" s="309"/>
      <c r="D401" s="364"/>
      <c r="E401" s="230">
        <v>12968</v>
      </c>
      <c r="F401" s="309">
        <v>40</v>
      </c>
      <c r="G401" s="364"/>
      <c r="H401" s="230">
        <v>12968</v>
      </c>
      <c r="I401" s="309">
        <v>40</v>
      </c>
      <c r="J401" s="364"/>
      <c r="K401" s="230">
        <v>87031</v>
      </c>
      <c r="L401" s="309">
        <v>60</v>
      </c>
      <c r="M401" s="364"/>
      <c r="N401" s="230"/>
      <c r="O401" s="309"/>
      <c r="P401" s="364"/>
    </row>
    <row r="402" spans="1:16" x14ac:dyDescent="0.2">
      <c r="A402" s="1114" t="s">
        <v>3987</v>
      </c>
      <c r="B402" s="240">
        <v>9832000</v>
      </c>
      <c r="C402" s="318">
        <v>80</v>
      </c>
      <c r="D402" s="513"/>
      <c r="E402" s="240">
        <v>3855845</v>
      </c>
      <c r="F402" s="318">
        <v>15</v>
      </c>
      <c r="G402" s="513"/>
      <c r="H402" s="240">
        <v>3336774</v>
      </c>
      <c r="I402" s="318">
        <v>95</v>
      </c>
      <c r="J402" s="513"/>
      <c r="K402" s="240">
        <v>6756165</v>
      </c>
      <c r="L402" s="318">
        <v>65</v>
      </c>
      <c r="M402" s="513"/>
      <c r="N402" s="240">
        <v>529054</v>
      </c>
      <c r="O402" s="318">
        <v>15</v>
      </c>
      <c r="P402" s="513"/>
    </row>
    <row r="403" spans="1:16" x14ac:dyDescent="0.2">
      <c r="B403" s="1137">
        <f>+SUM(B381:B401)</f>
        <v>10831994</v>
      </c>
      <c r="C403" s="393">
        <f t="shared" ref="C403:P403" si="27">+SUM(C381:C401)</f>
        <v>680</v>
      </c>
      <c r="D403" s="393">
        <f t="shared" si="27"/>
        <v>0</v>
      </c>
      <c r="E403" s="1137">
        <f t="shared" si="27"/>
        <v>3865839</v>
      </c>
      <c r="F403" s="393">
        <f t="shared" si="27"/>
        <v>615</v>
      </c>
      <c r="G403" s="393">
        <f t="shared" si="27"/>
        <v>0</v>
      </c>
      <c r="H403" s="1137">
        <f t="shared" si="27"/>
        <v>3336784</v>
      </c>
      <c r="I403" s="393">
        <f t="shared" si="27"/>
        <v>695</v>
      </c>
      <c r="J403" s="393">
        <f t="shared" si="27"/>
        <v>0</v>
      </c>
      <c r="K403" s="1137">
        <f t="shared" si="27"/>
        <v>6956159</v>
      </c>
      <c r="L403" s="393">
        <f t="shared" si="27"/>
        <v>665</v>
      </c>
      <c r="M403" s="393">
        <f t="shared" si="27"/>
        <v>0</v>
      </c>
      <c r="N403" s="393">
        <f t="shared" si="27"/>
        <v>529052</v>
      </c>
      <c r="O403" s="393">
        <f t="shared" si="27"/>
        <v>215</v>
      </c>
      <c r="P403" s="393">
        <f t="shared" si="27"/>
        <v>0</v>
      </c>
    </row>
  </sheetData>
  <mergeCells count="211">
    <mergeCell ref="A379:P379"/>
    <mergeCell ref="B380:D380"/>
    <mergeCell ref="E380:G380"/>
    <mergeCell ref="H380:J380"/>
    <mergeCell ref="K380:M380"/>
    <mergeCell ref="N380:P380"/>
    <mergeCell ref="A372:P372"/>
    <mergeCell ref="B373:D373"/>
    <mergeCell ref="E373:G373"/>
    <mergeCell ref="H373:J373"/>
    <mergeCell ref="K373:M373"/>
    <mergeCell ref="N373:P373"/>
    <mergeCell ref="A360:P360"/>
    <mergeCell ref="B361:D361"/>
    <mergeCell ref="E361:G361"/>
    <mergeCell ref="H361:J361"/>
    <mergeCell ref="K361:M361"/>
    <mergeCell ref="N361:P361"/>
    <mergeCell ref="A348:P348"/>
    <mergeCell ref="B349:D349"/>
    <mergeCell ref="E349:G349"/>
    <mergeCell ref="H349:J349"/>
    <mergeCell ref="K349:M349"/>
    <mergeCell ref="N349:P349"/>
    <mergeCell ref="A342:P342"/>
    <mergeCell ref="B343:D343"/>
    <mergeCell ref="E343:G343"/>
    <mergeCell ref="H343:J343"/>
    <mergeCell ref="K343:M343"/>
    <mergeCell ref="N343:P343"/>
    <mergeCell ref="A338:P338"/>
    <mergeCell ref="B339:D339"/>
    <mergeCell ref="E339:G339"/>
    <mergeCell ref="H339:J339"/>
    <mergeCell ref="K339:M339"/>
    <mergeCell ref="N339:P339"/>
    <mergeCell ref="A316:P316"/>
    <mergeCell ref="B317:D317"/>
    <mergeCell ref="E317:G317"/>
    <mergeCell ref="H317:J317"/>
    <mergeCell ref="K317:M317"/>
    <mergeCell ref="N317:P317"/>
    <mergeCell ref="A309:P309"/>
    <mergeCell ref="B310:D310"/>
    <mergeCell ref="E310:G310"/>
    <mergeCell ref="H310:J310"/>
    <mergeCell ref="K310:M310"/>
    <mergeCell ref="N310:P310"/>
    <mergeCell ref="A298:P298"/>
    <mergeCell ref="B299:D299"/>
    <mergeCell ref="E299:G299"/>
    <mergeCell ref="H299:J299"/>
    <mergeCell ref="K299:M299"/>
    <mergeCell ref="N299:P299"/>
    <mergeCell ref="A287:P287"/>
    <mergeCell ref="B288:D288"/>
    <mergeCell ref="E288:G288"/>
    <mergeCell ref="H288:J288"/>
    <mergeCell ref="K288:M288"/>
    <mergeCell ref="N288:P288"/>
    <mergeCell ref="A275:P275"/>
    <mergeCell ref="B276:D276"/>
    <mergeCell ref="E276:G276"/>
    <mergeCell ref="H276:J276"/>
    <mergeCell ref="K276:M276"/>
    <mergeCell ref="N276:P276"/>
    <mergeCell ref="A264:P264"/>
    <mergeCell ref="B265:D265"/>
    <mergeCell ref="E265:G265"/>
    <mergeCell ref="H265:J265"/>
    <mergeCell ref="K265:M265"/>
    <mergeCell ref="N265:P265"/>
    <mergeCell ref="A260:P260"/>
    <mergeCell ref="B261:D261"/>
    <mergeCell ref="E261:G261"/>
    <mergeCell ref="H261:J261"/>
    <mergeCell ref="K261:M261"/>
    <mergeCell ref="N261:P261"/>
    <mergeCell ref="A253:P253"/>
    <mergeCell ref="B254:D254"/>
    <mergeCell ref="E254:G254"/>
    <mergeCell ref="H254:J254"/>
    <mergeCell ref="K254:M254"/>
    <mergeCell ref="N254:P254"/>
    <mergeCell ref="A242:P242"/>
    <mergeCell ref="B243:D243"/>
    <mergeCell ref="E243:G243"/>
    <mergeCell ref="H243:J243"/>
    <mergeCell ref="K243:M243"/>
    <mergeCell ref="N243:P243"/>
    <mergeCell ref="A225:P225"/>
    <mergeCell ref="B226:D226"/>
    <mergeCell ref="E226:G226"/>
    <mergeCell ref="H226:J226"/>
    <mergeCell ref="K226:M226"/>
    <mergeCell ref="N226:P226"/>
    <mergeCell ref="B199:D199"/>
    <mergeCell ref="E199:G199"/>
    <mergeCell ref="H199:J199"/>
    <mergeCell ref="K199:M199"/>
    <mergeCell ref="N199:P199"/>
    <mergeCell ref="A224:P224"/>
    <mergeCell ref="B195:D195"/>
    <mergeCell ref="E195:G195"/>
    <mergeCell ref="H195:J195"/>
    <mergeCell ref="K195:M195"/>
    <mergeCell ref="N195:P195"/>
    <mergeCell ref="A198:P198"/>
    <mergeCell ref="B191:D191"/>
    <mergeCell ref="E191:G191"/>
    <mergeCell ref="H191:J191"/>
    <mergeCell ref="K191:M191"/>
    <mergeCell ref="N191:P191"/>
    <mergeCell ref="A194:P194"/>
    <mergeCell ref="B185:D185"/>
    <mergeCell ref="E185:G185"/>
    <mergeCell ref="H185:J185"/>
    <mergeCell ref="K185:M185"/>
    <mergeCell ref="N185:P185"/>
    <mergeCell ref="A190:P190"/>
    <mergeCell ref="B178:D178"/>
    <mergeCell ref="E178:G178"/>
    <mergeCell ref="H178:J178"/>
    <mergeCell ref="K178:M178"/>
    <mergeCell ref="N178:P178"/>
    <mergeCell ref="A184:P184"/>
    <mergeCell ref="B167:D167"/>
    <mergeCell ref="E167:G167"/>
    <mergeCell ref="H167:J167"/>
    <mergeCell ref="K167:M167"/>
    <mergeCell ref="N167:P167"/>
    <mergeCell ref="A177:P177"/>
    <mergeCell ref="B156:D156"/>
    <mergeCell ref="E156:G156"/>
    <mergeCell ref="H156:J156"/>
    <mergeCell ref="K156:M156"/>
    <mergeCell ref="N156:P156"/>
    <mergeCell ref="A166:P166"/>
    <mergeCell ref="B152:D152"/>
    <mergeCell ref="E152:G152"/>
    <mergeCell ref="H152:J152"/>
    <mergeCell ref="K152:M152"/>
    <mergeCell ref="N152:P152"/>
    <mergeCell ref="A155:P155"/>
    <mergeCell ref="B132:D132"/>
    <mergeCell ref="E132:G132"/>
    <mergeCell ref="H132:J132"/>
    <mergeCell ref="K132:M132"/>
    <mergeCell ref="N132:P132"/>
    <mergeCell ref="A151:P151"/>
    <mergeCell ref="B120:D120"/>
    <mergeCell ref="E120:G120"/>
    <mergeCell ref="H120:J120"/>
    <mergeCell ref="K120:M120"/>
    <mergeCell ref="N120:P120"/>
    <mergeCell ref="A131:P131"/>
    <mergeCell ref="B108:D108"/>
    <mergeCell ref="E108:G108"/>
    <mergeCell ref="H108:J108"/>
    <mergeCell ref="K108:M108"/>
    <mergeCell ref="N108:P108"/>
    <mergeCell ref="A119:P119"/>
    <mergeCell ref="B97:D97"/>
    <mergeCell ref="E97:G97"/>
    <mergeCell ref="H97:J97"/>
    <mergeCell ref="K97:M97"/>
    <mergeCell ref="N97:P97"/>
    <mergeCell ref="A107:P107"/>
    <mergeCell ref="B93:D93"/>
    <mergeCell ref="E93:G93"/>
    <mergeCell ref="H93:J93"/>
    <mergeCell ref="K93:M93"/>
    <mergeCell ref="N93:P93"/>
    <mergeCell ref="A96:P96"/>
    <mergeCell ref="B86:D86"/>
    <mergeCell ref="E86:G86"/>
    <mergeCell ref="H86:J86"/>
    <mergeCell ref="K86:M86"/>
    <mergeCell ref="N86:P86"/>
    <mergeCell ref="A92:P92"/>
    <mergeCell ref="B78:D78"/>
    <mergeCell ref="E78:G78"/>
    <mergeCell ref="H78:J78"/>
    <mergeCell ref="K78:M78"/>
    <mergeCell ref="N78:P78"/>
    <mergeCell ref="A85:P85"/>
    <mergeCell ref="B68:D68"/>
    <mergeCell ref="E68:G68"/>
    <mergeCell ref="H68:J68"/>
    <mergeCell ref="K68:M68"/>
    <mergeCell ref="N68:P68"/>
    <mergeCell ref="A77:P77"/>
    <mergeCell ref="B51:D51"/>
    <mergeCell ref="E51:G51"/>
    <mergeCell ref="H51:J51"/>
    <mergeCell ref="K51:M51"/>
    <mergeCell ref="N51:P51"/>
    <mergeCell ref="A67:P67"/>
    <mergeCell ref="A29:F29"/>
    <mergeCell ref="B30:D30"/>
    <mergeCell ref="E30:F30"/>
    <mergeCell ref="A45:F45"/>
    <mergeCell ref="A49:P49"/>
    <mergeCell ref="A50:P50"/>
    <mergeCell ref="A4:J4"/>
    <mergeCell ref="B5:D5"/>
    <mergeCell ref="E5:G5"/>
    <mergeCell ref="H5:J5"/>
    <mergeCell ref="A17:G17"/>
    <mergeCell ref="B18:D18"/>
    <mergeCell ref="E18:G18"/>
  </mergeCells>
  <pageMargins left="0.7" right="0.7" top="0.75" bottom="0.75" header="0.3" footer="0.3"/>
  <legacy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AV152"/>
  <sheetViews>
    <sheetView topLeftCell="I142" workbookViewId="0">
      <selection activeCell="B1" sqref="B1"/>
    </sheetView>
  </sheetViews>
  <sheetFormatPr baseColWidth="10" defaultRowHeight="15" x14ac:dyDescent="0.2"/>
  <cols>
    <col min="1" max="1" width="43.1640625" style="107" customWidth="1"/>
    <col min="2" max="2" width="11.6640625" style="107" bestFit="1" customWidth="1"/>
    <col min="3" max="3" width="9.1640625" style="107" customWidth="1"/>
    <col min="4" max="4" width="10.5" style="107" customWidth="1"/>
    <col min="5" max="5" width="10.83203125" style="107"/>
    <col min="6" max="6" width="9.1640625" style="107" customWidth="1"/>
    <col min="7" max="7" width="10.1640625" style="107" customWidth="1"/>
    <col min="8" max="8" width="10.83203125" style="107"/>
    <col min="9" max="9" width="8.83203125" style="107" customWidth="1"/>
    <col min="10" max="10" width="6.1640625" style="107" customWidth="1"/>
    <col min="11" max="11" width="10.83203125" style="107"/>
    <col min="12" max="12" width="9.1640625" style="107" customWidth="1"/>
    <col min="13" max="13" width="9.6640625" style="107" customWidth="1"/>
    <col min="14" max="14" width="10.83203125" style="107"/>
    <col min="15" max="15" width="12.83203125" style="107" customWidth="1"/>
    <col min="16" max="16" width="10.5" style="107" customWidth="1"/>
    <col min="17" max="17" width="10.83203125" style="107"/>
    <col min="18" max="18" width="9.1640625" style="107" bestFit="1" customWidth="1"/>
    <col min="19" max="19" width="5.83203125" style="107" customWidth="1"/>
    <col min="20" max="20" width="10.83203125" style="107"/>
    <col min="21" max="21" width="10.1640625" style="107" customWidth="1"/>
    <col min="22" max="22" width="9.1640625" style="107" bestFit="1" customWidth="1"/>
    <col min="23" max="23" width="8" style="107" customWidth="1"/>
    <col min="24" max="24" width="10.83203125" style="107"/>
    <col min="25" max="25" width="6.6640625" style="107" customWidth="1"/>
    <col min="26" max="26" width="10.83203125" style="107"/>
    <col min="27" max="27" width="7.83203125" style="107" customWidth="1"/>
    <col min="28" max="28" width="10.83203125" style="107"/>
    <col min="29" max="29" width="7.1640625" style="107" customWidth="1"/>
    <col min="30" max="30" width="10.83203125" style="107"/>
    <col min="31" max="31" width="7.1640625" style="107" customWidth="1"/>
    <col min="32" max="32" width="10.83203125" style="107"/>
    <col min="33" max="33" width="6.1640625" style="107" customWidth="1"/>
    <col min="34" max="34" width="10.83203125" style="107"/>
    <col min="35" max="35" width="9.83203125" style="107" customWidth="1"/>
    <col min="36" max="37" width="10.83203125" style="107"/>
    <col min="38" max="38" width="10.1640625" style="107" customWidth="1"/>
    <col min="39" max="39" width="10.83203125" style="107"/>
    <col min="40" max="40" width="12.6640625" style="107" bestFit="1" customWidth="1"/>
    <col min="41" max="41" width="6.83203125" style="107" customWidth="1"/>
    <col min="42" max="42" width="10.83203125" style="107"/>
    <col min="43" max="43" width="7.33203125" style="107" customWidth="1"/>
    <col min="44" max="16384" width="10.83203125" style="107"/>
  </cols>
  <sheetData>
    <row r="1" spans="1:4" x14ac:dyDescent="0.2">
      <c r="A1" s="972" t="s">
        <v>4266</v>
      </c>
    </row>
    <row r="3" spans="1:4" x14ac:dyDescent="0.2">
      <c r="A3" s="526" t="s">
        <v>1111</v>
      </c>
    </row>
    <row r="4" spans="1:4" ht="30" customHeight="1" x14ac:dyDescent="0.2">
      <c r="A4" s="782" t="s">
        <v>4267</v>
      </c>
      <c r="B4" s="783"/>
      <c r="C4" s="783"/>
      <c r="D4" s="784"/>
    </row>
    <row r="5" spans="1:4" x14ac:dyDescent="0.2">
      <c r="A5" s="131" t="s">
        <v>1174</v>
      </c>
      <c r="B5" s="145">
        <v>4292835</v>
      </c>
      <c r="C5" s="145">
        <v>22</v>
      </c>
      <c r="D5" s="133">
        <v>0.5</v>
      </c>
    </row>
    <row r="6" spans="1:4" x14ac:dyDescent="0.2">
      <c r="A6" s="131" t="s">
        <v>1569</v>
      </c>
      <c r="B6" s="145">
        <v>950284</v>
      </c>
      <c r="C6" s="145">
        <v>65</v>
      </c>
      <c r="D6" s="133"/>
    </row>
    <row r="7" spans="1:4" x14ac:dyDescent="0.2">
      <c r="A7" s="131" t="s">
        <v>1991</v>
      </c>
      <c r="B7" s="145">
        <v>260000</v>
      </c>
      <c r="C7" s="145"/>
      <c r="D7" s="133"/>
    </row>
    <row r="8" spans="1:4" x14ac:dyDescent="0.2">
      <c r="A8" s="131" t="s">
        <v>4268</v>
      </c>
      <c r="B8" s="145">
        <v>162088</v>
      </c>
      <c r="C8" s="145">
        <v>15</v>
      </c>
      <c r="D8" s="133"/>
    </row>
    <row r="9" spans="1:4" x14ac:dyDescent="0.2">
      <c r="A9" s="131" t="s">
        <v>2390</v>
      </c>
      <c r="B9" s="145">
        <v>51709</v>
      </c>
      <c r="C9" s="145">
        <v>20</v>
      </c>
      <c r="D9" s="133"/>
    </row>
    <row r="10" spans="1:4" x14ac:dyDescent="0.2">
      <c r="A10" s="131" t="s">
        <v>4269</v>
      </c>
      <c r="B10" s="145">
        <v>45196</v>
      </c>
      <c r="C10" s="145">
        <v>11</v>
      </c>
      <c r="D10" s="133"/>
    </row>
    <row r="11" spans="1:4" x14ac:dyDescent="0.2">
      <c r="A11" s="131" t="s">
        <v>4270</v>
      </c>
      <c r="B11" s="145">
        <v>74831</v>
      </c>
      <c r="C11" s="145">
        <v>70</v>
      </c>
      <c r="D11" s="133"/>
    </row>
    <row r="12" spans="1:4" x14ac:dyDescent="0.2">
      <c r="A12" s="131" t="s">
        <v>4271</v>
      </c>
      <c r="B12" s="145">
        <v>434206</v>
      </c>
      <c r="C12" s="145"/>
      <c r="D12" s="133"/>
    </row>
    <row r="13" spans="1:4" x14ac:dyDescent="0.2">
      <c r="A13" s="131" t="s">
        <v>3287</v>
      </c>
      <c r="B13" s="145">
        <v>43841</v>
      </c>
      <c r="C13" s="145">
        <v>90</v>
      </c>
      <c r="D13" s="133"/>
    </row>
    <row r="14" spans="1:4" x14ac:dyDescent="0.2">
      <c r="A14" s="131" t="s">
        <v>1808</v>
      </c>
      <c r="B14" s="145">
        <v>2940</v>
      </c>
      <c r="C14" s="145">
        <v>10</v>
      </c>
      <c r="D14" s="133"/>
    </row>
    <row r="15" spans="1:4" x14ac:dyDescent="0.2">
      <c r="A15" s="131" t="s">
        <v>2761</v>
      </c>
      <c r="B15" s="145">
        <v>18263</v>
      </c>
      <c r="C15" s="145">
        <v>42</v>
      </c>
      <c r="D15" s="133">
        <v>0.5</v>
      </c>
    </row>
    <row r="16" spans="1:4" x14ac:dyDescent="0.2">
      <c r="A16" s="131" t="s">
        <v>1573</v>
      </c>
      <c r="B16" s="145">
        <v>28146</v>
      </c>
      <c r="C16" s="145">
        <v>55</v>
      </c>
      <c r="D16" s="133"/>
    </row>
    <row r="17" spans="1:13" x14ac:dyDescent="0.2">
      <c r="A17" s="131" t="s">
        <v>2763</v>
      </c>
      <c r="B17" s="145">
        <v>649632</v>
      </c>
      <c r="C17" s="145">
        <v>27</v>
      </c>
      <c r="D17" s="133">
        <v>0.5</v>
      </c>
    </row>
    <row r="18" spans="1:13" x14ac:dyDescent="0.2">
      <c r="A18" s="131" t="s">
        <v>4272</v>
      </c>
      <c r="B18" s="145">
        <v>5119</v>
      </c>
      <c r="C18" s="145">
        <v>5</v>
      </c>
      <c r="D18" s="133"/>
    </row>
    <row r="19" spans="1:13" x14ac:dyDescent="0.2">
      <c r="A19" s="622" t="s">
        <v>4273</v>
      </c>
      <c r="B19" s="145">
        <v>7019094</v>
      </c>
      <c r="C19" s="145">
        <v>33</v>
      </c>
      <c r="D19" s="133">
        <v>0.5</v>
      </c>
    </row>
    <row r="20" spans="1:13" x14ac:dyDescent="0.2">
      <c r="A20" s="622"/>
      <c r="B20" s="1093">
        <f>+SUM(B5:B18)+C20</f>
        <v>7019144</v>
      </c>
      <c r="C20" s="1093">
        <f>+SUM(C5:C18)/8</f>
        <v>54</v>
      </c>
      <c r="D20" s="1158">
        <f>+SUM(D5:D18)</f>
        <v>1.5</v>
      </c>
    </row>
    <row r="21" spans="1:13" ht="50.5" customHeight="1" x14ac:dyDescent="0.2">
      <c r="A21" s="817" t="s">
        <v>4274</v>
      </c>
      <c r="B21" s="818"/>
      <c r="C21" s="818"/>
      <c r="D21" s="819"/>
    </row>
    <row r="25" spans="1:13" x14ac:dyDescent="0.2">
      <c r="A25" s="526" t="s">
        <v>1171</v>
      </c>
    </row>
    <row r="26" spans="1:13" ht="23" customHeight="1" x14ac:dyDescent="0.2">
      <c r="A26" s="998" t="s">
        <v>4275</v>
      </c>
      <c r="B26" s="998"/>
      <c r="C26" s="998"/>
      <c r="D26" s="998"/>
      <c r="E26" s="998"/>
      <c r="F26" s="998"/>
      <c r="G26" s="998"/>
      <c r="H26" s="998"/>
      <c r="I26" s="998"/>
      <c r="J26" s="998"/>
      <c r="K26" s="998"/>
      <c r="L26" s="998"/>
      <c r="M26" s="998"/>
    </row>
    <row r="27" spans="1:13" ht="21.5" customHeight="1" x14ac:dyDescent="0.2">
      <c r="A27" s="838" t="s">
        <v>1227</v>
      </c>
      <c r="B27" s="486" t="s">
        <v>1880</v>
      </c>
      <c r="C27" s="838"/>
      <c r="D27" s="838"/>
      <c r="E27" s="838"/>
      <c r="F27" s="838"/>
      <c r="G27" s="838"/>
      <c r="H27" s="838"/>
      <c r="I27" s="838"/>
      <c r="J27" s="838"/>
      <c r="K27" s="838"/>
      <c r="L27" s="838"/>
      <c r="M27" s="838"/>
    </row>
    <row r="28" spans="1:13" ht="21.5" customHeight="1" x14ac:dyDescent="0.2">
      <c r="A28" s="838"/>
      <c r="B28" s="977" t="s">
        <v>4202</v>
      </c>
      <c r="C28" s="977"/>
      <c r="D28" s="977"/>
      <c r="E28" s="977" t="s">
        <v>4203</v>
      </c>
      <c r="F28" s="977"/>
      <c r="G28" s="977"/>
      <c r="H28" s="977" t="s">
        <v>4204</v>
      </c>
      <c r="I28" s="977"/>
      <c r="J28" s="977"/>
      <c r="K28" s="977" t="s">
        <v>4276</v>
      </c>
      <c r="L28" s="977"/>
      <c r="M28" s="977"/>
    </row>
    <row r="29" spans="1:13" x14ac:dyDescent="0.2">
      <c r="A29" s="533" t="s">
        <v>1526</v>
      </c>
      <c r="B29" s="131">
        <v>97259</v>
      </c>
      <c r="C29" s="145">
        <v>90</v>
      </c>
      <c r="D29" s="307"/>
      <c r="E29" s="131">
        <v>64999</v>
      </c>
      <c r="F29" s="145">
        <v>95</v>
      </c>
      <c r="G29" s="307"/>
      <c r="H29" s="131">
        <v>131359</v>
      </c>
      <c r="I29" s="145">
        <v>95</v>
      </c>
      <c r="J29" s="307"/>
      <c r="K29" s="131">
        <v>112381</v>
      </c>
      <c r="L29" s="145">
        <v>50</v>
      </c>
      <c r="M29" s="307"/>
    </row>
    <row r="30" spans="1:13" x14ac:dyDescent="0.2">
      <c r="A30" s="533" t="s">
        <v>1373</v>
      </c>
      <c r="B30" s="131">
        <v>66506</v>
      </c>
      <c r="C30" s="145">
        <v>55</v>
      </c>
      <c r="D30" s="307"/>
      <c r="E30" s="131">
        <v>50780</v>
      </c>
      <c r="F30" s="145">
        <v>10</v>
      </c>
      <c r="G30" s="307"/>
      <c r="H30" s="131">
        <v>115282</v>
      </c>
      <c r="I30" s="145">
        <v>55</v>
      </c>
      <c r="J30" s="307"/>
      <c r="K30" s="131">
        <v>100923</v>
      </c>
      <c r="L30" s="145">
        <v>60</v>
      </c>
      <c r="M30" s="307"/>
    </row>
    <row r="31" spans="1:13" x14ac:dyDescent="0.2">
      <c r="A31" s="533" t="s">
        <v>3668</v>
      </c>
      <c r="B31" s="131">
        <v>2811453</v>
      </c>
      <c r="C31" s="145">
        <v>15</v>
      </c>
      <c r="D31" s="307"/>
      <c r="E31" s="131">
        <v>3129590</v>
      </c>
      <c r="F31" s="145">
        <v>65</v>
      </c>
      <c r="G31" s="307"/>
      <c r="H31" s="131">
        <v>2441991</v>
      </c>
      <c r="I31" s="145">
        <v>25</v>
      </c>
      <c r="J31" s="307"/>
      <c r="K31" s="131">
        <v>3167316</v>
      </c>
      <c r="L31" s="145">
        <v>75</v>
      </c>
      <c r="M31" s="307"/>
    </row>
    <row r="32" spans="1:13" x14ac:dyDescent="0.2">
      <c r="A32" s="533" t="s">
        <v>1369</v>
      </c>
      <c r="B32" s="131">
        <v>273134</v>
      </c>
      <c r="C32" s="145">
        <v>25</v>
      </c>
      <c r="D32" s="307"/>
      <c r="E32" s="131">
        <v>339875</v>
      </c>
      <c r="F32" s="145">
        <v>20</v>
      </c>
      <c r="G32" s="307"/>
      <c r="H32" s="131">
        <v>290209</v>
      </c>
      <c r="I32" s="145">
        <v>15</v>
      </c>
      <c r="J32" s="307"/>
      <c r="K32" s="131">
        <v>320853</v>
      </c>
      <c r="L32" s="145">
        <v>5</v>
      </c>
      <c r="M32" s="307"/>
    </row>
    <row r="33" spans="1:22" x14ac:dyDescent="0.2">
      <c r="A33" s="533" t="s">
        <v>1517</v>
      </c>
      <c r="B33" s="131">
        <v>245541</v>
      </c>
      <c r="C33" s="145"/>
      <c r="D33" s="307"/>
      <c r="E33" s="131">
        <v>130566</v>
      </c>
      <c r="F33" s="145">
        <v>80</v>
      </c>
      <c r="G33" s="307"/>
      <c r="H33" s="131">
        <v>270002</v>
      </c>
      <c r="I33" s="145">
        <v>75</v>
      </c>
      <c r="J33" s="307"/>
      <c r="K33" s="131">
        <v>283873</v>
      </c>
      <c r="L33" s="145">
        <v>95</v>
      </c>
      <c r="M33" s="307"/>
    </row>
    <row r="34" spans="1:22" x14ac:dyDescent="0.2">
      <c r="A34" s="533" t="s">
        <v>1527</v>
      </c>
      <c r="B34" s="131">
        <v>63353</v>
      </c>
      <c r="C34" s="145">
        <v>45</v>
      </c>
      <c r="D34" s="307"/>
      <c r="E34" s="131">
        <v>42605</v>
      </c>
      <c r="F34" s="145">
        <v>45</v>
      </c>
      <c r="G34" s="307"/>
      <c r="H34" s="131">
        <v>44525</v>
      </c>
      <c r="I34" s="145">
        <v>5</v>
      </c>
      <c r="J34" s="307"/>
      <c r="K34" s="131">
        <v>52046</v>
      </c>
      <c r="L34" s="145">
        <v>25</v>
      </c>
      <c r="M34" s="307"/>
    </row>
    <row r="35" spans="1:22" x14ac:dyDescent="0.2">
      <c r="A35" s="533" t="s">
        <v>3266</v>
      </c>
      <c r="B35" s="131">
        <v>2872</v>
      </c>
      <c r="C35" s="145">
        <v>5</v>
      </c>
      <c r="D35" s="307"/>
      <c r="E35" s="131">
        <v>1701</v>
      </c>
      <c r="F35" s="145">
        <v>40</v>
      </c>
      <c r="G35" s="307"/>
      <c r="H35" s="131">
        <v>3126</v>
      </c>
      <c r="I35" s="145">
        <v>55</v>
      </c>
      <c r="J35" s="307"/>
      <c r="K35" s="131">
        <v>8442</v>
      </c>
      <c r="L35" s="145">
        <v>67</v>
      </c>
      <c r="M35" s="133">
        <v>0.5</v>
      </c>
    </row>
    <row r="36" spans="1:22" x14ac:dyDescent="0.2">
      <c r="A36" s="533" t="s">
        <v>1519</v>
      </c>
      <c r="B36" s="131">
        <v>464991</v>
      </c>
      <c r="C36" s="145">
        <v>80</v>
      </c>
      <c r="D36" s="307"/>
      <c r="E36" s="131">
        <v>232304</v>
      </c>
      <c r="F36" s="145">
        <v>80</v>
      </c>
      <c r="G36" s="307"/>
      <c r="H36" s="131">
        <v>191721</v>
      </c>
      <c r="I36" s="145">
        <v>10</v>
      </c>
      <c r="J36" s="307"/>
      <c r="K36" s="131">
        <v>246997</v>
      </c>
      <c r="L36" s="145">
        <v>45</v>
      </c>
      <c r="M36" s="133"/>
    </row>
    <row r="37" spans="1:22" x14ac:dyDescent="0.2">
      <c r="A37" s="785" t="s">
        <v>4277</v>
      </c>
      <c r="B37" s="240">
        <v>4025112</v>
      </c>
      <c r="C37" s="318">
        <v>15</v>
      </c>
      <c r="D37" s="513"/>
      <c r="E37" s="240">
        <v>3992424</v>
      </c>
      <c r="F37" s="318">
        <v>35</v>
      </c>
      <c r="G37" s="513"/>
      <c r="H37" s="240">
        <v>3488218</v>
      </c>
      <c r="I37" s="318">
        <v>35</v>
      </c>
      <c r="J37" s="513"/>
      <c r="K37" s="240">
        <v>4292835</v>
      </c>
      <c r="L37" s="318">
        <v>22</v>
      </c>
      <c r="M37" s="133">
        <v>0.5</v>
      </c>
    </row>
    <row r="38" spans="1:22" x14ac:dyDescent="0.2">
      <c r="B38" s="393">
        <f>+SUM(B29:B36)</f>
        <v>4025109</v>
      </c>
      <c r="C38" s="393">
        <f t="shared" ref="C38:M38" si="0">+SUM(C29:C36)</f>
        <v>315</v>
      </c>
      <c r="D38" s="393">
        <f t="shared" si="0"/>
        <v>0</v>
      </c>
      <c r="E38" s="393">
        <f t="shared" si="0"/>
        <v>3992420</v>
      </c>
      <c r="F38" s="393">
        <f t="shared" si="0"/>
        <v>435</v>
      </c>
      <c r="G38" s="393">
        <f t="shared" si="0"/>
        <v>0</v>
      </c>
      <c r="H38" s="393">
        <f t="shared" si="0"/>
        <v>3488215</v>
      </c>
      <c r="I38" s="393">
        <f t="shared" si="0"/>
        <v>335</v>
      </c>
      <c r="J38" s="393">
        <f t="shared" si="0"/>
        <v>0</v>
      </c>
      <c r="K38" s="393">
        <f t="shared" si="0"/>
        <v>4292831</v>
      </c>
      <c r="L38" s="393">
        <f t="shared" si="0"/>
        <v>422</v>
      </c>
      <c r="M38" s="1158">
        <f t="shared" si="0"/>
        <v>0.5</v>
      </c>
    </row>
    <row r="41" spans="1:22" x14ac:dyDescent="0.2">
      <c r="A41" s="526" t="s">
        <v>1853</v>
      </c>
    </row>
    <row r="42" spans="1:22" ht="20" customHeight="1" x14ac:dyDescent="0.2">
      <c r="A42" s="613" t="s">
        <v>1882</v>
      </c>
      <c r="B42" s="614"/>
      <c r="C42" s="614"/>
      <c r="D42" s="614"/>
      <c r="E42" s="614"/>
      <c r="F42" s="614"/>
      <c r="G42" s="614"/>
      <c r="H42" s="614"/>
      <c r="I42" s="614"/>
      <c r="J42" s="614"/>
      <c r="K42" s="614"/>
      <c r="L42" s="614"/>
      <c r="M42" s="614"/>
      <c r="N42" s="614"/>
      <c r="O42" s="614"/>
      <c r="P42" s="614"/>
      <c r="Q42" s="614"/>
      <c r="R42" s="614"/>
      <c r="S42" s="614"/>
      <c r="T42" s="614"/>
      <c r="U42" s="614"/>
      <c r="V42" s="615"/>
    </row>
    <row r="43" spans="1:22" x14ac:dyDescent="0.2">
      <c r="A43" s="861" t="s">
        <v>4278</v>
      </c>
      <c r="B43" s="862"/>
      <c r="C43" s="862"/>
      <c r="D43" s="862"/>
      <c r="E43" s="862"/>
      <c r="F43" s="862"/>
      <c r="G43" s="862"/>
      <c r="H43" s="862"/>
      <c r="I43" s="862"/>
      <c r="J43" s="862"/>
      <c r="K43" s="862"/>
      <c r="L43" s="862"/>
      <c r="M43" s="862"/>
      <c r="N43" s="862"/>
      <c r="O43" s="862"/>
      <c r="P43" s="862"/>
      <c r="Q43" s="862"/>
      <c r="R43" s="862"/>
      <c r="S43" s="862"/>
      <c r="T43" s="862"/>
      <c r="U43" s="862"/>
      <c r="V43" s="863"/>
    </row>
    <row r="44" spans="1:22" x14ac:dyDescent="0.2">
      <c r="A44" s="838" t="s">
        <v>1227</v>
      </c>
      <c r="B44" s="977" t="s">
        <v>4120</v>
      </c>
      <c r="C44" s="977"/>
      <c r="D44" s="977"/>
      <c r="E44" s="486" t="s">
        <v>4279</v>
      </c>
      <c r="F44" s="838"/>
      <c r="G44" s="838"/>
      <c r="H44" s="838"/>
      <c r="I44" s="838"/>
      <c r="J44" s="838"/>
      <c r="K44" s="838" t="s">
        <v>4125</v>
      </c>
      <c r="L44" s="838"/>
      <c r="M44" s="838"/>
      <c r="N44" s="838"/>
      <c r="O44" s="838"/>
      <c r="P44" s="838"/>
      <c r="Q44" s="967" t="s">
        <v>4280</v>
      </c>
      <c r="R44" s="967"/>
      <c r="S44" s="967"/>
      <c r="T44" s="967" t="s">
        <v>3276</v>
      </c>
      <c r="U44" s="967"/>
      <c r="V44" s="967"/>
    </row>
    <row r="45" spans="1:22" x14ac:dyDescent="0.2">
      <c r="A45" s="838"/>
      <c r="B45" s="977"/>
      <c r="C45" s="977"/>
      <c r="D45" s="977"/>
      <c r="E45" s="1054" t="s">
        <v>4281</v>
      </c>
      <c r="F45" s="1036"/>
      <c r="G45" s="1036"/>
      <c r="H45" s="1036" t="s">
        <v>4282</v>
      </c>
      <c r="I45" s="1036"/>
      <c r="J45" s="1036"/>
      <c r="K45" s="1036" t="s">
        <v>4281</v>
      </c>
      <c r="L45" s="1036"/>
      <c r="M45" s="1036"/>
      <c r="N45" s="1036" t="s">
        <v>4282</v>
      </c>
      <c r="O45" s="1036"/>
      <c r="P45" s="1036"/>
      <c r="Q45" s="967"/>
      <c r="R45" s="967"/>
      <c r="S45" s="967"/>
      <c r="T45" s="967"/>
      <c r="U45" s="967"/>
      <c r="V45" s="967"/>
    </row>
    <row r="46" spans="1:22" x14ac:dyDescent="0.2">
      <c r="A46" s="533" t="s">
        <v>1526</v>
      </c>
      <c r="B46" s="131">
        <v>752</v>
      </c>
      <c r="C46" s="145"/>
      <c r="D46" s="307"/>
      <c r="E46" s="131">
        <v>6318</v>
      </c>
      <c r="F46" s="145">
        <v>10</v>
      </c>
      <c r="G46" s="307"/>
      <c r="H46" s="131">
        <v>4620</v>
      </c>
      <c r="I46" s="145">
        <v>40</v>
      </c>
      <c r="J46" s="307"/>
      <c r="K46" s="131">
        <v>9965</v>
      </c>
      <c r="L46" s="145">
        <v>25</v>
      </c>
      <c r="M46" s="307"/>
      <c r="N46" s="131">
        <v>7436</v>
      </c>
      <c r="O46" s="145"/>
      <c r="P46" s="307"/>
      <c r="Q46" s="131">
        <v>12256</v>
      </c>
      <c r="R46" s="145">
        <v>60</v>
      </c>
      <c r="S46" s="307"/>
      <c r="T46" s="131">
        <v>41348</v>
      </c>
      <c r="U46" s="145">
        <v>35</v>
      </c>
      <c r="V46" s="307"/>
    </row>
    <row r="47" spans="1:22" x14ac:dyDescent="0.2">
      <c r="A47" s="533" t="s">
        <v>1373</v>
      </c>
      <c r="B47" s="131">
        <v>491</v>
      </c>
      <c r="C47" s="145">
        <v>45</v>
      </c>
      <c r="D47" s="307"/>
      <c r="E47" s="131">
        <v>7861</v>
      </c>
      <c r="F47" s="145">
        <v>5</v>
      </c>
      <c r="G47" s="307"/>
      <c r="H47" s="131">
        <v>686</v>
      </c>
      <c r="I47" s="145">
        <v>45</v>
      </c>
      <c r="J47" s="307"/>
      <c r="K47" s="131">
        <v>16946</v>
      </c>
      <c r="L47" s="145">
        <v>40</v>
      </c>
      <c r="M47" s="307"/>
      <c r="N47" s="131">
        <v>1493</v>
      </c>
      <c r="O47" s="145">
        <v>40</v>
      </c>
      <c r="P47" s="307"/>
      <c r="Q47" s="131">
        <v>283</v>
      </c>
      <c r="R47" s="145">
        <v>90</v>
      </c>
      <c r="S47" s="307"/>
      <c r="T47" s="131">
        <v>27762</v>
      </c>
      <c r="U47" s="145">
        <v>75</v>
      </c>
      <c r="V47" s="307"/>
    </row>
    <row r="48" spans="1:22" x14ac:dyDescent="0.2">
      <c r="A48" s="533" t="s">
        <v>3668</v>
      </c>
      <c r="B48" s="131">
        <v>821</v>
      </c>
      <c r="C48" s="145">
        <v>30</v>
      </c>
      <c r="D48" s="307"/>
      <c r="E48" s="131">
        <v>17408</v>
      </c>
      <c r="F48" s="145">
        <v>55</v>
      </c>
      <c r="G48" s="307"/>
      <c r="H48" s="131">
        <v>24807</v>
      </c>
      <c r="I48" s="145">
        <v>10</v>
      </c>
      <c r="J48" s="307"/>
      <c r="K48" s="131">
        <v>25276</v>
      </c>
      <c r="L48" s="145">
        <v>35</v>
      </c>
      <c r="M48" s="307"/>
      <c r="N48" s="131">
        <v>4224</v>
      </c>
      <c r="O48" s="145">
        <v>20</v>
      </c>
      <c r="P48" s="307"/>
      <c r="Q48" s="131">
        <v>2055</v>
      </c>
      <c r="R48" s="145">
        <v>45</v>
      </c>
      <c r="S48" s="307"/>
      <c r="T48" s="131">
        <v>74592</v>
      </c>
      <c r="U48" s="145">
        <v>85</v>
      </c>
      <c r="V48" s="307"/>
    </row>
    <row r="49" spans="1:22" x14ac:dyDescent="0.2">
      <c r="A49" s="533" t="s">
        <v>1369</v>
      </c>
      <c r="B49" s="131">
        <v>10221</v>
      </c>
      <c r="C49" s="145">
        <v>95</v>
      </c>
      <c r="D49" s="307"/>
      <c r="E49" s="131">
        <v>13326</v>
      </c>
      <c r="F49" s="145">
        <v>35</v>
      </c>
      <c r="G49" s="307"/>
      <c r="H49" s="131">
        <v>5535</v>
      </c>
      <c r="I49" s="145">
        <v>90</v>
      </c>
      <c r="J49" s="307"/>
      <c r="K49" s="131">
        <v>35336</v>
      </c>
      <c r="L49" s="145">
        <v>60</v>
      </c>
      <c r="M49" s="307"/>
      <c r="N49" s="131">
        <v>6812</v>
      </c>
      <c r="O49" s="145">
        <v>85</v>
      </c>
      <c r="P49" s="307"/>
      <c r="Q49" s="131">
        <v>3315</v>
      </c>
      <c r="R49" s="145">
        <v>20</v>
      </c>
      <c r="S49" s="307"/>
      <c r="T49" s="131">
        <v>74548</v>
      </c>
      <c r="U49" s="145">
        <v>85</v>
      </c>
      <c r="V49" s="307"/>
    </row>
    <row r="50" spans="1:22" x14ac:dyDescent="0.2">
      <c r="A50" s="533" t="s">
        <v>1517</v>
      </c>
      <c r="B50" s="131">
        <v>2823</v>
      </c>
      <c r="C50" s="145"/>
      <c r="D50" s="307"/>
      <c r="E50" s="131">
        <v>6826</v>
      </c>
      <c r="F50" s="145">
        <v>10</v>
      </c>
      <c r="G50" s="307"/>
      <c r="H50" s="131">
        <v>4941</v>
      </c>
      <c r="I50" s="145">
        <v>80</v>
      </c>
      <c r="J50" s="307"/>
      <c r="K50" s="131">
        <v>16891</v>
      </c>
      <c r="L50" s="145">
        <v>80</v>
      </c>
      <c r="M50" s="307"/>
      <c r="N50" s="131">
        <v>9301</v>
      </c>
      <c r="O50" s="145">
        <v>50</v>
      </c>
      <c r="P50" s="307"/>
      <c r="Q50" s="131">
        <v>266</v>
      </c>
      <c r="R50" s="145">
        <v>55</v>
      </c>
      <c r="S50" s="307"/>
      <c r="T50" s="131">
        <v>41050</v>
      </c>
      <c r="U50" s="145">
        <v>75</v>
      </c>
      <c r="V50" s="307"/>
    </row>
    <row r="51" spans="1:22" x14ac:dyDescent="0.2">
      <c r="A51" s="533" t="s">
        <v>1527</v>
      </c>
      <c r="B51" s="131">
        <v>579</v>
      </c>
      <c r="C51" s="145">
        <v>80</v>
      </c>
      <c r="D51" s="307"/>
      <c r="E51" s="131">
        <v>3696</v>
      </c>
      <c r="F51" s="145">
        <v>55</v>
      </c>
      <c r="G51" s="307"/>
      <c r="H51" s="131">
        <v>1222</v>
      </c>
      <c r="I51" s="145">
        <v>65</v>
      </c>
      <c r="J51" s="307"/>
      <c r="K51" s="131">
        <v>8066</v>
      </c>
      <c r="L51" s="145">
        <v>90</v>
      </c>
      <c r="M51" s="307"/>
      <c r="N51" s="131">
        <v>1114</v>
      </c>
      <c r="O51" s="145">
        <v>10</v>
      </c>
      <c r="P51" s="307"/>
      <c r="Q51" s="131">
        <v>951</v>
      </c>
      <c r="R51" s="145">
        <v>45</v>
      </c>
      <c r="S51" s="307"/>
      <c r="T51" s="131">
        <v>15631</v>
      </c>
      <c r="U51" s="145">
        <v>45</v>
      </c>
      <c r="V51" s="307"/>
    </row>
    <row r="52" spans="1:22" x14ac:dyDescent="0.2">
      <c r="A52" s="533" t="s">
        <v>4283</v>
      </c>
      <c r="B52" s="131">
        <v>247</v>
      </c>
      <c r="C52" s="145">
        <v>30</v>
      </c>
      <c r="D52" s="307"/>
      <c r="E52" s="131">
        <v>2334</v>
      </c>
      <c r="F52" s="145">
        <v>90</v>
      </c>
      <c r="G52" s="307"/>
      <c r="H52" s="131">
        <v>146</v>
      </c>
      <c r="I52" s="145">
        <v>25</v>
      </c>
      <c r="J52" s="307"/>
      <c r="K52" s="131">
        <v>9470</v>
      </c>
      <c r="L52" s="145">
        <v>90</v>
      </c>
      <c r="M52" s="307"/>
      <c r="N52" s="131">
        <v>557</v>
      </c>
      <c r="O52" s="145">
        <v>52</v>
      </c>
      <c r="P52" s="133">
        <v>0.5</v>
      </c>
      <c r="Q52" s="131"/>
      <c r="R52" s="145"/>
      <c r="S52" s="307"/>
      <c r="T52" s="131">
        <v>12756</v>
      </c>
      <c r="U52" s="145">
        <v>87</v>
      </c>
      <c r="V52" s="133">
        <v>0.5</v>
      </c>
    </row>
    <row r="53" spans="1:22" x14ac:dyDescent="0.2">
      <c r="A53" s="533" t="s">
        <v>1519</v>
      </c>
      <c r="B53" s="131">
        <v>2249</v>
      </c>
      <c r="C53" s="145"/>
      <c r="D53" s="307"/>
      <c r="E53" s="131">
        <v>6746</v>
      </c>
      <c r="F53" s="145">
        <v>60</v>
      </c>
      <c r="G53" s="307"/>
      <c r="H53" s="131">
        <v>5118</v>
      </c>
      <c r="I53" s="145">
        <v>20</v>
      </c>
      <c r="J53" s="307"/>
      <c r="K53" s="131">
        <v>9884</v>
      </c>
      <c r="L53" s="145">
        <v>95</v>
      </c>
      <c r="M53" s="307"/>
      <c r="N53" s="131">
        <v>6791</v>
      </c>
      <c r="O53" s="145">
        <v>25</v>
      </c>
      <c r="P53" s="133"/>
      <c r="Q53" s="131">
        <v>1226</v>
      </c>
      <c r="R53" s="145">
        <v>60</v>
      </c>
      <c r="S53" s="307"/>
      <c r="T53" s="131">
        <v>32016</v>
      </c>
      <c r="U53" s="145">
        <v>60</v>
      </c>
      <c r="V53" s="133"/>
    </row>
    <row r="54" spans="1:22" x14ac:dyDescent="0.2">
      <c r="A54" s="785" t="s">
        <v>4277</v>
      </c>
      <c r="B54" s="240">
        <v>18185</v>
      </c>
      <c r="C54" s="318">
        <v>80</v>
      </c>
      <c r="D54" s="513"/>
      <c r="E54" s="240">
        <v>64518</v>
      </c>
      <c r="F54" s="318">
        <v>20</v>
      </c>
      <c r="G54" s="513"/>
      <c r="H54" s="240">
        <v>47078</v>
      </c>
      <c r="I54" s="318">
        <v>75</v>
      </c>
      <c r="J54" s="513"/>
      <c r="K54" s="240">
        <v>131839</v>
      </c>
      <c r="L54" s="318">
        <v>15</v>
      </c>
      <c r="M54" s="513"/>
      <c r="N54" s="240">
        <v>37730</v>
      </c>
      <c r="O54" s="318">
        <v>82</v>
      </c>
      <c r="P54" s="133">
        <v>0.5</v>
      </c>
      <c r="Q54" s="240">
        <v>20355</v>
      </c>
      <c r="R54" s="318">
        <v>75</v>
      </c>
      <c r="S54" s="513"/>
      <c r="T54" s="240">
        <v>319708</v>
      </c>
      <c r="U54" s="318">
        <v>47</v>
      </c>
      <c r="V54" s="133">
        <v>0.5</v>
      </c>
    </row>
    <row r="55" spans="1:22" x14ac:dyDescent="0.2">
      <c r="B55" s="393">
        <f>+SUM(B46:B53)</f>
        <v>18183</v>
      </c>
      <c r="C55" s="393">
        <f t="shared" ref="C55:V55" si="1">+SUM(C46:C53)</f>
        <v>280</v>
      </c>
      <c r="D55" s="393">
        <f t="shared" si="1"/>
        <v>0</v>
      </c>
      <c r="E55" s="393">
        <f t="shared" si="1"/>
        <v>64515</v>
      </c>
      <c r="F55" s="393">
        <f t="shared" si="1"/>
        <v>320</v>
      </c>
      <c r="G55" s="393">
        <f t="shared" si="1"/>
        <v>0</v>
      </c>
      <c r="H55" s="393">
        <f t="shared" si="1"/>
        <v>47075</v>
      </c>
      <c r="I55" s="393">
        <f t="shared" si="1"/>
        <v>375</v>
      </c>
      <c r="J55" s="393">
        <f t="shared" si="1"/>
        <v>0</v>
      </c>
      <c r="K55" s="393">
        <f t="shared" si="1"/>
        <v>131834</v>
      </c>
      <c r="L55" s="393">
        <f t="shared" si="1"/>
        <v>515</v>
      </c>
      <c r="M55" s="393">
        <f t="shared" si="1"/>
        <v>0</v>
      </c>
      <c r="N55" s="393">
        <f t="shared" si="1"/>
        <v>37728</v>
      </c>
      <c r="O55" s="393">
        <f t="shared" si="1"/>
        <v>282</v>
      </c>
      <c r="P55" s="1158">
        <f t="shared" si="1"/>
        <v>0.5</v>
      </c>
      <c r="Q55" s="393">
        <f t="shared" si="1"/>
        <v>20352</v>
      </c>
      <c r="R55" s="393">
        <f t="shared" si="1"/>
        <v>375</v>
      </c>
      <c r="S55" s="393">
        <f t="shared" si="1"/>
        <v>0</v>
      </c>
      <c r="T55" s="393">
        <f t="shared" si="1"/>
        <v>319703</v>
      </c>
      <c r="U55" s="393">
        <f t="shared" si="1"/>
        <v>547</v>
      </c>
      <c r="V55" s="1158">
        <f t="shared" si="1"/>
        <v>0.5</v>
      </c>
    </row>
    <row r="58" spans="1:22" x14ac:dyDescent="0.2">
      <c r="A58" s="526" t="s">
        <v>1587</v>
      </c>
    </row>
    <row r="59" spans="1:22" ht="24.5" customHeight="1" x14ac:dyDescent="0.2">
      <c r="A59" s="613" t="s">
        <v>4284</v>
      </c>
      <c r="B59" s="614"/>
      <c r="C59" s="614"/>
      <c r="D59" s="614"/>
      <c r="E59" s="614"/>
      <c r="F59" s="614"/>
      <c r="G59" s="614"/>
      <c r="H59" s="614"/>
      <c r="I59" s="614"/>
      <c r="J59" s="614"/>
      <c r="K59" s="614"/>
      <c r="L59" s="614"/>
      <c r="M59" s="614"/>
      <c r="N59" s="614"/>
      <c r="O59" s="614"/>
      <c r="P59" s="614"/>
      <c r="Q59" s="614"/>
      <c r="R59" s="614"/>
      <c r="S59" s="614"/>
      <c r="T59" s="614"/>
      <c r="U59" s="614"/>
      <c r="V59" s="615"/>
    </row>
    <row r="60" spans="1:22" x14ac:dyDescent="0.2">
      <c r="A60" s="838" t="s">
        <v>1227</v>
      </c>
      <c r="B60" s="977" t="s">
        <v>4120</v>
      </c>
      <c r="C60" s="977"/>
      <c r="D60" s="977"/>
      <c r="E60" s="486" t="s">
        <v>4279</v>
      </c>
      <c r="F60" s="838"/>
      <c r="G60" s="838"/>
      <c r="H60" s="838"/>
      <c r="I60" s="838"/>
      <c r="J60" s="838"/>
      <c r="K60" s="838" t="s">
        <v>4125</v>
      </c>
      <c r="L60" s="838"/>
      <c r="M60" s="838"/>
      <c r="N60" s="838"/>
      <c r="O60" s="838"/>
      <c r="P60" s="838"/>
      <c r="Q60" s="967" t="s">
        <v>4280</v>
      </c>
      <c r="R60" s="967"/>
      <c r="S60" s="967"/>
      <c r="T60" s="967" t="s">
        <v>3276</v>
      </c>
      <c r="U60" s="967"/>
      <c r="V60" s="967"/>
    </row>
    <row r="61" spans="1:22" x14ac:dyDescent="0.2">
      <c r="A61" s="838"/>
      <c r="B61" s="977"/>
      <c r="C61" s="977"/>
      <c r="D61" s="977"/>
      <c r="E61" s="1054" t="s">
        <v>4281</v>
      </c>
      <c r="F61" s="1036"/>
      <c r="G61" s="1036"/>
      <c r="H61" s="1036" t="s">
        <v>4282</v>
      </c>
      <c r="I61" s="1036"/>
      <c r="J61" s="1036"/>
      <c r="K61" s="1036" t="s">
        <v>4281</v>
      </c>
      <c r="L61" s="1036"/>
      <c r="M61" s="1036"/>
      <c r="N61" s="1036" t="s">
        <v>4282</v>
      </c>
      <c r="O61" s="1036"/>
      <c r="P61" s="1036"/>
      <c r="Q61" s="967"/>
      <c r="R61" s="967"/>
      <c r="S61" s="967"/>
      <c r="T61" s="967"/>
      <c r="U61" s="967"/>
      <c r="V61" s="967"/>
    </row>
    <row r="62" spans="1:22" x14ac:dyDescent="0.2">
      <c r="A62" s="1206"/>
      <c r="B62" s="950" t="s">
        <v>3373</v>
      </c>
      <c r="C62" s="977" t="s">
        <v>3374</v>
      </c>
      <c r="D62" s="977"/>
      <c r="E62" s="950" t="s">
        <v>3373</v>
      </c>
      <c r="F62" s="977" t="s">
        <v>3374</v>
      </c>
      <c r="G62" s="977"/>
      <c r="H62" s="950" t="s">
        <v>3373</v>
      </c>
      <c r="I62" s="977" t="s">
        <v>3374</v>
      </c>
      <c r="J62" s="977"/>
      <c r="K62" s="950" t="s">
        <v>3373</v>
      </c>
      <c r="L62" s="977" t="s">
        <v>3374</v>
      </c>
      <c r="M62" s="977"/>
      <c r="N62" s="950" t="s">
        <v>3373</v>
      </c>
      <c r="O62" s="977" t="s">
        <v>3374</v>
      </c>
      <c r="P62" s="977"/>
      <c r="Q62" s="950" t="s">
        <v>3373</v>
      </c>
      <c r="R62" s="977" t="s">
        <v>3374</v>
      </c>
      <c r="S62" s="977"/>
      <c r="T62" s="950" t="s">
        <v>3373</v>
      </c>
      <c r="U62" s="977" t="s">
        <v>3374</v>
      </c>
      <c r="V62" s="977"/>
    </row>
    <row r="63" spans="1:22" x14ac:dyDescent="0.2">
      <c r="A63" s="1206" t="s">
        <v>4285</v>
      </c>
      <c r="B63" s="1207"/>
      <c r="C63" s="1208"/>
      <c r="D63" s="1209"/>
      <c r="E63" s="1207"/>
      <c r="F63" s="1208"/>
      <c r="G63" s="1209"/>
      <c r="H63" s="1207"/>
      <c r="I63" s="1208"/>
      <c r="J63" s="1209"/>
      <c r="K63" s="1207"/>
      <c r="L63" s="1208"/>
      <c r="M63" s="1209"/>
      <c r="N63" s="1207"/>
      <c r="O63" s="1208"/>
      <c r="P63" s="1209"/>
      <c r="Q63" s="1207"/>
      <c r="R63" s="1208"/>
      <c r="S63" s="1209"/>
      <c r="T63" s="131">
        <v>53788</v>
      </c>
      <c r="U63" s="1208"/>
      <c r="V63" s="1209"/>
    </row>
    <row r="64" spans="1:22" x14ac:dyDescent="0.2">
      <c r="A64" s="1206" t="s">
        <v>4286</v>
      </c>
      <c r="B64" s="131">
        <v>3085</v>
      </c>
      <c r="C64" s="145">
        <v>20</v>
      </c>
      <c r="D64" s="133"/>
      <c r="E64" s="131">
        <v>31945</v>
      </c>
      <c r="F64" s="145">
        <v>43</v>
      </c>
      <c r="G64" s="133">
        <v>0.75</v>
      </c>
      <c r="H64" s="131"/>
      <c r="I64" s="145"/>
      <c r="J64" s="133"/>
      <c r="K64" s="131">
        <v>50763</v>
      </c>
      <c r="L64" s="145"/>
      <c r="M64" s="133">
        <v>0.25</v>
      </c>
      <c r="N64" s="131"/>
      <c r="O64" s="145"/>
      <c r="P64" s="133"/>
      <c r="Q64" s="131">
        <v>1094</v>
      </c>
      <c r="R64" s="145">
        <v>57</v>
      </c>
      <c r="S64" s="133"/>
      <c r="T64" s="131">
        <v>86888</v>
      </c>
      <c r="U64" s="145">
        <v>21</v>
      </c>
      <c r="V64" s="133"/>
    </row>
    <row r="65" spans="1:22" x14ac:dyDescent="0.2">
      <c r="A65" s="1206" t="s">
        <v>4287</v>
      </c>
      <c r="B65" s="131">
        <v>4808</v>
      </c>
      <c r="C65" s="145">
        <v>94</v>
      </c>
      <c r="D65" s="133">
        <v>0.5</v>
      </c>
      <c r="E65" s="131">
        <v>112330</v>
      </c>
      <c r="F65" s="145">
        <v>88</v>
      </c>
      <c r="G65" s="133"/>
      <c r="H65" s="131"/>
      <c r="I65" s="145"/>
      <c r="J65" s="133"/>
      <c r="K65" s="131"/>
      <c r="L65" s="145"/>
      <c r="M65" s="133"/>
      <c r="N65" s="131"/>
      <c r="O65" s="145"/>
      <c r="P65" s="133"/>
      <c r="Q65" s="131">
        <v>10953</v>
      </c>
      <c r="R65" s="145">
        <v>20</v>
      </c>
      <c r="S65" s="133">
        <v>0.5</v>
      </c>
      <c r="T65" s="131">
        <v>128093</v>
      </c>
      <c r="U65" s="145">
        <v>3</v>
      </c>
      <c r="V65" s="133"/>
    </row>
    <row r="66" spans="1:22" x14ac:dyDescent="0.2">
      <c r="A66" s="1206" t="s">
        <v>2589</v>
      </c>
      <c r="B66" s="131">
        <v>5385</v>
      </c>
      <c r="C66" s="145">
        <v>30</v>
      </c>
      <c r="D66" s="133">
        <v>0.5</v>
      </c>
      <c r="E66" s="131">
        <v>110894</v>
      </c>
      <c r="F66" s="145">
        <v>1</v>
      </c>
      <c r="G66" s="133"/>
      <c r="H66" s="131"/>
      <c r="I66" s="145"/>
      <c r="J66" s="133"/>
      <c r="K66" s="131"/>
      <c r="L66" s="145"/>
      <c r="M66" s="133"/>
      <c r="N66" s="131"/>
      <c r="O66" s="145"/>
      <c r="P66" s="133"/>
      <c r="Q66" s="131">
        <v>13775</v>
      </c>
      <c r="R66" s="145">
        <v>47</v>
      </c>
      <c r="S66" s="133"/>
      <c r="T66" s="131">
        <v>130054</v>
      </c>
      <c r="U66" s="145">
        <v>78</v>
      </c>
      <c r="V66" s="133">
        <v>0.5</v>
      </c>
    </row>
    <row r="67" spans="1:22" x14ac:dyDescent="0.2">
      <c r="A67" s="1206" t="s">
        <v>2590</v>
      </c>
      <c r="B67" s="131">
        <v>5279</v>
      </c>
      <c r="C67" s="145">
        <v>50</v>
      </c>
      <c r="D67" s="133"/>
      <c r="E67" s="131">
        <v>35447</v>
      </c>
      <c r="F67" s="145">
        <v>60</v>
      </c>
      <c r="G67" s="133">
        <v>0.5</v>
      </c>
      <c r="H67" s="131">
        <v>9461</v>
      </c>
      <c r="I67" s="145">
        <v>46</v>
      </c>
      <c r="J67" s="133"/>
      <c r="K67" s="131">
        <v>54211</v>
      </c>
      <c r="L67" s="145">
        <v>24</v>
      </c>
      <c r="M67" s="133">
        <v>0.5</v>
      </c>
      <c r="N67" s="131">
        <v>13244</v>
      </c>
      <c r="O67" s="145">
        <v>77</v>
      </c>
      <c r="P67" s="133"/>
      <c r="Q67" s="131">
        <v>3468</v>
      </c>
      <c r="R67" s="145">
        <v>95</v>
      </c>
      <c r="S67" s="133"/>
      <c r="T67" s="131">
        <v>121113</v>
      </c>
      <c r="U67" s="145">
        <v>58</v>
      </c>
      <c r="V67" s="133"/>
    </row>
    <row r="68" spans="1:22" x14ac:dyDescent="0.2">
      <c r="A68" s="1206" t="s">
        <v>2591</v>
      </c>
      <c r="B68" s="131">
        <v>7467</v>
      </c>
      <c r="C68" s="145">
        <v>85</v>
      </c>
      <c r="D68" s="133"/>
      <c r="E68" s="131">
        <v>36790</v>
      </c>
      <c r="F68" s="145">
        <v>94</v>
      </c>
      <c r="G68" s="133"/>
      <c r="H68" s="131">
        <v>13065</v>
      </c>
      <c r="I68" s="145">
        <v>18</v>
      </c>
      <c r="J68" s="133">
        <v>0.75</v>
      </c>
      <c r="K68" s="131">
        <v>56197</v>
      </c>
      <c r="L68" s="145">
        <v>34</v>
      </c>
      <c r="M68" s="133"/>
      <c r="N68" s="131">
        <v>17933</v>
      </c>
      <c r="O68" s="145">
        <v>64</v>
      </c>
      <c r="P68" s="133"/>
      <c r="Q68" s="131">
        <v>2967</v>
      </c>
      <c r="R68" s="145">
        <v>66</v>
      </c>
      <c r="S68" s="133"/>
      <c r="T68" s="131">
        <v>134422</v>
      </c>
      <c r="U68" s="145">
        <v>61</v>
      </c>
      <c r="V68" s="133">
        <v>0.75</v>
      </c>
    </row>
    <row r="69" spans="1:22" x14ac:dyDescent="0.2">
      <c r="A69" s="1206" t="s">
        <v>2592</v>
      </c>
      <c r="B69" s="131">
        <v>5245</v>
      </c>
      <c r="C69" s="145">
        <v>85</v>
      </c>
      <c r="D69" s="133"/>
      <c r="E69" s="131">
        <v>35883</v>
      </c>
      <c r="F69" s="145">
        <v>82</v>
      </c>
      <c r="G69" s="133">
        <v>0.5</v>
      </c>
      <c r="H69" s="131">
        <v>17920</v>
      </c>
      <c r="I69" s="145">
        <v>82</v>
      </c>
      <c r="J69" s="133">
        <v>0.5</v>
      </c>
      <c r="K69" s="131">
        <v>59739</v>
      </c>
      <c r="L69" s="145">
        <v>94</v>
      </c>
      <c r="M69" s="133"/>
      <c r="N69" s="131">
        <v>24327</v>
      </c>
      <c r="O69" s="145">
        <v>24</v>
      </c>
      <c r="P69" s="133">
        <v>0.5</v>
      </c>
      <c r="Q69" s="131">
        <v>6493</v>
      </c>
      <c r="R69" s="145">
        <v>73</v>
      </c>
      <c r="S69" s="133"/>
      <c r="T69" s="131">
        <v>149611</v>
      </c>
      <c r="U69" s="145">
        <v>41</v>
      </c>
      <c r="V69" s="133">
        <v>0.25</v>
      </c>
    </row>
    <row r="70" spans="1:22" x14ac:dyDescent="0.2">
      <c r="A70" s="1206" t="s">
        <v>4135</v>
      </c>
      <c r="B70" s="131">
        <v>4544</v>
      </c>
      <c r="C70" s="145">
        <v>70</v>
      </c>
      <c r="D70" s="133"/>
      <c r="E70" s="131">
        <v>33349</v>
      </c>
      <c r="F70" s="145">
        <v>29</v>
      </c>
      <c r="G70" s="133"/>
      <c r="H70" s="131">
        <v>15675</v>
      </c>
      <c r="I70" s="145">
        <v>69</v>
      </c>
      <c r="J70" s="133">
        <v>0.5</v>
      </c>
      <c r="K70" s="131">
        <v>58279</v>
      </c>
      <c r="L70" s="145">
        <v>31</v>
      </c>
      <c r="M70" s="133"/>
      <c r="N70" s="131">
        <v>23496</v>
      </c>
      <c r="O70" s="145">
        <v>57</v>
      </c>
      <c r="P70" s="133"/>
      <c r="Q70" s="131">
        <v>8639</v>
      </c>
      <c r="R70" s="145">
        <v>7</v>
      </c>
      <c r="S70" s="133">
        <v>0.5</v>
      </c>
      <c r="T70" s="131">
        <v>143985</v>
      </c>
      <c r="U70" s="145">
        <v>28</v>
      </c>
      <c r="V70" s="133"/>
    </row>
    <row r="71" spans="1:22" x14ac:dyDescent="0.2">
      <c r="A71" s="1206" t="s">
        <v>4136</v>
      </c>
      <c r="B71" s="131">
        <v>5353</v>
      </c>
      <c r="C71" s="145">
        <v>30</v>
      </c>
      <c r="D71" s="133"/>
      <c r="E71" s="131">
        <v>25251</v>
      </c>
      <c r="F71" s="145">
        <v>10</v>
      </c>
      <c r="G71" s="133"/>
      <c r="H71" s="131">
        <v>15410</v>
      </c>
      <c r="I71" s="145">
        <v>67</v>
      </c>
      <c r="J71" s="133">
        <v>0.5</v>
      </c>
      <c r="K71" s="131">
        <v>59561</v>
      </c>
      <c r="L71" s="145">
        <v>74</v>
      </c>
      <c r="M71" s="133"/>
      <c r="N71" s="131">
        <v>22892</v>
      </c>
      <c r="O71" s="145">
        <v>95</v>
      </c>
      <c r="P71" s="133">
        <v>0.5</v>
      </c>
      <c r="Q71" s="131">
        <v>9933</v>
      </c>
      <c r="R71" s="145">
        <v>2</v>
      </c>
      <c r="S71" s="133">
        <v>0.5</v>
      </c>
      <c r="T71" s="131">
        <v>148402</v>
      </c>
      <c r="U71" s="145">
        <v>79</v>
      </c>
      <c r="V71" s="133">
        <v>0.5</v>
      </c>
    </row>
    <row r="72" spans="1:22" x14ac:dyDescent="0.2">
      <c r="A72" s="1206" t="s">
        <v>4137</v>
      </c>
      <c r="B72" s="131">
        <v>6332</v>
      </c>
      <c r="C72" s="145">
        <v>65</v>
      </c>
      <c r="D72" s="133"/>
      <c r="E72" s="131">
        <v>41240</v>
      </c>
      <c r="F72" s="145">
        <v>70</v>
      </c>
      <c r="G72" s="133"/>
      <c r="H72" s="131">
        <v>22930</v>
      </c>
      <c r="I72" s="145">
        <v>61</v>
      </c>
      <c r="J72" s="133"/>
      <c r="K72" s="131">
        <v>63320</v>
      </c>
      <c r="L72" s="145">
        <v>52</v>
      </c>
      <c r="M72" s="133">
        <v>0.5</v>
      </c>
      <c r="N72" s="131">
        <v>34370</v>
      </c>
      <c r="O72" s="145">
        <v>54</v>
      </c>
      <c r="P72" s="133">
        <v>0.5</v>
      </c>
      <c r="Q72" s="131">
        <v>13282</v>
      </c>
      <c r="R72" s="145">
        <v>10</v>
      </c>
      <c r="S72" s="133"/>
      <c r="T72" s="131">
        <v>181477</v>
      </c>
      <c r="U72" s="145">
        <v>8</v>
      </c>
      <c r="V72" s="133"/>
    </row>
    <row r="73" spans="1:22" x14ac:dyDescent="0.2">
      <c r="A73" s="1206" t="s">
        <v>4138</v>
      </c>
      <c r="B73" s="131">
        <v>26936</v>
      </c>
      <c r="C73" s="145">
        <v>37</v>
      </c>
      <c r="D73" s="133"/>
      <c r="E73" s="131">
        <v>45209</v>
      </c>
      <c r="F73" s="145">
        <v>77</v>
      </c>
      <c r="G73" s="133">
        <v>0.5</v>
      </c>
      <c r="H73" s="131">
        <v>27785</v>
      </c>
      <c r="I73" s="145">
        <v>48</v>
      </c>
      <c r="J73" s="133"/>
      <c r="K73" s="131">
        <v>78436</v>
      </c>
      <c r="L73" s="145">
        <v>54</v>
      </c>
      <c r="M73" s="133">
        <v>0.5</v>
      </c>
      <c r="N73" s="131">
        <v>41074</v>
      </c>
      <c r="O73" s="145"/>
      <c r="P73" s="133">
        <v>0.5</v>
      </c>
      <c r="Q73" s="131">
        <v>4734</v>
      </c>
      <c r="R73" s="145">
        <v>94</v>
      </c>
      <c r="S73" s="133">
        <v>0.5</v>
      </c>
      <c r="T73" s="131">
        <v>224177</v>
      </c>
      <c r="U73" s="145">
        <v>12</v>
      </c>
      <c r="V73" s="133"/>
    </row>
    <row r="74" spans="1:22" x14ac:dyDescent="0.2">
      <c r="A74" s="1206" t="s">
        <v>4139</v>
      </c>
      <c r="B74" s="131">
        <v>8454</v>
      </c>
      <c r="C74" s="145">
        <v>50</v>
      </c>
      <c r="D74" s="133"/>
      <c r="E74" s="131">
        <v>39480</v>
      </c>
      <c r="F74" s="145">
        <v>80</v>
      </c>
      <c r="G74" s="133"/>
      <c r="H74" s="131">
        <v>17574</v>
      </c>
      <c r="I74" s="145">
        <v>56</v>
      </c>
      <c r="J74" s="133"/>
      <c r="K74" s="131">
        <v>75178</v>
      </c>
      <c r="L74" s="145">
        <v>87</v>
      </c>
      <c r="M74" s="133"/>
      <c r="N74" s="131">
        <v>31494</v>
      </c>
      <c r="O74" s="145">
        <v>91</v>
      </c>
      <c r="P74" s="133"/>
      <c r="Q74" s="131">
        <v>12555</v>
      </c>
      <c r="R74" s="145">
        <v>40</v>
      </c>
      <c r="S74" s="133">
        <v>0.5</v>
      </c>
      <c r="T74" s="131">
        <v>184738</v>
      </c>
      <c r="U74" s="145">
        <v>49</v>
      </c>
      <c r="V74" s="133">
        <v>0.5</v>
      </c>
    </row>
    <row r="75" spans="1:22" x14ac:dyDescent="0.2">
      <c r="A75" s="1206" t="s">
        <v>4199</v>
      </c>
      <c r="B75" s="131">
        <v>10767</v>
      </c>
      <c r="C75" s="145"/>
      <c r="D75" s="133"/>
      <c r="E75" s="131">
        <v>40820</v>
      </c>
      <c r="F75" s="145">
        <v>80</v>
      </c>
      <c r="G75" s="133"/>
      <c r="H75" s="131">
        <v>12681</v>
      </c>
      <c r="I75" s="145">
        <v>60</v>
      </c>
      <c r="J75" s="133">
        <v>0.5</v>
      </c>
      <c r="K75" s="131">
        <v>71853</v>
      </c>
      <c r="L75" s="145">
        <v>75</v>
      </c>
      <c r="M75" s="133"/>
      <c r="N75" s="131">
        <v>20951</v>
      </c>
      <c r="O75" s="145">
        <v>12</v>
      </c>
      <c r="P75" s="133"/>
      <c r="Q75" s="131">
        <v>117805</v>
      </c>
      <c r="R75" s="145">
        <v>60</v>
      </c>
      <c r="S75" s="133"/>
      <c r="T75" s="131">
        <v>275879</v>
      </c>
      <c r="U75" s="145">
        <v>90</v>
      </c>
      <c r="V75" s="133">
        <v>0.5</v>
      </c>
    </row>
    <row r="76" spans="1:22" x14ac:dyDescent="0.2">
      <c r="A76" s="1206" t="s">
        <v>4200</v>
      </c>
      <c r="B76" s="131">
        <v>14736</v>
      </c>
      <c r="C76" s="145">
        <v>25</v>
      </c>
      <c r="D76" s="133"/>
      <c r="E76" s="131">
        <v>45612</v>
      </c>
      <c r="F76" s="145">
        <v>80</v>
      </c>
      <c r="G76" s="133"/>
      <c r="H76" s="131">
        <v>16395</v>
      </c>
      <c r="I76" s="145">
        <v>62</v>
      </c>
      <c r="J76" s="133">
        <v>0.5</v>
      </c>
      <c r="K76" s="131">
        <v>65305</v>
      </c>
      <c r="L76" s="145">
        <v>80</v>
      </c>
      <c r="M76" s="133"/>
      <c r="N76" s="131">
        <v>19364</v>
      </c>
      <c r="O76" s="145"/>
      <c r="P76" s="133"/>
      <c r="Q76" s="131">
        <v>15833</v>
      </c>
      <c r="R76" s="145">
        <v>95</v>
      </c>
      <c r="S76" s="133"/>
      <c r="T76" s="131">
        <v>177247</v>
      </c>
      <c r="U76" s="145">
        <v>62</v>
      </c>
      <c r="V76" s="133">
        <v>0.5</v>
      </c>
    </row>
    <row r="77" spans="1:22" x14ac:dyDescent="0.2">
      <c r="A77" s="1206" t="s">
        <v>4201</v>
      </c>
      <c r="B77" s="131">
        <v>8776</v>
      </c>
      <c r="C77" s="145">
        <v>75</v>
      </c>
      <c r="D77" s="133"/>
      <c r="E77" s="131">
        <v>38462</v>
      </c>
      <c r="F77" s="145">
        <v>99</v>
      </c>
      <c r="G77" s="133"/>
      <c r="H77" s="131">
        <v>19079</v>
      </c>
      <c r="I77" s="145">
        <v>75</v>
      </c>
      <c r="J77" s="133"/>
      <c r="K77" s="131">
        <v>62931</v>
      </c>
      <c r="L77" s="145">
        <v>77</v>
      </c>
      <c r="M77" s="133"/>
      <c r="N77" s="131">
        <v>20401</v>
      </c>
      <c r="O77" s="145">
        <v>5</v>
      </c>
      <c r="P77" s="133"/>
      <c r="Q77" s="131">
        <v>13726</v>
      </c>
      <c r="R77" s="145">
        <v>93</v>
      </c>
      <c r="S77" s="133"/>
      <c r="T77" s="131">
        <v>163378</v>
      </c>
      <c r="U77" s="145">
        <v>24</v>
      </c>
      <c r="V77" s="133"/>
    </row>
    <row r="78" spans="1:22" x14ac:dyDescent="0.2">
      <c r="A78" s="1206" t="s">
        <v>4202</v>
      </c>
      <c r="B78" s="131">
        <v>19411</v>
      </c>
      <c r="C78" s="145">
        <v>80</v>
      </c>
      <c r="D78" s="133"/>
      <c r="E78" s="131">
        <v>43268</v>
      </c>
      <c r="F78" s="145">
        <v>5</v>
      </c>
      <c r="G78" s="133"/>
      <c r="H78" s="131">
        <v>28164</v>
      </c>
      <c r="I78" s="145">
        <v>25</v>
      </c>
      <c r="J78" s="133"/>
      <c r="K78" s="131">
        <v>77706</v>
      </c>
      <c r="L78" s="145">
        <v>70</v>
      </c>
      <c r="M78" s="133"/>
      <c r="N78" s="131">
        <v>38479</v>
      </c>
      <c r="O78" s="145">
        <v>70</v>
      </c>
      <c r="P78" s="133"/>
      <c r="Q78" s="131">
        <v>4949</v>
      </c>
      <c r="R78" s="145">
        <v>80</v>
      </c>
      <c r="S78" s="133"/>
      <c r="T78" s="131">
        <v>211980</v>
      </c>
      <c r="U78" s="145">
        <v>30</v>
      </c>
      <c r="V78" s="133"/>
    </row>
    <row r="79" spans="1:22" x14ac:dyDescent="0.2">
      <c r="A79" s="1206" t="s">
        <v>4203</v>
      </c>
      <c r="B79" s="131">
        <v>15753</v>
      </c>
      <c r="C79" s="145">
        <v>95</v>
      </c>
      <c r="D79" s="133"/>
      <c r="E79" s="131">
        <v>46613</v>
      </c>
      <c r="F79" s="145">
        <v>60</v>
      </c>
      <c r="G79" s="133"/>
      <c r="H79" s="131">
        <v>21324</v>
      </c>
      <c r="I79" s="145">
        <v>35</v>
      </c>
      <c r="J79" s="133"/>
      <c r="K79" s="131">
        <v>93577</v>
      </c>
      <c r="L79" s="145">
        <v>90</v>
      </c>
      <c r="M79" s="133"/>
      <c r="N79" s="131">
        <v>38208</v>
      </c>
      <c r="O79" s="145">
        <v>45</v>
      </c>
      <c r="P79" s="133"/>
      <c r="Q79" s="131">
        <v>4635</v>
      </c>
      <c r="R79" s="145">
        <v>90</v>
      </c>
      <c r="S79" s="133"/>
      <c r="T79" s="131">
        <v>210114</v>
      </c>
      <c r="U79" s="145">
        <v>15</v>
      </c>
      <c r="V79" s="133"/>
    </row>
    <row r="80" spans="1:22" x14ac:dyDescent="0.2">
      <c r="A80" s="728" t="s">
        <v>4204</v>
      </c>
      <c r="B80" s="230">
        <v>10011</v>
      </c>
      <c r="C80" s="309">
        <v>30</v>
      </c>
      <c r="D80" s="231"/>
      <c r="E80" s="230">
        <v>49729</v>
      </c>
      <c r="F80" s="309">
        <v>15</v>
      </c>
      <c r="G80" s="231"/>
      <c r="H80" s="230">
        <v>21725</v>
      </c>
      <c r="I80" s="309">
        <v>75</v>
      </c>
      <c r="J80" s="231"/>
      <c r="K80" s="230">
        <v>108563</v>
      </c>
      <c r="L80" s="309">
        <v>40</v>
      </c>
      <c r="M80" s="231"/>
      <c r="N80" s="230">
        <v>39898</v>
      </c>
      <c r="O80" s="309"/>
      <c r="P80" s="231"/>
      <c r="Q80" s="230">
        <v>7798</v>
      </c>
      <c r="R80" s="309">
        <v>60</v>
      </c>
      <c r="S80" s="231"/>
      <c r="T80" s="230">
        <v>237726</v>
      </c>
      <c r="U80" s="309">
        <v>20</v>
      </c>
      <c r="V80" s="231"/>
    </row>
    <row r="84" spans="1:21" x14ac:dyDescent="0.2">
      <c r="A84" s="526" t="s">
        <v>1272</v>
      </c>
    </row>
    <row r="85" spans="1:21" ht="26.5" customHeight="1" x14ac:dyDescent="0.2">
      <c r="A85" s="1134" t="s">
        <v>4288</v>
      </c>
      <c r="B85" s="1135"/>
      <c r="C85" s="1135"/>
      <c r="D85" s="1135"/>
      <c r="E85" s="1135"/>
      <c r="F85" s="1135"/>
      <c r="G85" s="1135"/>
      <c r="H85" s="1135"/>
      <c r="I85" s="1135"/>
      <c r="J85" s="1135"/>
      <c r="K85" s="1135"/>
      <c r="L85" s="1135"/>
      <c r="M85" s="1135"/>
      <c r="N85" s="1135"/>
      <c r="O85" s="1135"/>
      <c r="P85" s="1135"/>
      <c r="Q85" s="1135"/>
      <c r="R85" s="1135"/>
      <c r="S85" s="1135"/>
      <c r="T85" s="1135"/>
      <c r="U85" s="1136"/>
    </row>
    <row r="86" spans="1:21" ht="24.5" customHeight="1" x14ac:dyDescent="0.2">
      <c r="A86" s="950" t="s">
        <v>1227</v>
      </c>
      <c r="B86" s="977" t="s">
        <v>2590</v>
      </c>
      <c r="C86" s="977"/>
      <c r="D86" s="977" t="s">
        <v>2591</v>
      </c>
      <c r="E86" s="977"/>
      <c r="F86" s="977" t="s">
        <v>2592</v>
      </c>
      <c r="G86" s="977"/>
      <c r="H86" s="977" t="s">
        <v>2593</v>
      </c>
      <c r="I86" s="977"/>
      <c r="J86" s="977" t="s">
        <v>4135</v>
      </c>
      <c r="K86" s="977"/>
      <c r="L86" s="977" t="s">
        <v>4136</v>
      </c>
      <c r="M86" s="977"/>
      <c r="N86" s="977" t="s">
        <v>4137</v>
      </c>
      <c r="O86" s="977"/>
      <c r="P86" s="977" t="s">
        <v>4138</v>
      </c>
      <c r="Q86" s="977"/>
      <c r="R86" s="977" t="s">
        <v>4139</v>
      </c>
      <c r="S86" s="977"/>
      <c r="T86" s="977" t="s">
        <v>4199</v>
      </c>
      <c r="U86" s="977"/>
    </row>
    <row r="87" spans="1:21" x14ac:dyDescent="0.2">
      <c r="A87" s="533" t="s">
        <v>1526</v>
      </c>
      <c r="B87" s="349">
        <v>3</v>
      </c>
      <c r="C87" s="352"/>
      <c r="D87" s="349">
        <v>3</v>
      </c>
      <c r="E87" s="352"/>
      <c r="F87" s="349">
        <v>2</v>
      </c>
      <c r="G87" s="352">
        <v>0.5</v>
      </c>
      <c r="H87" s="349">
        <v>3</v>
      </c>
      <c r="I87" s="352"/>
      <c r="J87" s="349">
        <v>5</v>
      </c>
      <c r="K87" s="352"/>
      <c r="L87" s="349">
        <v>5</v>
      </c>
      <c r="M87" s="352"/>
      <c r="N87" s="349">
        <v>5</v>
      </c>
      <c r="O87" s="352"/>
      <c r="P87" s="349">
        <v>5</v>
      </c>
      <c r="Q87" s="352"/>
      <c r="R87" s="349">
        <v>5</v>
      </c>
      <c r="S87" s="352"/>
      <c r="T87" s="349">
        <v>5</v>
      </c>
      <c r="U87" s="352"/>
    </row>
    <row r="88" spans="1:21" x14ac:dyDescent="0.2">
      <c r="A88" s="533" t="s">
        <v>1373</v>
      </c>
      <c r="B88" s="131">
        <v>1</v>
      </c>
      <c r="C88" s="133"/>
      <c r="D88" s="131">
        <v>1</v>
      </c>
      <c r="E88" s="133">
        <v>0.5</v>
      </c>
      <c r="F88" s="131">
        <v>1</v>
      </c>
      <c r="G88" s="133">
        <v>0.5</v>
      </c>
      <c r="H88" s="131">
        <v>1</v>
      </c>
      <c r="I88" s="133">
        <v>0.5</v>
      </c>
      <c r="J88" s="131">
        <v>1</v>
      </c>
      <c r="K88" s="133">
        <v>0.5</v>
      </c>
      <c r="L88" s="131">
        <v>1</v>
      </c>
      <c r="M88" s="133">
        <v>0.5</v>
      </c>
      <c r="N88" s="131">
        <v>1</v>
      </c>
      <c r="O88" s="133">
        <v>0.5</v>
      </c>
      <c r="P88" s="131">
        <v>2</v>
      </c>
      <c r="Q88" s="133"/>
      <c r="R88" s="131">
        <v>2</v>
      </c>
      <c r="S88" s="133"/>
      <c r="T88" s="131">
        <v>2</v>
      </c>
      <c r="U88" s="133"/>
    </row>
    <row r="89" spans="1:21" x14ac:dyDescent="0.2">
      <c r="A89" s="533" t="s">
        <v>3264</v>
      </c>
      <c r="B89" s="131">
        <v>3</v>
      </c>
      <c r="C89" s="133"/>
      <c r="D89" s="131">
        <v>3</v>
      </c>
      <c r="E89" s="133"/>
      <c r="F89" s="131">
        <v>2</v>
      </c>
      <c r="G89" s="133">
        <v>0.5</v>
      </c>
      <c r="H89" s="131">
        <v>3</v>
      </c>
      <c r="I89" s="133"/>
      <c r="J89" s="131">
        <v>4</v>
      </c>
      <c r="K89" s="133"/>
      <c r="L89" s="131">
        <v>4</v>
      </c>
      <c r="M89" s="133"/>
      <c r="N89" s="131">
        <v>4</v>
      </c>
      <c r="O89" s="133"/>
      <c r="P89" s="131">
        <v>2</v>
      </c>
      <c r="Q89" s="133"/>
      <c r="R89" s="131">
        <v>2</v>
      </c>
      <c r="S89" s="133"/>
      <c r="T89" s="131"/>
      <c r="U89" s="133">
        <v>0.5</v>
      </c>
    </row>
    <row r="90" spans="1:21" x14ac:dyDescent="0.2">
      <c r="A90" s="533" t="s">
        <v>1369</v>
      </c>
      <c r="B90" s="131">
        <v>3</v>
      </c>
      <c r="C90" s="133"/>
      <c r="D90" s="131">
        <v>3</v>
      </c>
      <c r="E90" s="133"/>
      <c r="F90" s="131">
        <v>2</v>
      </c>
      <c r="G90" s="133">
        <v>0.5</v>
      </c>
      <c r="H90" s="131">
        <v>3</v>
      </c>
      <c r="I90" s="133"/>
      <c r="J90" s="131">
        <v>4</v>
      </c>
      <c r="K90" s="133"/>
      <c r="L90" s="131">
        <v>4</v>
      </c>
      <c r="M90" s="133"/>
      <c r="N90" s="131">
        <v>4</v>
      </c>
      <c r="O90" s="133"/>
      <c r="P90" s="131">
        <v>4</v>
      </c>
      <c r="Q90" s="133"/>
      <c r="R90" s="131">
        <v>4</v>
      </c>
      <c r="S90" s="133"/>
      <c r="T90" s="131">
        <v>4</v>
      </c>
      <c r="U90" s="133"/>
    </row>
    <row r="91" spans="1:21" x14ac:dyDescent="0.2">
      <c r="A91" s="533" t="s">
        <v>1517</v>
      </c>
      <c r="B91" s="131">
        <v>3</v>
      </c>
      <c r="C91" s="133"/>
      <c r="D91" s="131">
        <v>3</v>
      </c>
      <c r="E91" s="133"/>
      <c r="F91" s="131">
        <v>2</v>
      </c>
      <c r="G91" s="133">
        <v>0.5</v>
      </c>
      <c r="H91" s="131">
        <v>3</v>
      </c>
      <c r="I91" s="133"/>
      <c r="J91" s="131">
        <v>4</v>
      </c>
      <c r="K91" s="133"/>
      <c r="L91" s="131">
        <v>4</v>
      </c>
      <c r="M91" s="133"/>
      <c r="N91" s="131">
        <v>4</v>
      </c>
      <c r="O91" s="133"/>
      <c r="P91" s="131">
        <v>4</v>
      </c>
      <c r="Q91" s="133"/>
      <c r="R91" s="131">
        <v>4</v>
      </c>
      <c r="S91" s="133"/>
      <c r="T91" s="131">
        <v>4</v>
      </c>
      <c r="U91" s="133"/>
    </row>
    <row r="92" spans="1:21" x14ac:dyDescent="0.2">
      <c r="A92" s="533" t="s">
        <v>4289</v>
      </c>
      <c r="B92" s="131">
        <v>4</v>
      </c>
      <c r="C92" s="133"/>
      <c r="D92" s="131">
        <v>5</v>
      </c>
      <c r="E92" s="133"/>
      <c r="F92" s="131">
        <v>5</v>
      </c>
      <c r="G92" s="133"/>
      <c r="H92" s="131">
        <v>5</v>
      </c>
      <c r="I92" s="133"/>
      <c r="J92" s="131">
        <v>8</v>
      </c>
      <c r="K92" s="133"/>
      <c r="L92" s="131">
        <v>8</v>
      </c>
      <c r="M92" s="133"/>
      <c r="N92" s="131">
        <v>8</v>
      </c>
      <c r="O92" s="133"/>
      <c r="P92" s="131">
        <v>8</v>
      </c>
      <c r="Q92" s="133"/>
      <c r="R92" s="131">
        <v>8</v>
      </c>
      <c r="S92" s="133"/>
      <c r="T92" s="131">
        <v>8</v>
      </c>
      <c r="U92" s="133"/>
    </row>
    <row r="93" spans="1:21" x14ac:dyDescent="0.2">
      <c r="A93" s="533" t="s">
        <v>3266</v>
      </c>
      <c r="B93" s="131">
        <v>5</v>
      </c>
      <c r="C93" s="133"/>
      <c r="D93" s="131">
        <v>5</v>
      </c>
      <c r="E93" s="133"/>
      <c r="F93" s="131">
        <v>5</v>
      </c>
      <c r="G93" s="133"/>
      <c r="H93" s="131">
        <v>5</v>
      </c>
      <c r="I93" s="133"/>
      <c r="J93" s="131">
        <v>8</v>
      </c>
      <c r="K93" s="133"/>
      <c r="L93" s="131">
        <v>8</v>
      </c>
      <c r="M93" s="133"/>
      <c r="N93" s="131">
        <v>8</v>
      </c>
      <c r="O93" s="133"/>
      <c r="P93" s="131">
        <v>8</v>
      </c>
      <c r="Q93" s="133"/>
      <c r="R93" s="131">
        <v>8</v>
      </c>
      <c r="S93" s="133"/>
      <c r="T93" s="131">
        <v>8</v>
      </c>
      <c r="U93" s="133"/>
    </row>
    <row r="94" spans="1:21" x14ac:dyDescent="0.2">
      <c r="A94" s="535" t="s">
        <v>1519</v>
      </c>
      <c r="B94" s="230">
        <v>3</v>
      </c>
      <c r="C94" s="231"/>
      <c r="D94" s="230">
        <v>3</v>
      </c>
      <c r="E94" s="231"/>
      <c r="F94" s="230">
        <v>2</v>
      </c>
      <c r="G94" s="231">
        <v>0.5</v>
      </c>
      <c r="H94" s="230">
        <v>3</v>
      </c>
      <c r="I94" s="231"/>
      <c r="J94" s="230">
        <v>5</v>
      </c>
      <c r="K94" s="231"/>
      <c r="L94" s="230">
        <v>5</v>
      </c>
      <c r="M94" s="231"/>
      <c r="N94" s="230">
        <v>5</v>
      </c>
      <c r="O94" s="231"/>
      <c r="P94" s="230">
        <v>5</v>
      </c>
      <c r="Q94" s="231"/>
      <c r="R94" s="230">
        <v>5</v>
      </c>
      <c r="S94" s="231"/>
      <c r="T94" s="230">
        <v>5</v>
      </c>
      <c r="U94" s="231"/>
    </row>
    <row r="98" spans="1:5" x14ac:dyDescent="0.2">
      <c r="A98" s="526" t="s">
        <v>1342</v>
      </c>
    </row>
    <row r="99" spans="1:5" ht="51.5" customHeight="1" x14ac:dyDescent="0.2">
      <c r="A99" s="1210" t="s">
        <v>4290</v>
      </c>
      <c r="B99" s="1211"/>
      <c r="C99" s="1211"/>
      <c r="D99" s="1211"/>
      <c r="E99" s="1212"/>
    </row>
    <row r="100" spans="1:5" ht="17.5" customHeight="1" x14ac:dyDescent="0.2">
      <c r="A100" s="1213" t="s">
        <v>4291</v>
      </c>
      <c r="B100" s="1214"/>
      <c r="C100" s="1214"/>
      <c r="D100" s="1214"/>
      <c r="E100" s="1215"/>
    </row>
    <row r="101" spans="1:5" x14ac:dyDescent="0.2">
      <c r="A101" s="131" t="s">
        <v>3668</v>
      </c>
      <c r="B101" s="481" t="s">
        <v>4292</v>
      </c>
      <c r="C101" s="481"/>
      <c r="D101" s="481"/>
      <c r="E101" s="676"/>
    </row>
    <row r="102" spans="1:5" x14ac:dyDescent="0.2">
      <c r="A102" s="131" t="s">
        <v>1373</v>
      </c>
      <c r="B102" s="481" t="s">
        <v>4293</v>
      </c>
      <c r="C102" s="481"/>
      <c r="D102" s="481"/>
      <c r="E102" s="676"/>
    </row>
    <row r="103" spans="1:5" x14ac:dyDescent="0.2">
      <c r="A103" s="131" t="s">
        <v>1369</v>
      </c>
      <c r="B103" s="481" t="s">
        <v>4294</v>
      </c>
      <c r="C103" s="481"/>
      <c r="D103" s="481"/>
      <c r="E103" s="676"/>
    </row>
    <row r="104" spans="1:5" x14ac:dyDescent="0.2">
      <c r="A104" s="131" t="s">
        <v>1526</v>
      </c>
      <c r="B104" s="481" t="s">
        <v>4295</v>
      </c>
      <c r="C104" s="481"/>
      <c r="D104" s="481"/>
      <c r="E104" s="676"/>
    </row>
    <row r="105" spans="1:5" x14ac:dyDescent="0.2">
      <c r="A105" s="131" t="s">
        <v>1517</v>
      </c>
      <c r="B105" s="481" t="s">
        <v>4295</v>
      </c>
      <c r="C105" s="481"/>
      <c r="D105" s="481"/>
      <c r="E105" s="676"/>
    </row>
    <row r="106" spans="1:5" x14ac:dyDescent="0.2">
      <c r="A106" s="131" t="s">
        <v>1519</v>
      </c>
      <c r="B106" s="481" t="s">
        <v>4295</v>
      </c>
      <c r="C106" s="481"/>
      <c r="D106" s="481"/>
      <c r="E106" s="676"/>
    </row>
    <row r="107" spans="1:5" x14ac:dyDescent="0.2">
      <c r="A107" s="131" t="s">
        <v>1527</v>
      </c>
      <c r="B107" s="481" t="s">
        <v>4296</v>
      </c>
      <c r="C107" s="481"/>
      <c r="D107" s="481"/>
      <c r="E107" s="676"/>
    </row>
    <row r="108" spans="1:5" x14ac:dyDescent="0.2">
      <c r="A108" s="131" t="s">
        <v>4297</v>
      </c>
      <c r="B108" s="481" t="s">
        <v>4298</v>
      </c>
      <c r="C108" s="481"/>
      <c r="D108" s="481"/>
      <c r="E108" s="676"/>
    </row>
    <row r="109" spans="1:5" x14ac:dyDescent="0.2">
      <c r="A109" s="230" t="s">
        <v>4299</v>
      </c>
      <c r="B109" s="515" t="s">
        <v>4298</v>
      </c>
      <c r="C109" s="515"/>
      <c r="D109" s="515"/>
      <c r="E109" s="1029"/>
    </row>
    <row r="113" spans="1:12" x14ac:dyDescent="0.2">
      <c r="A113" s="526" t="s">
        <v>1358</v>
      </c>
    </row>
    <row r="114" spans="1:12" ht="35" customHeight="1" x14ac:dyDescent="0.2">
      <c r="A114" s="998" t="s">
        <v>4300</v>
      </c>
      <c r="B114" s="998"/>
      <c r="C114" s="998"/>
      <c r="D114" s="998"/>
      <c r="E114" s="998"/>
      <c r="F114" s="998"/>
      <c r="G114" s="998"/>
      <c r="H114" s="998"/>
      <c r="I114" s="998"/>
      <c r="J114" s="998"/>
    </row>
    <row r="115" spans="1:12" ht="24.5" customHeight="1" x14ac:dyDescent="0.2">
      <c r="A115" s="1037" t="s">
        <v>4301</v>
      </c>
      <c r="B115" s="1036" t="s">
        <v>4302</v>
      </c>
      <c r="C115" s="1036"/>
      <c r="D115" s="1036"/>
      <c r="E115" s="1054" t="s">
        <v>4303</v>
      </c>
      <c r="F115" s="1036"/>
      <c r="G115" s="1036"/>
      <c r="H115" s="1036" t="s">
        <v>4304</v>
      </c>
      <c r="I115" s="1036"/>
      <c r="J115" s="1036"/>
      <c r="K115" s="1216"/>
      <c r="L115" s="1216"/>
    </row>
    <row r="116" spans="1:12" x14ac:dyDescent="0.2">
      <c r="A116" s="1206" t="s">
        <v>4202</v>
      </c>
      <c r="B116" s="131">
        <v>11111196</v>
      </c>
      <c r="C116" s="145">
        <v>62</v>
      </c>
      <c r="D116" s="133"/>
      <c r="E116" s="131">
        <v>8708797</v>
      </c>
      <c r="F116" s="145">
        <v>42</v>
      </c>
      <c r="G116" s="307"/>
      <c r="H116" s="131">
        <v>2402399</v>
      </c>
      <c r="I116" s="145">
        <v>20</v>
      </c>
      <c r="J116" s="133"/>
    </row>
    <row r="117" spans="1:12" x14ac:dyDescent="0.2">
      <c r="A117" s="1206" t="s">
        <v>4203</v>
      </c>
      <c r="B117" s="131">
        <v>13711511</v>
      </c>
      <c r="C117" s="145">
        <v>40</v>
      </c>
      <c r="D117" s="133"/>
      <c r="E117" s="131">
        <v>10787654</v>
      </c>
      <c r="F117" s="145">
        <v>4</v>
      </c>
      <c r="G117" s="307"/>
      <c r="H117" s="131">
        <v>2923857</v>
      </c>
      <c r="I117" s="145">
        <v>36</v>
      </c>
      <c r="J117" s="133"/>
    </row>
    <row r="118" spans="1:12" x14ac:dyDescent="0.2">
      <c r="A118" s="1206" t="s">
        <v>4204</v>
      </c>
      <c r="B118" s="131">
        <v>13804981</v>
      </c>
      <c r="C118" s="145">
        <v>96</v>
      </c>
      <c r="D118" s="133"/>
      <c r="E118" s="131">
        <v>10387003</v>
      </c>
      <c r="F118" s="145">
        <v>59</v>
      </c>
      <c r="G118" s="307"/>
      <c r="H118" s="131">
        <v>3417978</v>
      </c>
      <c r="I118" s="145">
        <v>37</v>
      </c>
      <c r="J118" s="133"/>
    </row>
    <row r="119" spans="1:12" x14ac:dyDescent="0.2">
      <c r="A119" s="1206" t="s">
        <v>4276</v>
      </c>
      <c r="B119" s="131">
        <v>15836943</v>
      </c>
      <c r="C119" s="145">
        <v>89</v>
      </c>
      <c r="D119" s="133">
        <v>0.5</v>
      </c>
      <c r="E119" s="131">
        <v>12071480</v>
      </c>
      <c r="F119" s="145">
        <v>27</v>
      </c>
      <c r="G119" s="307"/>
      <c r="H119" s="131">
        <v>3652973</v>
      </c>
      <c r="I119" s="145">
        <v>59</v>
      </c>
      <c r="J119" s="133">
        <v>0.5</v>
      </c>
    </row>
    <row r="120" spans="1:12" x14ac:dyDescent="0.2">
      <c r="A120" s="1217" t="s">
        <v>4305</v>
      </c>
      <c r="B120" s="240">
        <v>54464633</v>
      </c>
      <c r="C120" s="318">
        <v>87</v>
      </c>
      <c r="D120" s="241">
        <v>0.5</v>
      </c>
      <c r="E120" s="240">
        <v>41954935</v>
      </c>
      <c r="F120" s="318">
        <v>32</v>
      </c>
      <c r="G120" s="513"/>
      <c r="H120" s="240">
        <v>12397208</v>
      </c>
      <c r="I120" s="318">
        <v>52</v>
      </c>
      <c r="J120" s="241">
        <v>0.5</v>
      </c>
    </row>
    <row r="121" spans="1:12" x14ac:dyDescent="0.2">
      <c r="B121" s="393">
        <f>+SUM(B116:B119)</f>
        <v>54464631</v>
      </c>
      <c r="C121" s="393">
        <f t="shared" ref="C121:J121" si="2">+SUM(C116:C119)</f>
        <v>287</v>
      </c>
      <c r="D121" s="1078">
        <f t="shared" si="2"/>
        <v>0.5</v>
      </c>
      <c r="E121" s="393">
        <f t="shared" si="2"/>
        <v>41954934</v>
      </c>
      <c r="F121" s="393">
        <f t="shared" si="2"/>
        <v>132</v>
      </c>
      <c r="G121" s="393">
        <f t="shared" si="2"/>
        <v>0</v>
      </c>
      <c r="H121" s="393">
        <f t="shared" si="2"/>
        <v>12397207</v>
      </c>
      <c r="I121" s="393">
        <f t="shared" si="2"/>
        <v>152</v>
      </c>
      <c r="J121" s="1078">
        <f t="shared" si="2"/>
        <v>0.5</v>
      </c>
    </row>
    <row r="124" spans="1:12" x14ac:dyDescent="0.2">
      <c r="A124" s="526" t="s">
        <v>1374</v>
      </c>
    </row>
    <row r="125" spans="1:12" ht="26" customHeight="1" x14ac:dyDescent="0.2">
      <c r="A125" s="1134" t="s">
        <v>4306</v>
      </c>
      <c r="B125" s="1135"/>
      <c r="C125" s="1135"/>
      <c r="D125" s="1135"/>
      <c r="E125" s="1135"/>
      <c r="F125" s="1135"/>
      <c r="G125" s="1136"/>
    </row>
    <row r="126" spans="1:12" ht="22.25" customHeight="1" x14ac:dyDescent="0.2">
      <c r="A126" s="751" t="s">
        <v>4301</v>
      </c>
      <c r="B126" s="1218" t="s">
        <v>3271</v>
      </c>
      <c r="C126" s="1218" t="s">
        <v>3272</v>
      </c>
      <c r="D126" s="1218" t="s">
        <v>3577</v>
      </c>
      <c r="E126" s="1218" t="s">
        <v>3578</v>
      </c>
      <c r="F126" s="1218" t="s">
        <v>3579</v>
      </c>
      <c r="G126" s="1219" t="s">
        <v>3275</v>
      </c>
    </row>
    <row r="127" spans="1:12" x14ac:dyDescent="0.2">
      <c r="A127" s="1206" t="s">
        <v>4202</v>
      </c>
      <c r="B127" s="349">
        <v>4026929</v>
      </c>
      <c r="C127" s="349">
        <v>3403272</v>
      </c>
      <c r="D127" s="349">
        <v>3998033</v>
      </c>
      <c r="E127" s="349">
        <v>2684664</v>
      </c>
      <c r="F127" s="349">
        <v>2873124</v>
      </c>
      <c r="G127" s="716">
        <v>627033</v>
      </c>
    </row>
    <row r="128" spans="1:12" x14ac:dyDescent="0.2">
      <c r="A128" s="1206" t="s">
        <v>4203</v>
      </c>
      <c r="B128" s="131">
        <v>7860062</v>
      </c>
      <c r="C128" s="131">
        <v>4621209</v>
      </c>
      <c r="D128" s="131">
        <v>5071336</v>
      </c>
      <c r="E128" s="131">
        <v>2404457</v>
      </c>
      <c r="F128" s="131">
        <v>3485600</v>
      </c>
      <c r="G128" s="533">
        <v>1089531</v>
      </c>
    </row>
    <row r="129" spans="1:46" x14ac:dyDescent="0.2">
      <c r="A129" s="1206" t="s">
        <v>4204</v>
      </c>
      <c r="B129" s="131">
        <v>10642714</v>
      </c>
      <c r="C129" s="131">
        <v>6511511</v>
      </c>
      <c r="D129" s="131">
        <v>4426485</v>
      </c>
      <c r="E129" s="131">
        <v>1944731</v>
      </c>
      <c r="F129" s="131">
        <v>2821053</v>
      </c>
      <c r="G129" s="533">
        <v>5581614</v>
      </c>
    </row>
    <row r="130" spans="1:46" x14ac:dyDescent="0.2">
      <c r="A130" s="728" t="s">
        <v>4276</v>
      </c>
      <c r="B130" s="230">
        <v>13751432</v>
      </c>
      <c r="C130" s="230">
        <v>8174258</v>
      </c>
      <c r="D130" s="230">
        <v>2612420</v>
      </c>
      <c r="E130" s="230">
        <v>2125210</v>
      </c>
      <c r="F130" s="230">
        <v>3508234</v>
      </c>
      <c r="G130" s="535">
        <v>3597830</v>
      </c>
    </row>
    <row r="134" spans="1:46" x14ac:dyDescent="0.2">
      <c r="A134" s="526" t="s">
        <v>1934</v>
      </c>
      <c r="P134" s="1080">
        <f>P140/Q134</f>
        <v>0.21481765214261378</v>
      </c>
      <c r="Q134" s="107">
        <f>AF140</f>
        <v>33769385</v>
      </c>
    </row>
    <row r="135" spans="1:46" ht="33.5" customHeight="1" x14ac:dyDescent="0.2">
      <c r="A135" s="953" t="s">
        <v>4307</v>
      </c>
      <c r="B135" s="954"/>
      <c r="C135" s="954"/>
      <c r="D135" s="954"/>
      <c r="E135" s="954"/>
      <c r="F135" s="954"/>
      <c r="G135" s="954"/>
      <c r="H135" s="954"/>
      <c r="I135" s="954"/>
      <c r="J135" s="954"/>
      <c r="K135" s="954"/>
      <c r="L135" s="954"/>
      <c r="M135" s="954"/>
      <c r="N135" s="954"/>
      <c r="O135" s="954"/>
      <c r="P135" s="954"/>
      <c r="Q135" s="954"/>
      <c r="R135" s="954"/>
      <c r="S135" s="954"/>
      <c r="T135" s="954"/>
      <c r="U135" s="954"/>
      <c r="V135" s="954"/>
      <c r="W135" s="954"/>
      <c r="X135" s="954"/>
      <c r="Y135" s="954"/>
      <c r="Z135" s="954"/>
      <c r="AA135" s="954"/>
      <c r="AB135" s="954"/>
      <c r="AC135" s="954"/>
      <c r="AD135" s="954"/>
      <c r="AE135" s="954"/>
      <c r="AF135" s="954"/>
      <c r="AG135" s="954"/>
      <c r="AH135" s="954"/>
      <c r="AI135" s="954"/>
      <c r="AJ135" s="954"/>
      <c r="AK135" s="954"/>
      <c r="AL135" s="954"/>
      <c r="AM135" s="954"/>
      <c r="AN135" s="954"/>
      <c r="AO135" s="954"/>
      <c r="AP135" s="954"/>
      <c r="AQ135" s="954"/>
      <c r="AR135" s="954"/>
      <c r="AS135" s="954"/>
      <c r="AT135" s="955"/>
    </row>
    <row r="136" spans="1:46" x14ac:dyDescent="0.2">
      <c r="A136" s="1035" t="s">
        <v>1854</v>
      </c>
      <c r="B136" s="1220" t="s">
        <v>4056</v>
      </c>
      <c r="C136" s="1220"/>
      <c r="D136" s="1220"/>
      <c r="E136" s="1220"/>
      <c r="F136" s="1220"/>
      <c r="G136" s="1220"/>
      <c r="H136" s="1220"/>
      <c r="I136" s="1220"/>
      <c r="J136" s="1220"/>
      <c r="K136" s="1220"/>
      <c r="L136" s="1220"/>
      <c r="M136" s="1220"/>
      <c r="N136" s="1220" t="s">
        <v>3394</v>
      </c>
      <c r="O136" s="1220"/>
      <c r="P136" s="1221" t="s">
        <v>4057</v>
      </c>
      <c r="Q136" s="1222"/>
      <c r="R136" s="1222"/>
      <c r="S136" s="1222"/>
      <c r="T136" s="1222"/>
      <c r="U136" s="1222"/>
      <c r="V136" s="1222"/>
      <c r="W136" s="1222"/>
      <c r="X136" s="1222"/>
      <c r="Y136" s="1222"/>
      <c r="Z136" s="1222"/>
      <c r="AA136" s="1222"/>
      <c r="AB136" s="1222"/>
      <c r="AC136" s="1222"/>
      <c r="AD136" s="1222"/>
      <c r="AE136" s="1222"/>
      <c r="AF136" s="1222"/>
      <c r="AG136" s="1222"/>
      <c r="AH136" s="1222"/>
      <c r="AI136" s="1222"/>
      <c r="AJ136" s="1222"/>
      <c r="AK136" s="1222"/>
      <c r="AL136" s="1222"/>
      <c r="AM136" s="1222"/>
      <c r="AN136" s="1222"/>
      <c r="AO136" s="1223"/>
      <c r="AP136" s="1221" t="s">
        <v>3396</v>
      </c>
      <c r="AQ136" s="1222"/>
      <c r="AR136" s="1222"/>
      <c r="AS136" s="1222"/>
      <c r="AT136" s="1223"/>
    </row>
    <row r="137" spans="1:46" x14ac:dyDescent="0.2">
      <c r="A137" s="1035"/>
      <c r="B137" s="1036" t="s">
        <v>4183</v>
      </c>
      <c r="C137" s="1036"/>
      <c r="D137" s="1036"/>
      <c r="E137" s="1036"/>
      <c r="F137" s="1036"/>
      <c r="G137" s="1036"/>
      <c r="H137" s="1036" t="s">
        <v>4184</v>
      </c>
      <c r="I137" s="1036"/>
      <c r="J137" s="1036"/>
      <c r="K137" s="1036"/>
      <c r="L137" s="1036"/>
      <c r="M137" s="1036"/>
      <c r="N137" s="1036" t="s">
        <v>4185</v>
      </c>
      <c r="O137" s="1036" t="s">
        <v>4186</v>
      </c>
      <c r="P137" s="1224" t="s">
        <v>4062</v>
      </c>
      <c r="Q137" s="1225"/>
      <c r="R137" s="1225"/>
      <c r="S137" s="1225"/>
      <c r="T137" s="1225"/>
      <c r="U137" s="1225"/>
      <c r="V137" s="1225"/>
      <c r="W137" s="1225"/>
      <c r="X137" s="1225"/>
      <c r="Y137" s="1225"/>
      <c r="Z137" s="1225"/>
      <c r="AA137" s="1225"/>
      <c r="AB137" s="1225"/>
      <c r="AC137" s="1225"/>
      <c r="AD137" s="1225"/>
      <c r="AE137" s="1225"/>
      <c r="AF137" s="1225"/>
      <c r="AG137" s="1226"/>
      <c r="AH137" s="1227" t="s">
        <v>4187</v>
      </c>
      <c r="AI137" s="1221" t="s">
        <v>4064</v>
      </c>
      <c r="AJ137" s="1222"/>
      <c r="AK137" s="1222"/>
      <c r="AL137" s="1222"/>
      <c r="AM137" s="1222"/>
      <c r="AN137" s="1222"/>
      <c r="AO137" s="1223"/>
      <c r="AP137" s="1036" t="s">
        <v>4060</v>
      </c>
      <c r="AQ137" s="1036"/>
      <c r="AR137" s="1228" t="s">
        <v>4061</v>
      </c>
      <c r="AS137" s="1229"/>
      <c r="AT137" s="1230"/>
    </row>
    <row r="138" spans="1:46" x14ac:dyDescent="0.2">
      <c r="A138" s="1035"/>
      <c r="B138" s="1036" t="s">
        <v>4065</v>
      </c>
      <c r="C138" s="1036"/>
      <c r="D138" s="1036"/>
      <c r="E138" s="1036" t="s">
        <v>4066</v>
      </c>
      <c r="F138" s="1036"/>
      <c r="G138" s="1036"/>
      <c r="H138" s="1036" t="s">
        <v>4065</v>
      </c>
      <c r="I138" s="1036"/>
      <c r="J138" s="1036"/>
      <c r="K138" s="1036" t="s">
        <v>4066</v>
      </c>
      <c r="L138" s="1036"/>
      <c r="M138" s="1036"/>
      <c r="N138" s="1036"/>
      <c r="O138" s="1036"/>
      <c r="P138" s="1036" t="s">
        <v>3271</v>
      </c>
      <c r="Q138" s="1036"/>
      <c r="R138" s="1036" t="s">
        <v>3272</v>
      </c>
      <c r="S138" s="1036"/>
      <c r="T138" s="1036" t="s">
        <v>3577</v>
      </c>
      <c r="U138" s="1036"/>
      <c r="V138" s="1036" t="s">
        <v>3578</v>
      </c>
      <c r="W138" s="1036"/>
      <c r="X138" s="1036" t="s">
        <v>3579</v>
      </c>
      <c r="Y138" s="1036"/>
      <c r="Z138" s="1036" t="s">
        <v>4308</v>
      </c>
      <c r="AA138" s="1036"/>
      <c r="AB138" s="1036" t="s">
        <v>4309</v>
      </c>
      <c r="AC138" s="1036"/>
      <c r="AD138" s="1036" t="s">
        <v>4310</v>
      </c>
      <c r="AE138" s="1036"/>
      <c r="AF138" s="1036" t="s">
        <v>1170</v>
      </c>
      <c r="AG138" s="1036"/>
      <c r="AH138" s="1231"/>
      <c r="AI138" s="1053" t="s">
        <v>4188</v>
      </c>
      <c r="AJ138" s="1054"/>
      <c r="AK138" s="1037" t="s">
        <v>4189</v>
      </c>
      <c r="AL138" s="1036" t="s">
        <v>4190</v>
      </c>
      <c r="AM138" s="1036"/>
      <c r="AN138" s="1053" t="s">
        <v>4191</v>
      </c>
      <c r="AO138" s="1054"/>
      <c r="AP138" s="1036"/>
      <c r="AQ138" s="1036"/>
      <c r="AR138" s="1232"/>
      <c r="AS138" s="1233"/>
      <c r="AT138" s="1234"/>
    </row>
    <row r="139" spans="1:46" s="1235" customFormat="1" x14ac:dyDescent="0.2">
      <c r="A139" s="1224"/>
      <c r="B139" s="1037" t="s">
        <v>4192</v>
      </c>
      <c r="C139" s="1036" t="s">
        <v>3406</v>
      </c>
      <c r="D139" s="1036"/>
      <c r="E139" s="1037" t="s">
        <v>4192</v>
      </c>
      <c r="F139" s="1054" t="s">
        <v>3406</v>
      </c>
      <c r="G139" s="1053"/>
      <c r="H139" s="1037" t="s">
        <v>4192</v>
      </c>
      <c r="I139" s="1054" t="s">
        <v>3406</v>
      </c>
      <c r="J139" s="1053"/>
      <c r="K139" s="1037" t="s">
        <v>4192</v>
      </c>
      <c r="L139" s="1054" t="s">
        <v>3406</v>
      </c>
      <c r="M139" s="1036"/>
      <c r="N139" s="1037" t="s">
        <v>4192</v>
      </c>
      <c r="O139" s="1037" t="s">
        <v>4192</v>
      </c>
      <c r="P139" s="1037" t="s">
        <v>3327</v>
      </c>
      <c r="Q139" s="1037" t="s">
        <v>3282</v>
      </c>
      <c r="R139" s="1037" t="s">
        <v>3327</v>
      </c>
      <c r="S139" s="1037" t="s">
        <v>3282</v>
      </c>
      <c r="T139" s="1037" t="s">
        <v>3327</v>
      </c>
      <c r="U139" s="1037" t="s">
        <v>3282</v>
      </c>
      <c r="V139" s="1037" t="s">
        <v>3327</v>
      </c>
      <c r="W139" s="1037" t="s">
        <v>3282</v>
      </c>
      <c r="X139" s="1037" t="s">
        <v>3327</v>
      </c>
      <c r="Y139" s="1037" t="s">
        <v>3282</v>
      </c>
      <c r="Z139" s="1037" t="s">
        <v>3327</v>
      </c>
      <c r="AA139" s="1037" t="s">
        <v>3282</v>
      </c>
      <c r="AB139" s="1037" t="s">
        <v>3327</v>
      </c>
      <c r="AC139" s="1037" t="s">
        <v>3282</v>
      </c>
      <c r="AD139" s="1037" t="s">
        <v>3327</v>
      </c>
      <c r="AE139" s="1037" t="s">
        <v>3282</v>
      </c>
      <c r="AF139" s="1037" t="s">
        <v>3327</v>
      </c>
      <c r="AG139" s="1037" t="s">
        <v>3282</v>
      </c>
      <c r="AH139" s="1037" t="s">
        <v>4192</v>
      </c>
      <c r="AI139" s="1053" t="s">
        <v>3327</v>
      </c>
      <c r="AJ139" s="1054"/>
      <c r="AK139" s="1037" t="s">
        <v>3327</v>
      </c>
      <c r="AL139" s="1037" t="s">
        <v>3327</v>
      </c>
      <c r="AM139" s="1037" t="s">
        <v>3282</v>
      </c>
      <c r="AN139" s="1053" t="s">
        <v>3327</v>
      </c>
      <c r="AO139" s="1054"/>
      <c r="AP139" s="1037" t="s">
        <v>3373</v>
      </c>
      <c r="AQ139" s="1037" t="s">
        <v>3374</v>
      </c>
      <c r="AR139" s="1037" t="s">
        <v>3373</v>
      </c>
      <c r="AS139" s="1053" t="s">
        <v>3374</v>
      </c>
      <c r="AT139" s="1054"/>
    </row>
    <row r="140" spans="1:46" ht="26" customHeight="1" x14ac:dyDescent="0.2">
      <c r="A140" s="808" t="s">
        <v>1341</v>
      </c>
      <c r="B140" s="808">
        <v>1119</v>
      </c>
      <c r="C140" s="240">
        <v>79600</v>
      </c>
      <c r="D140" s="241">
        <v>0.5</v>
      </c>
      <c r="E140" s="808">
        <v>524</v>
      </c>
      <c r="F140" s="240">
        <v>661460</v>
      </c>
      <c r="G140" s="513"/>
      <c r="H140" s="808">
        <v>1080</v>
      </c>
      <c r="I140" s="240">
        <v>75575</v>
      </c>
      <c r="J140" s="513"/>
      <c r="K140" s="808">
        <v>521</v>
      </c>
      <c r="L140" s="240">
        <v>656148</v>
      </c>
      <c r="M140" s="513"/>
      <c r="N140" s="808">
        <v>1981997</v>
      </c>
      <c r="O140" s="808">
        <v>1042675</v>
      </c>
      <c r="P140" s="240">
        <v>7254260</v>
      </c>
      <c r="Q140" s="513">
        <v>750</v>
      </c>
      <c r="R140" s="240">
        <v>8174258</v>
      </c>
      <c r="S140" s="513">
        <v>291</v>
      </c>
      <c r="T140" s="240">
        <v>2612420</v>
      </c>
      <c r="U140" s="513">
        <v>216</v>
      </c>
      <c r="V140" s="240">
        <v>2125210</v>
      </c>
      <c r="W140" s="513">
        <v>575</v>
      </c>
      <c r="X140" s="240">
        <v>3166127</v>
      </c>
      <c r="Y140" s="513">
        <v>364</v>
      </c>
      <c r="Z140" s="240">
        <v>3597830</v>
      </c>
      <c r="AA140" s="513"/>
      <c r="AB140" s="240">
        <v>342106</v>
      </c>
      <c r="AC140" s="513">
        <v>941</v>
      </c>
      <c r="AD140" s="240">
        <v>6497171</v>
      </c>
      <c r="AE140" s="513">
        <v>263</v>
      </c>
      <c r="AF140" s="240">
        <v>33769385</v>
      </c>
      <c r="AG140" s="513">
        <v>400</v>
      </c>
      <c r="AH140" s="808">
        <v>29042</v>
      </c>
      <c r="AI140" s="240">
        <v>7029671</v>
      </c>
      <c r="AJ140" s="241">
        <v>0.5</v>
      </c>
      <c r="AK140" s="808">
        <v>530828</v>
      </c>
      <c r="AL140" s="240">
        <v>34720939</v>
      </c>
      <c r="AM140" s="241">
        <v>0.5</v>
      </c>
      <c r="AN140" s="240">
        <v>420382</v>
      </c>
      <c r="AO140" s="513">
        <v>750</v>
      </c>
      <c r="AP140" s="240">
        <v>11970606</v>
      </c>
      <c r="AQ140" s="513">
        <v>70</v>
      </c>
      <c r="AR140" s="240">
        <v>15836943</v>
      </c>
      <c r="AS140" s="318">
        <v>89</v>
      </c>
      <c r="AT140" s="241">
        <v>0.5</v>
      </c>
    </row>
    <row r="141" spans="1:46" ht="26" customHeight="1" thickBot="1" x14ac:dyDescent="0.25">
      <c r="A141" s="349" t="s">
        <v>4311</v>
      </c>
      <c r="B141" s="350"/>
      <c r="C141" s="350"/>
      <c r="D141" s="350"/>
      <c r="E141" s="350"/>
      <c r="F141" s="350"/>
      <c r="G141" s="350"/>
      <c r="H141" s="350"/>
      <c r="I141" s="350"/>
      <c r="J141" s="350"/>
      <c r="K141" s="350"/>
      <c r="L141" s="350"/>
      <c r="M141" s="350"/>
      <c r="N141" s="350"/>
      <c r="O141" s="350"/>
      <c r="P141" s="350"/>
      <c r="Q141" s="350"/>
      <c r="R141" s="350"/>
      <c r="S141" s="350"/>
      <c r="T141" s="350"/>
      <c r="U141" s="350"/>
      <c r="V141" s="350"/>
      <c r="W141" s="350"/>
      <c r="X141" s="350"/>
      <c r="Y141" s="350"/>
      <c r="Z141" s="350"/>
      <c r="AA141" s="350"/>
      <c r="AB141" s="350"/>
      <c r="AC141" s="350"/>
      <c r="AD141" s="350"/>
      <c r="AE141" s="350"/>
      <c r="AF141" s="350"/>
      <c r="AG141" s="350"/>
      <c r="AH141" s="350"/>
      <c r="AI141" s="350"/>
      <c r="AJ141" s="350"/>
      <c r="AK141" s="350"/>
      <c r="AL141" s="350"/>
      <c r="AM141" s="350"/>
      <c r="AN141" s="350"/>
      <c r="AO141" s="350"/>
      <c r="AP141" s="595">
        <v>100873</v>
      </c>
      <c r="AQ141" s="595">
        <v>57</v>
      </c>
      <c r="AR141" s="354"/>
      <c r="AS141" s="354"/>
      <c r="AT141" s="604"/>
    </row>
    <row r="142" spans="1:46" ht="27" customHeight="1" x14ac:dyDescent="0.2">
      <c r="A142" s="790" t="s">
        <v>2764</v>
      </c>
      <c r="B142" s="791"/>
      <c r="C142" s="791"/>
      <c r="D142" s="791"/>
      <c r="E142" s="791"/>
      <c r="F142" s="791"/>
      <c r="G142" s="791"/>
      <c r="H142" s="791"/>
      <c r="I142" s="791"/>
      <c r="J142" s="791"/>
      <c r="K142" s="791"/>
      <c r="L142" s="791"/>
      <c r="M142" s="791"/>
      <c r="N142" s="791"/>
      <c r="O142" s="791"/>
      <c r="P142" s="791"/>
      <c r="Q142" s="791"/>
      <c r="R142" s="791"/>
      <c r="S142" s="791"/>
      <c r="T142" s="791"/>
      <c r="U142" s="791"/>
      <c r="V142" s="791"/>
      <c r="W142" s="791"/>
      <c r="X142" s="791"/>
      <c r="Y142" s="791"/>
      <c r="Z142" s="791"/>
      <c r="AA142" s="791"/>
      <c r="AB142" s="791"/>
      <c r="AC142" s="791"/>
      <c r="AD142" s="791"/>
      <c r="AE142" s="791"/>
      <c r="AF142" s="791"/>
      <c r="AG142" s="791"/>
      <c r="AH142" s="791"/>
      <c r="AI142" s="791"/>
      <c r="AJ142" s="791"/>
      <c r="AK142" s="791"/>
      <c r="AL142" s="791"/>
      <c r="AM142" s="791"/>
      <c r="AN142" s="791"/>
      <c r="AO142" s="791"/>
      <c r="AP142" s="309">
        <v>12071480</v>
      </c>
      <c r="AQ142" s="309">
        <v>27</v>
      </c>
      <c r="AR142" s="356"/>
      <c r="AS142" s="356"/>
      <c r="AT142" s="357"/>
    </row>
    <row r="146" spans="1:48" x14ac:dyDescent="0.2">
      <c r="A146" s="526" t="s">
        <v>1957</v>
      </c>
    </row>
    <row r="147" spans="1:48" ht="41.5" customHeight="1" x14ac:dyDescent="0.2">
      <c r="A147" s="953" t="s">
        <v>4312</v>
      </c>
      <c r="B147" s="954"/>
      <c r="C147" s="954"/>
      <c r="D147" s="954"/>
      <c r="E147" s="954"/>
      <c r="F147" s="954"/>
      <c r="G147" s="954"/>
      <c r="H147" s="954"/>
      <c r="I147" s="954"/>
      <c r="J147" s="954"/>
      <c r="K147" s="954"/>
      <c r="L147" s="954"/>
      <c r="M147" s="954"/>
      <c r="N147" s="954"/>
      <c r="O147" s="954"/>
      <c r="P147" s="954"/>
      <c r="Q147" s="954"/>
      <c r="R147" s="954"/>
      <c r="S147" s="954"/>
      <c r="T147" s="954"/>
      <c r="U147" s="954"/>
      <c r="V147" s="954"/>
      <c r="W147" s="954"/>
      <c r="X147" s="954"/>
      <c r="Y147" s="954"/>
      <c r="Z147" s="954"/>
      <c r="AA147" s="954"/>
      <c r="AB147" s="954"/>
      <c r="AC147" s="954"/>
      <c r="AD147" s="954"/>
      <c r="AE147" s="954"/>
      <c r="AF147" s="954"/>
      <c r="AG147" s="954"/>
      <c r="AH147" s="954"/>
      <c r="AI147" s="954"/>
      <c r="AJ147" s="954"/>
      <c r="AK147" s="954"/>
      <c r="AL147" s="954"/>
      <c r="AM147" s="954"/>
      <c r="AN147" s="954"/>
      <c r="AO147" s="954"/>
      <c r="AP147" s="954"/>
      <c r="AQ147" s="954"/>
      <c r="AR147" s="954"/>
      <c r="AS147" s="954"/>
      <c r="AT147" s="954"/>
      <c r="AU147" s="954"/>
      <c r="AV147" s="955"/>
    </row>
    <row r="148" spans="1:48" ht="14.5" customHeight="1" x14ac:dyDescent="0.2">
      <c r="A148" s="967" t="s">
        <v>4160</v>
      </c>
      <c r="B148" s="793" t="s">
        <v>3255</v>
      </c>
      <c r="C148" s="793"/>
      <c r="D148" s="793"/>
      <c r="E148" s="793"/>
      <c r="F148" s="793"/>
      <c r="G148" s="793"/>
      <c r="H148" s="793"/>
      <c r="I148" s="793"/>
      <c r="J148" s="793"/>
      <c r="K148" s="793"/>
      <c r="L148" s="793"/>
      <c r="M148" s="793"/>
      <c r="N148" s="793"/>
      <c r="O148" s="793"/>
      <c r="P148" s="793"/>
      <c r="Q148" s="793"/>
      <c r="R148" s="793"/>
      <c r="S148" s="793"/>
      <c r="T148" s="793"/>
      <c r="U148" s="793"/>
      <c r="V148" s="793"/>
      <c r="W148" s="793"/>
      <c r="X148" s="1141" t="s">
        <v>4161</v>
      </c>
      <c r="Y148" s="1141"/>
      <c r="Z148" s="1141" t="s">
        <v>4162</v>
      </c>
      <c r="AA148" s="1141"/>
      <c r="AB148" s="1141" t="s">
        <v>4163</v>
      </c>
      <c r="AC148" s="1141"/>
      <c r="AD148" s="1141" t="s">
        <v>4164</v>
      </c>
      <c r="AE148" s="1141"/>
      <c r="AF148" s="1141" t="s">
        <v>4313</v>
      </c>
      <c r="AG148" s="1141"/>
      <c r="AH148" s="1141" t="s">
        <v>4168</v>
      </c>
      <c r="AI148" s="1141"/>
      <c r="AJ148" s="1141" t="s">
        <v>4166</v>
      </c>
      <c r="AK148" s="1141"/>
      <c r="AL148" s="1141" t="s">
        <v>4314</v>
      </c>
      <c r="AM148" s="1141"/>
      <c r="AN148" s="1141" t="s">
        <v>4165</v>
      </c>
      <c r="AO148" s="1141"/>
      <c r="AP148" s="1141" t="s">
        <v>4315</v>
      </c>
      <c r="AQ148" s="1141"/>
      <c r="AR148" s="1141" t="s">
        <v>4316</v>
      </c>
      <c r="AS148" s="1141"/>
      <c r="AT148" s="1236" t="s">
        <v>4174</v>
      </c>
      <c r="AU148" s="1237"/>
      <c r="AV148" s="1238"/>
    </row>
    <row r="149" spans="1:48" ht="57" customHeight="1" x14ac:dyDescent="0.2">
      <c r="A149" s="967"/>
      <c r="B149" s="1036" t="s">
        <v>3271</v>
      </c>
      <c r="C149" s="1036"/>
      <c r="D149" s="1036" t="s">
        <v>3272</v>
      </c>
      <c r="E149" s="1036"/>
      <c r="F149" s="1036"/>
      <c r="G149" s="1036" t="s">
        <v>3577</v>
      </c>
      <c r="H149" s="1036"/>
      <c r="I149" s="1036" t="s">
        <v>3578</v>
      </c>
      <c r="J149" s="1036"/>
      <c r="K149" s="1036" t="s">
        <v>3579</v>
      </c>
      <c r="L149" s="1036"/>
      <c r="M149" s="1036" t="s">
        <v>4317</v>
      </c>
      <c r="N149" s="1036"/>
      <c r="O149" s="1036" t="s">
        <v>4318</v>
      </c>
      <c r="P149" s="1036"/>
      <c r="Q149" s="1036" t="s">
        <v>4175</v>
      </c>
      <c r="R149" s="1036"/>
      <c r="S149" s="1141" t="s">
        <v>4176</v>
      </c>
      <c r="T149" s="1141"/>
      <c r="U149" s="977" t="s">
        <v>3276</v>
      </c>
      <c r="V149" s="977"/>
      <c r="W149" s="977"/>
      <c r="X149" s="1141"/>
      <c r="Y149" s="1141"/>
      <c r="Z149" s="1141"/>
      <c r="AA149" s="1141"/>
      <c r="AB149" s="1141"/>
      <c r="AC149" s="1141"/>
      <c r="AD149" s="1141"/>
      <c r="AE149" s="1141"/>
      <c r="AF149" s="1141"/>
      <c r="AG149" s="1141"/>
      <c r="AH149" s="1141"/>
      <c r="AI149" s="1141"/>
      <c r="AJ149" s="1141"/>
      <c r="AK149" s="1141"/>
      <c r="AL149" s="1141"/>
      <c r="AM149" s="1141"/>
      <c r="AN149" s="1141"/>
      <c r="AO149" s="1141"/>
      <c r="AP149" s="1141"/>
      <c r="AQ149" s="1141"/>
      <c r="AR149" s="1141"/>
      <c r="AS149" s="1141"/>
      <c r="AT149" s="1239"/>
      <c r="AU149" s="1240"/>
      <c r="AV149" s="1241"/>
    </row>
    <row r="150" spans="1:48" x14ac:dyDescent="0.2">
      <c r="A150" s="967"/>
      <c r="B150" s="1037" t="s">
        <v>4177</v>
      </c>
      <c r="C150" s="1037" t="s">
        <v>3374</v>
      </c>
      <c r="D150" s="1037" t="s">
        <v>4177</v>
      </c>
      <c r="E150" s="1036" t="s">
        <v>3374</v>
      </c>
      <c r="F150" s="1036"/>
      <c r="G150" s="1037" t="s">
        <v>4177</v>
      </c>
      <c r="H150" s="1037" t="s">
        <v>3374</v>
      </c>
      <c r="I150" s="1037" t="s">
        <v>4177</v>
      </c>
      <c r="J150" s="1037" t="s">
        <v>3374</v>
      </c>
      <c r="K150" s="1037" t="s">
        <v>4177</v>
      </c>
      <c r="L150" s="1037" t="s">
        <v>3374</v>
      </c>
      <c r="M150" s="1037" t="s">
        <v>4177</v>
      </c>
      <c r="N150" s="1037" t="s">
        <v>3374</v>
      </c>
      <c r="O150" s="1037" t="s">
        <v>4177</v>
      </c>
      <c r="P150" s="1037" t="s">
        <v>3374</v>
      </c>
      <c r="Q150" s="1037" t="s">
        <v>4177</v>
      </c>
      <c r="R150" s="1037" t="s">
        <v>3374</v>
      </c>
      <c r="S150" s="1037" t="s">
        <v>4177</v>
      </c>
      <c r="T150" s="1037" t="s">
        <v>3374</v>
      </c>
      <c r="U150" s="1037" t="s">
        <v>4177</v>
      </c>
      <c r="V150" s="1036" t="s">
        <v>3374</v>
      </c>
      <c r="W150" s="1036"/>
      <c r="X150" s="1037" t="s">
        <v>4177</v>
      </c>
      <c r="Y150" s="1037" t="s">
        <v>3374</v>
      </c>
      <c r="Z150" s="1037" t="s">
        <v>4177</v>
      </c>
      <c r="AA150" s="1037" t="s">
        <v>3374</v>
      </c>
      <c r="AB150" s="1037" t="s">
        <v>4177</v>
      </c>
      <c r="AC150" s="1037" t="s">
        <v>3374</v>
      </c>
      <c r="AD150" s="1037" t="s">
        <v>4177</v>
      </c>
      <c r="AE150" s="1037" t="s">
        <v>3374</v>
      </c>
      <c r="AF150" s="1037" t="s">
        <v>4177</v>
      </c>
      <c r="AG150" s="1037" t="s">
        <v>3374</v>
      </c>
      <c r="AH150" s="1037" t="s">
        <v>4177</v>
      </c>
      <c r="AI150" s="1037" t="s">
        <v>3374</v>
      </c>
      <c r="AJ150" s="1037" t="s">
        <v>4177</v>
      </c>
      <c r="AK150" s="1037" t="s">
        <v>3374</v>
      </c>
      <c r="AL150" s="1037" t="s">
        <v>4177</v>
      </c>
      <c r="AM150" s="1037" t="s">
        <v>3374</v>
      </c>
      <c r="AN150" s="1037" t="s">
        <v>4177</v>
      </c>
      <c r="AO150" s="1037" t="s">
        <v>3374</v>
      </c>
      <c r="AP150" s="1037" t="s">
        <v>4177</v>
      </c>
      <c r="AQ150" s="1037" t="s">
        <v>3374</v>
      </c>
      <c r="AR150" s="1037" t="s">
        <v>4177</v>
      </c>
      <c r="AS150" s="1037" t="s">
        <v>3374</v>
      </c>
      <c r="AT150" s="1037" t="s">
        <v>4177</v>
      </c>
      <c r="AU150" s="1053" t="s">
        <v>3374</v>
      </c>
      <c r="AV150" s="1054"/>
    </row>
    <row r="151" spans="1:48" ht="30.5" customHeight="1" x14ac:dyDescent="0.2">
      <c r="A151" s="1070" t="s">
        <v>3506</v>
      </c>
      <c r="B151" s="240">
        <v>27111</v>
      </c>
      <c r="C151" s="513">
        <v>95</v>
      </c>
      <c r="D151" s="309">
        <v>377878</v>
      </c>
      <c r="E151" s="309">
        <v>82</v>
      </c>
      <c r="F151" s="310">
        <v>0.5</v>
      </c>
      <c r="G151" s="240">
        <v>487096</v>
      </c>
      <c r="H151" s="513">
        <v>35</v>
      </c>
      <c r="I151" s="240">
        <v>837806</v>
      </c>
      <c r="J151" s="513">
        <v>15</v>
      </c>
      <c r="K151" s="240">
        <v>1860074</v>
      </c>
      <c r="L151" s="513">
        <v>70</v>
      </c>
      <c r="M151" s="240">
        <v>49277</v>
      </c>
      <c r="N151" s="513">
        <v>55</v>
      </c>
      <c r="O151" s="240">
        <v>239216</v>
      </c>
      <c r="P151" s="513">
        <v>80</v>
      </c>
      <c r="Q151" s="240">
        <v>12984</v>
      </c>
      <c r="R151" s="513">
        <v>25</v>
      </c>
      <c r="S151" s="240">
        <v>9402</v>
      </c>
      <c r="T151" s="513">
        <v>40</v>
      </c>
      <c r="U151" s="309">
        <v>3882044</v>
      </c>
      <c r="V151" s="309">
        <v>17</v>
      </c>
      <c r="W151" s="310">
        <v>0.5</v>
      </c>
      <c r="X151" s="240">
        <v>14673</v>
      </c>
      <c r="Y151" s="513">
        <v>75</v>
      </c>
      <c r="Z151" s="240">
        <v>11742</v>
      </c>
      <c r="AA151" s="513">
        <v>95</v>
      </c>
      <c r="AB151" s="240">
        <v>26</v>
      </c>
      <c r="AC151" s="513">
        <v>50</v>
      </c>
      <c r="AD151" s="240">
        <v>740</v>
      </c>
      <c r="AE151" s="513">
        <v>25</v>
      </c>
      <c r="AF151" s="240">
        <v>2639</v>
      </c>
      <c r="AG151" s="513"/>
      <c r="AH151" s="240">
        <v>896</v>
      </c>
      <c r="AI151" s="513">
        <v>25</v>
      </c>
      <c r="AJ151" s="240">
        <v>846</v>
      </c>
      <c r="AK151" s="513">
        <v>75</v>
      </c>
      <c r="AL151" s="240">
        <v>442</v>
      </c>
      <c r="AM151" s="513">
        <v>85</v>
      </c>
      <c r="AN151" s="240">
        <v>14895</v>
      </c>
      <c r="AO151" s="513"/>
      <c r="AP151" s="240">
        <v>210</v>
      </c>
      <c r="AQ151" s="513">
        <v>70</v>
      </c>
      <c r="AR151" s="240">
        <v>1704</v>
      </c>
      <c r="AS151" s="513">
        <v>50</v>
      </c>
      <c r="AT151" s="240">
        <v>3930862</v>
      </c>
      <c r="AU151" s="318">
        <v>67</v>
      </c>
      <c r="AV151" s="310">
        <v>0.5</v>
      </c>
    </row>
    <row r="152" spans="1:48" ht="26" customHeight="1" x14ac:dyDescent="0.2">
      <c r="A152" s="1242" t="s">
        <v>4319</v>
      </c>
      <c r="B152" s="1243"/>
      <c r="C152" s="1243"/>
      <c r="D152" s="1243"/>
      <c r="E152" s="1243"/>
      <c r="F152" s="1243"/>
      <c r="G152" s="1243"/>
      <c r="H152" s="1243"/>
      <c r="I152" s="1243"/>
      <c r="J152" s="1243"/>
      <c r="K152" s="1243"/>
      <c r="L152" s="1243"/>
      <c r="M152" s="1243"/>
      <c r="N152" s="1243"/>
      <c r="O152" s="1243"/>
      <c r="P152" s="1243"/>
      <c r="Q152" s="1243"/>
      <c r="R152" s="1243"/>
      <c r="S152" s="1243"/>
      <c r="T152" s="1243"/>
      <c r="U152" s="1243"/>
      <c r="V152" s="1243"/>
      <c r="W152" s="1243"/>
      <c r="X152" s="1243"/>
      <c r="Y152" s="1243"/>
      <c r="Z152" s="1243"/>
      <c r="AA152" s="1243"/>
      <c r="AB152" s="1243"/>
      <c r="AC152" s="1243"/>
      <c r="AD152" s="1243"/>
      <c r="AE152" s="1243"/>
      <c r="AF152" s="1243"/>
      <c r="AG152" s="1243"/>
      <c r="AH152" s="1243"/>
      <c r="AI152" s="1243"/>
      <c r="AJ152" s="1243"/>
      <c r="AK152" s="1243"/>
      <c r="AL152" s="1243"/>
      <c r="AM152" s="1243"/>
      <c r="AN152" s="1243"/>
      <c r="AO152" s="1243"/>
      <c r="AP152" s="1243"/>
      <c r="AQ152" s="1243"/>
      <c r="AR152" s="1243"/>
      <c r="AS152" s="1243"/>
      <c r="AT152" s="1243"/>
      <c r="AU152" s="1243"/>
      <c r="AV152" s="1244"/>
    </row>
  </sheetData>
  <mergeCells count="136">
    <mergeCell ref="S149:T149"/>
    <mergeCell ref="U149:W149"/>
    <mergeCell ref="E150:F150"/>
    <mergeCell ref="V150:W150"/>
    <mergeCell ref="AU150:AV150"/>
    <mergeCell ref="A152:AV152"/>
    <mergeCell ref="AR148:AS149"/>
    <mergeCell ref="AT148:AV149"/>
    <mergeCell ref="B149:C149"/>
    <mergeCell ref="D149:F149"/>
    <mergeCell ref="G149:H149"/>
    <mergeCell ref="I149:J149"/>
    <mergeCell ref="K149:L149"/>
    <mergeCell ref="M149:N149"/>
    <mergeCell ref="O149:P149"/>
    <mergeCell ref="Q149:R149"/>
    <mergeCell ref="AF148:AG149"/>
    <mergeCell ref="AH148:AI149"/>
    <mergeCell ref="AJ148:AK149"/>
    <mergeCell ref="AL148:AM149"/>
    <mergeCell ref="AN148:AO149"/>
    <mergeCell ref="AP148:AQ149"/>
    <mergeCell ref="AS139:AT139"/>
    <mergeCell ref="AR141:AT142"/>
    <mergeCell ref="A142:AO142"/>
    <mergeCell ref="A147:AV147"/>
    <mergeCell ref="A148:A150"/>
    <mergeCell ref="B148:W148"/>
    <mergeCell ref="X148:Y149"/>
    <mergeCell ref="Z148:AA149"/>
    <mergeCell ref="AB148:AC149"/>
    <mergeCell ref="AD148:AE149"/>
    <mergeCell ref="AI138:AJ138"/>
    <mergeCell ref="AL138:AM138"/>
    <mergeCell ref="AN138:AO138"/>
    <mergeCell ref="C139:D139"/>
    <mergeCell ref="F139:G139"/>
    <mergeCell ref="I139:J139"/>
    <mergeCell ref="L139:M139"/>
    <mergeCell ref="AI139:AJ139"/>
    <mergeCell ref="AN139:AO139"/>
    <mergeCell ref="AR137:AT138"/>
    <mergeCell ref="B138:D138"/>
    <mergeCell ref="E138:G138"/>
    <mergeCell ref="H138:J138"/>
    <mergeCell ref="K138:M138"/>
    <mergeCell ref="P138:Q138"/>
    <mergeCell ref="R138:S138"/>
    <mergeCell ref="T138:U138"/>
    <mergeCell ref="V138:W138"/>
    <mergeCell ref="X138:Y138"/>
    <mergeCell ref="N137:N138"/>
    <mergeCell ref="O137:O138"/>
    <mergeCell ref="P137:AG137"/>
    <mergeCell ref="AH137:AH138"/>
    <mergeCell ref="AI137:AO137"/>
    <mergeCell ref="AP137:AQ138"/>
    <mergeCell ref="Z138:AA138"/>
    <mergeCell ref="AB138:AC138"/>
    <mergeCell ref="AD138:AE138"/>
    <mergeCell ref="AF138:AG138"/>
    <mergeCell ref="K115:L115"/>
    <mergeCell ref="A125:G125"/>
    <mergeCell ref="A135:AT135"/>
    <mergeCell ref="A136:A139"/>
    <mergeCell ref="B136:M136"/>
    <mergeCell ref="N136:O136"/>
    <mergeCell ref="P136:AO136"/>
    <mergeCell ref="AP136:AT136"/>
    <mergeCell ref="B137:G137"/>
    <mergeCell ref="H137:M137"/>
    <mergeCell ref="B108:E108"/>
    <mergeCell ref="B109:E109"/>
    <mergeCell ref="A114:J114"/>
    <mergeCell ref="B115:D115"/>
    <mergeCell ref="E115:G115"/>
    <mergeCell ref="H115:J115"/>
    <mergeCell ref="B102:E102"/>
    <mergeCell ref="B103:E103"/>
    <mergeCell ref="B104:E104"/>
    <mergeCell ref="B105:E105"/>
    <mergeCell ref="B106:E106"/>
    <mergeCell ref="B107:E107"/>
    <mergeCell ref="P86:Q86"/>
    <mergeCell ref="R86:S86"/>
    <mergeCell ref="T86:U86"/>
    <mergeCell ref="A99:E99"/>
    <mergeCell ref="A100:E100"/>
    <mergeCell ref="B101:E101"/>
    <mergeCell ref="R62:S62"/>
    <mergeCell ref="U62:V62"/>
    <mergeCell ref="A85:U85"/>
    <mergeCell ref="B86:C86"/>
    <mergeCell ref="D86:E86"/>
    <mergeCell ref="F86:G86"/>
    <mergeCell ref="H86:I86"/>
    <mergeCell ref="J86:K86"/>
    <mergeCell ref="L86:M86"/>
    <mergeCell ref="N86:O86"/>
    <mergeCell ref="H61:J61"/>
    <mergeCell ref="K61:M61"/>
    <mergeCell ref="N61:P61"/>
    <mergeCell ref="C62:D62"/>
    <mergeCell ref="F62:G62"/>
    <mergeCell ref="I62:J62"/>
    <mergeCell ref="L62:M62"/>
    <mergeCell ref="O62:P62"/>
    <mergeCell ref="K45:M45"/>
    <mergeCell ref="N45:P45"/>
    <mergeCell ref="A59:V59"/>
    <mergeCell ref="A60:A61"/>
    <mergeCell ref="B60:D61"/>
    <mergeCell ref="E60:J60"/>
    <mergeCell ref="K60:P60"/>
    <mergeCell ref="Q60:S61"/>
    <mergeCell ref="T60:V61"/>
    <mergeCell ref="E61:G61"/>
    <mergeCell ref="A42:V42"/>
    <mergeCell ref="A43:V43"/>
    <mergeCell ref="A44:A45"/>
    <mergeCell ref="B44:D45"/>
    <mergeCell ref="E44:J44"/>
    <mergeCell ref="K44:P44"/>
    <mergeCell ref="Q44:S45"/>
    <mergeCell ref="T44:V45"/>
    <mergeCell ref="E45:G45"/>
    <mergeCell ref="H45:J45"/>
    <mergeCell ref="A4:D4"/>
    <mergeCell ref="A21:D21"/>
    <mergeCell ref="A26:M26"/>
    <mergeCell ref="A27:A28"/>
    <mergeCell ref="B27:M27"/>
    <mergeCell ref="B28:D28"/>
    <mergeCell ref="E28:G28"/>
    <mergeCell ref="H28:J28"/>
    <mergeCell ref="K28:M28"/>
  </mergeCell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M209"/>
  <sheetViews>
    <sheetView topLeftCell="B1" workbookViewId="0">
      <selection activeCell="B1" sqref="B1"/>
    </sheetView>
  </sheetViews>
  <sheetFormatPr baseColWidth="10" defaultRowHeight="15" x14ac:dyDescent="0.2"/>
  <cols>
    <col min="1" max="1" width="42.83203125" style="107" customWidth="1"/>
    <col min="2" max="2" width="10.83203125" style="107"/>
    <col min="3" max="4" width="8.1640625" style="107" customWidth="1"/>
    <col min="5" max="5" width="10.83203125" style="107"/>
    <col min="6" max="6" width="5.83203125" style="107" customWidth="1"/>
    <col min="7" max="7" width="6.1640625" style="107" customWidth="1"/>
    <col min="8" max="8" width="11.6640625" style="107" customWidth="1"/>
    <col min="9" max="9" width="5.83203125" style="107" customWidth="1"/>
    <col min="10" max="10" width="6.1640625" style="107" customWidth="1"/>
    <col min="11" max="11" width="11.6640625" style="107" customWidth="1"/>
    <col min="12" max="12" width="5.83203125" style="107" customWidth="1"/>
    <col min="13" max="13" width="6.1640625" style="107" customWidth="1"/>
    <col min="14" max="16384" width="10.83203125" style="107"/>
  </cols>
  <sheetData>
    <row r="1" spans="1:13" x14ac:dyDescent="0.2">
      <c r="A1" s="972" t="s">
        <v>4320</v>
      </c>
    </row>
    <row r="3" spans="1:13" x14ac:dyDescent="0.2">
      <c r="A3" s="526" t="s">
        <v>1111</v>
      </c>
    </row>
    <row r="4" spans="1:13" ht="24.5" customHeight="1" x14ac:dyDescent="0.2">
      <c r="A4" s="1119" t="s">
        <v>4321</v>
      </c>
      <c r="B4" s="1119"/>
      <c r="C4" s="1119"/>
      <c r="D4" s="1119"/>
      <c r="E4" s="1119"/>
      <c r="F4" s="1119"/>
      <c r="G4" s="1119"/>
      <c r="H4" s="1119"/>
      <c r="I4" s="1119"/>
      <c r="J4" s="1119"/>
      <c r="K4" s="1119"/>
      <c r="L4" s="1119"/>
      <c r="M4" s="1119"/>
    </row>
    <row r="5" spans="1:13" x14ac:dyDescent="0.2">
      <c r="A5" s="793"/>
      <c r="B5" s="838" t="s">
        <v>4322</v>
      </c>
      <c r="C5" s="838"/>
      <c r="D5" s="838"/>
      <c r="E5" s="838" t="s">
        <v>4323</v>
      </c>
      <c r="F5" s="838"/>
      <c r="G5" s="485"/>
      <c r="H5" s="838" t="s">
        <v>4324</v>
      </c>
      <c r="I5" s="838"/>
      <c r="J5" s="838"/>
      <c r="K5" s="838" t="s">
        <v>4325</v>
      </c>
      <c r="L5" s="838"/>
      <c r="M5" s="838"/>
    </row>
    <row r="6" spans="1:13" x14ac:dyDescent="0.2">
      <c r="A6" s="793"/>
      <c r="B6" s="838" t="s">
        <v>4326</v>
      </c>
      <c r="C6" s="838"/>
      <c r="D6" s="838"/>
      <c r="E6" s="838" t="s">
        <v>4326</v>
      </c>
      <c r="F6" s="838"/>
      <c r="G6" s="485"/>
      <c r="H6" s="838"/>
      <c r="I6" s="838"/>
      <c r="J6" s="838"/>
      <c r="K6" s="838"/>
      <c r="L6" s="838"/>
      <c r="M6" s="838"/>
    </row>
    <row r="7" spans="1:13" x14ac:dyDescent="0.2">
      <c r="A7" s="716" t="s">
        <v>1174</v>
      </c>
      <c r="B7" s="131">
        <v>1080911</v>
      </c>
      <c r="C7" s="145">
        <v>80</v>
      </c>
      <c r="D7" s="133"/>
      <c r="E7" s="131">
        <v>1711203</v>
      </c>
      <c r="F7" s="145">
        <v>35</v>
      </c>
      <c r="G7" s="133">
        <v>0.5</v>
      </c>
      <c r="H7" s="131">
        <v>630291</v>
      </c>
      <c r="I7" s="145">
        <v>55</v>
      </c>
      <c r="J7" s="133">
        <v>0.5</v>
      </c>
      <c r="K7" s="131"/>
      <c r="L7" s="145"/>
      <c r="M7" s="133"/>
    </row>
    <row r="8" spans="1:13" x14ac:dyDescent="0.2">
      <c r="A8" s="533" t="s">
        <v>1569</v>
      </c>
      <c r="B8" s="131">
        <v>1361039</v>
      </c>
      <c r="C8" s="145">
        <v>67</v>
      </c>
      <c r="D8" s="133">
        <v>0.5</v>
      </c>
      <c r="E8" s="131">
        <v>930949</v>
      </c>
      <c r="F8" s="145">
        <v>95</v>
      </c>
      <c r="G8" s="133"/>
      <c r="H8" s="131"/>
      <c r="I8" s="145"/>
      <c r="J8" s="133"/>
      <c r="K8" s="131">
        <v>430089</v>
      </c>
      <c r="L8" s="145">
        <v>72</v>
      </c>
      <c r="M8" s="133">
        <v>0.5</v>
      </c>
    </row>
    <row r="9" spans="1:13" x14ac:dyDescent="0.2">
      <c r="A9" s="533" t="s">
        <v>3386</v>
      </c>
      <c r="B9" s="131">
        <v>682113</v>
      </c>
      <c r="C9" s="145">
        <v>38</v>
      </c>
      <c r="D9" s="133">
        <v>0.5</v>
      </c>
      <c r="E9" s="131">
        <v>586478</v>
      </c>
      <c r="F9" s="145">
        <v>29</v>
      </c>
      <c r="G9" s="133"/>
      <c r="H9" s="131"/>
      <c r="I9" s="145"/>
      <c r="J9" s="133"/>
      <c r="K9" s="131">
        <v>95635</v>
      </c>
      <c r="L9" s="145">
        <v>9</v>
      </c>
      <c r="M9" s="133">
        <v>0.5</v>
      </c>
    </row>
    <row r="10" spans="1:13" x14ac:dyDescent="0.2">
      <c r="A10" s="533" t="s">
        <v>4327</v>
      </c>
      <c r="B10" s="131">
        <v>95435</v>
      </c>
      <c r="C10" s="145">
        <v>67</v>
      </c>
      <c r="D10" s="133"/>
      <c r="E10" s="131">
        <v>91849</v>
      </c>
      <c r="F10" s="145">
        <v>88</v>
      </c>
      <c r="G10" s="133"/>
      <c r="H10" s="131"/>
      <c r="I10" s="145"/>
      <c r="J10" s="133"/>
      <c r="K10" s="131">
        <v>3585</v>
      </c>
      <c r="L10" s="145">
        <v>79</v>
      </c>
      <c r="M10" s="133"/>
    </row>
    <row r="11" spans="1:13" x14ac:dyDescent="0.2">
      <c r="A11" s="533" t="s">
        <v>4328</v>
      </c>
      <c r="B11" s="131">
        <v>137485</v>
      </c>
      <c r="C11" s="145">
        <v>10</v>
      </c>
      <c r="D11" s="133"/>
      <c r="E11" s="131">
        <v>169807</v>
      </c>
      <c r="F11" s="145">
        <v>95</v>
      </c>
      <c r="G11" s="133"/>
      <c r="H11" s="131">
        <v>32322</v>
      </c>
      <c r="I11" s="145">
        <v>85</v>
      </c>
      <c r="J11" s="133"/>
      <c r="K11" s="131"/>
      <c r="L11" s="145"/>
      <c r="M11" s="133"/>
    </row>
    <row r="12" spans="1:13" x14ac:dyDescent="0.2">
      <c r="A12" s="533" t="s">
        <v>4329</v>
      </c>
      <c r="B12" s="131">
        <v>947775</v>
      </c>
      <c r="C12" s="145">
        <v>39</v>
      </c>
      <c r="D12" s="133"/>
      <c r="E12" s="131">
        <v>1508668</v>
      </c>
      <c r="F12" s="145">
        <v>81</v>
      </c>
      <c r="G12" s="133"/>
      <c r="H12" s="131">
        <v>560893</v>
      </c>
      <c r="I12" s="145">
        <v>42</v>
      </c>
      <c r="J12" s="133"/>
      <c r="K12" s="131"/>
      <c r="L12" s="145"/>
      <c r="M12" s="133"/>
    </row>
    <row r="13" spans="1:13" x14ac:dyDescent="0.2">
      <c r="A13" s="533" t="s">
        <v>4330</v>
      </c>
      <c r="B13" s="131">
        <v>1492</v>
      </c>
      <c r="C13" s="145">
        <v>57</v>
      </c>
      <c r="D13" s="133">
        <v>0.5</v>
      </c>
      <c r="E13" s="131">
        <v>739</v>
      </c>
      <c r="F13" s="145">
        <v>72</v>
      </c>
      <c r="G13" s="133">
        <v>0.5</v>
      </c>
      <c r="H13" s="131"/>
      <c r="I13" s="145"/>
      <c r="J13" s="133"/>
      <c r="K13" s="131">
        <v>752</v>
      </c>
      <c r="L13" s="145">
        <v>85</v>
      </c>
      <c r="M13" s="133"/>
    </row>
    <row r="14" spans="1:13" x14ac:dyDescent="0.2">
      <c r="A14" s="785" t="s">
        <v>4331</v>
      </c>
      <c r="B14" s="240">
        <v>4306253</v>
      </c>
      <c r="C14" s="318">
        <v>59</v>
      </c>
      <c r="D14" s="241">
        <v>0.5</v>
      </c>
      <c r="E14" s="240">
        <v>4999697</v>
      </c>
      <c r="F14" s="318">
        <v>96</v>
      </c>
      <c r="G14" s="241"/>
      <c r="H14" s="349">
        <v>1223507</v>
      </c>
      <c r="I14" s="350">
        <v>82</v>
      </c>
      <c r="J14" s="352">
        <v>0.5</v>
      </c>
      <c r="K14" s="349">
        <v>530063</v>
      </c>
      <c r="L14" s="350">
        <v>46</v>
      </c>
      <c r="M14" s="241"/>
    </row>
    <row r="15" spans="1:13" x14ac:dyDescent="0.2">
      <c r="A15" s="622"/>
      <c r="B15" s="1145">
        <f t="shared" ref="B15:M15" si="0">+SUM(B7:B13)</f>
        <v>4306250</v>
      </c>
      <c r="C15" s="1145">
        <f t="shared" si="0"/>
        <v>358</v>
      </c>
      <c r="D15" s="1146">
        <f t="shared" si="0"/>
        <v>1.5</v>
      </c>
      <c r="E15" s="1145">
        <f t="shared" si="0"/>
        <v>4999693</v>
      </c>
      <c r="F15" s="1145">
        <f t="shared" si="0"/>
        <v>495</v>
      </c>
      <c r="G15" s="1146">
        <f t="shared" si="0"/>
        <v>1</v>
      </c>
      <c r="H15" s="109">
        <f t="shared" si="0"/>
        <v>1223506</v>
      </c>
      <c r="I15" s="109">
        <f t="shared" si="0"/>
        <v>182</v>
      </c>
      <c r="J15" s="1191">
        <f t="shared" si="0"/>
        <v>0.5</v>
      </c>
      <c r="K15" s="109">
        <f t="shared" si="0"/>
        <v>530061</v>
      </c>
      <c r="L15" s="109">
        <f t="shared" si="0"/>
        <v>245</v>
      </c>
      <c r="M15" s="1146">
        <f t="shared" si="0"/>
        <v>1</v>
      </c>
    </row>
    <row r="16" spans="1:13" x14ac:dyDescent="0.2">
      <c r="A16" s="295" t="s">
        <v>4332</v>
      </c>
      <c r="B16" s="296"/>
      <c r="C16" s="296"/>
      <c r="D16" s="296"/>
      <c r="E16" s="296"/>
      <c r="F16" s="296"/>
      <c r="G16" s="297"/>
      <c r="H16" s="131">
        <v>530063</v>
      </c>
      <c r="I16" s="145">
        <v>46</v>
      </c>
      <c r="J16" s="133"/>
      <c r="K16" s="131"/>
      <c r="L16" s="145"/>
      <c r="M16" s="307"/>
    </row>
    <row r="17" spans="1:13" x14ac:dyDescent="0.2">
      <c r="A17" s="301" t="s">
        <v>4333</v>
      </c>
      <c r="B17" s="302"/>
      <c r="C17" s="302"/>
      <c r="D17" s="302"/>
      <c r="E17" s="302"/>
      <c r="F17" s="302"/>
      <c r="G17" s="303"/>
      <c r="H17" s="240">
        <v>693444</v>
      </c>
      <c r="I17" s="318">
        <v>36</v>
      </c>
      <c r="J17" s="241">
        <v>0.5</v>
      </c>
      <c r="K17" s="230"/>
      <c r="L17" s="309"/>
      <c r="M17" s="364"/>
    </row>
    <row r="18" spans="1:13" x14ac:dyDescent="0.2">
      <c r="B18" s="107">
        <f>B12+B7</f>
        <v>2028686</v>
      </c>
      <c r="H18" s="393">
        <f>+H14-H16</f>
        <v>693444</v>
      </c>
      <c r="I18" s="393">
        <f>+I14-I16</f>
        <v>36</v>
      </c>
      <c r="J18" s="1078">
        <f>+J14-J16</f>
        <v>0.5</v>
      </c>
    </row>
    <row r="19" spans="1:13" x14ac:dyDescent="0.2">
      <c r="B19" s="107">
        <f>B27-B7</f>
        <v>2277235</v>
      </c>
    </row>
    <row r="21" spans="1:13" x14ac:dyDescent="0.2">
      <c r="A21" s="526" t="s">
        <v>1171</v>
      </c>
    </row>
    <row r="22" spans="1:13" ht="38" customHeight="1" x14ac:dyDescent="0.2">
      <c r="A22" s="1245" t="s">
        <v>4334</v>
      </c>
      <c r="B22" s="1246"/>
      <c r="C22" s="1246"/>
      <c r="D22" s="1246"/>
      <c r="E22" s="1246"/>
      <c r="F22" s="1246"/>
      <c r="G22" s="1247"/>
    </row>
    <row r="23" spans="1:13" ht="14.5" customHeight="1" x14ac:dyDescent="0.2">
      <c r="A23" s="480" t="s">
        <v>4335</v>
      </c>
      <c r="B23" s="481"/>
      <c r="C23" s="481"/>
      <c r="D23" s="481"/>
      <c r="E23" s="1248"/>
      <c r="F23" s="1248"/>
      <c r="G23" s="1249"/>
    </row>
    <row r="24" spans="1:13" ht="14.5" customHeight="1" x14ac:dyDescent="0.2">
      <c r="A24" s="131" t="s">
        <v>4336</v>
      </c>
      <c r="B24" s="569">
        <v>5877712</v>
      </c>
      <c r="C24" s="569">
        <v>53</v>
      </c>
      <c r="D24" s="1250">
        <v>0.5</v>
      </c>
      <c r="E24" s="1248"/>
      <c r="F24" s="1248"/>
      <c r="G24" s="1249"/>
    </row>
    <row r="25" spans="1:13" ht="14.5" customHeight="1" thickBot="1" x14ac:dyDescent="0.25">
      <c r="A25" s="131" t="s">
        <v>4337</v>
      </c>
      <c r="B25" s="187">
        <v>150407</v>
      </c>
      <c r="C25" s="187">
        <v>650</v>
      </c>
      <c r="D25" s="190"/>
      <c r="E25" s="1251">
        <v>6028120</v>
      </c>
      <c r="F25" s="1251">
        <v>184</v>
      </c>
      <c r="G25" s="1252">
        <v>0.5</v>
      </c>
    </row>
    <row r="26" spans="1:13" ht="14.5" customHeight="1" x14ac:dyDescent="0.2">
      <c r="A26" s="131" t="s">
        <v>4338</v>
      </c>
      <c r="B26" s="145"/>
      <c r="C26" s="145"/>
      <c r="D26" s="180"/>
      <c r="E26" s="1248"/>
      <c r="F26" s="1248"/>
      <c r="G26" s="1249"/>
    </row>
    <row r="27" spans="1:13" x14ac:dyDescent="0.2">
      <c r="A27" s="131" t="s">
        <v>1174</v>
      </c>
      <c r="B27" s="145">
        <v>3358146</v>
      </c>
      <c r="C27" s="145">
        <v>600</v>
      </c>
      <c r="D27" s="180"/>
      <c r="E27" s="145"/>
      <c r="F27" s="145"/>
      <c r="G27" s="133"/>
    </row>
    <row r="28" spans="1:13" x14ac:dyDescent="0.2">
      <c r="A28" s="131" t="s">
        <v>1569</v>
      </c>
      <c r="B28" s="145">
        <v>1497028</v>
      </c>
      <c r="C28" s="145">
        <v>450</v>
      </c>
      <c r="D28" s="180"/>
      <c r="E28" s="145"/>
      <c r="F28" s="145"/>
      <c r="G28" s="133"/>
    </row>
    <row r="29" spans="1:13" x14ac:dyDescent="0.2">
      <c r="A29" s="131" t="s">
        <v>1808</v>
      </c>
      <c r="B29" s="145">
        <v>9292</v>
      </c>
      <c r="C29" s="145">
        <v>338</v>
      </c>
      <c r="D29" s="180"/>
      <c r="E29" s="145"/>
      <c r="F29" s="145"/>
      <c r="G29" s="133"/>
    </row>
    <row r="30" spans="1:13" x14ac:dyDescent="0.2">
      <c r="A30" s="131" t="s">
        <v>1991</v>
      </c>
      <c r="B30" s="145">
        <v>193750</v>
      </c>
      <c r="C30" s="145"/>
      <c r="D30" s="180"/>
      <c r="E30" s="145"/>
      <c r="F30" s="145"/>
      <c r="G30" s="133"/>
    </row>
    <row r="31" spans="1:13" x14ac:dyDescent="0.2">
      <c r="A31" s="131" t="s">
        <v>3675</v>
      </c>
      <c r="B31" s="145">
        <v>129955</v>
      </c>
      <c r="C31" s="145">
        <v>650</v>
      </c>
      <c r="D31" s="180"/>
      <c r="E31" s="145"/>
      <c r="F31" s="145"/>
      <c r="G31" s="133"/>
    </row>
    <row r="32" spans="1:13" x14ac:dyDescent="0.2">
      <c r="A32" s="131" t="s">
        <v>2761</v>
      </c>
      <c r="B32" s="145">
        <v>18310</v>
      </c>
      <c r="C32" s="145">
        <v>800</v>
      </c>
      <c r="D32" s="180"/>
      <c r="E32" s="145"/>
      <c r="F32" s="145"/>
      <c r="G32" s="133"/>
    </row>
    <row r="33" spans="1:7" x14ac:dyDescent="0.2">
      <c r="A33" s="131" t="s">
        <v>4084</v>
      </c>
      <c r="B33" s="145">
        <v>17007</v>
      </c>
      <c r="C33" s="145">
        <v>731</v>
      </c>
      <c r="D33" s="180"/>
      <c r="E33" s="145"/>
      <c r="F33" s="145"/>
      <c r="G33" s="133"/>
    </row>
    <row r="34" spans="1:7" x14ac:dyDescent="0.2">
      <c r="A34" s="131" t="s">
        <v>1175</v>
      </c>
      <c r="B34" s="145">
        <v>94346</v>
      </c>
      <c r="C34" s="145">
        <v>745</v>
      </c>
      <c r="D34" s="180"/>
      <c r="E34" s="145"/>
      <c r="F34" s="145"/>
      <c r="G34" s="133"/>
    </row>
    <row r="35" spans="1:7" x14ac:dyDescent="0.2">
      <c r="A35" s="131" t="s">
        <v>3287</v>
      </c>
      <c r="B35" s="145">
        <v>27870</v>
      </c>
      <c r="C35" s="145">
        <v>750</v>
      </c>
      <c r="D35" s="180"/>
      <c r="E35" s="145"/>
      <c r="F35" s="145"/>
      <c r="G35" s="133"/>
    </row>
    <row r="36" spans="1:7" x14ac:dyDescent="0.2">
      <c r="A36" s="131" t="s">
        <v>4085</v>
      </c>
      <c r="B36" s="145">
        <v>36181</v>
      </c>
      <c r="C36" s="145">
        <v>450</v>
      </c>
      <c r="D36" s="180"/>
      <c r="E36" s="145"/>
      <c r="F36" s="145"/>
      <c r="G36" s="133"/>
    </row>
    <row r="37" spans="1:7" x14ac:dyDescent="0.2">
      <c r="A37" s="131" t="s">
        <v>2763</v>
      </c>
      <c r="B37" s="145">
        <v>335036</v>
      </c>
      <c r="C37" s="145">
        <v>220</v>
      </c>
      <c r="D37" s="180">
        <v>0.5</v>
      </c>
      <c r="E37" s="145"/>
      <c r="F37" s="145"/>
      <c r="G37" s="133"/>
    </row>
    <row r="38" spans="1:7" x14ac:dyDescent="0.2">
      <c r="A38" s="131" t="s">
        <v>4339</v>
      </c>
      <c r="B38" s="145">
        <v>159049</v>
      </c>
      <c r="C38" s="145">
        <v>550</v>
      </c>
      <c r="D38" s="180"/>
      <c r="E38" s="145"/>
      <c r="F38" s="145"/>
      <c r="G38" s="133"/>
    </row>
    <row r="39" spans="1:7" ht="16" thickBot="1" x14ac:dyDescent="0.25">
      <c r="A39" s="131" t="s">
        <v>4340</v>
      </c>
      <c r="B39" s="187">
        <v>1736</v>
      </c>
      <c r="C39" s="187">
        <v>250</v>
      </c>
      <c r="D39" s="190"/>
      <c r="E39" s="187">
        <v>5877712</v>
      </c>
      <c r="F39" s="187">
        <v>534</v>
      </c>
      <c r="G39" s="189">
        <v>0.5</v>
      </c>
    </row>
    <row r="40" spans="1:7" ht="16" thickBot="1" x14ac:dyDescent="0.25">
      <c r="A40" s="131"/>
      <c r="B40" s="145"/>
      <c r="C40" s="145"/>
      <c r="D40" s="180"/>
      <c r="E40" s="1093">
        <f>+SUM(B27:B39)</f>
        <v>5877706</v>
      </c>
      <c r="F40" s="1093">
        <f>+SUM(C27:C39)</f>
        <v>6534</v>
      </c>
      <c r="G40" s="867">
        <f>+SUM(D27:D39)</f>
        <v>0.5</v>
      </c>
    </row>
    <row r="41" spans="1:7" x14ac:dyDescent="0.2">
      <c r="A41" s="588" t="s">
        <v>4341</v>
      </c>
      <c r="B41" s="589"/>
      <c r="C41" s="589"/>
      <c r="D41" s="589"/>
      <c r="E41" s="145">
        <v>1010101</v>
      </c>
      <c r="F41" s="145">
        <v>229</v>
      </c>
      <c r="G41" s="133">
        <v>0.5</v>
      </c>
    </row>
    <row r="42" spans="1:7" x14ac:dyDescent="0.2">
      <c r="A42" s="588" t="s">
        <v>4342</v>
      </c>
      <c r="B42" s="589"/>
      <c r="C42" s="589"/>
      <c r="D42" s="589"/>
      <c r="E42" s="145">
        <v>907400</v>
      </c>
      <c r="F42" s="145"/>
      <c r="G42" s="133"/>
    </row>
    <row r="43" spans="1:7" ht="29" customHeight="1" x14ac:dyDescent="0.2">
      <c r="A43" s="585" t="s">
        <v>4343</v>
      </c>
      <c r="B43" s="586"/>
      <c r="C43" s="586"/>
      <c r="D43" s="586"/>
      <c r="E43" s="145">
        <v>2134732</v>
      </c>
      <c r="F43" s="145"/>
      <c r="G43" s="133"/>
    </row>
    <row r="44" spans="1:7" ht="16" thickBot="1" x14ac:dyDescent="0.25">
      <c r="A44" s="585" t="s">
        <v>4344</v>
      </c>
      <c r="B44" s="586"/>
      <c r="C44" s="586"/>
      <c r="D44" s="586"/>
      <c r="E44" s="187">
        <v>2149918</v>
      </c>
      <c r="F44" s="187">
        <v>200</v>
      </c>
      <c r="G44" s="189"/>
    </row>
    <row r="45" spans="1:7" ht="16" thickBot="1" x14ac:dyDescent="0.25">
      <c r="A45" s="131"/>
      <c r="B45" s="145"/>
      <c r="C45" s="145"/>
      <c r="D45" s="145"/>
      <c r="E45" s="187">
        <v>6202151</v>
      </c>
      <c r="F45" s="187">
        <v>429</v>
      </c>
      <c r="G45" s="189">
        <v>0.5</v>
      </c>
    </row>
    <row r="46" spans="1:7" x14ac:dyDescent="0.2">
      <c r="A46" s="480" t="s">
        <v>4345</v>
      </c>
      <c r="B46" s="481"/>
      <c r="C46" s="481"/>
      <c r="D46" s="481"/>
      <c r="E46" s="145">
        <v>6028120</v>
      </c>
      <c r="F46" s="145">
        <v>184</v>
      </c>
      <c r="G46" s="133">
        <v>0.5</v>
      </c>
    </row>
    <row r="47" spans="1:7" ht="16" thickBot="1" x14ac:dyDescent="0.25">
      <c r="A47" s="790" t="s">
        <v>4346</v>
      </c>
      <c r="B47" s="791"/>
      <c r="C47" s="791"/>
      <c r="D47" s="791"/>
      <c r="E47" s="595">
        <v>12230271</v>
      </c>
      <c r="F47" s="595">
        <v>614</v>
      </c>
      <c r="G47" s="1079"/>
    </row>
    <row r="52" spans="1:7" x14ac:dyDescent="0.2">
      <c r="A52" s="526" t="s">
        <v>1853</v>
      </c>
    </row>
    <row r="53" spans="1:7" ht="29.5" customHeight="1" x14ac:dyDescent="0.2">
      <c r="A53" s="1245" t="s">
        <v>4347</v>
      </c>
      <c r="B53" s="1246"/>
      <c r="C53" s="1246"/>
      <c r="D53" s="1246"/>
      <c r="E53" s="1246"/>
      <c r="F53" s="1246"/>
      <c r="G53" s="1247"/>
    </row>
    <row r="54" spans="1:7" ht="14" customHeight="1" x14ac:dyDescent="0.2">
      <c r="A54" s="131" t="s">
        <v>4348</v>
      </c>
      <c r="B54" s="1248"/>
      <c r="C54" s="1248"/>
      <c r="D54" s="1248"/>
      <c r="E54" s="1248"/>
      <c r="F54" s="1248"/>
      <c r="G54" s="1253"/>
    </row>
    <row r="55" spans="1:7" ht="14" customHeight="1" x14ac:dyDescent="0.2">
      <c r="A55" s="131" t="s">
        <v>4349</v>
      </c>
      <c r="B55" s="569">
        <v>17</v>
      </c>
      <c r="C55" s="569">
        <v>750</v>
      </c>
      <c r="D55" s="1250"/>
      <c r="E55" s="1248"/>
      <c r="F55" s="1248"/>
      <c r="G55" s="1253"/>
    </row>
    <row r="56" spans="1:7" ht="14" customHeight="1" x14ac:dyDescent="0.2">
      <c r="A56" s="131" t="s">
        <v>4350</v>
      </c>
      <c r="B56" s="569">
        <v>658252</v>
      </c>
      <c r="C56" s="569">
        <v>442</v>
      </c>
      <c r="D56" s="1250">
        <v>0.5</v>
      </c>
      <c r="E56" s="1248"/>
      <c r="F56" s="1248"/>
      <c r="G56" s="1249"/>
    </row>
    <row r="57" spans="1:7" ht="14" customHeight="1" thickBot="1" x14ac:dyDescent="0.25">
      <c r="A57" s="131" t="s">
        <v>4351</v>
      </c>
      <c r="B57" s="187">
        <v>3589999</v>
      </c>
      <c r="C57" s="187">
        <v>315</v>
      </c>
      <c r="D57" s="190"/>
      <c r="E57" s="1251">
        <v>4248269</v>
      </c>
      <c r="F57" s="1251">
        <v>507</v>
      </c>
      <c r="G57" s="1252">
        <v>0.5</v>
      </c>
    </row>
    <row r="58" spans="1:7" ht="14" customHeight="1" x14ac:dyDescent="0.2">
      <c r="A58" s="131"/>
      <c r="B58" s="145"/>
      <c r="C58" s="145"/>
      <c r="D58" s="180"/>
      <c r="E58" s="1254">
        <f>+SUM(B55:B57)</f>
        <v>4248268</v>
      </c>
      <c r="F58" s="1254">
        <f t="shared" ref="F58:G58" si="1">+SUM(C55:C57)</f>
        <v>1507</v>
      </c>
      <c r="G58" s="1255">
        <f t="shared" si="1"/>
        <v>0.5</v>
      </c>
    </row>
    <row r="59" spans="1:7" ht="14" customHeight="1" x14ac:dyDescent="0.2">
      <c r="A59" s="1256" t="s">
        <v>4352</v>
      </c>
      <c r="B59" s="1257"/>
      <c r="C59" s="1257"/>
      <c r="D59" s="1257"/>
      <c r="E59" s="1258">
        <f>+B55+B56</f>
        <v>658269</v>
      </c>
      <c r="F59" s="1258">
        <f t="shared" ref="F59:G59" si="2">+C55+C56</f>
        <v>1192</v>
      </c>
      <c r="G59" s="1258">
        <f t="shared" si="2"/>
        <v>0.5</v>
      </c>
    </row>
    <row r="60" spans="1:7" ht="14" customHeight="1" x14ac:dyDescent="0.2">
      <c r="A60" s="131" t="s">
        <v>4353</v>
      </c>
      <c r="B60" s="1248"/>
      <c r="C60" s="1248"/>
      <c r="D60" s="1248"/>
      <c r="E60" s="1248"/>
      <c r="F60" s="1248"/>
      <c r="G60" s="1253"/>
    </row>
    <row r="61" spans="1:7" x14ac:dyDescent="0.2">
      <c r="A61" s="131" t="s">
        <v>4354</v>
      </c>
      <c r="B61" s="145">
        <v>283500</v>
      </c>
      <c r="C61" s="145">
        <v>550</v>
      </c>
      <c r="D61" s="145"/>
      <c r="E61" s="145"/>
      <c r="F61" s="145"/>
      <c r="G61" s="307"/>
    </row>
    <row r="62" spans="1:7" x14ac:dyDescent="0.2">
      <c r="A62" s="131" t="s">
        <v>4355</v>
      </c>
      <c r="B62" s="145">
        <v>239057</v>
      </c>
      <c r="C62" s="145">
        <v>150</v>
      </c>
      <c r="D62" s="145"/>
      <c r="E62" s="145"/>
      <c r="F62" s="145"/>
      <c r="G62" s="307"/>
    </row>
    <row r="63" spans="1:7" x14ac:dyDescent="0.2">
      <c r="A63" s="131" t="s">
        <v>2044</v>
      </c>
      <c r="B63" s="145">
        <v>27934</v>
      </c>
      <c r="C63" s="145">
        <v>750</v>
      </c>
      <c r="D63" s="145"/>
      <c r="E63" s="145"/>
      <c r="F63" s="145"/>
      <c r="G63" s="307"/>
    </row>
    <row r="64" spans="1:7" x14ac:dyDescent="0.2">
      <c r="A64" s="131" t="s">
        <v>2047</v>
      </c>
      <c r="B64" s="145">
        <v>124342</v>
      </c>
      <c r="C64" s="145">
        <v>850</v>
      </c>
      <c r="D64" s="145"/>
      <c r="E64" s="145"/>
      <c r="F64" s="145"/>
      <c r="G64" s="307"/>
    </row>
    <row r="65" spans="1:7" x14ac:dyDescent="0.2">
      <c r="A65" s="131" t="s">
        <v>4356</v>
      </c>
      <c r="B65" s="145">
        <v>68630</v>
      </c>
      <c r="C65" s="145">
        <v>150</v>
      </c>
      <c r="D65" s="145"/>
      <c r="E65" s="145"/>
      <c r="F65" s="145"/>
      <c r="G65" s="307"/>
    </row>
    <row r="66" spans="1:7" x14ac:dyDescent="0.2">
      <c r="A66" s="131" t="s">
        <v>2045</v>
      </c>
      <c r="B66" s="145">
        <v>472514</v>
      </c>
      <c r="C66" s="145">
        <v>950</v>
      </c>
      <c r="D66" s="145"/>
      <c r="E66" s="145"/>
      <c r="F66" s="145"/>
      <c r="G66" s="307"/>
    </row>
    <row r="67" spans="1:7" x14ac:dyDescent="0.2">
      <c r="A67" s="131" t="s">
        <v>1175</v>
      </c>
      <c r="B67" s="145">
        <v>224887</v>
      </c>
      <c r="C67" s="145">
        <v>200</v>
      </c>
      <c r="D67" s="145"/>
      <c r="E67" s="145"/>
      <c r="F67" s="145"/>
      <c r="G67" s="307"/>
    </row>
    <row r="68" spans="1:7" x14ac:dyDescent="0.2">
      <c r="A68" s="131" t="s">
        <v>3628</v>
      </c>
      <c r="B68" s="145">
        <v>486086</v>
      </c>
      <c r="C68" s="145"/>
      <c r="D68" s="145"/>
      <c r="E68" s="145"/>
      <c r="F68" s="145"/>
      <c r="G68" s="307"/>
    </row>
    <row r="69" spans="1:7" x14ac:dyDescent="0.2">
      <c r="A69" s="131" t="s">
        <v>2886</v>
      </c>
      <c r="B69" s="145">
        <v>164973</v>
      </c>
      <c r="C69" s="145">
        <v>200</v>
      </c>
      <c r="D69" s="145"/>
      <c r="E69" s="145"/>
      <c r="F69" s="145"/>
      <c r="G69" s="307"/>
    </row>
    <row r="70" spans="1:7" x14ac:dyDescent="0.2">
      <c r="A70" s="131" t="s">
        <v>2869</v>
      </c>
      <c r="B70" s="145">
        <v>63444</v>
      </c>
      <c r="C70" s="145">
        <v>500</v>
      </c>
      <c r="D70" s="145"/>
      <c r="E70" s="145"/>
      <c r="F70" s="145"/>
      <c r="G70" s="307"/>
    </row>
    <row r="71" spans="1:7" x14ac:dyDescent="0.2">
      <c r="A71" s="131" t="s">
        <v>2040</v>
      </c>
      <c r="B71" s="145">
        <v>1299792</v>
      </c>
      <c r="C71" s="145">
        <v>865</v>
      </c>
      <c r="D71" s="145"/>
      <c r="E71" s="145"/>
      <c r="F71" s="145"/>
      <c r="G71" s="307"/>
    </row>
    <row r="72" spans="1:7" x14ac:dyDescent="0.2">
      <c r="A72" s="131" t="s">
        <v>2761</v>
      </c>
      <c r="B72" s="145">
        <v>7273</v>
      </c>
      <c r="C72" s="145">
        <v>400</v>
      </c>
      <c r="D72" s="145"/>
      <c r="E72" s="145"/>
      <c r="F72" s="145"/>
      <c r="G72" s="307"/>
    </row>
    <row r="73" spans="1:7" x14ac:dyDescent="0.2">
      <c r="A73" s="131" t="s">
        <v>2046</v>
      </c>
      <c r="B73" s="145">
        <v>99928</v>
      </c>
      <c r="C73" s="145">
        <v>900</v>
      </c>
      <c r="D73" s="145"/>
      <c r="E73" s="145"/>
      <c r="F73" s="145"/>
      <c r="G73" s="307"/>
    </row>
    <row r="74" spans="1:7" ht="16" thickBot="1" x14ac:dyDescent="0.25">
      <c r="A74" s="131" t="s">
        <v>3852</v>
      </c>
      <c r="B74" s="187">
        <v>27632</v>
      </c>
      <c r="C74" s="187">
        <v>850</v>
      </c>
      <c r="D74" s="187"/>
      <c r="E74" s="187">
        <v>3589999</v>
      </c>
      <c r="F74" s="187">
        <v>315</v>
      </c>
      <c r="G74" s="444"/>
    </row>
    <row r="75" spans="1:7" x14ac:dyDescent="0.2">
      <c r="A75" s="131"/>
      <c r="B75" s="145"/>
      <c r="C75" s="145"/>
      <c r="D75" s="145"/>
      <c r="E75" s="1093">
        <f>+SUM(B61:B74)</f>
        <v>3589992</v>
      </c>
      <c r="F75" s="1093">
        <f>+SUM(C61:C74)</f>
        <v>7315</v>
      </c>
      <c r="G75" s="1093">
        <f>+SUM(D61:D74)</f>
        <v>0</v>
      </c>
    </row>
    <row r="76" spans="1:7" x14ac:dyDescent="0.2">
      <c r="A76" s="131" t="s">
        <v>4357</v>
      </c>
      <c r="B76" s="145"/>
      <c r="C76" s="145"/>
      <c r="D76" s="145"/>
      <c r="E76" s="145"/>
      <c r="F76" s="145"/>
      <c r="G76" s="307"/>
    </row>
    <row r="77" spans="1:7" x14ac:dyDescent="0.2">
      <c r="A77" s="131" t="s">
        <v>4358</v>
      </c>
      <c r="B77" s="145">
        <v>30276</v>
      </c>
      <c r="C77" s="145">
        <v>655</v>
      </c>
      <c r="D77" s="145"/>
      <c r="E77" s="145"/>
      <c r="F77" s="145"/>
      <c r="G77" s="307"/>
    </row>
    <row r="78" spans="1:7" ht="16" thickBot="1" x14ac:dyDescent="0.25">
      <c r="A78" s="131" t="s">
        <v>4359</v>
      </c>
      <c r="B78" s="187">
        <v>869830</v>
      </c>
      <c r="C78" s="187">
        <v>868</v>
      </c>
      <c r="D78" s="187"/>
      <c r="E78" s="187">
        <v>900107</v>
      </c>
      <c r="F78" s="187">
        <v>523</v>
      </c>
      <c r="G78" s="444"/>
    </row>
    <row r="79" spans="1:7" x14ac:dyDescent="0.2">
      <c r="A79" s="131" t="s">
        <v>4360</v>
      </c>
      <c r="B79" s="145"/>
      <c r="C79" s="145"/>
      <c r="D79" s="145"/>
      <c r="E79" s="145"/>
      <c r="F79" s="145"/>
      <c r="G79" s="307"/>
    </row>
    <row r="80" spans="1:7" x14ac:dyDescent="0.2">
      <c r="A80" s="131" t="s">
        <v>4354</v>
      </c>
      <c r="B80" s="145">
        <v>15080</v>
      </c>
      <c r="C80" s="145">
        <v>50</v>
      </c>
      <c r="D80" s="145"/>
      <c r="E80" s="145"/>
      <c r="F80" s="145"/>
      <c r="G80" s="307"/>
    </row>
    <row r="81" spans="1:7" x14ac:dyDescent="0.2">
      <c r="A81" s="131" t="s">
        <v>4355</v>
      </c>
      <c r="B81" s="145">
        <v>1714</v>
      </c>
      <c r="C81" s="145">
        <v>900</v>
      </c>
      <c r="D81" s="145"/>
      <c r="E81" s="145"/>
      <c r="F81" s="145"/>
      <c r="G81" s="307"/>
    </row>
    <row r="82" spans="1:7" x14ac:dyDescent="0.2">
      <c r="A82" s="131" t="s">
        <v>2044</v>
      </c>
      <c r="B82" s="145">
        <v>2324</v>
      </c>
      <c r="C82" s="145">
        <v>300</v>
      </c>
      <c r="D82" s="145"/>
      <c r="E82" s="145"/>
      <c r="F82" s="145"/>
      <c r="G82" s="307"/>
    </row>
    <row r="83" spans="1:7" x14ac:dyDescent="0.2">
      <c r="A83" s="131" t="s">
        <v>2047</v>
      </c>
      <c r="B83" s="145">
        <v>84655</v>
      </c>
      <c r="C83" s="145">
        <v>130</v>
      </c>
      <c r="D83" s="145"/>
      <c r="E83" s="145"/>
      <c r="F83" s="145"/>
      <c r="G83" s="307"/>
    </row>
    <row r="84" spans="1:7" x14ac:dyDescent="0.2">
      <c r="A84" s="131" t="s">
        <v>4356</v>
      </c>
      <c r="B84" s="145">
        <v>4014</v>
      </c>
      <c r="C84" s="145">
        <v>300</v>
      </c>
      <c r="D84" s="145"/>
      <c r="E84" s="145"/>
      <c r="F84" s="145"/>
      <c r="G84" s="307"/>
    </row>
    <row r="85" spans="1:7" x14ac:dyDescent="0.2">
      <c r="A85" s="131" t="s">
        <v>2045</v>
      </c>
      <c r="B85" s="145">
        <v>199689</v>
      </c>
      <c r="C85" s="145">
        <v>775</v>
      </c>
      <c r="D85" s="145"/>
      <c r="E85" s="145"/>
      <c r="F85" s="145"/>
      <c r="G85" s="307"/>
    </row>
    <row r="86" spans="1:7" x14ac:dyDescent="0.2">
      <c r="A86" s="131" t="s">
        <v>1175</v>
      </c>
      <c r="B86" s="145">
        <v>79569</v>
      </c>
      <c r="C86" s="145">
        <v>790</v>
      </c>
      <c r="D86" s="145"/>
      <c r="E86" s="145"/>
      <c r="F86" s="145"/>
      <c r="G86" s="307"/>
    </row>
    <row r="87" spans="1:7" x14ac:dyDescent="0.2">
      <c r="A87" s="131" t="s">
        <v>3628</v>
      </c>
      <c r="B87" s="145">
        <v>409649</v>
      </c>
      <c r="C87" s="145">
        <v>123</v>
      </c>
      <c r="D87" s="145"/>
      <c r="E87" s="145"/>
      <c r="F87" s="145"/>
      <c r="G87" s="307"/>
    </row>
    <row r="88" spans="1:7" x14ac:dyDescent="0.2">
      <c r="A88" s="131" t="s">
        <v>2886</v>
      </c>
      <c r="B88" s="145">
        <v>62760</v>
      </c>
      <c r="C88" s="145">
        <v>550</v>
      </c>
      <c r="D88" s="145"/>
      <c r="E88" s="145"/>
      <c r="F88" s="145"/>
      <c r="G88" s="307"/>
    </row>
    <row r="89" spans="1:7" x14ac:dyDescent="0.2">
      <c r="A89" s="131" t="s">
        <v>2869</v>
      </c>
      <c r="B89" s="145">
        <v>1260</v>
      </c>
      <c r="C89" s="145"/>
      <c r="D89" s="145"/>
      <c r="E89" s="145"/>
      <c r="F89" s="145"/>
      <c r="G89" s="307"/>
    </row>
    <row r="90" spans="1:7" x14ac:dyDescent="0.2">
      <c r="A90" s="131" t="s">
        <v>2040</v>
      </c>
      <c r="B90" s="145">
        <v>91</v>
      </c>
      <c r="C90" s="145">
        <v>500</v>
      </c>
      <c r="D90" s="145"/>
      <c r="E90" s="145"/>
      <c r="F90" s="145"/>
      <c r="G90" s="307"/>
    </row>
    <row r="91" spans="1:7" x14ac:dyDescent="0.2">
      <c r="A91" s="131" t="s">
        <v>2761</v>
      </c>
      <c r="B91" s="145">
        <v>2013</v>
      </c>
      <c r="C91" s="145">
        <v>550</v>
      </c>
      <c r="D91" s="145"/>
      <c r="E91" s="145"/>
      <c r="F91" s="145"/>
      <c r="G91" s="307"/>
    </row>
    <row r="92" spans="1:7" x14ac:dyDescent="0.2">
      <c r="A92" s="131" t="s">
        <v>2046</v>
      </c>
      <c r="B92" s="145">
        <v>6907</v>
      </c>
      <c r="C92" s="145">
        <v>900</v>
      </c>
      <c r="D92" s="145"/>
      <c r="E92" s="145"/>
      <c r="F92" s="145"/>
      <c r="G92" s="307"/>
    </row>
    <row r="93" spans="1:7" ht="16" thickBot="1" x14ac:dyDescent="0.25">
      <c r="A93" s="131" t="s">
        <v>3852</v>
      </c>
      <c r="B93" s="187">
        <v>100</v>
      </c>
      <c r="C93" s="187"/>
      <c r="D93" s="187"/>
      <c r="E93" s="187">
        <v>869830</v>
      </c>
      <c r="F93" s="187">
        <v>868</v>
      </c>
      <c r="G93" s="444"/>
    </row>
    <row r="94" spans="1:7" x14ac:dyDescent="0.2">
      <c r="A94" s="131"/>
      <c r="B94" s="145"/>
      <c r="C94" s="145"/>
      <c r="D94" s="145"/>
      <c r="E94" s="1093">
        <f>+SUM(B80:B93)</f>
        <v>869825</v>
      </c>
      <c r="F94" s="1093">
        <f>+SUM(C80:C93)</f>
        <v>5868</v>
      </c>
      <c r="G94" s="1093">
        <f>+SUM(D80:D93)</f>
        <v>0</v>
      </c>
    </row>
    <row r="95" spans="1:7" x14ac:dyDescent="0.2">
      <c r="A95" s="131" t="s">
        <v>4361</v>
      </c>
      <c r="B95" s="145"/>
      <c r="C95" s="145"/>
      <c r="D95" s="145"/>
      <c r="E95" s="145"/>
      <c r="F95" s="145"/>
      <c r="G95" s="307"/>
    </row>
    <row r="96" spans="1:7" x14ac:dyDescent="0.2">
      <c r="A96" s="131" t="s">
        <v>4362</v>
      </c>
      <c r="B96" s="145">
        <v>4248269</v>
      </c>
      <c r="C96" s="145">
        <v>507</v>
      </c>
      <c r="D96" s="180">
        <v>0.5</v>
      </c>
      <c r="E96" s="145"/>
      <c r="F96" s="145"/>
      <c r="G96" s="307"/>
    </row>
    <row r="97" spans="1:7" ht="16" thickBot="1" x14ac:dyDescent="0.25">
      <c r="A97" s="131" t="s">
        <v>4363</v>
      </c>
      <c r="B97" s="187">
        <v>900107</v>
      </c>
      <c r="C97" s="187">
        <v>523</v>
      </c>
      <c r="D97" s="187"/>
      <c r="E97" s="145">
        <v>5148377</v>
      </c>
      <c r="F97" s="145">
        <v>30</v>
      </c>
      <c r="G97" s="133">
        <v>0.5</v>
      </c>
    </row>
    <row r="98" spans="1:7" x14ac:dyDescent="0.2">
      <c r="A98" s="516" t="s">
        <v>4364</v>
      </c>
      <c r="B98" s="517"/>
      <c r="C98" s="517"/>
      <c r="D98" s="517"/>
      <c r="E98" s="145"/>
      <c r="F98" s="145"/>
      <c r="G98" s="307"/>
    </row>
    <row r="99" spans="1:7" x14ac:dyDescent="0.2">
      <c r="A99" s="516" t="s">
        <v>4365</v>
      </c>
      <c r="B99" s="517"/>
      <c r="C99" s="517"/>
      <c r="D99" s="517"/>
      <c r="E99" s="145">
        <v>2274145</v>
      </c>
      <c r="F99" s="145">
        <v>100</v>
      </c>
      <c r="G99" s="307"/>
    </row>
    <row r="100" spans="1:7" ht="29" customHeight="1" x14ac:dyDescent="0.2">
      <c r="A100" s="516" t="s">
        <v>4366</v>
      </c>
      <c r="B100" s="517"/>
      <c r="C100" s="517"/>
      <c r="D100" s="517"/>
      <c r="E100" s="145">
        <v>2093234</v>
      </c>
      <c r="F100" s="145">
        <v>375</v>
      </c>
      <c r="G100" s="307"/>
    </row>
    <row r="101" spans="1:7" x14ac:dyDescent="0.2">
      <c r="A101" s="516" t="s">
        <v>4367</v>
      </c>
      <c r="B101" s="517"/>
      <c r="C101" s="517"/>
      <c r="D101" s="517"/>
      <c r="E101" s="145">
        <v>901925</v>
      </c>
      <c r="F101" s="145"/>
      <c r="G101" s="307"/>
    </row>
    <row r="102" spans="1:7" x14ac:dyDescent="0.2">
      <c r="A102" s="516" t="s">
        <v>4368</v>
      </c>
      <c r="B102" s="517"/>
      <c r="C102" s="517"/>
      <c r="D102" s="517"/>
      <c r="E102" s="145">
        <v>90693</v>
      </c>
      <c r="F102" s="145">
        <v>775</v>
      </c>
      <c r="G102" s="307"/>
    </row>
    <row r="103" spans="1:7" x14ac:dyDescent="0.2">
      <c r="A103" s="516" t="s">
        <v>4369</v>
      </c>
      <c r="B103" s="517"/>
      <c r="C103" s="517"/>
      <c r="D103" s="517"/>
      <c r="E103" s="145">
        <v>31340</v>
      </c>
      <c r="F103" s="145"/>
      <c r="G103" s="307"/>
    </row>
    <row r="104" spans="1:7" x14ac:dyDescent="0.2">
      <c r="A104" s="516" t="s">
        <v>4370</v>
      </c>
      <c r="B104" s="517"/>
      <c r="C104" s="517"/>
      <c r="D104" s="517"/>
      <c r="E104" s="145">
        <v>48000</v>
      </c>
      <c r="F104" s="145"/>
      <c r="G104" s="307"/>
    </row>
    <row r="105" spans="1:7" x14ac:dyDescent="0.2">
      <c r="A105" s="516" t="s">
        <v>4371</v>
      </c>
      <c r="B105" s="517"/>
      <c r="C105" s="517"/>
      <c r="D105" s="517"/>
      <c r="E105" s="145">
        <v>634501</v>
      </c>
      <c r="F105" s="145">
        <v>923</v>
      </c>
      <c r="G105" s="133">
        <v>0.5</v>
      </c>
    </row>
    <row r="106" spans="1:7" x14ac:dyDescent="0.2">
      <c r="A106" s="864"/>
      <c r="B106" s="865"/>
      <c r="C106" s="865"/>
      <c r="D106" s="865"/>
      <c r="E106" s="1259">
        <f>+SUM(E99:E105)</f>
        <v>6073838</v>
      </c>
      <c r="F106" s="1259">
        <f t="shared" ref="F106:G106" si="3">+SUM(F99:F105)</f>
        <v>2173</v>
      </c>
      <c r="G106" s="1259">
        <f t="shared" si="3"/>
        <v>0.5</v>
      </c>
    </row>
    <row r="107" spans="1:7" ht="16" thickBot="1" x14ac:dyDescent="0.25">
      <c r="A107" s="524" t="s">
        <v>4372</v>
      </c>
      <c r="B107" s="525"/>
      <c r="C107" s="525"/>
      <c r="D107" s="525"/>
      <c r="E107" s="362">
        <v>11222217</v>
      </c>
      <c r="F107" s="362">
        <v>204</v>
      </c>
      <c r="G107" s="363"/>
    </row>
    <row r="108" spans="1:7" ht="16" thickTop="1" x14ac:dyDescent="0.2">
      <c r="E108" s="393">
        <f>+SUM(E97:E105)</f>
        <v>11222215</v>
      </c>
      <c r="F108" s="393">
        <f>+SUM(F97:F105)</f>
        <v>2203</v>
      </c>
      <c r="G108" s="1158">
        <f>+SUM(G97:G105)</f>
        <v>1</v>
      </c>
    </row>
    <row r="111" spans="1:7" x14ac:dyDescent="0.2">
      <c r="A111" s="526" t="s">
        <v>1853</v>
      </c>
    </row>
    <row r="112" spans="1:7" ht="27" customHeight="1" x14ac:dyDescent="0.2">
      <c r="A112" s="613" t="s">
        <v>4373</v>
      </c>
      <c r="B112" s="614"/>
      <c r="C112" s="614"/>
      <c r="D112" s="614"/>
      <c r="E112" s="614"/>
      <c r="F112" s="614"/>
      <c r="G112" s="615"/>
    </row>
    <row r="113" spans="1:7" ht="30.5" customHeight="1" x14ac:dyDescent="0.2">
      <c r="A113" s="864" t="s">
        <v>4374</v>
      </c>
      <c r="B113" s="145">
        <v>6136811</v>
      </c>
      <c r="C113" s="145">
        <v>732</v>
      </c>
      <c r="D113" s="1248"/>
      <c r="E113" s="1248"/>
      <c r="F113" s="1248"/>
      <c r="G113" s="1253"/>
    </row>
    <row r="114" spans="1:7" ht="13.75" customHeight="1" thickBot="1" x14ac:dyDescent="0.25">
      <c r="A114" s="131" t="s">
        <v>4375</v>
      </c>
      <c r="B114" s="187">
        <v>132</v>
      </c>
      <c r="C114" s="187">
        <v>550</v>
      </c>
      <c r="D114" s="1260"/>
      <c r="E114" s="187">
        <v>6136679</v>
      </c>
      <c r="F114" s="187">
        <v>182</v>
      </c>
      <c r="G114" s="1261"/>
    </row>
    <row r="115" spans="1:7" x14ac:dyDescent="0.2">
      <c r="A115" s="131" t="s">
        <v>1174</v>
      </c>
      <c r="B115" s="145">
        <v>3619307</v>
      </c>
      <c r="C115" s="145">
        <v>325</v>
      </c>
      <c r="D115" s="145"/>
      <c r="E115" s="145"/>
      <c r="F115" s="145"/>
      <c r="G115" s="307"/>
    </row>
    <row r="116" spans="1:7" x14ac:dyDescent="0.2">
      <c r="A116" s="131" t="s">
        <v>1569</v>
      </c>
      <c r="B116" s="145">
        <v>951095</v>
      </c>
      <c r="C116" s="145">
        <v>450</v>
      </c>
      <c r="D116" s="145"/>
      <c r="E116" s="145"/>
      <c r="F116" s="145"/>
      <c r="G116" s="307"/>
    </row>
    <row r="117" spans="1:7" x14ac:dyDescent="0.2">
      <c r="A117" s="131" t="s">
        <v>1808</v>
      </c>
      <c r="B117" s="145">
        <v>11766</v>
      </c>
      <c r="C117" s="145">
        <v>550</v>
      </c>
      <c r="D117" s="145"/>
      <c r="E117" s="145"/>
      <c r="F117" s="145"/>
      <c r="G117" s="307"/>
    </row>
    <row r="118" spans="1:7" x14ac:dyDescent="0.2">
      <c r="A118" s="131" t="s">
        <v>1991</v>
      </c>
      <c r="B118" s="145">
        <v>112500</v>
      </c>
      <c r="C118" s="145"/>
      <c r="D118" s="145"/>
      <c r="E118" s="145"/>
      <c r="F118" s="145"/>
      <c r="G118" s="307"/>
    </row>
    <row r="119" spans="1:7" x14ac:dyDescent="0.2">
      <c r="A119" s="131" t="s">
        <v>3675</v>
      </c>
      <c r="B119" s="145">
        <v>162022</v>
      </c>
      <c r="C119" s="145">
        <v>650</v>
      </c>
      <c r="D119" s="145"/>
      <c r="E119" s="145"/>
      <c r="F119" s="145"/>
      <c r="G119" s="307"/>
    </row>
    <row r="120" spans="1:7" x14ac:dyDescent="0.2">
      <c r="A120" s="131" t="s">
        <v>2761</v>
      </c>
      <c r="B120" s="145">
        <v>18263</v>
      </c>
      <c r="C120" s="145">
        <v>425</v>
      </c>
      <c r="D120" s="145"/>
      <c r="E120" s="145"/>
      <c r="F120" s="145"/>
      <c r="G120" s="307"/>
    </row>
    <row r="121" spans="1:7" x14ac:dyDescent="0.2">
      <c r="A121" s="131" t="s">
        <v>4084</v>
      </c>
      <c r="B121" s="145">
        <v>3621</v>
      </c>
      <c r="C121" s="145">
        <v>69</v>
      </c>
      <c r="D121" s="145"/>
      <c r="E121" s="145"/>
      <c r="F121" s="145"/>
      <c r="G121" s="307"/>
    </row>
    <row r="122" spans="1:7" x14ac:dyDescent="0.2">
      <c r="A122" s="131" t="s">
        <v>1175</v>
      </c>
      <c r="B122" s="145">
        <v>83311</v>
      </c>
      <c r="C122" s="145">
        <v>575</v>
      </c>
      <c r="D122" s="145"/>
      <c r="E122" s="145"/>
      <c r="F122" s="145"/>
      <c r="G122" s="307"/>
    </row>
    <row r="123" spans="1:7" x14ac:dyDescent="0.2">
      <c r="A123" s="131" t="s">
        <v>3287</v>
      </c>
      <c r="B123" s="145">
        <v>33430</v>
      </c>
      <c r="C123" s="145">
        <v>250</v>
      </c>
      <c r="D123" s="145"/>
      <c r="E123" s="145"/>
      <c r="F123" s="145"/>
      <c r="G123" s="307"/>
    </row>
    <row r="124" spans="1:7" x14ac:dyDescent="0.2">
      <c r="A124" s="131" t="s">
        <v>4270</v>
      </c>
      <c r="B124" s="145">
        <v>425</v>
      </c>
      <c r="C124" s="145">
        <v>650</v>
      </c>
      <c r="D124" s="145"/>
      <c r="E124" s="145"/>
      <c r="F124" s="145"/>
      <c r="G124" s="307"/>
    </row>
    <row r="125" spans="1:7" x14ac:dyDescent="0.2">
      <c r="A125" s="131" t="s">
        <v>4376</v>
      </c>
      <c r="B125" s="145">
        <v>8502</v>
      </c>
      <c r="C125" s="145">
        <v>450</v>
      </c>
      <c r="D125" s="145"/>
      <c r="E125" s="145"/>
      <c r="F125" s="145"/>
      <c r="G125" s="307"/>
    </row>
    <row r="126" spans="1:7" x14ac:dyDescent="0.2">
      <c r="A126" s="131" t="s">
        <v>4339</v>
      </c>
      <c r="B126" s="145">
        <v>434206</v>
      </c>
      <c r="C126" s="145"/>
      <c r="D126" s="145"/>
      <c r="E126" s="145"/>
      <c r="F126" s="145"/>
      <c r="G126" s="307"/>
    </row>
    <row r="127" spans="1:7" x14ac:dyDescent="0.2">
      <c r="A127" s="140" t="s">
        <v>2390</v>
      </c>
      <c r="B127" s="145">
        <v>48728</v>
      </c>
      <c r="C127" s="145">
        <v>200</v>
      </c>
      <c r="D127" s="145"/>
      <c r="E127" s="145"/>
      <c r="F127" s="145"/>
      <c r="G127" s="307"/>
    </row>
    <row r="128" spans="1:7" ht="16" thickBot="1" x14ac:dyDescent="0.25">
      <c r="A128" s="131" t="s">
        <v>2763</v>
      </c>
      <c r="B128" s="187">
        <v>649631</v>
      </c>
      <c r="C128" s="187">
        <v>138</v>
      </c>
      <c r="D128" s="187"/>
      <c r="E128" s="187">
        <v>6136679</v>
      </c>
      <c r="F128" s="187">
        <v>182</v>
      </c>
      <c r="G128" s="444"/>
    </row>
    <row r="129" spans="1:8" x14ac:dyDescent="0.2">
      <c r="A129" s="131"/>
      <c r="B129" s="145"/>
      <c r="C129" s="145"/>
      <c r="D129" s="145"/>
      <c r="E129" s="1093">
        <f>+SUM(B115:B128)</f>
        <v>6136807</v>
      </c>
      <c r="F129" s="1093">
        <f>+SUM(C115:C128)</f>
        <v>4732</v>
      </c>
      <c r="G129" s="1093">
        <f>+SUM(D115:D128)</f>
        <v>0</v>
      </c>
      <c r="H129" s="946"/>
    </row>
    <row r="130" spans="1:8" x14ac:dyDescent="0.2">
      <c r="A130" s="131"/>
      <c r="B130" s="145"/>
      <c r="C130" s="145"/>
      <c r="D130" s="145"/>
      <c r="E130" s="1093">
        <f>+E129-B114</f>
        <v>6136675</v>
      </c>
      <c r="F130" s="1093">
        <f>+F129-C114</f>
        <v>4182</v>
      </c>
      <c r="G130" s="1093">
        <f>+G129-D114</f>
        <v>0</v>
      </c>
    </row>
    <row r="131" spans="1:8" ht="35" customHeight="1" x14ac:dyDescent="0.2">
      <c r="A131" s="516" t="s">
        <v>4377</v>
      </c>
      <c r="B131" s="517"/>
      <c r="C131" s="517"/>
      <c r="D131" s="517"/>
      <c r="E131" s="145"/>
      <c r="F131" s="145"/>
      <c r="G131" s="307"/>
    </row>
    <row r="132" spans="1:8" x14ac:dyDescent="0.2">
      <c r="A132" s="131" t="s">
        <v>4378</v>
      </c>
      <c r="B132" s="145">
        <v>314596</v>
      </c>
      <c r="C132" s="145">
        <v>995</v>
      </c>
      <c r="D132" s="145"/>
      <c r="E132" s="145"/>
      <c r="F132" s="145"/>
      <c r="G132" s="307"/>
    </row>
    <row r="133" spans="1:8" ht="16" thickBot="1" x14ac:dyDescent="0.25">
      <c r="A133" s="478" t="s">
        <v>4379</v>
      </c>
      <c r="B133" s="570">
        <v>516</v>
      </c>
      <c r="C133" s="570">
        <v>950</v>
      </c>
      <c r="D133" s="570"/>
      <c r="E133" s="187">
        <v>315113</v>
      </c>
      <c r="F133" s="187">
        <v>945</v>
      </c>
      <c r="G133" s="444"/>
    </row>
    <row r="134" spans="1:8" ht="16" thickBot="1" x14ac:dyDescent="0.25">
      <c r="A134" s="230" t="s">
        <v>4277</v>
      </c>
      <c r="B134" s="701"/>
      <c r="C134" s="701"/>
      <c r="D134" s="701"/>
      <c r="E134" s="187">
        <v>6451793</v>
      </c>
      <c r="F134" s="187">
        <v>127</v>
      </c>
      <c r="G134" s="444"/>
    </row>
    <row r="135" spans="1:8" x14ac:dyDescent="0.2">
      <c r="E135" s="393">
        <f>+SUM(E128+E133)</f>
        <v>6451792</v>
      </c>
      <c r="F135" s="393">
        <f>+SUM(F128+F133)</f>
        <v>1127</v>
      </c>
      <c r="G135" s="393">
        <f>+SUM(G128+G133)</f>
        <v>0</v>
      </c>
    </row>
    <row r="138" spans="1:8" x14ac:dyDescent="0.2">
      <c r="A138" s="526" t="s">
        <v>1226</v>
      </c>
    </row>
    <row r="139" spans="1:8" ht="30.5" customHeight="1" x14ac:dyDescent="0.2">
      <c r="A139" s="1245" t="s">
        <v>4380</v>
      </c>
      <c r="B139" s="1246"/>
      <c r="C139" s="1246"/>
      <c r="D139" s="1246"/>
      <c r="E139" s="1246"/>
      <c r="F139" s="1246"/>
      <c r="G139" s="1247"/>
    </row>
    <row r="140" spans="1:8" ht="12.5" customHeight="1" x14ac:dyDescent="0.2">
      <c r="A140" s="131" t="s">
        <v>4348</v>
      </c>
      <c r="B140" s="569"/>
      <c r="C140" s="569"/>
      <c r="D140" s="1250"/>
      <c r="E140" s="1248"/>
      <c r="F140" s="1248"/>
      <c r="G140" s="1253"/>
    </row>
    <row r="141" spans="1:8" ht="12.5" customHeight="1" x14ac:dyDescent="0.2">
      <c r="A141" s="131" t="s">
        <v>4381</v>
      </c>
      <c r="B141" s="569">
        <v>540367</v>
      </c>
      <c r="C141" s="569">
        <v>265</v>
      </c>
      <c r="D141" s="1250"/>
      <c r="E141" s="1248"/>
      <c r="F141" s="1248"/>
      <c r="G141" s="1249"/>
    </row>
    <row r="142" spans="1:8" ht="12.5" customHeight="1" thickBot="1" x14ac:dyDescent="0.25">
      <c r="A142" s="131" t="s">
        <v>4382</v>
      </c>
      <c r="B142" s="187">
        <v>4220215</v>
      </c>
      <c r="C142" s="187"/>
      <c r="D142" s="190"/>
      <c r="E142" s="1251">
        <v>4760582</v>
      </c>
      <c r="F142" s="1251">
        <v>265</v>
      </c>
      <c r="G142" s="1252"/>
    </row>
    <row r="143" spans="1:8" ht="12.5" customHeight="1" x14ac:dyDescent="0.2">
      <c r="A143" s="131"/>
      <c r="B143" s="145"/>
      <c r="C143" s="145"/>
      <c r="D143" s="180"/>
      <c r="E143" s="1254">
        <f>+SUM(B141:B142)</f>
        <v>4760582</v>
      </c>
      <c r="F143" s="1254">
        <f t="shared" ref="F143" si="4">+SUM(C141:C142)</f>
        <v>265</v>
      </c>
      <c r="G143" s="1254"/>
    </row>
    <row r="144" spans="1:8" x14ac:dyDescent="0.2">
      <c r="A144" s="131" t="s">
        <v>4383</v>
      </c>
      <c r="B144" s="145">
        <v>240046</v>
      </c>
      <c r="C144" s="145">
        <v>950</v>
      </c>
      <c r="D144" s="145"/>
      <c r="E144" s="145"/>
      <c r="F144" s="145"/>
      <c r="G144" s="307"/>
    </row>
    <row r="145" spans="1:7" x14ac:dyDescent="0.2">
      <c r="A145" s="131" t="s">
        <v>2044</v>
      </c>
      <c r="B145" s="145">
        <v>34699</v>
      </c>
      <c r="C145" s="145">
        <v>600</v>
      </c>
      <c r="D145" s="145"/>
      <c r="E145" s="145"/>
      <c r="F145" s="145"/>
      <c r="G145" s="307"/>
    </row>
    <row r="146" spans="1:7" x14ac:dyDescent="0.2">
      <c r="A146" s="131" t="s">
        <v>4384</v>
      </c>
      <c r="B146" s="145">
        <v>5713</v>
      </c>
      <c r="C146" s="145">
        <v>700</v>
      </c>
      <c r="D146" s="145"/>
      <c r="E146" s="145"/>
      <c r="F146" s="145"/>
      <c r="G146" s="307"/>
    </row>
    <row r="147" spans="1:7" x14ac:dyDescent="0.2">
      <c r="A147" s="131" t="s">
        <v>4356</v>
      </c>
      <c r="B147" s="145">
        <v>70268</v>
      </c>
      <c r="C147" s="145">
        <v>200</v>
      </c>
      <c r="D147" s="145"/>
      <c r="E147" s="145"/>
      <c r="F147" s="145"/>
      <c r="G147" s="307"/>
    </row>
    <row r="148" spans="1:7" x14ac:dyDescent="0.2">
      <c r="A148" s="131" t="s">
        <v>4355</v>
      </c>
      <c r="B148" s="145">
        <v>360597</v>
      </c>
      <c r="C148" s="145">
        <v>450</v>
      </c>
      <c r="D148" s="145"/>
      <c r="E148" s="145"/>
      <c r="F148" s="145"/>
      <c r="G148" s="307"/>
    </row>
    <row r="149" spans="1:7" x14ac:dyDescent="0.2">
      <c r="A149" s="131" t="s">
        <v>4385</v>
      </c>
      <c r="B149" s="145">
        <v>820230</v>
      </c>
      <c r="C149" s="145">
        <v>25</v>
      </c>
      <c r="D149" s="145"/>
      <c r="E149" s="145"/>
      <c r="F149" s="145"/>
      <c r="G149" s="307"/>
    </row>
    <row r="150" spans="1:7" x14ac:dyDescent="0.2">
      <c r="A150" s="131" t="s">
        <v>2047</v>
      </c>
      <c r="B150" s="145">
        <v>146376</v>
      </c>
      <c r="C150" s="145"/>
      <c r="D150" s="145"/>
      <c r="E150" s="145"/>
      <c r="F150" s="145"/>
      <c r="G150" s="307"/>
    </row>
    <row r="151" spans="1:7" x14ac:dyDescent="0.2">
      <c r="A151" s="131" t="s">
        <v>2869</v>
      </c>
      <c r="B151" s="145">
        <v>86907</v>
      </c>
      <c r="C151" s="145">
        <v>600</v>
      </c>
      <c r="D151" s="145"/>
      <c r="E151" s="145"/>
      <c r="F151" s="145"/>
      <c r="G151" s="307"/>
    </row>
    <row r="152" spans="1:7" x14ac:dyDescent="0.2">
      <c r="A152" s="131" t="s">
        <v>2040</v>
      </c>
      <c r="B152" s="145">
        <v>766000</v>
      </c>
      <c r="C152" s="145">
        <v>350</v>
      </c>
      <c r="D152" s="145"/>
      <c r="E152" s="145"/>
      <c r="F152" s="145"/>
      <c r="G152" s="307"/>
    </row>
    <row r="153" spans="1:7" x14ac:dyDescent="0.2">
      <c r="A153" s="131" t="s">
        <v>2761</v>
      </c>
      <c r="B153" s="145">
        <v>20496</v>
      </c>
      <c r="C153" s="145">
        <v>700</v>
      </c>
      <c r="D153" s="145"/>
      <c r="E153" s="145"/>
      <c r="F153" s="145"/>
      <c r="G153" s="307"/>
    </row>
    <row r="154" spans="1:7" x14ac:dyDescent="0.2">
      <c r="A154" s="131" t="s">
        <v>3628</v>
      </c>
      <c r="B154" s="145">
        <v>520682</v>
      </c>
      <c r="C154" s="145">
        <v>525</v>
      </c>
      <c r="D154" s="145"/>
      <c r="E154" s="145"/>
      <c r="F154" s="145"/>
      <c r="G154" s="307"/>
    </row>
    <row r="155" spans="1:7" x14ac:dyDescent="0.2">
      <c r="A155" s="131" t="s">
        <v>2886</v>
      </c>
      <c r="B155" s="145">
        <v>747774</v>
      </c>
      <c r="C155" s="145"/>
      <c r="D155" s="145"/>
      <c r="E155" s="145"/>
      <c r="F155" s="145"/>
      <c r="G155" s="307"/>
    </row>
    <row r="156" spans="1:7" x14ac:dyDescent="0.2">
      <c r="A156" s="131" t="s">
        <v>2046</v>
      </c>
      <c r="B156" s="145">
        <v>102481</v>
      </c>
      <c r="C156" s="145">
        <v>900</v>
      </c>
      <c r="D156" s="145"/>
      <c r="E156" s="145"/>
      <c r="F156" s="145"/>
      <c r="G156" s="307"/>
    </row>
    <row r="157" spans="1:7" x14ac:dyDescent="0.2">
      <c r="A157" s="131" t="s">
        <v>4386</v>
      </c>
      <c r="B157" s="145">
        <v>248251</v>
      </c>
      <c r="C157" s="145"/>
      <c r="D157" s="145"/>
      <c r="E157" s="145"/>
      <c r="F157" s="145"/>
      <c r="G157" s="307"/>
    </row>
    <row r="158" spans="1:7" ht="16" thickBot="1" x14ac:dyDescent="0.25">
      <c r="A158" s="131" t="s">
        <v>4387</v>
      </c>
      <c r="B158" s="187">
        <v>49689</v>
      </c>
      <c r="C158" s="187"/>
      <c r="D158" s="187"/>
      <c r="E158" s="187">
        <v>4220215</v>
      </c>
      <c r="F158" s="187"/>
      <c r="G158" s="444"/>
    </row>
    <row r="159" spans="1:7" x14ac:dyDescent="0.2">
      <c r="A159" s="131"/>
      <c r="B159" s="145"/>
      <c r="C159" s="145"/>
      <c r="D159" s="145"/>
      <c r="E159" s="1093">
        <f>+SUM(B144:B158)</f>
        <v>4220209</v>
      </c>
      <c r="F159" s="1093">
        <f>+SUM(C144:C158)</f>
        <v>6000</v>
      </c>
      <c r="G159" s="1093">
        <f>+SUM(D144:D158)</f>
        <v>0</v>
      </c>
    </row>
    <row r="160" spans="1:7" x14ac:dyDescent="0.2">
      <c r="A160" s="480" t="s">
        <v>4388</v>
      </c>
      <c r="B160" s="481"/>
      <c r="C160" s="481"/>
      <c r="D160" s="481"/>
      <c r="E160" s="145"/>
      <c r="F160" s="145"/>
      <c r="G160" s="307"/>
    </row>
    <row r="161" spans="1:7" x14ac:dyDescent="0.2">
      <c r="A161" s="131" t="s">
        <v>4389</v>
      </c>
      <c r="B161" s="145">
        <v>30703</v>
      </c>
      <c r="C161" s="145">
        <v>50</v>
      </c>
      <c r="D161" s="145"/>
      <c r="E161" s="145"/>
      <c r="F161" s="145"/>
      <c r="G161" s="307"/>
    </row>
    <row r="162" spans="1:7" ht="16" thickBot="1" x14ac:dyDescent="0.25">
      <c r="A162" s="131" t="s">
        <v>4390</v>
      </c>
      <c r="B162" s="187">
        <v>1038908</v>
      </c>
      <c r="C162" s="187">
        <v>614</v>
      </c>
      <c r="D162" s="187"/>
      <c r="E162" s="187">
        <v>1069611</v>
      </c>
      <c r="F162" s="187">
        <v>664</v>
      </c>
      <c r="G162" s="444"/>
    </row>
    <row r="163" spans="1:7" x14ac:dyDescent="0.2">
      <c r="A163" s="131" t="s">
        <v>4391</v>
      </c>
      <c r="B163" s="145"/>
      <c r="C163" s="145"/>
      <c r="D163" s="145"/>
      <c r="E163" s="145"/>
      <c r="F163" s="145"/>
      <c r="G163" s="307"/>
    </row>
    <row r="164" spans="1:7" x14ac:dyDescent="0.2">
      <c r="A164" s="131" t="s">
        <v>4383</v>
      </c>
      <c r="B164" s="145">
        <v>9882</v>
      </c>
      <c r="C164" s="145"/>
      <c r="D164" s="145"/>
      <c r="E164" s="145"/>
      <c r="F164" s="145"/>
      <c r="G164" s="307"/>
    </row>
    <row r="165" spans="1:7" x14ac:dyDescent="0.2">
      <c r="A165" s="131" t="s">
        <v>2044</v>
      </c>
      <c r="B165" s="145">
        <v>5933</v>
      </c>
      <c r="C165" s="145">
        <v>440</v>
      </c>
      <c r="D165" s="145"/>
      <c r="E165" s="145"/>
      <c r="F165" s="145"/>
      <c r="G165" s="307"/>
    </row>
    <row r="166" spans="1:7" x14ac:dyDescent="0.2">
      <c r="A166" s="131" t="s">
        <v>4384</v>
      </c>
      <c r="B166" s="145">
        <v>10075</v>
      </c>
      <c r="C166" s="145">
        <v>775</v>
      </c>
      <c r="D166" s="145"/>
      <c r="E166" s="145"/>
      <c r="F166" s="145"/>
      <c r="G166" s="307"/>
    </row>
    <row r="167" spans="1:7" x14ac:dyDescent="0.2">
      <c r="A167" s="131" t="s">
        <v>4356</v>
      </c>
      <c r="B167" s="145">
        <v>2200</v>
      </c>
      <c r="C167" s="145"/>
      <c r="D167" s="145"/>
      <c r="E167" s="145"/>
      <c r="F167" s="145"/>
      <c r="G167" s="307"/>
    </row>
    <row r="168" spans="1:7" x14ac:dyDescent="0.2">
      <c r="A168" s="131" t="s">
        <v>4355</v>
      </c>
      <c r="B168" s="145">
        <v>2417</v>
      </c>
      <c r="C168" s="145">
        <v>900</v>
      </c>
      <c r="D168" s="145"/>
      <c r="E168" s="145"/>
      <c r="F168" s="145"/>
      <c r="G168" s="307"/>
    </row>
    <row r="169" spans="1:7" x14ac:dyDescent="0.2">
      <c r="A169" s="131" t="s">
        <v>4385</v>
      </c>
      <c r="B169" s="145">
        <v>249604</v>
      </c>
      <c r="C169" s="145">
        <v>565</v>
      </c>
      <c r="D169" s="145"/>
      <c r="E169" s="145"/>
      <c r="F169" s="145"/>
      <c r="G169" s="307"/>
    </row>
    <row r="170" spans="1:7" x14ac:dyDescent="0.2">
      <c r="A170" s="131" t="s">
        <v>2047</v>
      </c>
      <c r="B170" s="145">
        <v>85083</v>
      </c>
      <c r="C170" s="145">
        <v>220</v>
      </c>
      <c r="D170" s="145"/>
      <c r="E170" s="145"/>
      <c r="F170" s="145"/>
      <c r="G170" s="307"/>
    </row>
    <row r="171" spans="1:7" x14ac:dyDescent="0.2">
      <c r="A171" s="131" t="s">
        <v>2869</v>
      </c>
      <c r="B171" s="145">
        <v>1307</v>
      </c>
      <c r="C171" s="145">
        <v>950</v>
      </c>
      <c r="D171" s="145"/>
      <c r="E171" s="145"/>
      <c r="F171" s="145"/>
      <c r="G171" s="307"/>
    </row>
    <row r="172" spans="1:7" x14ac:dyDescent="0.2">
      <c r="A172" s="131" t="s">
        <v>2040</v>
      </c>
      <c r="B172" s="145">
        <v>786</v>
      </c>
      <c r="C172" s="145">
        <v>150</v>
      </c>
      <c r="D172" s="145"/>
      <c r="E172" s="145"/>
      <c r="F172" s="145"/>
      <c r="G172" s="307"/>
    </row>
    <row r="173" spans="1:7" x14ac:dyDescent="0.2">
      <c r="A173" s="131" t="s">
        <v>2761</v>
      </c>
      <c r="B173" s="145">
        <v>175</v>
      </c>
      <c r="C173" s="145">
        <v>800</v>
      </c>
      <c r="D173" s="145"/>
      <c r="E173" s="145"/>
      <c r="F173" s="145"/>
      <c r="G173" s="307"/>
    </row>
    <row r="174" spans="1:7" x14ac:dyDescent="0.2">
      <c r="A174" s="131" t="s">
        <v>3628</v>
      </c>
      <c r="B174" s="145">
        <v>385235</v>
      </c>
      <c r="C174" s="145">
        <v>614</v>
      </c>
      <c r="D174" s="145"/>
      <c r="E174" s="145"/>
      <c r="F174" s="145"/>
      <c r="G174" s="307"/>
    </row>
    <row r="175" spans="1:7" x14ac:dyDescent="0.2">
      <c r="A175" s="131" t="s">
        <v>2886</v>
      </c>
      <c r="B175" s="145">
        <v>175915</v>
      </c>
      <c r="C175" s="145">
        <v>250</v>
      </c>
      <c r="D175" s="145"/>
      <c r="E175" s="145"/>
      <c r="F175" s="145"/>
      <c r="G175" s="307"/>
    </row>
    <row r="176" spans="1:7" x14ac:dyDescent="0.2">
      <c r="A176" s="131" t="s">
        <v>2046</v>
      </c>
      <c r="B176" s="145">
        <v>20896</v>
      </c>
      <c r="C176" s="145">
        <v>350</v>
      </c>
      <c r="D176" s="145"/>
      <c r="E176" s="145"/>
      <c r="F176" s="145"/>
      <c r="G176" s="307"/>
    </row>
    <row r="177" spans="1:7" x14ac:dyDescent="0.2">
      <c r="A177" s="131" t="s">
        <v>4386</v>
      </c>
      <c r="B177" s="145">
        <v>89394</v>
      </c>
      <c r="C177" s="145">
        <v>600</v>
      </c>
      <c r="D177" s="145"/>
      <c r="E177" s="145"/>
      <c r="F177" s="145"/>
      <c r="G177" s="307"/>
    </row>
    <row r="178" spans="1:7" ht="16" thickBot="1" x14ac:dyDescent="0.25">
      <c r="A178" s="131" t="s">
        <v>4387</v>
      </c>
      <c r="B178" s="187"/>
      <c r="C178" s="187"/>
      <c r="D178" s="187"/>
      <c r="E178" s="187">
        <v>1038908</v>
      </c>
      <c r="F178" s="187">
        <v>614</v>
      </c>
      <c r="G178" s="444"/>
    </row>
    <row r="179" spans="1:7" x14ac:dyDescent="0.2">
      <c r="A179" s="131"/>
      <c r="B179" s="145"/>
      <c r="C179" s="145"/>
      <c r="D179" s="145"/>
      <c r="E179" s="1093">
        <f>+SUM(B164:B178)</f>
        <v>1038902</v>
      </c>
      <c r="F179" s="1093">
        <f>+SUM(C164:C178)</f>
        <v>6614</v>
      </c>
      <c r="G179" s="1093">
        <f>+SUM(D164:D178)</f>
        <v>0</v>
      </c>
    </row>
    <row r="180" spans="1:7" x14ac:dyDescent="0.2">
      <c r="A180" s="131" t="s">
        <v>4361</v>
      </c>
      <c r="B180" s="145"/>
      <c r="C180" s="145"/>
      <c r="D180" s="145"/>
      <c r="E180" s="145"/>
      <c r="F180" s="145"/>
      <c r="G180" s="307"/>
    </row>
    <row r="181" spans="1:7" x14ac:dyDescent="0.2">
      <c r="A181" s="131" t="s">
        <v>4392</v>
      </c>
      <c r="B181" s="145">
        <v>4760582</v>
      </c>
      <c r="C181" s="145">
        <v>265</v>
      </c>
      <c r="D181" s="145"/>
      <c r="E181" s="145"/>
      <c r="F181" s="145"/>
      <c r="G181" s="307"/>
    </row>
    <row r="182" spans="1:7" ht="16" thickBot="1" x14ac:dyDescent="0.25">
      <c r="A182" s="131" t="s">
        <v>4363</v>
      </c>
      <c r="B182" s="187">
        <v>1069611</v>
      </c>
      <c r="C182" s="187">
        <v>664</v>
      </c>
      <c r="D182" s="187"/>
      <c r="E182" s="145">
        <v>5830193</v>
      </c>
      <c r="F182" s="145">
        <v>929</v>
      </c>
      <c r="G182" s="307"/>
    </row>
    <row r="183" spans="1:7" ht="33.5" customHeight="1" x14ac:dyDescent="0.2">
      <c r="A183" s="516" t="s">
        <v>4393</v>
      </c>
      <c r="B183" s="517"/>
      <c r="C183" s="517"/>
      <c r="D183" s="517"/>
      <c r="E183" s="145"/>
      <c r="F183" s="145"/>
      <c r="G183" s="307"/>
    </row>
    <row r="184" spans="1:7" ht="18" customHeight="1" x14ac:dyDescent="0.2">
      <c r="A184" s="516" t="s">
        <v>4365</v>
      </c>
      <c r="B184" s="517"/>
      <c r="C184" s="517"/>
      <c r="D184" s="517"/>
      <c r="E184" s="145">
        <v>1428063</v>
      </c>
      <c r="F184" s="145">
        <v>875</v>
      </c>
      <c r="G184" s="307"/>
    </row>
    <row r="185" spans="1:7" ht="15" customHeight="1" x14ac:dyDescent="0.2">
      <c r="A185" s="516" t="s">
        <v>4394</v>
      </c>
      <c r="B185" s="517"/>
      <c r="C185" s="517"/>
      <c r="D185" s="517"/>
      <c r="E185" s="145">
        <v>3908557</v>
      </c>
      <c r="F185" s="145">
        <v>475</v>
      </c>
      <c r="G185" s="307"/>
    </row>
    <row r="186" spans="1:7" x14ac:dyDescent="0.2">
      <c r="A186" s="516" t="s">
        <v>4395</v>
      </c>
      <c r="B186" s="517"/>
      <c r="C186" s="517"/>
      <c r="D186" s="517"/>
      <c r="E186" s="145">
        <v>131105</v>
      </c>
      <c r="F186" s="145"/>
      <c r="G186" s="307"/>
    </row>
    <row r="187" spans="1:7" x14ac:dyDescent="0.2">
      <c r="A187" s="516" t="s">
        <v>4396</v>
      </c>
      <c r="B187" s="517"/>
      <c r="C187" s="517"/>
      <c r="D187" s="517"/>
      <c r="E187" s="145">
        <v>230266</v>
      </c>
      <c r="F187" s="145">
        <v>775</v>
      </c>
      <c r="G187" s="307"/>
    </row>
    <row r="188" spans="1:7" x14ac:dyDescent="0.2">
      <c r="A188" s="516" t="s">
        <v>4397</v>
      </c>
      <c r="B188" s="517"/>
      <c r="C188" s="517"/>
      <c r="D188" s="517"/>
      <c r="E188" s="145">
        <v>416000</v>
      </c>
      <c r="F188" s="145"/>
      <c r="G188" s="307"/>
    </row>
    <row r="189" spans="1:7" x14ac:dyDescent="0.2">
      <c r="A189" s="516" t="s">
        <v>4398</v>
      </c>
      <c r="B189" s="517"/>
      <c r="C189" s="517"/>
      <c r="D189" s="517"/>
      <c r="E189" s="145">
        <v>125145</v>
      </c>
      <c r="F189" s="145">
        <v>600</v>
      </c>
      <c r="G189" s="307"/>
    </row>
    <row r="190" spans="1:7" x14ac:dyDescent="0.2">
      <c r="A190" s="516" t="s">
        <v>4399</v>
      </c>
      <c r="B190" s="517"/>
      <c r="C190" s="517"/>
      <c r="D190" s="517"/>
      <c r="E190" s="145">
        <v>372000</v>
      </c>
      <c r="F190" s="145"/>
      <c r="G190" s="307"/>
    </row>
    <row r="191" spans="1:7" x14ac:dyDescent="0.2">
      <c r="A191" s="516" t="s">
        <v>4400</v>
      </c>
      <c r="B191" s="517"/>
      <c r="C191" s="517"/>
      <c r="D191" s="517"/>
      <c r="E191" s="145">
        <v>2000000</v>
      </c>
      <c r="F191" s="145"/>
      <c r="G191" s="307"/>
    </row>
    <row r="192" spans="1:7" ht="30" customHeight="1" thickBot="1" x14ac:dyDescent="0.25">
      <c r="A192" s="516" t="s">
        <v>4401</v>
      </c>
      <c r="B192" s="517"/>
      <c r="C192" s="517"/>
      <c r="D192" s="517"/>
      <c r="E192" s="187">
        <v>2546639</v>
      </c>
      <c r="F192" s="187">
        <v>273</v>
      </c>
      <c r="G192" s="444"/>
    </row>
    <row r="193" spans="1:7" ht="15" customHeight="1" thickBot="1" x14ac:dyDescent="0.25">
      <c r="A193" s="864"/>
      <c r="B193" s="865"/>
      <c r="C193" s="865"/>
      <c r="D193" s="865"/>
      <c r="E193" s="1262">
        <f>+SUM(E184:E192)</f>
        <v>11157775</v>
      </c>
      <c r="F193" s="1262">
        <f t="shared" ref="F193:G193" si="5">+SUM(F184:F192)</f>
        <v>2998</v>
      </c>
      <c r="G193" s="1262">
        <f t="shared" si="5"/>
        <v>0</v>
      </c>
    </row>
    <row r="194" spans="1:7" ht="16" thickBot="1" x14ac:dyDescent="0.25">
      <c r="A194" s="790" t="s">
        <v>4402</v>
      </c>
      <c r="B194" s="791"/>
      <c r="C194" s="791"/>
      <c r="D194" s="791"/>
      <c r="E194" s="448">
        <v>16987971</v>
      </c>
      <c r="F194" s="448">
        <v>927</v>
      </c>
      <c r="G194" s="449"/>
    </row>
    <row r="195" spans="1:7" x14ac:dyDescent="0.2">
      <c r="E195" s="393">
        <f>+SUM(E182:E192)</f>
        <v>16987968</v>
      </c>
      <c r="F195" s="393">
        <f>+SUM(F182:F192)</f>
        <v>3927</v>
      </c>
      <c r="G195" s="393">
        <f>+SUM(G182:G192)</f>
        <v>0</v>
      </c>
    </row>
    <row r="198" spans="1:7" x14ac:dyDescent="0.2">
      <c r="A198" s="526" t="s">
        <v>1272</v>
      </c>
    </row>
    <row r="199" spans="1:7" ht="25.25" customHeight="1" x14ac:dyDescent="0.2">
      <c r="A199" s="998" t="s">
        <v>4403</v>
      </c>
      <c r="B199" s="998"/>
      <c r="C199" s="998"/>
      <c r="D199" s="998"/>
      <c r="E199" s="998"/>
      <c r="F199" s="998"/>
      <c r="G199" s="998"/>
    </row>
    <row r="200" spans="1:7" ht="29" customHeight="1" x14ac:dyDescent="0.2">
      <c r="A200" s="808"/>
      <c r="B200" s="609" t="s">
        <v>4404</v>
      </c>
      <c r="C200" s="967"/>
      <c r="D200" s="608"/>
      <c r="E200" s="967" t="s">
        <v>4405</v>
      </c>
      <c r="F200" s="967"/>
      <c r="G200" s="967"/>
    </row>
    <row r="201" spans="1:7" x14ac:dyDescent="0.2">
      <c r="A201" s="533" t="s">
        <v>4406</v>
      </c>
      <c r="B201" s="107">
        <v>2433</v>
      </c>
      <c r="C201" s="107">
        <v>10</v>
      </c>
      <c r="E201" s="131">
        <v>29197</v>
      </c>
      <c r="F201" s="145">
        <v>20</v>
      </c>
      <c r="G201" s="307"/>
    </row>
    <row r="202" spans="1:7" x14ac:dyDescent="0.2">
      <c r="A202" s="533" t="s">
        <v>4407</v>
      </c>
      <c r="B202" s="107">
        <v>3480</v>
      </c>
      <c r="E202" s="131">
        <v>41760</v>
      </c>
      <c r="F202" s="145"/>
      <c r="G202" s="307"/>
    </row>
    <row r="203" spans="1:7" x14ac:dyDescent="0.2">
      <c r="A203" s="534" t="s">
        <v>4408</v>
      </c>
      <c r="B203" s="107">
        <v>33</v>
      </c>
      <c r="C203" s="107">
        <v>35</v>
      </c>
      <c r="E203" s="131">
        <v>400</v>
      </c>
      <c r="F203" s="145">
        <v>20</v>
      </c>
      <c r="G203" s="307"/>
    </row>
    <row r="204" spans="1:7" x14ac:dyDescent="0.2">
      <c r="A204" s="534" t="s">
        <v>4409</v>
      </c>
      <c r="B204" s="107">
        <v>6525</v>
      </c>
      <c r="C204" s="107">
        <v>80</v>
      </c>
      <c r="E204" s="131">
        <v>78309</v>
      </c>
      <c r="F204" s="145">
        <v>60</v>
      </c>
      <c r="G204" s="307"/>
    </row>
    <row r="205" spans="1:7" x14ac:dyDescent="0.2">
      <c r="A205" s="534" t="s">
        <v>4410</v>
      </c>
      <c r="B205" s="107">
        <v>5264</v>
      </c>
      <c r="C205" s="107">
        <v>30</v>
      </c>
      <c r="E205" s="131">
        <v>63171</v>
      </c>
      <c r="F205" s="145">
        <v>60</v>
      </c>
      <c r="G205" s="307"/>
    </row>
    <row r="206" spans="1:7" x14ac:dyDescent="0.2">
      <c r="A206" s="534" t="s">
        <v>4411</v>
      </c>
      <c r="B206" s="107">
        <v>2492</v>
      </c>
      <c r="E206" s="131">
        <v>29904</v>
      </c>
      <c r="F206" s="145"/>
      <c r="G206" s="307"/>
    </row>
    <row r="207" spans="1:7" x14ac:dyDescent="0.2">
      <c r="A207" s="534" t="s">
        <v>4412</v>
      </c>
      <c r="B207" s="107">
        <v>10738</v>
      </c>
      <c r="C207" s="107">
        <v>55</v>
      </c>
      <c r="E207" s="131">
        <v>128862</v>
      </c>
      <c r="F207" s="145">
        <v>60</v>
      </c>
      <c r="G207" s="307"/>
    </row>
    <row r="208" spans="1:7" x14ac:dyDescent="0.2">
      <c r="A208" s="823" t="s">
        <v>4413</v>
      </c>
      <c r="B208" s="318">
        <v>30967</v>
      </c>
      <c r="C208" s="318">
        <v>10</v>
      </c>
      <c r="D208" s="318"/>
      <c r="E208" s="240">
        <v>371605</v>
      </c>
      <c r="F208" s="318">
        <v>20</v>
      </c>
      <c r="G208" s="513"/>
    </row>
    <row r="209" spans="2:7" x14ac:dyDescent="0.2">
      <c r="B209" s="393">
        <f t="shared" ref="B209:G209" si="6">+SUM(B201:B207)</f>
        <v>30965</v>
      </c>
      <c r="C209" s="393">
        <f t="shared" si="6"/>
        <v>210</v>
      </c>
      <c r="D209" s="393">
        <f t="shared" si="6"/>
        <v>0</v>
      </c>
      <c r="E209" s="393">
        <f t="shared" si="6"/>
        <v>371603</v>
      </c>
      <c r="F209" s="393">
        <f t="shared" si="6"/>
        <v>220</v>
      </c>
      <c r="G209" s="393">
        <f t="shared" si="6"/>
        <v>0</v>
      </c>
    </row>
  </sheetData>
  <mergeCells count="47">
    <mergeCell ref="A199:G199"/>
    <mergeCell ref="B200:D200"/>
    <mergeCell ref="E200:G200"/>
    <mergeCell ref="A188:D188"/>
    <mergeCell ref="A189:D189"/>
    <mergeCell ref="A190:D190"/>
    <mergeCell ref="A191:D191"/>
    <mergeCell ref="A192:D192"/>
    <mergeCell ref="A194:D194"/>
    <mergeCell ref="A160:D160"/>
    <mergeCell ref="A183:D183"/>
    <mergeCell ref="A184:D184"/>
    <mergeCell ref="A185:D185"/>
    <mergeCell ref="A186:D186"/>
    <mergeCell ref="A187:D187"/>
    <mergeCell ref="A104:D104"/>
    <mergeCell ref="A105:D105"/>
    <mergeCell ref="A107:D107"/>
    <mergeCell ref="A112:G112"/>
    <mergeCell ref="A131:D131"/>
    <mergeCell ref="A139:G139"/>
    <mergeCell ref="A98:D98"/>
    <mergeCell ref="A99:D99"/>
    <mergeCell ref="A100:D100"/>
    <mergeCell ref="A101:D101"/>
    <mergeCell ref="A102:D102"/>
    <mergeCell ref="A103:D103"/>
    <mergeCell ref="A43:D43"/>
    <mergeCell ref="A44:D44"/>
    <mergeCell ref="A46:D46"/>
    <mergeCell ref="A47:D47"/>
    <mergeCell ref="A53:G53"/>
    <mergeCell ref="A59:D59"/>
    <mergeCell ref="A16:G16"/>
    <mergeCell ref="A17:G17"/>
    <mergeCell ref="A22:G22"/>
    <mergeCell ref="A23:D23"/>
    <mergeCell ref="A41:D41"/>
    <mergeCell ref="A42:D42"/>
    <mergeCell ref="A4:M4"/>
    <mergeCell ref="A5:A6"/>
    <mergeCell ref="B5:D5"/>
    <mergeCell ref="E5:G5"/>
    <mergeCell ref="H5:J6"/>
    <mergeCell ref="K5:M6"/>
    <mergeCell ref="B6:D6"/>
    <mergeCell ref="E6:G6"/>
  </mergeCell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X221"/>
  <sheetViews>
    <sheetView workbookViewId="0">
      <selection activeCell="B1" sqref="B1"/>
    </sheetView>
  </sheetViews>
  <sheetFormatPr baseColWidth="10" defaultRowHeight="15" x14ac:dyDescent="0.2"/>
  <cols>
    <col min="1" max="1" width="40.6640625" style="107" customWidth="1"/>
    <col min="2" max="2" width="10.83203125" style="107"/>
    <col min="3" max="3" width="7.5" style="107" customWidth="1"/>
    <col min="4" max="4" width="9.5" style="107" customWidth="1"/>
    <col min="5" max="5" width="9.1640625" style="107" customWidth="1"/>
    <col min="6" max="6" width="9.5" style="107" customWidth="1"/>
    <col min="7" max="7" width="8" style="107" customWidth="1"/>
    <col min="8" max="8" width="9.1640625" style="107" customWidth="1"/>
    <col min="9" max="9" width="4" style="107" customWidth="1"/>
    <col min="10" max="11" width="6.1640625" style="107" customWidth="1"/>
    <col min="12" max="12" width="3.83203125" style="107" customWidth="1"/>
    <col min="13" max="13" width="6.1640625" style="107" customWidth="1"/>
    <col min="14" max="14" width="4" style="107" customWidth="1"/>
    <col min="15" max="16" width="6.1640625" style="107" customWidth="1"/>
    <col min="17" max="17" width="4" style="107" customWidth="1"/>
    <col min="18" max="20" width="6.1640625" style="107" customWidth="1"/>
    <col min="21" max="21" width="4.5" style="107" customWidth="1"/>
    <col min="22" max="22" width="7.33203125" style="107" customWidth="1"/>
    <col min="23" max="23" width="7" style="107" customWidth="1"/>
    <col min="24" max="24" width="6.1640625" style="107" customWidth="1"/>
    <col min="25" max="16384" width="10.83203125" style="107"/>
  </cols>
  <sheetData>
    <row r="1" spans="1:4" x14ac:dyDescent="0.2">
      <c r="A1" s="972" t="s">
        <v>4414</v>
      </c>
    </row>
    <row r="3" spans="1:4" x14ac:dyDescent="0.2">
      <c r="A3" s="526" t="s">
        <v>1111</v>
      </c>
    </row>
    <row r="4" spans="1:4" ht="40.75" customHeight="1" x14ac:dyDescent="0.2">
      <c r="A4" s="953" t="s">
        <v>4415</v>
      </c>
      <c r="B4" s="954"/>
      <c r="C4" s="954"/>
      <c r="D4" s="955"/>
    </row>
    <row r="5" spans="1:4" x14ac:dyDescent="0.2">
      <c r="A5" s="131" t="s">
        <v>1174</v>
      </c>
      <c r="B5" s="145">
        <v>4304905</v>
      </c>
      <c r="C5" s="145">
        <v>35</v>
      </c>
      <c r="D5" s="133"/>
    </row>
    <row r="6" spans="1:4" x14ac:dyDescent="0.2">
      <c r="A6" s="131" t="s">
        <v>1569</v>
      </c>
      <c r="B6" s="145">
        <v>1063473</v>
      </c>
      <c r="C6" s="145">
        <v>37</v>
      </c>
      <c r="D6" s="133">
        <v>0.5</v>
      </c>
    </row>
    <row r="7" spans="1:4" x14ac:dyDescent="0.2">
      <c r="A7" s="131" t="s">
        <v>2390</v>
      </c>
      <c r="B7" s="145">
        <v>46982</v>
      </c>
      <c r="C7" s="145"/>
      <c r="D7" s="133"/>
    </row>
    <row r="8" spans="1:4" x14ac:dyDescent="0.2">
      <c r="A8" s="131" t="s">
        <v>4416</v>
      </c>
      <c r="B8" s="145">
        <v>110000</v>
      </c>
      <c r="C8" s="145"/>
      <c r="D8" s="133"/>
    </row>
    <row r="9" spans="1:4" x14ac:dyDescent="0.2">
      <c r="A9" s="131" t="s">
        <v>4084</v>
      </c>
      <c r="B9" s="145">
        <v>11529</v>
      </c>
      <c r="C9" s="145">
        <v>85</v>
      </c>
      <c r="D9" s="133"/>
    </row>
    <row r="10" spans="1:4" x14ac:dyDescent="0.2">
      <c r="A10" s="131" t="s">
        <v>4417</v>
      </c>
      <c r="B10" s="145">
        <v>224000</v>
      </c>
      <c r="C10" s="145"/>
      <c r="D10" s="133"/>
    </row>
    <row r="11" spans="1:4" x14ac:dyDescent="0.2">
      <c r="A11" s="140" t="s">
        <v>2763</v>
      </c>
      <c r="B11" s="145">
        <v>50000</v>
      </c>
      <c r="C11" s="145"/>
      <c r="D11" s="133"/>
    </row>
    <row r="12" spans="1:4" ht="16" thickBot="1" x14ac:dyDescent="0.25">
      <c r="A12" s="597" t="s">
        <v>1406</v>
      </c>
      <c r="B12" s="362">
        <v>5810890</v>
      </c>
      <c r="C12" s="362">
        <v>57</v>
      </c>
      <c r="D12" s="373">
        <v>0.5</v>
      </c>
    </row>
    <row r="13" spans="1:4" ht="16" thickTop="1" x14ac:dyDescent="0.2">
      <c r="B13" s="393">
        <f>+SUM(B5:B11)</f>
        <v>5810889</v>
      </c>
      <c r="C13" s="393">
        <f t="shared" ref="C13:D13" si="0">+SUM(C5:C11)</f>
        <v>157</v>
      </c>
      <c r="D13" s="1078">
        <f t="shared" si="0"/>
        <v>0.5</v>
      </c>
    </row>
    <row r="16" spans="1:4" x14ac:dyDescent="0.2">
      <c r="A16" s="526" t="s">
        <v>1171</v>
      </c>
    </row>
    <row r="17" spans="1:7" ht="40.25" customHeight="1" x14ac:dyDescent="0.2">
      <c r="A17" s="953" t="s">
        <v>4418</v>
      </c>
      <c r="B17" s="955"/>
    </row>
    <row r="18" spans="1:7" x14ac:dyDescent="0.2">
      <c r="A18" s="539" t="s">
        <v>4419</v>
      </c>
      <c r="B18" s="307">
        <v>200000</v>
      </c>
    </row>
    <row r="19" spans="1:7" ht="30" x14ac:dyDescent="0.2">
      <c r="A19" s="539" t="s">
        <v>4420</v>
      </c>
      <c r="B19" s="307">
        <v>226000</v>
      </c>
    </row>
    <row r="20" spans="1:7" x14ac:dyDescent="0.2">
      <c r="A20" s="539" t="s">
        <v>1829</v>
      </c>
      <c r="B20" s="307">
        <v>43000</v>
      </c>
      <c r="G20" s="107" t="s">
        <v>4421</v>
      </c>
    </row>
    <row r="21" spans="1:7" x14ac:dyDescent="0.2">
      <c r="A21" s="539" t="s">
        <v>4384</v>
      </c>
      <c r="B21" s="307">
        <v>21000</v>
      </c>
    </row>
    <row r="22" spans="1:7" x14ac:dyDescent="0.2">
      <c r="A22" s="539" t="s">
        <v>4422</v>
      </c>
      <c r="B22" s="307">
        <v>150000</v>
      </c>
    </row>
    <row r="23" spans="1:7" x14ac:dyDescent="0.2">
      <c r="A23" s="539" t="s">
        <v>4423</v>
      </c>
      <c r="B23" s="307">
        <v>1100000</v>
      </c>
    </row>
    <row r="24" spans="1:7" x14ac:dyDescent="0.2">
      <c r="A24" s="539" t="s">
        <v>4416</v>
      </c>
      <c r="B24" s="307">
        <v>600000</v>
      </c>
    </row>
    <row r="25" spans="1:7" ht="30" x14ac:dyDescent="0.2">
      <c r="A25" s="539" t="s">
        <v>4424</v>
      </c>
      <c r="B25" s="307">
        <v>740000</v>
      </c>
    </row>
    <row r="26" spans="1:7" ht="16" thickBot="1" x14ac:dyDescent="0.25">
      <c r="A26" s="539" t="s">
        <v>4425</v>
      </c>
      <c r="B26" s="444">
        <v>120000</v>
      </c>
    </row>
    <row r="27" spans="1:7" x14ac:dyDescent="0.2">
      <c r="A27" s="925" t="s">
        <v>4426</v>
      </c>
      <c r="B27" s="307">
        <v>3200000</v>
      </c>
    </row>
    <row r="28" spans="1:7" x14ac:dyDescent="0.2">
      <c r="A28" s="925"/>
      <c r="B28" s="1100">
        <f>+SUM(B18:B26)</f>
        <v>3200000</v>
      </c>
    </row>
    <row r="29" spans="1:7" ht="28.75" customHeight="1" x14ac:dyDescent="0.2">
      <c r="A29" s="516" t="s">
        <v>4427</v>
      </c>
      <c r="B29" s="540"/>
    </row>
    <row r="30" spans="1:7" ht="60" x14ac:dyDescent="0.2">
      <c r="A30" s="539" t="s">
        <v>4428</v>
      </c>
      <c r="B30" s="307">
        <v>520000</v>
      </c>
    </row>
    <row r="31" spans="1:7" x14ac:dyDescent="0.2">
      <c r="A31" s="539" t="s">
        <v>4429</v>
      </c>
      <c r="B31" s="307">
        <v>115000</v>
      </c>
    </row>
    <row r="32" spans="1:7" x14ac:dyDescent="0.2">
      <c r="A32" s="539" t="s">
        <v>4430</v>
      </c>
      <c r="B32" s="307">
        <v>115000</v>
      </c>
    </row>
    <row r="33" spans="1:2" ht="60" x14ac:dyDescent="0.2">
      <c r="A33" s="539" t="s">
        <v>4431</v>
      </c>
      <c r="B33" s="307">
        <v>1247000</v>
      </c>
    </row>
    <row r="34" spans="1:2" ht="30" x14ac:dyDescent="0.2">
      <c r="A34" s="539" t="s">
        <v>4432</v>
      </c>
      <c r="B34" s="307">
        <v>342000</v>
      </c>
    </row>
    <row r="35" spans="1:2" ht="30" x14ac:dyDescent="0.2">
      <c r="A35" s="539" t="s">
        <v>4433</v>
      </c>
      <c r="B35" s="307">
        <v>195000</v>
      </c>
    </row>
    <row r="36" spans="1:2" ht="45" x14ac:dyDescent="0.2">
      <c r="A36" s="539" t="s">
        <v>4434</v>
      </c>
      <c r="B36" s="307">
        <v>108000</v>
      </c>
    </row>
    <row r="37" spans="1:2" ht="16" thickBot="1" x14ac:dyDescent="0.25">
      <c r="A37" s="925" t="s">
        <v>4426</v>
      </c>
      <c r="B37" s="596">
        <v>2612000</v>
      </c>
    </row>
    <row r="38" spans="1:2" x14ac:dyDescent="0.2">
      <c r="A38" s="925"/>
      <c r="B38" s="1263">
        <f>+SUM(B30:B36)</f>
        <v>2642000</v>
      </c>
    </row>
    <row r="39" spans="1:2" x14ac:dyDescent="0.2">
      <c r="A39" s="539" t="s">
        <v>4435</v>
      </c>
      <c r="B39" s="307">
        <v>450000</v>
      </c>
    </row>
    <row r="40" spans="1:2" ht="46" thickBot="1" x14ac:dyDescent="0.25">
      <c r="A40" s="539" t="s">
        <v>4436</v>
      </c>
      <c r="B40" s="444">
        <v>600000</v>
      </c>
    </row>
    <row r="41" spans="1:2" x14ac:dyDescent="0.2">
      <c r="A41" s="131"/>
      <c r="B41" s="307">
        <v>1050000</v>
      </c>
    </row>
    <row r="42" spans="1:2" ht="46.75" customHeight="1" x14ac:dyDescent="0.2">
      <c r="A42" s="516" t="s">
        <v>4437</v>
      </c>
      <c r="B42" s="540"/>
    </row>
    <row r="43" spans="1:2" ht="45" x14ac:dyDescent="0.2">
      <c r="A43" s="539" t="s">
        <v>4438</v>
      </c>
      <c r="B43" s="307">
        <v>195000</v>
      </c>
    </row>
    <row r="44" spans="1:2" x14ac:dyDescent="0.2">
      <c r="A44" s="539" t="s">
        <v>4439</v>
      </c>
      <c r="B44" s="307">
        <v>112500</v>
      </c>
    </row>
    <row r="45" spans="1:2" x14ac:dyDescent="0.2">
      <c r="A45" s="539" t="s">
        <v>4440</v>
      </c>
      <c r="B45" s="307">
        <v>60000</v>
      </c>
    </row>
    <row r="46" spans="1:2" ht="30" x14ac:dyDescent="0.2">
      <c r="A46" s="539" t="s">
        <v>4441</v>
      </c>
      <c r="B46" s="307">
        <v>186000</v>
      </c>
    </row>
    <row r="47" spans="1:2" ht="30" x14ac:dyDescent="0.2">
      <c r="A47" s="539" t="s">
        <v>4442</v>
      </c>
      <c r="B47" s="307">
        <v>51000</v>
      </c>
    </row>
    <row r="48" spans="1:2" ht="30" x14ac:dyDescent="0.2">
      <c r="A48" s="539" t="s">
        <v>4443</v>
      </c>
      <c r="B48" s="307">
        <v>45000</v>
      </c>
    </row>
    <row r="49" spans="1:2" ht="30" x14ac:dyDescent="0.2">
      <c r="A49" s="539" t="s">
        <v>4444</v>
      </c>
      <c r="B49" s="307">
        <v>182000</v>
      </c>
    </row>
    <row r="50" spans="1:2" x14ac:dyDescent="0.2">
      <c r="A50" s="539" t="s">
        <v>4445</v>
      </c>
      <c r="B50" s="307">
        <v>182000</v>
      </c>
    </row>
    <row r="51" spans="1:2" x14ac:dyDescent="0.2">
      <c r="A51" s="539" t="s">
        <v>4446</v>
      </c>
      <c r="B51" s="307">
        <v>45000</v>
      </c>
    </row>
    <row r="52" spans="1:2" ht="45" x14ac:dyDescent="0.2">
      <c r="A52" s="539" t="s">
        <v>4447</v>
      </c>
      <c r="B52" s="307">
        <v>90000</v>
      </c>
    </row>
    <row r="53" spans="1:2" x14ac:dyDescent="0.2">
      <c r="A53" s="539" t="s">
        <v>4448</v>
      </c>
      <c r="B53" s="307">
        <v>30000</v>
      </c>
    </row>
    <row r="54" spans="1:2" ht="16" thickBot="1" x14ac:dyDescent="0.25">
      <c r="A54" s="539" t="s">
        <v>4449</v>
      </c>
      <c r="B54" s="444">
        <v>28000</v>
      </c>
    </row>
    <row r="55" spans="1:2" x14ac:dyDescent="0.2">
      <c r="A55" s="925" t="s">
        <v>4450</v>
      </c>
      <c r="B55" s="307">
        <v>1706000</v>
      </c>
    </row>
    <row r="56" spans="1:2" x14ac:dyDescent="0.2">
      <c r="A56" s="925"/>
      <c r="B56" s="1263">
        <f>+SUM(B43:B54)</f>
        <v>1206500</v>
      </c>
    </row>
    <row r="57" spans="1:2" ht="20.5" customHeight="1" x14ac:dyDescent="0.2">
      <c r="A57" s="861" t="s">
        <v>2086</v>
      </c>
      <c r="B57" s="863"/>
    </row>
    <row r="58" spans="1:2" x14ac:dyDescent="0.2">
      <c r="A58" s="576" t="s">
        <v>4451</v>
      </c>
      <c r="B58" s="307">
        <v>7978000</v>
      </c>
    </row>
    <row r="59" spans="1:2" ht="16" thickBot="1" x14ac:dyDescent="0.25">
      <c r="A59" s="576" t="s">
        <v>4452</v>
      </c>
      <c r="B59" s="444">
        <v>5810890</v>
      </c>
    </row>
    <row r="60" spans="1:2" x14ac:dyDescent="0.2">
      <c r="A60" s="1264" t="s">
        <v>4453</v>
      </c>
      <c r="B60" s="364">
        <v>2167110</v>
      </c>
    </row>
    <row r="64" spans="1:2" x14ac:dyDescent="0.2">
      <c r="A64" s="526" t="s">
        <v>1853</v>
      </c>
    </row>
    <row r="65" spans="1:7" ht="28.75" customHeight="1" x14ac:dyDescent="0.2">
      <c r="A65" s="1265" t="s">
        <v>4454</v>
      </c>
      <c r="B65" s="1265"/>
      <c r="C65" s="1265"/>
      <c r="D65" s="1265"/>
      <c r="E65" s="1265"/>
      <c r="F65" s="1265"/>
      <c r="G65" s="1265"/>
    </row>
    <row r="66" spans="1:7" s="1271" customFormat="1" ht="30" customHeight="1" x14ac:dyDescent="0.2">
      <c r="A66" s="1266" t="s">
        <v>1227</v>
      </c>
      <c r="B66" s="1267" t="s">
        <v>4455</v>
      </c>
      <c r="C66" s="1267"/>
      <c r="D66" s="1268" t="s">
        <v>4456</v>
      </c>
      <c r="E66" s="1269"/>
      <c r="F66" s="1270" t="s">
        <v>1996</v>
      </c>
      <c r="G66" s="1270" t="s">
        <v>1997</v>
      </c>
    </row>
    <row r="67" spans="1:7" x14ac:dyDescent="0.2">
      <c r="A67" s="533" t="s">
        <v>4457</v>
      </c>
      <c r="B67" s="131">
        <v>112381</v>
      </c>
      <c r="C67" s="307"/>
      <c r="D67" s="107">
        <v>121264</v>
      </c>
      <c r="F67" s="533">
        <v>8883</v>
      </c>
      <c r="G67" s="533"/>
    </row>
    <row r="68" spans="1:7" x14ac:dyDescent="0.2">
      <c r="A68" s="533" t="s">
        <v>1373</v>
      </c>
      <c r="B68" s="131">
        <v>100924</v>
      </c>
      <c r="C68" s="307"/>
      <c r="D68" s="107">
        <v>78501</v>
      </c>
      <c r="F68" s="533"/>
      <c r="G68" s="533">
        <v>22423</v>
      </c>
    </row>
    <row r="69" spans="1:7" x14ac:dyDescent="0.2">
      <c r="A69" s="533" t="s">
        <v>3668</v>
      </c>
      <c r="B69" s="131">
        <v>2805345</v>
      </c>
      <c r="C69" s="307"/>
      <c r="D69" s="107">
        <v>3288097</v>
      </c>
      <c r="F69" s="533">
        <v>482752</v>
      </c>
      <c r="G69" s="533"/>
    </row>
    <row r="70" spans="1:7" x14ac:dyDescent="0.2">
      <c r="A70" s="534" t="s">
        <v>4033</v>
      </c>
      <c r="B70" s="131">
        <v>320853</v>
      </c>
      <c r="C70" s="307"/>
      <c r="D70" s="107">
        <v>168861</v>
      </c>
      <c r="F70" s="533"/>
      <c r="G70" s="533">
        <v>151992</v>
      </c>
    </row>
    <row r="71" spans="1:7" x14ac:dyDescent="0.2">
      <c r="A71" s="534" t="s">
        <v>1517</v>
      </c>
      <c r="B71" s="131">
        <v>283874</v>
      </c>
      <c r="C71" s="307"/>
      <c r="D71" s="107">
        <v>279766</v>
      </c>
      <c r="F71" s="533"/>
      <c r="G71" s="533">
        <v>4108</v>
      </c>
    </row>
    <row r="72" spans="1:7" x14ac:dyDescent="0.2">
      <c r="A72" s="534" t="s">
        <v>1527</v>
      </c>
      <c r="B72" s="131">
        <v>52046</v>
      </c>
      <c r="C72" s="307"/>
      <c r="D72" s="107">
        <v>92501</v>
      </c>
      <c r="F72" s="533">
        <v>40455</v>
      </c>
      <c r="G72" s="533"/>
    </row>
    <row r="73" spans="1:7" x14ac:dyDescent="0.2">
      <c r="A73" s="534" t="s">
        <v>4297</v>
      </c>
      <c r="B73" s="131">
        <v>8442</v>
      </c>
      <c r="C73" s="307"/>
      <c r="D73" s="107">
        <v>18866</v>
      </c>
      <c r="F73" s="533">
        <v>10424</v>
      </c>
      <c r="G73" s="533"/>
    </row>
    <row r="74" spans="1:7" x14ac:dyDescent="0.2">
      <c r="A74" s="534" t="s">
        <v>4299</v>
      </c>
      <c r="B74" s="1200"/>
      <c r="C74" s="307"/>
      <c r="D74" s="107">
        <v>8280</v>
      </c>
      <c r="F74" s="533"/>
      <c r="G74" s="533"/>
    </row>
    <row r="75" spans="1:7" x14ac:dyDescent="0.2">
      <c r="A75" s="534" t="s">
        <v>1519</v>
      </c>
      <c r="B75" s="131">
        <v>246997</v>
      </c>
      <c r="C75" s="307"/>
      <c r="D75" s="107">
        <v>248769</v>
      </c>
      <c r="F75" s="533">
        <v>1672</v>
      </c>
      <c r="G75" s="533"/>
    </row>
    <row r="76" spans="1:7" x14ac:dyDescent="0.2">
      <c r="A76" s="535"/>
      <c r="B76" s="240">
        <v>3930862</v>
      </c>
      <c r="C76" s="513"/>
      <c r="D76" s="318">
        <v>4304905</v>
      </c>
      <c r="E76" s="318"/>
      <c r="F76" s="535"/>
      <c r="G76" s="535"/>
    </row>
    <row r="77" spans="1:7" x14ac:dyDescent="0.2">
      <c r="B77" s="393">
        <f>+SUM(B67:B75)</f>
        <v>3930862</v>
      </c>
      <c r="D77" s="393">
        <f>+SUM(D67:D75)</f>
        <v>4304905</v>
      </c>
    </row>
    <row r="80" spans="1:7" x14ac:dyDescent="0.2">
      <c r="A80" s="526" t="s">
        <v>1587</v>
      </c>
    </row>
    <row r="81" spans="1:8" ht="36.5" customHeight="1" x14ac:dyDescent="0.2">
      <c r="A81" s="1272" t="s">
        <v>4458</v>
      </c>
      <c r="B81" s="1272"/>
      <c r="C81" s="1272"/>
      <c r="D81" s="1272"/>
      <c r="E81" s="1272"/>
      <c r="F81" s="1272"/>
      <c r="G81" s="1272"/>
    </row>
    <row r="82" spans="1:8" s="1277" customFormat="1" ht="37.75" customHeight="1" x14ac:dyDescent="0.15">
      <c r="A82" s="1273" t="s">
        <v>1880</v>
      </c>
      <c r="B82" s="1274" t="s">
        <v>4459</v>
      </c>
      <c r="C82" s="1275"/>
      <c r="D82" s="1276" t="s">
        <v>4460</v>
      </c>
      <c r="E82" s="1276"/>
      <c r="F82" s="1274" t="s">
        <v>4461</v>
      </c>
      <c r="G82" s="1276"/>
    </row>
    <row r="83" spans="1:8" x14ac:dyDescent="0.2">
      <c r="A83" s="533" t="s">
        <v>4462</v>
      </c>
      <c r="B83" s="145">
        <v>651695</v>
      </c>
      <c r="C83" s="145"/>
      <c r="D83" s="131">
        <v>1454142</v>
      </c>
      <c r="E83" s="307"/>
      <c r="F83" s="145">
        <v>45</v>
      </c>
      <c r="G83" s="307">
        <v>50</v>
      </c>
      <c r="H83" s="1278">
        <f>D83/B83</f>
        <v>2.2313229348084609</v>
      </c>
    </row>
    <row r="84" spans="1:8" x14ac:dyDescent="0.2">
      <c r="A84" s="533" t="s">
        <v>4463</v>
      </c>
      <c r="B84" s="145">
        <v>560833</v>
      </c>
      <c r="C84" s="145"/>
      <c r="D84" s="131">
        <v>2634100</v>
      </c>
      <c r="E84" s="307"/>
      <c r="F84" s="145">
        <v>21</v>
      </c>
      <c r="G84" s="307">
        <v>29</v>
      </c>
    </row>
    <row r="85" spans="1:8" x14ac:dyDescent="0.2">
      <c r="A85" s="533" t="s">
        <v>4464</v>
      </c>
      <c r="B85" s="145">
        <v>660697</v>
      </c>
      <c r="C85" s="145"/>
      <c r="D85" s="131">
        <v>3313968</v>
      </c>
      <c r="E85" s="307"/>
      <c r="F85" s="145">
        <v>19</v>
      </c>
      <c r="G85" s="307">
        <v>93</v>
      </c>
    </row>
    <row r="86" spans="1:8" x14ac:dyDescent="0.2">
      <c r="A86" s="533" t="s">
        <v>4465</v>
      </c>
      <c r="B86" s="145">
        <v>512558</v>
      </c>
      <c r="C86" s="145"/>
      <c r="D86" s="131">
        <v>2173607</v>
      </c>
      <c r="E86" s="307"/>
      <c r="F86" s="145">
        <v>23</v>
      </c>
      <c r="G86" s="307">
        <v>58</v>
      </c>
    </row>
    <row r="87" spans="1:8" x14ac:dyDescent="0.2">
      <c r="A87" s="533" t="s">
        <v>4466</v>
      </c>
      <c r="B87" s="145">
        <v>356306</v>
      </c>
      <c r="C87" s="145"/>
      <c r="D87" s="131">
        <v>2536744</v>
      </c>
      <c r="E87" s="307"/>
      <c r="F87" s="145">
        <v>10</v>
      </c>
      <c r="G87" s="307">
        <v>10</v>
      </c>
    </row>
    <row r="88" spans="1:8" x14ac:dyDescent="0.2">
      <c r="A88" s="533" t="s">
        <v>4467</v>
      </c>
      <c r="B88" s="145">
        <v>357974</v>
      </c>
      <c r="C88" s="145"/>
      <c r="D88" s="131">
        <v>2538989</v>
      </c>
      <c r="E88" s="307"/>
      <c r="F88" s="145">
        <v>14</v>
      </c>
      <c r="G88" s="307">
        <v>9</v>
      </c>
    </row>
    <row r="89" spans="1:8" x14ac:dyDescent="0.2">
      <c r="A89" s="533" t="s">
        <v>4468</v>
      </c>
      <c r="B89" s="145">
        <v>258817</v>
      </c>
      <c r="C89" s="145"/>
      <c r="D89" s="131">
        <v>2728636</v>
      </c>
      <c r="E89" s="307"/>
      <c r="F89" s="145">
        <v>9</v>
      </c>
      <c r="G89" s="307">
        <v>47</v>
      </c>
    </row>
    <row r="90" spans="1:8" x14ac:dyDescent="0.2">
      <c r="A90" s="533" t="s">
        <v>4469</v>
      </c>
      <c r="B90" s="145">
        <v>27151</v>
      </c>
      <c r="C90" s="145"/>
      <c r="D90" s="131">
        <v>436289</v>
      </c>
      <c r="E90" s="307"/>
      <c r="F90" s="145">
        <v>6</v>
      </c>
      <c r="G90" s="307">
        <v>22</v>
      </c>
    </row>
    <row r="91" spans="1:8" x14ac:dyDescent="0.2">
      <c r="A91" s="533" t="s">
        <v>4470</v>
      </c>
      <c r="B91" s="145">
        <v>597938</v>
      </c>
      <c r="C91" s="145"/>
      <c r="D91" s="131">
        <v>3423288</v>
      </c>
      <c r="E91" s="307"/>
      <c r="F91" s="145">
        <v>17</v>
      </c>
      <c r="G91" s="307">
        <v>46</v>
      </c>
    </row>
    <row r="92" spans="1:8" x14ac:dyDescent="0.2">
      <c r="A92" s="533" t="s">
        <v>4471</v>
      </c>
      <c r="B92" s="145">
        <v>686729</v>
      </c>
      <c r="C92" s="145"/>
      <c r="D92" s="131">
        <v>3282067</v>
      </c>
      <c r="E92" s="307"/>
      <c r="F92" s="145">
        <v>20</v>
      </c>
      <c r="G92" s="307">
        <v>92</v>
      </c>
    </row>
    <row r="93" spans="1:8" x14ac:dyDescent="0.2">
      <c r="A93" s="533" t="s">
        <v>4472</v>
      </c>
      <c r="B93" s="145">
        <v>739898</v>
      </c>
      <c r="C93" s="145"/>
      <c r="D93" s="1200">
        <v>3282067</v>
      </c>
      <c r="E93" s="307"/>
      <c r="F93" s="1155">
        <v>20</v>
      </c>
      <c r="G93" s="1167">
        <v>92</v>
      </c>
    </row>
    <row r="94" spans="1:8" x14ac:dyDescent="0.2">
      <c r="A94" s="533" t="s">
        <v>4473</v>
      </c>
      <c r="B94" s="145">
        <v>598919</v>
      </c>
      <c r="C94" s="145"/>
      <c r="D94" s="131">
        <v>2391262</v>
      </c>
      <c r="E94" s="307"/>
      <c r="F94" s="145">
        <v>25</v>
      </c>
      <c r="G94" s="307">
        <v>4</v>
      </c>
    </row>
    <row r="95" spans="1:8" x14ac:dyDescent="0.2">
      <c r="A95" s="533" t="s">
        <v>4474</v>
      </c>
      <c r="B95" s="145">
        <v>1004903</v>
      </c>
      <c r="C95" s="145"/>
      <c r="D95" s="131">
        <v>4168468</v>
      </c>
      <c r="E95" s="307"/>
      <c r="F95" s="145">
        <v>24</v>
      </c>
      <c r="G95" s="307">
        <v>34</v>
      </c>
    </row>
    <row r="96" spans="1:8" x14ac:dyDescent="0.2">
      <c r="A96" s="533" t="s">
        <v>4475</v>
      </c>
      <c r="B96" s="145">
        <v>969469</v>
      </c>
      <c r="C96" s="145"/>
      <c r="D96" s="131">
        <v>3255842</v>
      </c>
      <c r="E96" s="307"/>
      <c r="F96" s="145">
        <v>30</v>
      </c>
      <c r="G96" s="1167">
        <v>34</v>
      </c>
    </row>
    <row r="97" spans="1:7" x14ac:dyDescent="0.2">
      <c r="A97" s="533" t="s">
        <v>4476</v>
      </c>
      <c r="B97" s="145">
        <v>848554</v>
      </c>
      <c r="C97" s="145"/>
      <c r="D97" s="131">
        <v>1987732</v>
      </c>
      <c r="E97" s="307"/>
      <c r="F97" s="145">
        <v>42</v>
      </c>
      <c r="G97" s="307">
        <v>59</v>
      </c>
    </row>
    <row r="98" spans="1:7" x14ac:dyDescent="0.2">
      <c r="A98" s="533" t="s">
        <v>4477</v>
      </c>
      <c r="B98" s="145">
        <v>848135</v>
      </c>
      <c r="C98" s="145"/>
      <c r="D98" s="131">
        <v>2446446</v>
      </c>
      <c r="E98" s="307"/>
      <c r="F98" s="145">
        <v>34</v>
      </c>
      <c r="G98" s="307">
        <v>66</v>
      </c>
    </row>
    <row r="99" spans="1:7" x14ac:dyDescent="0.2">
      <c r="A99" s="533" t="s">
        <v>4478</v>
      </c>
      <c r="B99" s="145">
        <v>1313640</v>
      </c>
      <c r="C99" s="145"/>
      <c r="D99" s="131">
        <v>6723593</v>
      </c>
      <c r="E99" s="307"/>
      <c r="F99" s="145">
        <v>19</v>
      </c>
      <c r="G99" s="307">
        <v>53</v>
      </c>
    </row>
    <row r="100" spans="1:7" x14ac:dyDescent="0.2">
      <c r="A100" s="533" t="s">
        <v>4479</v>
      </c>
      <c r="B100" s="145">
        <v>1347086</v>
      </c>
      <c r="C100" s="145"/>
      <c r="D100" s="131">
        <v>7897206</v>
      </c>
      <c r="E100" s="307"/>
      <c r="F100" s="145">
        <v>17</v>
      </c>
      <c r="G100" s="307">
        <v>5</v>
      </c>
    </row>
    <row r="101" spans="1:7" x14ac:dyDescent="0.2">
      <c r="A101" s="533" t="s">
        <v>4480</v>
      </c>
      <c r="B101" s="145">
        <v>1127972</v>
      </c>
      <c r="C101" s="145"/>
      <c r="D101" s="131">
        <v>5524493</v>
      </c>
      <c r="E101" s="307"/>
      <c r="F101" s="145">
        <v>20</v>
      </c>
      <c r="G101" s="307">
        <v>41</v>
      </c>
    </row>
    <row r="102" spans="1:7" x14ac:dyDescent="0.2">
      <c r="A102" s="533" t="s">
        <v>4481</v>
      </c>
      <c r="B102" s="145">
        <v>1528260</v>
      </c>
      <c r="C102" s="145"/>
      <c r="D102" s="131">
        <v>6392866</v>
      </c>
      <c r="E102" s="307"/>
      <c r="F102" s="145">
        <v>23</v>
      </c>
      <c r="G102" s="307">
        <v>90</v>
      </c>
    </row>
    <row r="103" spans="1:7" x14ac:dyDescent="0.2">
      <c r="A103" s="533" t="s">
        <v>4482</v>
      </c>
      <c r="B103" s="145">
        <v>2067485</v>
      </c>
      <c r="C103" s="145"/>
      <c r="D103" s="131">
        <v>7255092</v>
      </c>
      <c r="E103" s="307"/>
      <c r="F103" s="145">
        <v>28</v>
      </c>
      <c r="G103" s="307">
        <v>49</v>
      </c>
    </row>
    <row r="104" spans="1:7" x14ac:dyDescent="0.2">
      <c r="A104" s="533" t="s">
        <v>4483</v>
      </c>
      <c r="B104" s="145">
        <v>1554250</v>
      </c>
      <c r="C104" s="145"/>
      <c r="D104" s="131">
        <v>5843451</v>
      </c>
      <c r="E104" s="307"/>
      <c r="F104" s="145">
        <v>26</v>
      </c>
      <c r="G104" s="307">
        <v>59</v>
      </c>
    </row>
    <row r="105" spans="1:7" x14ac:dyDescent="0.2">
      <c r="A105" s="533" t="s">
        <v>4484</v>
      </c>
      <c r="B105" s="145">
        <v>1542481</v>
      </c>
      <c r="C105" s="145"/>
      <c r="D105" s="131">
        <v>5862711</v>
      </c>
      <c r="E105" s="307"/>
      <c r="F105" s="145">
        <v>26</v>
      </c>
      <c r="G105" s="307">
        <v>31</v>
      </c>
    </row>
    <row r="106" spans="1:7" x14ac:dyDescent="0.2">
      <c r="A106" s="533" t="s">
        <v>4485</v>
      </c>
      <c r="B106" s="145">
        <v>2018779</v>
      </c>
      <c r="C106" s="145"/>
      <c r="D106" s="131">
        <v>8427171</v>
      </c>
      <c r="E106" s="307"/>
      <c r="F106" s="145">
        <v>25</v>
      </c>
      <c r="G106" s="307">
        <v>25</v>
      </c>
    </row>
    <row r="107" spans="1:7" x14ac:dyDescent="0.2">
      <c r="A107" s="533" t="s">
        <v>4486</v>
      </c>
      <c r="B107" s="145">
        <v>2743068</v>
      </c>
      <c r="C107" s="145"/>
      <c r="D107" s="131">
        <v>12515639</v>
      </c>
      <c r="E107" s="307"/>
      <c r="F107" s="145">
        <v>22</v>
      </c>
      <c r="G107" s="307">
        <v>71</v>
      </c>
    </row>
    <row r="108" spans="1:7" x14ac:dyDescent="0.2">
      <c r="A108" s="533" t="s">
        <v>4487</v>
      </c>
      <c r="B108" s="145">
        <v>2776627</v>
      </c>
      <c r="C108" s="145"/>
      <c r="D108" s="131">
        <v>11165691</v>
      </c>
      <c r="E108" s="307"/>
      <c r="F108" s="145">
        <v>24</v>
      </c>
      <c r="G108" s="307">
        <v>86</v>
      </c>
    </row>
    <row r="109" spans="1:7" x14ac:dyDescent="0.2">
      <c r="A109" s="533" t="s">
        <v>4488</v>
      </c>
      <c r="B109" s="145">
        <v>2318970</v>
      </c>
      <c r="C109" s="145"/>
      <c r="D109" s="131">
        <v>6949028</v>
      </c>
      <c r="E109" s="307"/>
      <c r="F109" s="145">
        <v>33</v>
      </c>
      <c r="G109" s="307">
        <v>37</v>
      </c>
    </row>
    <row r="110" spans="1:7" x14ac:dyDescent="0.2">
      <c r="A110" s="533" t="s">
        <v>4489</v>
      </c>
      <c r="B110" s="145">
        <v>2353548</v>
      </c>
      <c r="C110" s="145"/>
      <c r="D110" s="131">
        <v>7328928</v>
      </c>
      <c r="E110" s="307"/>
      <c r="F110" s="145">
        <v>32</v>
      </c>
      <c r="G110" s="307">
        <v>11</v>
      </c>
    </row>
    <row r="111" spans="1:7" x14ac:dyDescent="0.2">
      <c r="A111" s="533" t="s">
        <v>4490</v>
      </c>
      <c r="B111" s="145">
        <v>2140725</v>
      </c>
      <c r="C111" s="145"/>
      <c r="D111" s="131">
        <v>6709109</v>
      </c>
      <c r="E111" s="307"/>
      <c r="F111" s="145">
        <v>31</v>
      </c>
      <c r="G111" s="307">
        <v>93</v>
      </c>
    </row>
    <row r="112" spans="1:7" x14ac:dyDescent="0.2">
      <c r="A112" s="533" t="s">
        <v>4491</v>
      </c>
      <c r="B112" s="145">
        <v>3906090</v>
      </c>
      <c r="C112" s="145"/>
      <c r="D112" s="131">
        <v>8708797</v>
      </c>
      <c r="E112" s="307"/>
      <c r="F112" s="145">
        <v>44</v>
      </c>
      <c r="G112" s="307">
        <v>85</v>
      </c>
    </row>
    <row r="113" spans="1:7" x14ac:dyDescent="0.2">
      <c r="A113" s="533" t="s">
        <v>4492</v>
      </c>
      <c r="B113" s="145">
        <v>3952150</v>
      </c>
      <c r="C113" s="145"/>
      <c r="D113" s="131">
        <v>10787654</v>
      </c>
      <c r="E113" s="307"/>
      <c r="F113" s="145">
        <v>45</v>
      </c>
      <c r="G113" s="307">
        <v>7</v>
      </c>
    </row>
    <row r="114" spans="1:7" x14ac:dyDescent="0.2">
      <c r="A114" s="533" t="s">
        <v>4493</v>
      </c>
      <c r="B114" s="145">
        <v>3463435</v>
      </c>
      <c r="C114" s="145"/>
      <c r="D114" s="131">
        <v>10387003</v>
      </c>
      <c r="E114" s="307"/>
      <c r="F114" s="145">
        <v>33</v>
      </c>
      <c r="G114" s="307">
        <v>34</v>
      </c>
    </row>
    <row r="115" spans="1:7" x14ac:dyDescent="0.2">
      <c r="A115" s="533" t="s">
        <v>4494</v>
      </c>
      <c r="B115" s="145">
        <v>3882044</v>
      </c>
      <c r="C115" s="145"/>
      <c r="D115" s="131">
        <v>12071480</v>
      </c>
      <c r="E115" s="307"/>
      <c r="F115" s="145">
        <v>32</v>
      </c>
      <c r="G115" s="307">
        <v>15</v>
      </c>
    </row>
    <row r="116" spans="1:7" x14ac:dyDescent="0.2">
      <c r="A116" s="535" t="s">
        <v>4495</v>
      </c>
      <c r="B116" s="145">
        <v>4258949</v>
      </c>
      <c r="C116" s="145"/>
      <c r="D116" s="230">
        <v>12355555</v>
      </c>
      <c r="E116" s="364"/>
      <c r="F116" s="145">
        <v>34</v>
      </c>
      <c r="G116" s="307">
        <v>46</v>
      </c>
    </row>
    <row r="117" spans="1:7" ht="24.5" customHeight="1" x14ac:dyDescent="0.2">
      <c r="A117" s="1279" t="s">
        <v>4496</v>
      </c>
      <c r="B117" s="1280"/>
      <c r="C117" s="1280"/>
      <c r="D117" s="1280"/>
      <c r="E117" s="1280"/>
      <c r="F117" s="1280"/>
      <c r="G117" s="1281"/>
    </row>
    <row r="121" spans="1:7" x14ac:dyDescent="0.2">
      <c r="A121" s="526" t="s">
        <v>2602</v>
      </c>
    </row>
    <row r="122" spans="1:7" ht="30.5" customHeight="1" x14ac:dyDescent="0.2">
      <c r="A122" s="1282" t="s">
        <v>4497</v>
      </c>
      <c r="B122" s="1283"/>
      <c r="C122" s="1284"/>
    </row>
    <row r="123" spans="1:7" ht="30" x14ac:dyDescent="0.2">
      <c r="A123" s="539" t="s">
        <v>4498</v>
      </c>
      <c r="B123" s="145">
        <v>295105</v>
      </c>
      <c r="C123" s="307"/>
    </row>
    <row r="124" spans="1:7" ht="16" thickBot="1" x14ac:dyDescent="0.25">
      <c r="A124" s="131" t="s">
        <v>4499</v>
      </c>
      <c r="B124" s="187">
        <v>319708</v>
      </c>
      <c r="C124" s="307"/>
    </row>
    <row r="125" spans="1:7" x14ac:dyDescent="0.2">
      <c r="A125" s="131" t="s">
        <v>4500</v>
      </c>
      <c r="B125" s="145">
        <v>24603</v>
      </c>
      <c r="C125" s="307"/>
    </row>
    <row r="126" spans="1:7" x14ac:dyDescent="0.2">
      <c r="A126" s="131"/>
      <c r="B126" s="1093">
        <f>+SUM(B123-B124)</f>
        <v>-24603</v>
      </c>
      <c r="C126" s="307"/>
    </row>
    <row r="127" spans="1:7" ht="30" x14ac:dyDescent="0.2">
      <c r="A127" s="539" t="s">
        <v>4501</v>
      </c>
      <c r="B127" s="145"/>
      <c r="C127" s="307"/>
    </row>
    <row r="128" spans="1:7" ht="18.5" customHeight="1" x14ac:dyDescent="0.2">
      <c r="A128" s="131"/>
      <c r="B128" s="1285" t="s">
        <v>4502</v>
      </c>
      <c r="C128" s="1286" t="s">
        <v>4503</v>
      </c>
    </row>
    <row r="129" spans="1:3" ht="14.5" customHeight="1" x14ac:dyDescent="0.2">
      <c r="A129" s="131" t="s">
        <v>4504</v>
      </c>
      <c r="B129" s="145">
        <v>18187</v>
      </c>
      <c r="C129" s="307">
        <v>9629</v>
      </c>
    </row>
    <row r="130" spans="1:3" x14ac:dyDescent="0.2">
      <c r="A130" s="131" t="s">
        <v>4505</v>
      </c>
      <c r="B130" s="145">
        <v>201696</v>
      </c>
      <c r="C130" s="307">
        <v>193312</v>
      </c>
    </row>
    <row r="131" spans="1:3" x14ac:dyDescent="0.2">
      <c r="A131" s="131" t="s">
        <v>4506</v>
      </c>
      <c r="B131" s="145">
        <v>84809</v>
      </c>
      <c r="C131" s="307">
        <v>78525</v>
      </c>
    </row>
    <row r="132" spans="1:3" ht="16" thickBot="1" x14ac:dyDescent="0.25">
      <c r="A132" s="131" t="s">
        <v>2742</v>
      </c>
      <c r="B132" s="187">
        <v>15016</v>
      </c>
      <c r="C132" s="444">
        <v>11459</v>
      </c>
    </row>
    <row r="133" spans="1:3" ht="16" thickBot="1" x14ac:dyDescent="0.25">
      <c r="A133" s="131"/>
      <c r="B133" s="145">
        <v>319708</v>
      </c>
      <c r="C133" s="449">
        <v>292925</v>
      </c>
    </row>
    <row r="134" spans="1:3" ht="16" thickBot="1" x14ac:dyDescent="0.25">
      <c r="A134" s="131"/>
      <c r="B134" s="1093">
        <f>+SUM(B129:B132)</f>
        <v>319708</v>
      </c>
      <c r="C134" s="1093">
        <f>+SUM(C129:C132)</f>
        <v>292925</v>
      </c>
    </row>
    <row r="135" spans="1:3" ht="16" thickBot="1" x14ac:dyDescent="0.25">
      <c r="A135" s="131" t="s">
        <v>4299</v>
      </c>
      <c r="B135" s="145"/>
      <c r="C135" s="449">
        <v>2180</v>
      </c>
    </row>
    <row r="136" spans="1:3" x14ac:dyDescent="0.2">
      <c r="A136" s="131"/>
      <c r="B136" s="145"/>
      <c r="C136" s="307">
        <v>295105</v>
      </c>
    </row>
    <row r="137" spans="1:3" x14ac:dyDescent="0.2">
      <c r="A137" s="131" t="s">
        <v>4507</v>
      </c>
      <c r="B137" s="145"/>
      <c r="C137" s="307"/>
    </row>
    <row r="138" spans="1:3" ht="19.75" customHeight="1" x14ac:dyDescent="0.2">
      <c r="A138" s="131"/>
      <c r="B138" s="1285" t="s">
        <v>4502</v>
      </c>
      <c r="C138" s="1286" t="s">
        <v>4503</v>
      </c>
    </row>
    <row r="139" spans="1:3" x14ac:dyDescent="0.2">
      <c r="A139" s="131" t="s">
        <v>1526</v>
      </c>
      <c r="B139" s="145">
        <v>41348</v>
      </c>
      <c r="C139" s="307">
        <v>21544</v>
      </c>
    </row>
    <row r="140" spans="1:3" x14ac:dyDescent="0.2">
      <c r="A140" s="131" t="s">
        <v>1373</v>
      </c>
      <c r="B140" s="145">
        <v>27767</v>
      </c>
      <c r="C140" s="307">
        <v>30765</v>
      </c>
    </row>
    <row r="141" spans="1:3" x14ac:dyDescent="0.2">
      <c r="A141" s="131" t="s">
        <v>3668</v>
      </c>
      <c r="B141" s="145">
        <v>74592</v>
      </c>
      <c r="C141" s="307">
        <v>76136</v>
      </c>
    </row>
    <row r="142" spans="1:3" x14ac:dyDescent="0.2">
      <c r="A142" s="131" t="s">
        <v>4033</v>
      </c>
      <c r="B142" s="145">
        <v>74548</v>
      </c>
      <c r="C142" s="307">
        <v>64764</v>
      </c>
    </row>
    <row r="143" spans="1:3" x14ac:dyDescent="0.2">
      <c r="A143" s="131" t="s">
        <v>1517</v>
      </c>
      <c r="B143" s="145">
        <v>41050</v>
      </c>
      <c r="C143" s="307">
        <v>39181</v>
      </c>
    </row>
    <row r="144" spans="1:3" x14ac:dyDescent="0.2">
      <c r="A144" s="131" t="s">
        <v>1527</v>
      </c>
      <c r="B144" s="145">
        <v>15631</v>
      </c>
      <c r="C144" s="307">
        <v>20642</v>
      </c>
    </row>
    <row r="145" spans="1:24" x14ac:dyDescent="0.2">
      <c r="A145" s="131" t="s">
        <v>4297</v>
      </c>
      <c r="B145" s="145">
        <v>12756</v>
      </c>
      <c r="C145" s="307">
        <v>8503</v>
      </c>
    </row>
    <row r="146" spans="1:24" x14ac:dyDescent="0.2">
      <c r="A146" s="131" t="s">
        <v>1519</v>
      </c>
      <c r="B146" s="145">
        <v>32016</v>
      </c>
      <c r="C146" s="307">
        <v>31388</v>
      </c>
    </row>
    <row r="147" spans="1:24" ht="16" thickBot="1" x14ac:dyDescent="0.25">
      <c r="A147" s="131" t="s">
        <v>4299</v>
      </c>
      <c r="B147" s="187"/>
      <c r="C147" s="444">
        <v>2180</v>
      </c>
    </row>
    <row r="148" spans="1:24" x14ac:dyDescent="0.2">
      <c r="A148" s="230"/>
      <c r="B148" s="309">
        <v>319708</v>
      </c>
      <c r="C148" s="364">
        <v>295105</v>
      </c>
    </row>
    <row r="149" spans="1:24" x14ac:dyDescent="0.2">
      <c r="B149" s="393">
        <f>+SUM(B139:B147)</f>
        <v>319708</v>
      </c>
      <c r="C149" s="1137">
        <f>+SUM(C139:C147)</f>
        <v>295103</v>
      </c>
    </row>
    <row r="152" spans="1:24" x14ac:dyDescent="0.2">
      <c r="A152" s="526" t="s">
        <v>4052</v>
      </c>
    </row>
    <row r="153" spans="1:24" ht="28.75" customHeight="1" x14ac:dyDescent="0.2">
      <c r="A153" s="1287" t="s">
        <v>4508</v>
      </c>
      <c r="B153" s="1288"/>
      <c r="C153" s="1288"/>
      <c r="D153" s="1288"/>
      <c r="E153" s="1288"/>
      <c r="F153" s="1288"/>
      <c r="G153" s="1288"/>
      <c r="H153" s="1288"/>
      <c r="I153" s="1288"/>
      <c r="J153" s="1288"/>
      <c r="K153" s="1288"/>
      <c r="L153" s="1288"/>
      <c r="M153" s="1288"/>
      <c r="N153" s="1288"/>
      <c r="O153" s="1288"/>
      <c r="P153" s="1288"/>
      <c r="Q153" s="1288"/>
      <c r="R153" s="1288"/>
      <c r="S153" s="1288"/>
      <c r="T153" s="1288"/>
      <c r="U153" s="1288"/>
      <c r="V153" s="1288"/>
      <c r="W153" s="1288"/>
      <c r="X153" s="1289"/>
    </row>
    <row r="154" spans="1:24" ht="31.75" customHeight="1" x14ac:dyDescent="0.2">
      <c r="A154" s="1290" t="s">
        <v>1738</v>
      </c>
      <c r="B154" s="1290" t="s">
        <v>4509</v>
      </c>
      <c r="C154" s="1291" t="s">
        <v>4510</v>
      </c>
      <c r="D154" s="1292"/>
      <c r="E154" s="1292"/>
      <c r="F154" s="1292"/>
      <c r="G154" s="1292"/>
      <c r="H154" s="1292"/>
      <c r="I154" s="1292"/>
      <c r="J154" s="1292"/>
      <c r="K154" s="1292"/>
      <c r="L154" s="1292"/>
      <c r="M154" s="1292"/>
      <c r="N154" s="1292"/>
      <c r="O154" s="1292"/>
      <c r="P154" s="1292"/>
      <c r="Q154" s="1292"/>
      <c r="R154" s="1292"/>
      <c r="S154" s="1292"/>
      <c r="T154" s="1292"/>
      <c r="U154" s="1292"/>
      <c r="V154" s="1292"/>
      <c r="W154" s="1292"/>
      <c r="X154" s="1293"/>
    </row>
    <row r="155" spans="1:24" x14ac:dyDescent="0.2">
      <c r="A155" s="533" t="s">
        <v>4478</v>
      </c>
      <c r="B155" s="533">
        <v>4</v>
      </c>
      <c r="C155" s="1294" t="s">
        <v>4511</v>
      </c>
      <c r="D155" s="1294" t="s">
        <v>4511</v>
      </c>
      <c r="E155" s="1294">
        <v>2</v>
      </c>
      <c r="F155" s="1295">
        <v>0.5</v>
      </c>
      <c r="G155" s="1296"/>
      <c r="H155" s="1294" t="s">
        <v>4511</v>
      </c>
      <c r="I155" s="1297"/>
      <c r="J155" s="1294">
        <v>2</v>
      </c>
      <c r="K155" s="1294">
        <v>10</v>
      </c>
      <c r="L155" s="1298"/>
      <c r="M155" s="1294" t="s">
        <v>4511</v>
      </c>
      <c r="N155" s="1299"/>
      <c r="O155" s="1294" t="s">
        <v>4511</v>
      </c>
      <c r="P155" s="1294" t="s">
        <v>4511</v>
      </c>
      <c r="Q155" s="1298"/>
      <c r="R155" s="1294" t="s">
        <v>4511</v>
      </c>
      <c r="S155" s="1294">
        <v>30</v>
      </c>
      <c r="T155" s="1294" t="s">
        <v>4511</v>
      </c>
      <c r="U155" s="1298"/>
      <c r="V155" s="1294" t="s">
        <v>4511</v>
      </c>
      <c r="W155" s="1294" t="s">
        <v>4511</v>
      </c>
      <c r="X155" s="1300" t="s">
        <v>4511</v>
      </c>
    </row>
    <row r="156" spans="1:24" x14ac:dyDescent="0.2">
      <c r="A156" s="533" t="s">
        <v>4479</v>
      </c>
      <c r="B156" s="533">
        <v>3</v>
      </c>
      <c r="C156" s="1294" t="s">
        <v>4511</v>
      </c>
      <c r="D156" s="1294" t="s">
        <v>4511</v>
      </c>
      <c r="E156" s="1301">
        <v>2</v>
      </c>
      <c r="F156" s="1302">
        <v>0.5</v>
      </c>
      <c r="G156" s="1303"/>
      <c r="H156" s="1294" t="s">
        <v>4511</v>
      </c>
      <c r="I156" s="1299"/>
      <c r="J156" s="1294" t="s">
        <v>4511</v>
      </c>
      <c r="K156" s="1301">
        <v>10</v>
      </c>
      <c r="L156" s="684"/>
      <c r="M156" s="1294" t="s">
        <v>4511</v>
      </c>
      <c r="N156" s="1304"/>
      <c r="O156" s="1294" t="s">
        <v>4511</v>
      </c>
      <c r="P156" s="1294" t="s">
        <v>4511</v>
      </c>
      <c r="Q156" s="684"/>
      <c r="R156" s="1294" t="s">
        <v>4511</v>
      </c>
      <c r="S156" s="1301">
        <v>30</v>
      </c>
      <c r="T156" s="1294" t="s">
        <v>4511</v>
      </c>
      <c r="U156" s="684"/>
      <c r="V156" s="1294" t="s">
        <v>4511</v>
      </c>
      <c r="W156" s="1294" t="s">
        <v>4511</v>
      </c>
      <c r="X156" s="1300" t="s">
        <v>4511</v>
      </c>
    </row>
    <row r="157" spans="1:24" x14ac:dyDescent="0.2">
      <c r="A157" s="533" t="s">
        <v>4480</v>
      </c>
      <c r="B157" s="533">
        <v>4</v>
      </c>
      <c r="C157" s="1294" t="s">
        <v>4511</v>
      </c>
      <c r="D157" s="1294" t="s">
        <v>4511</v>
      </c>
      <c r="E157" s="1301">
        <v>2</v>
      </c>
      <c r="F157" s="1302">
        <v>0.5</v>
      </c>
      <c r="G157" s="1303"/>
      <c r="H157" s="1294" t="s">
        <v>4511</v>
      </c>
      <c r="I157" s="1299"/>
      <c r="J157" s="1301">
        <v>5</v>
      </c>
      <c r="K157" s="1301">
        <v>10</v>
      </c>
      <c r="L157" s="684"/>
      <c r="M157" s="1294" t="s">
        <v>4511</v>
      </c>
      <c r="N157" s="1304"/>
      <c r="O157" s="1294" t="s">
        <v>4511</v>
      </c>
      <c r="P157" s="1294" t="s">
        <v>4511</v>
      </c>
      <c r="Q157" s="684"/>
      <c r="R157" s="1294" t="s">
        <v>4511</v>
      </c>
      <c r="S157" s="1301">
        <v>30</v>
      </c>
      <c r="T157" s="1294" t="s">
        <v>4511</v>
      </c>
      <c r="U157" s="684"/>
      <c r="V157" s="1294" t="s">
        <v>4511</v>
      </c>
      <c r="W157" s="1294" t="s">
        <v>4511</v>
      </c>
      <c r="X157" s="1300" t="s">
        <v>4511</v>
      </c>
    </row>
    <row r="158" spans="1:24" x14ac:dyDescent="0.2">
      <c r="A158" s="533" t="s">
        <v>4481</v>
      </c>
      <c r="B158" s="533">
        <v>2</v>
      </c>
      <c r="C158" s="1294" t="s">
        <v>4511</v>
      </c>
      <c r="D158" s="1294" t="s">
        <v>4511</v>
      </c>
      <c r="E158" s="1294" t="s">
        <v>4511</v>
      </c>
      <c r="F158" s="1302"/>
      <c r="G158" s="1303"/>
      <c r="H158" s="1301">
        <v>3</v>
      </c>
      <c r="I158" s="1302">
        <v>0.5</v>
      </c>
      <c r="J158" s="1294" t="s">
        <v>4511</v>
      </c>
      <c r="K158" s="1294" t="s">
        <v>4511</v>
      </c>
      <c r="L158" s="684"/>
      <c r="M158" s="1294" t="s">
        <v>4511</v>
      </c>
      <c r="N158" s="1304"/>
      <c r="O158" s="1294" t="s">
        <v>4511</v>
      </c>
      <c r="P158" s="1294" t="s">
        <v>4511</v>
      </c>
      <c r="Q158" s="684"/>
      <c r="R158" s="1294" t="s">
        <v>4511</v>
      </c>
      <c r="S158" s="1301">
        <v>30</v>
      </c>
      <c r="T158" s="1294" t="s">
        <v>4511</v>
      </c>
      <c r="U158" s="684"/>
      <c r="V158" s="1294" t="s">
        <v>4511</v>
      </c>
      <c r="W158" s="1294" t="s">
        <v>4511</v>
      </c>
      <c r="X158" s="1300" t="s">
        <v>4511</v>
      </c>
    </row>
    <row r="159" spans="1:24" x14ac:dyDescent="0.2">
      <c r="A159" s="533" t="s">
        <v>4482</v>
      </c>
      <c r="B159" s="533">
        <v>2</v>
      </c>
      <c r="C159" s="1294" t="s">
        <v>4511</v>
      </c>
      <c r="D159" s="1294" t="s">
        <v>4511</v>
      </c>
      <c r="E159" s="1294" t="s">
        <v>4511</v>
      </c>
      <c r="F159" s="1302"/>
      <c r="G159" s="1303"/>
      <c r="H159" s="1294" t="s">
        <v>4511</v>
      </c>
      <c r="I159" s="1304"/>
      <c r="J159" s="1301">
        <v>5</v>
      </c>
      <c r="K159" s="1294" t="s">
        <v>4511</v>
      </c>
      <c r="L159" s="684"/>
      <c r="M159" s="1294" t="s">
        <v>4511</v>
      </c>
      <c r="N159" s="1304"/>
      <c r="O159" s="1294" t="s">
        <v>4511</v>
      </c>
      <c r="P159" s="1294" t="s">
        <v>4511</v>
      </c>
      <c r="Q159" s="684"/>
      <c r="R159" s="1294" t="s">
        <v>4511</v>
      </c>
      <c r="S159" s="1294" t="s">
        <v>4511</v>
      </c>
      <c r="T159" s="1294" t="s">
        <v>4511</v>
      </c>
      <c r="U159" s="684"/>
      <c r="V159" s="1301">
        <v>45</v>
      </c>
      <c r="W159" s="1294" t="s">
        <v>4511</v>
      </c>
      <c r="X159" s="1300" t="s">
        <v>4511</v>
      </c>
    </row>
    <row r="160" spans="1:24" x14ac:dyDescent="0.2">
      <c r="A160" s="533" t="s">
        <v>4483</v>
      </c>
      <c r="B160" s="533">
        <v>2</v>
      </c>
      <c r="C160" s="1294" t="s">
        <v>4511</v>
      </c>
      <c r="D160" s="1294" t="s">
        <v>4511</v>
      </c>
      <c r="E160" s="1294" t="s">
        <v>4511</v>
      </c>
      <c r="F160" s="1302"/>
      <c r="G160" s="1303"/>
      <c r="H160" s="1294" t="s">
        <v>4511</v>
      </c>
      <c r="I160" s="1304"/>
      <c r="J160" s="1301">
        <v>5</v>
      </c>
      <c r="K160" s="1294" t="s">
        <v>4511</v>
      </c>
      <c r="L160" s="684"/>
      <c r="M160" s="1294" t="s">
        <v>4511</v>
      </c>
      <c r="N160" s="1304"/>
      <c r="O160" s="1294" t="s">
        <v>4511</v>
      </c>
      <c r="P160" s="1294" t="s">
        <v>4511</v>
      </c>
      <c r="Q160" s="684"/>
      <c r="R160" s="1294" t="s">
        <v>4511</v>
      </c>
      <c r="S160" s="1294" t="s">
        <v>4511</v>
      </c>
      <c r="T160" s="1294" t="s">
        <v>4511</v>
      </c>
      <c r="U160" s="684"/>
      <c r="V160" s="1301">
        <v>45</v>
      </c>
      <c r="W160" s="1294" t="s">
        <v>4511</v>
      </c>
      <c r="X160" s="1300" t="s">
        <v>4511</v>
      </c>
    </row>
    <row r="161" spans="1:24" x14ac:dyDescent="0.2">
      <c r="A161" s="533" t="s">
        <v>4484</v>
      </c>
      <c r="B161" s="533">
        <v>3</v>
      </c>
      <c r="C161" s="1294" t="s">
        <v>4511</v>
      </c>
      <c r="D161" s="1294" t="s">
        <v>4511</v>
      </c>
      <c r="E161" s="1294" t="s">
        <v>4511</v>
      </c>
      <c r="F161" s="1302"/>
      <c r="G161" s="1303"/>
      <c r="H161" s="1294" t="s">
        <v>4511</v>
      </c>
      <c r="I161" s="1304"/>
      <c r="J161" s="1301">
        <v>5</v>
      </c>
      <c r="K161" s="1294" t="s">
        <v>4511</v>
      </c>
      <c r="L161" s="684"/>
      <c r="M161" s="1294" t="s">
        <v>4511</v>
      </c>
      <c r="N161" s="1304"/>
      <c r="O161" s="1294" t="s">
        <v>4511</v>
      </c>
      <c r="P161" s="1301">
        <v>20</v>
      </c>
      <c r="Q161" s="684"/>
      <c r="R161" s="1294" t="s">
        <v>4511</v>
      </c>
      <c r="S161" s="1294" t="s">
        <v>4511</v>
      </c>
      <c r="T161" s="1294" t="s">
        <v>4511</v>
      </c>
      <c r="U161" s="684"/>
      <c r="V161" s="1301">
        <v>45</v>
      </c>
      <c r="W161" s="1294" t="s">
        <v>4511</v>
      </c>
      <c r="X161" s="1300" t="s">
        <v>4511</v>
      </c>
    </row>
    <row r="162" spans="1:24" x14ac:dyDescent="0.2">
      <c r="A162" s="533" t="s">
        <v>4485</v>
      </c>
      <c r="B162" s="533">
        <v>3</v>
      </c>
      <c r="C162" s="1294" t="s">
        <v>4511</v>
      </c>
      <c r="D162" s="1294" t="s">
        <v>4511</v>
      </c>
      <c r="E162" s="1294" t="s">
        <v>4511</v>
      </c>
      <c r="F162" s="1302"/>
      <c r="G162" s="1303"/>
      <c r="H162" s="1294" t="s">
        <v>4511</v>
      </c>
      <c r="I162" s="1304"/>
      <c r="J162" s="1301">
        <v>5</v>
      </c>
      <c r="K162" s="1294" t="s">
        <v>4511</v>
      </c>
      <c r="L162" s="684"/>
      <c r="M162" s="1294" t="s">
        <v>4511</v>
      </c>
      <c r="N162" s="1304"/>
      <c r="O162" s="1294" t="s">
        <v>4511</v>
      </c>
      <c r="P162" s="1301">
        <v>20</v>
      </c>
      <c r="Q162" s="684"/>
      <c r="R162" s="1294" t="s">
        <v>4511</v>
      </c>
      <c r="S162" s="1294" t="s">
        <v>4511</v>
      </c>
      <c r="T162" s="1294" t="s">
        <v>4511</v>
      </c>
      <c r="U162" s="684"/>
      <c r="V162" s="1301">
        <v>45</v>
      </c>
      <c r="W162" s="1294" t="s">
        <v>4511</v>
      </c>
      <c r="X162" s="1300" t="s">
        <v>4511</v>
      </c>
    </row>
    <row r="163" spans="1:24" x14ac:dyDescent="0.2">
      <c r="A163" s="533" t="s">
        <v>4486</v>
      </c>
      <c r="B163" s="533">
        <v>3</v>
      </c>
      <c r="C163" s="1294" t="s">
        <v>4511</v>
      </c>
      <c r="D163" s="1294" t="s">
        <v>4511</v>
      </c>
      <c r="E163" s="1294" t="s">
        <v>4511</v>
      </c>
      <c r="F163" s="1302"/>
      <c r="G163" s="1303"/>
      <c r="H163" s="1294" t="s">
        <v>4511</v>
      </c>
      <c r="I163" s="1304"/>
      <c r="J163" s="1301">
        <v>5</v>
      </c>
      <c r="K163" s="1294" t="s">
        <v>4511</v>
      </c>
      <c r="L163" s="684"/>
      <c r="M163" s="1294" t="s">
        <v>4511</v>
      </c>
      <c r="N163" s="1304"/>
      <c r="O163" s="1294" t="s">
        <v>4511</v>
      </c>
      <c r="P163" s="1301">
        <v>20</v>
      </c>
      <c r="Q163" s="684"/>
      <c r="R163" s="1294" t="s">
        <v>4511</v>
      </c>
      <c r="S163" s="1294" t="s">
        <v>4511</v>
      </c>
      <c r="T163" s="1294" t="s">
        <v>4511</v>
      </c>
      <c r="U163" s="684"/>
      <c r="V163" s="1301">
        <v>45</v>
      </c>
      <c r="W163" s="1294" t="s">
        <v>4511</v>
      </c>
      <c r="X163" s="1300" t="s">
        <v>4511</v>
      </c>
    </row>
    <row r="164" spans="1:24" x14ac:dyDescent="0.2">
      <c r="A164" s="533" t="s">
        <v>4487</v>
      </c>
      <c r="B164" s="533">
        <v>4</v>
      </c>
      <c r="C164" s="1294" t="s">
        <v>4511</v>
      </c>
      <c r="D164" s="1301">
        <v>2</v>
      </c>
      <c r="E164" s="1294" t="s">
        <v>4511</v>
      </c>
      <c r="F164" s="1302"/>
      <c r="G164" s="1303"/>
      <c r="H164" s="1294" t="s">
        <v>4511</v>
      </c>
      <c r="I164" s="1304"/>
      <c r="J164" s="1294" t="s">
        <v>4511</v>
      </c>
      <c r="K164" s="1301">
        <v>10</v>
      </c>
      <c r="L164" s="684"/>
      <c r="M164" s="1294" t="s">
        <v>4511</v>
      </c>
      <c r="N164" s="1304"/>
      <c r="O164" s="1294" t="s">
        <v>4511</v>
      </c>
      <c r="P164" s="1294" t="s">
        <v>4511</v>
      </c>
      <c r="Q164" s="684"/>
      <c r="R164" s="1301">
        <v>24</v>
      </c>
      <c r="S164" s="1294" t="s">
        <v>4511</v>
      </c>
      <c r="T164" s="1294" t="s">
        <v>4511</v>
      </c>
      <c r="U164" s="684"/>
      <c r="V164" s="1301">
        <v>45</v>
      </c>
      <c r="W164" s="1294" t="s">
        <v>4511</v>
      </c>
      <c r="X164" s="1300" t="s">
        <v>4511</v>
      </c>
    </row>
    <row r="165" spans="1:24" x14ac:dyDescent="0.2">
      <c r="A165" s="533" t="s">
        <v>4488</v>
      </c>
      <c r="B165" s="533">
        <v>4</v>
      </c>
      <c r="C165" s="1294" t="s">
        <v>4511</v>
      </c>
      <c r="D165" s="1294" t="s">
        <v>4511</v>
      </c>
      <c r="E165" s="1301">
        <v>2</v>
      </c>
      <c r="F165" s="1302">
        <v>0.5</v>
      </c>
      <c r="G165" s="1303"/>
      <c r="H165" s="1294" t="s">
        <v>4511</v>
      </c>
      <c r="I165" s="1304"/>
      <c r="J165" s="1294" t="s">
        <v>4511</v>
      </c>
      <c r="K165" s="1294" t="s">
        <v>4511</v>
      </c>
      <c r="L165" s="684"/>
      <c r="M165" s="1301">
        <v>12</v>
      </c>
      <c r="N165" s="1302">
        <v>0.5</v>
      </c>
      <c r="O165" s="1294" t="s">
        <v>4511</v>
      </c>
      <c r="P165" s="1294" t="s">
        <v>4511</v>
      </c>
      <c r="Q165" s="684"/>
      <c r="R165" s="1294" t="s">
        <v>4511</v>
      </c>
      <c r="S165" s="1301">
        <v>30</v>
      </c>
      <c r="T165" s="1294" t="s">
        <v>4511</v>
      </c>
      <c r="U165" s="684"/>
      <c r="V165" s="1301">
        <v>45</v>
      </c>
      <c r="W165" s="1294" t="s">
        <v>4511</v>
      </c>
      <c r="X165" s="1300" t="s">
        <v>4511</v>
      </c>
    </row>
    <row r="166" spans="1:24" x14ac:dyDescent="0.2">
      <c r="A166" s="533" t="s">
        <v>4489</v>
      </c>
      <c r="B166" s="533">
        <v>4</v>
      </c>
      <c r="C166" s="1294" t="s">
        <v>4511</v>
      </c>
      <c r="D166" s="1294" t="s">
        <v>4511</v>
      </c>
      <c r="E166" s="1301">
        <v>2</v>
      </c>
      <c r="F166" s="1302">
        <v>0.5</v>
      </c>
      <c r="G166" s="1303"/>
      <c r="H166" s="1294" t="s">
        <v>4511</v>
      </c>
      <c r="I166" s="1304"/>
      <c r="J166" s="1294" t="s">
        <v>4511</v>
      </c>
      <c r="K166" s="1294" t="s">
        <v>4511</v>
      </c>
      <c r="L166" s="684"/>
      <c r="M166" s="1301">
        <v>12</v>
      </c>
      <c r="N166" s="1302">
        <v>0.5</v>
      </c>
      <c r="O166" s="1294" t="s">
        <v>4511</v>
      </c>
      <c r="P166" s="1294" t="s">
        <v>4511</v>
      </c>
      <c r="Q166" s="684"/>
      <c r="R166" s="1294" t="s">
        <v>4511</v>
      </c>
      <c r="S166" s="1301">
        <v>30</v>
      </c>
      <c r="T166" s="1294" t="s">
        <v>4511</v>
      </c>
      <c r="U166" s="684"/>
      <c r="V166" s="1301">
        <v>45</v>
      </c>
      <c r="W166" s="1294" t="s">
        <v>4511</v>
      </c>
      <c r="X166" s="1300" t="s">
        <v>4511</v>
      </c>
    </row>
    <row r="167" spans="1:24" x14ac:dyDescent="0.2">
      <c r="A167" s="781" t="s">
        <v>4490</v>
      </c>
      <c r="B167" s="1305">
        <v>4</v>
      </c>
      <c r="C167" s="1306" t="s">
        <v>4511</v>
      </c>
      <c r="D167" s="684" t="s">
        <v>4511</v>
      </c>
      <c r="E167" s="1307">
        <v>2</v>
      </c>
      <c r="F167" s="1302">
        <v>0.5</v>
      </c>
      <c r="G167" s="1303"/>
      <c r="H167" s="684" t="s">
        <v>4511</v>
      </c>
      <c r="I167" s="1304"/>
      <c r="J167" s="684" t="s">
        <v>4511</v>
      </c>
      <c r="K167" s="684" t="s">
        <v>4511</v>
      </c>
      <c r="L167" s="684"/>
      <c r="M167" s="1307">
        <v>12</v>
      </c>
      <c r="N167" s="1302">
        <v>0.5</v>
      </c>
      <c r="O167" s="684" t="s">
        <v>4511</v>
      </c>
      <c r="P167" s="684" t="s">
        <v>4511</v>
      </c>
      <c r="Q167" s="684"/>
      <c r="R167" s="684" t="s">
        <v>4511</v>
      </c>
      <c r="S167" s="1307">
        <v>30</v>
      </c>
      <c r="T167" s="684" t="s">
        <v>4511</v>
      </c>
      <c r="U167" s="684"/>
      <c r="V167" s="1307">
        <v>45</v>
      </c>
      <c r="W167" s="684" t="s">
        <v>4511</v>
      </c>
      <c r="X167" s="1308" t="s">
        <v>4511</v>
      </c>
    </row>
    <row r="168" spans="1:24" x14ac:dyDescent="0.2">
      <c r="A168" s="781"/>
      <c r="B168" s="1305"/>
      <c r="C168" s="1306"/>
      <c r="D168" s="684"/>
      <c r="E168" s="1307">
        <v>3</v>
      </c>
      <c r="F168" s="1302">
        <v>0.5</v>
      </c>
      <c r="G168" s="1303"/>
      <c r="H168" s="684"/>
      <c r="I168" s="1304"/>
      <c r="J168" s="684"/>
      <c r="K168" s="684"/>
      <c r="L168" s="684"/>
      <c r="M168" s="1307">
        <v>15</v>
      </c>
      <c r="N168" s="1304"/>
      <c r="O168" s="684"/>
      <c r="P168" s="684"/>
      <c r="Q168" s="684"/>
      <c r="R168" s="684"/>
      <c r="S168" s="1307">
        <v>40</v>
      </c>
      <c r="T168" s="684"/>
      <c r="U168" s="684"/>
      <c r="V168" s="1307">
        <v>60</v>
      </c>
      <c r="W168" s="684"/>
      <c r="X168" s="1308"/>
    </row>
    <row r="169" spans="1:24" x14ac:dyDescent="0.2">
      <c r="A169" s="533" t="s">
        <v>4491</v>
      </c>
      <c r="B169" s="533">
        <v>5</v>
      </c>
      <c r="C169" s="1294" t="s">
        <v>4511</v>
      </c>
      <c r="D169" s="1294" t="s">
        <v>4511</v>
      </c>
      <c r="E169" s="1301">
        <v>2</v>
      </c>
      <c r="F169" s="1302">
        <v>0.5</v>
      </c>
      <c r="G169" s="1303"/>
      <c r="H169" s="1301">
        <v>3</v>
      </c>
      <c r="I169" s="1302">
        <v>0.5</v>
      </c>
      <c r="J169" s="1294" t="s">
        <v>4511</v>
      </c>
      <c r="K169" s="1294" t="s">
        <v>4511</v>
      </c>
      <c r="L169" s="684"/>
      <c r="M169" s="1294" t="s">
        <v>4511</v>
      </c>
      <c r="N169" s="1304"/>
      <c r="O169" s="1301">
        <v>15</v>
      </c>
      <c r="P169" s="1294" t="s">
        <v>4511</v>
      </c>
      <c r="Q169" s="684"/>
      <c r="R169" s="1294" t="s">
        <v>4511</v>
      </c>
      <c r="S169" s="1294" t="s">
        <v>4511</v>
      </c>
      <c r="T169" s="1301">
        <v>40</v>
      </c>
      <c r="U169" s="684"/>
      <c r="V169" s="1294" t="s">
        <v>4511</v>
      </c>
      <c r="W169" s="1301">
        <v>60</v>
      </c>
      <c r="X169" s="1300" t="s">
        <v>4511</v>
      </c>
    </row>
    <row r="170" spans="1:24" x14ac:dyDescent="0.2">
      <c r="A170" s="533" t="s">
        <v>4492</v>
      </c>
      <c r="B170" s="533">
        <v>4</v>
      </c>
      <c r="C170" s="1294" t="s">
        <v>4511</v>
      </c>
      <c r="D170" s="1294" t="s">
        <v>4511</v>
      </c>
      <c r="E170" s="1294" t="s">
        <v>4511</v>
      </c>
      <c r="F170" s="1302"/>
      <c r="G170" s="1303"/>
      <c r="H170" s="1301">
        <v>3</v>
      </c>
      <c r="I170" s="1302">
        <v>0.5</v>
      </c>
      <c r="J170" s="1294" t="s">
        <v>4511</v>
      </c>
      <c r="K170" s="1294" t="s">
        <v>4511</v>
      </c>
      <c r="L170" s="684"/>
      <c r="M170" s="1294" t="s">
        <v>4511</v>
      </c>
      <c r="N170" s="1304"/>
      <c r="O170" s="1301">
        <v>15</v>
      </c>
      <c r="P170" s="1294" t="s">
        <v>4511</v>
      </c>
      <c r="Q170" s="684"/>
      <c r="R170" s="1294" t="s">
        <v>4511</v>
      </c>
      <c r="S170" s="1294" t="s">
        <v>4511</v>
      </c>
      <c r="T170" s="1301">
        <v>40</v>
      </c>
      <c r="U170" s="684"/>
      <c r="V170" s="1294" t="s">
        <v>4511</v>
      </c>
      <c r="W170" s="1301">
        <v>60</v>
      </c>
      <c r="X170" s="1300" t="s">
        <v>4511</v>
      </c>
    </row>
    <row r="171" spans="1:24" x14ac:dyDescent="0.2">
      <c r="A171" s="781" t="s">
        <v>4493</v>
      </c>
      <c r="B171" s="1309">
        <v>5</v>
      </c>
      <c r="C171" s="861">
        <v>1</v>
      </c>
      <c r="D171" s="684" t="s">
        <v>4511</v>
      </c>
      <c r="E171" s="684" t="s">
        <v>4511</v>
      </c>
      <c r="F171" s="1302"/>
      <c r="G171" s="1303"/>
      <c r="H171" s="1307">
        <v>3</v>
      </c>
      <c r="I171" s="1302">
        <v>0.5</v>
      </c>
      <c r="J171" s="684" t="s">
        <v>4511</v>
      </c>
      <c r="K171" s="684" t="s">
        <v>4511</v>
      </c>
      <c r="L171" s="684"/>
      <c r="M171" s="684" t="s">
        <v>4511</v>
      </c>
      <c r="N171" s="1304"/>
      <c r="O171" s="1307">
        <v>15</v>
      </c>
      <c r="P171" s="684" t="s">
        <v>4511</v>
      </c>
      <c r="Q171" s="684"/>
      <c r="R171" s="684" t="s">
        <v>4511</v>
      </c>
      <c r="S171" s="684" t="s">
        <v>4511</v>
      </c>
      <c r="T171" s="862">
        <v>40</v>
      </c>
      <c r="U171" s="684"/>
      <c r="V171" s="684" t="s">
        <v>4511</v>
      </c>
      <c r="W171" s="862">
        <v>60</v>
      </c>
      <c r="X171" s="1308" t="s">
        <v>4511</v>
      </c>
    </row>
    <row r="172" spans="1:24" x14ac:dyDescent="0.2">
      <c r="A172" s="781"/>
      <c r="B172" s="1309"/>
      <c r="C172" s="861"/>
      <c r="D172" s="684"/>
      <c r="E172" s="684"/>
      <c r="F172" s="1302"/>
      <c r="G172" s="1303"/>
      <c r="H172" s="1307">
        <v>5</v>
      </c>
      <c r="I172" s="1304"/>
      <c r="J172" s="684"/>
      <c r="K172" s="684"/>
      <c r="L172" s="684"/>
      <c r="M172" s="684"/>
      <c r="N172" s="1304"/>
      <c r="O172" s="1307">
        <v>20</v>
      </c>
      <c r="P172" s="684"/>
      <c r="Q172" s="684"/>
      <c r="R172" s="684"/>
      <c r="S172" s="684"/>
      <c r="T172" s="862"/>
      <c r="U172" s="684"/>
      <c r="V172" s="684"/>
      <c r="W172" s="862"/>
      <c r="X172" s="1308"/>
    </row>
    <row r="173" spans="1:24" x14ac:dyDescent="0.2">
      <c r="A173" s="533" t="s">
        <v>4494</v>
      </c>
      <c r="B173" s="533">
        <v>6</v>
      </c>
      <c r="C173" s="1301">
        <v>1</v>
      </c>
      <c r="D173" s="1294" t="s">
        <v>4511</v>
      </c>
      <c r="E173" s="1294" t="s">
        <v>4511</v>
      </c>
      <c r="F173" s="1302"/>
      <c r="G173" s="1303"/>
      <c r="H173" s="1294" t="s">
        <v>4511</v>
      </c>
      <c r="I173" s="1304"/>
      <c r="J173" s="1301">
        <v>5</v>
      </c>
      <c r="K173" s="1294" t="s">
        <v>4511</v>
      </c>
      <c r="L173" s="684"/>
      <c r="M173" s="1294" t="s">
        <v>4511</v>
      </c>
      <c r="N173" s="1304"/>
      <c r="O173" s="1294" t="s">
        <v>4511</v>
      </c>
      <c r="P173" s="1301">
        <v>20</v>
      </c>
      <c r="Q173" s="684"/>
      <c r="R173" s="1294" t="s">
        <v>4511</v>
      </c>
      <c r="S173" s="1294" t="s">
        <v>4511</v>
      </c>
      <c r="T173" s="1301">
        <v>40</v>
      </c>
      <c r="U173" s="684"/>
      <c r="V173" s="1294" t="s">
        <v>4511</v>
      </c>
      <c r="W173" s="1301">
        <v>60</v>
      </c>
      <c r="X173" s="1014">
        <v>75</v>
      </c>
    </row>
    <row r="174" spans="1:24" x14ac:dyDescent="0.2">
      <c r="A174" s="535" t="s">
        <v>4495</v>
      </c>
      <c r="B174" s="535">
        <v>5</v>
      </c>
      <c r="C174" s="1310" t="s">
        <v>4511</v>
      </c>
      <c r="D174" s="1310" t="s">
        <v>4511</v>
      </c>
      <c r="E174" s="1310" t="s">
        <v>4511</v>
      </c>
      <c r="F174" s="1311"/>
      <c r="G174" s="1312"/>
      <c r="H174" s="1310" t="s">
        <v>4511</v>
      </c>
      <c r="I174" s="1313"/>
      <c r="J174" s="1314">
        <v>5</v>
      </c>
      <c r="K174" s="1310" t="s">
        <v>4511</v>
      </c>
      <c r="L174" s="1315"/>
      <c r="M174" s="1310" t="s">
        <v>4511</v>
      </c>
      <c r="N174" s="1313"/>
      <c r="O174" s="1310" t="s">
        <v>4511</v>
      </c>
      <c r="P174" s="1314">
        <v>20</v>
      </c>
      <c r="Q174" s="1315"/>
      <c r="R174" s="1310" t="s">
        <v>4511</v>
      </c>
      <c r="S174" s="1310" t="s">
        <v>4511</v>
      </c>
      <c r="T174" s="1314">
        <v>40</v>
      </c>
      <c r="U174" s="1315"/>
      <c r="V174" s="1310" t="s">
        <v>4511</v>
      </c>
      <c r="W174" s="1314">
        <v>60</v>
      </c>
      <c r="X174" s="1316">
        <v>75</v>
      </c>
    </row>
    <row r="178" spans="1:10" x14ac:dyDescent="0.2">
      <c r="A178" s="526" t="s">
        <v>4076</v>
      </c>
    </row>
    <row r="179" spans="1:10" ht="31.75" customHeight="1" x14ac:dyDescent="0.2">
      <c r="A179" s="1272" t="s">
        <v>4512</v>
      </c>
      <c r="B179" s="1272"/>
      <c r="C179" s="1272"/>
      <c r="D179" s="1272"/>
      <c r="E179" s="1272"/>
      <c r="F179" s="1272"/>
      <c r="G179" s="1272"/>
      <c r="H179" s="1272"/>
      <c r="I179" s="1272"/>
      <c r="J179" s="1272"/>
    </row>
    <row r="180" spans="1:10" ht="34.75" customHeight="1" x14ac:dyDescent="0.2">
      <c r="A180" s="601" t="s">
        <v>3476</v>
      </c>
      <c r="B180" s="967" t="s">
        <v>3598</v>
      </c>
      <c r="C180" s="967"/>
      <c r="D180" s="967"/>
      <c r="E180" s="609" t="s">
        <v>1935</v>
      </c>
      <c r="F180" s="967"/>
      <c r="G180" s="608"/>
      <c r="H180" s="967" t="s">
        <v>3599</v>
      </c>
      <c r="I180" s="967"/>
      <c r="J180" s="967"/>
    </row>
    <row r="181" spans="1:10" ht="22.75" customHeight="1" x14ac:dyDescent="0.2">
      <c r="A181" s="605"/>
      <c r="B181" s="1266" t="s">
        <v>2508</v>
      </c>
      <c r="C181" s="1267" t="s">
        <v>4513</v>
      </c>
      <c r="D181" s="1267"/>
      <c r="E181" s="1317" t="s">
        <v>2508</v>
      </c>
      <c r="F181" s="1267" t="s">
        <v>4513</v>
      </c>
      <c r="G181" s="1269"/>
      <c r="H181" s="1266" t="s">
        <v>2508</v>
      </c>
      <c r="I181" s="1267" t="s">
        <v>4513</v>
      </c>
      <c r="J181" s="1267"/>
    </row>
    <row r="182" spans="1:10" x14ac:dyDescent="0.2">
      <c r="A182" s="533" t="s">
        <v>3586</v>
      </c>
      <c r="B182" s="131">
        <v>666021</v>
      </c>
      <c r="C182" s="145">
        <v>27</v>
      </c>
      <c r="D182" s="133">
        <v>0.5</v>
      </c>
      <c r="E182" s="107">
        <v>140305</v>
      </c>
      <c r="F182" s="107">
        <v>75</v>
      </c>
      <c r="G182" s="133"/>
      <c r="H182" s="131">
        <v>525715</v>
      </c>
      <c r="I182" s="145">
        <v>52</v>
      </c>
      <c r="J182" s="133">
        <v>0.5</v>
      </c>
    </row>
    <row r="183" spans="1:10" x14ac:dyDescent="0.2">
      <c r="A183" s="533" t="s">
        <v>3587</v>
      </c>
      <c r="B183" s="131">
        <v>89160</v>
      </c>
      <c r="C183" s="145">
        <v>25</v>
      </c>
      <c r="D183" s="133"/>
      <c r="E183" s="107">
        <v>20983</v>
      </c>
      <c r="F183" s="107">
        <v>7</v>
      </c>
      <c r="G183" s="133">
        <v>0.5</v>
      </c>
      <c r="H183" s="131">
        <v>68177</v>
      </c>
      <c r="I183" s="145">
        <v>17</v>
      </c>
      <c r="J183" s="133">
        <v>0.5</v>
      </c>
    </row>
    <row r="184" spans="1:10" x14ac:dyDescent="0.2">
      <c r="A184" s="533" t="s">
        <v>3588</v>
      </c>
      <c r="B184" s="131">
        <v>46609</v>
      </c>
      <c r="C184" s="145"/>
      <c r="D184" s="133"/>
      <c r="E184" s="107">
        <v>9811</v>
      </c>
      <c r="F184" s="107">
        <v>85</v>
      </c>
      <c r="G184" s="133"/>
      <c r="H184" s="131">
        <v>36797</v>
      </c>
      <c r="I184" s="145">
        <v>15</v>
      </c>
      <c r="J184" s="133"/>
    </row>
    <row r="185" spans="1:10" x14ac:dyDescent="0.2">
      <c r="A185" s="533" t="s">
        <v>3589</v>
      </c>
      <c r="B185" s="131">
        <v>54803</v>
      </c>
      <c r="C185" s="145">
        <v>40</v>
      </c>
      <c r="D185" s="133"/>
      <c r="E185" s="107">
        <v>24573</v>
      </c>
      <c r="F185" s="107">
        <v>35</v>
      </c>
      <c r="G185" s="133"/>
      <c r="H185" s="131">
        <v>30230</v>
      </c>
      <c r="I185" s="145">
        <v>5</v>
      </c>
      <c r="J185" s="133"/>
    </row>
    <row r="186" spans="1:10" x14ac:dyDescent="0.2">
      <c r="A186" s="533" t="s">
        <v>3590</v>
      </c>
      <c r="B186" s="131">
        <v>3905</v>
      </c>
      <c r="C186" s="145">
        <v>5</v>
      </c>
      <c r="D186" s="133"/>
      <c r="E186" s="107">
        <v>3529</v>
      </c>
      <c r="F186" s="107">
        <v>65</v>
      </c>
      <c r="G186" s="133"/>
      <c r="H186" s="131">
        <v>375</v>
      </c>
      <c r="I186" s="145">
        <v>40</v>
      </c>
      <c r="J186" s="133"/>
    </row>
    <row r="187" spans="1:10" x14ac:dyDescent="0.2">
      <c r="A187" s="533" t="s">
        <v>4044</v>
      </c>
      <c r="B187" s="131">
        <v>129174</v>
      </c>
      <c r="C187" s="145">
        <v>20</v>
      </c>
      <c r="D187" s="133"/>
      <c r="E187" s="107">
        <v>71868</v>
      </c>
      <c r="F187" s="107">
        <v>5</v>
      </c>
      <c r="G187" s="133"/>
      <c r="H187" s="131">
        <v>57306</v>
      </c>
      <c r="I187" s="145">
        <v>15</v>
      </c>
      <c r="J187" s="133"/>
    </row>
    <row r="188" spans="1:10" x14ac:dyDescent="0.2">
      <c r="A188" s="533" t="s">
        <v>3807</v>
      </c>
      <c r="B188" s="131">
        <v>18398</v>
      </c>
      <c r="C188" s="145"/>
      <c r="D188" s="133"/>
      <c r="E188" s="107">
        <v>13334</v>
      </c>
      <c r="F188" s="107">
        <v>45</v>
      </c>
      <c r="G188" s="133"/>
      <c r="H188" s="131">
        <v>5063</v>
      </c>
      <c r="I188" s="145">
        <v>55</v>
      </c>
      <c r="J188" s="133"/>
    </row>
    <row r="189" spans="1:10" x14ac:dyDescent="0.2">
      <c r="A189" s="533" t="s">
        <v>4046</v>
      </c>
      <c r="B189" s="131">
        <v>5545</v>
      </c>
      <c r="C189" s="145">
        <v>10</v>
      </c>
      <c r="D189" s="133"/>
      <c r="E189" s="107">
        <v>3231</v>
      </c>
      <c r="F189" s="107">
        <v>35</v>
      </c>
      <c r="G189" s="133"/>
      <c r="H189" s="131">
        <v>2313</v>
      </c>
      <c r="I189" s="145">
        <v>75</v>
      </c>
      <c r="J189" s="133"/>
    </row>
    <row r="190" spans="1:10" x14ac:dyDescent="0.2">
      <c r="A190" s="533" t="s">
        <v>4514</v>
      </c>
      <c r="B190" s="131">
        <v>8265</v>
      </c>
      <c r="C190" s="145">
        <v>27</v>
      </c>
      <c r="D190" s="133">
        <v>0.5</v>
      </c>
      <c r="E190" s="107">
        <v>4032</v>
      </c>
      <c r="F190" s="107">
        <v>35</v>
      </c>
      <c r="G190" s="133"/>
      <c r="H190" s="131">
        <v>4232</v>
      </c>
      <c r="I190" s="145">
        <v>92</v>
      </c>
      <c r="J190" s="133">
        <v>0.5</v>
      </c>
    </row>
    <row r="191" spans="1:10" x14ac:dyDescent="0.2">
      <c r="A191" s="533" t="s">
        <v>4515</v>
      </c>
      <c r="B191" s="131">
        <v>34532</v>
      </c>
      <c r="C191" s="145">
        <v>80</v>
      </c>
      <c r="D191" s="133"/>
      <c r="E191" s="107">
        <v>17158</v>
      </c>
      <c r="F191" s="107">
        <v>35</v>
      </c>
      <c r="G191" s="133"/>
      <c r="H191" s="131">
        <v>17374</v>
      </c>
      <c r="I191" s="145">
        <v>45</v>
      </c>
      <c r="J191" s="133"/>
    </row>
    <row r="192" spans="1:10" x14ac:dyDescent="0.2">
      <c r="A192" s="533" t="s">
        <v>4516</v>
      </c>
      <c r="B192" s="131">
        <v>7059</v>
      </c>
      <c r="C192" s="145">
        <v>2</v>
      </c>
      <c r="D192" s="133">
        <v>0.5</v>
      </c>
      <c r="E192" s="107">
        <v>1385</v>
      </c>
      <c r="F192" s="107">
        <v>20</v>
      </c>
      <c r="G192" s="133"/>
      <c r="H192" s="131">
        <v>5673</v>
      </c>
      <c r="I192" s="145">
        <v>82</v>
      </c>
      <c r="J192" s="133">
        <v>0.5</v>
      </c>
    </row>
    <row r="193" spans="1:10" ht="30" customHeight="1" x14ac:dyDescent="0.2">
      <c r="A193" s="1318" t="s">
        <v>4517</v>
      </c>
      <c r="B193" s="240">
        <v>1063473</v>
      </c>
      <c r="C193" s="318">
        <v>37</v>
      </c>
      <c r="D193" s="241">
        <v>0.5</v>
      </c>
      <c r="E193" s="318">
        <v>310213</v>
      </c>
      <c r="F193" s="318">
        <v>42</v>
      </c>
      <c r="G193" s="241">
        <v>0.5</v>
      </c>
      <c r="H193" s="240">
        <v>753259</v>
      </c>
      <c r="I193" s="318">
        <v>95</v>
      </c>
      <c r="J193" s="241"/>
    </row>
    <row r="194" spans="1:10" x14ac:dyDescent="0.2">
      <c r="B194" s="393">
        <f>+SUM(B182:B192)</f>
        <v>1063471</v>
      </c>
      <c r="C194" s="393">
        <f t="shared" ref="C194:J194" si="1">+SUM(C182:C192)</f>
        <v>236</v>
      </c>
      <c r="D194" s="1078">
        <f t="shared" si="1"/>
        <v>1.5</v>
      </c>
      <c r="E194" s="393">
        <f t="shared" si="1"/>
        <v>310209</v>
      </c>
      <c r="F194" s="393">
        <f t="shared" si="1"/>
        <v>442</v>
      </c>
      <c r="G194" s="1078">
        <f t="shared" si="1"/>
        <v>0.5</v>
      </c>
      <c r="H194" s="393">
        <f t="shared" si="1"/>
        <v>753255</v>
      </c>
      <c r="I194" s="393">
        <f t="shared" si="1"/>
        <v>493</v>
      </c>
      <c r="J194" s="1078">
        <f t="shared" si="1"/>
        <v>2</v>
      </c>
    </row>
    <row r="197" spans="1:10" x14ac:dyDescent="0.2">
      <c r="A197" s="526" t="s">
        <v>4518</v>
      </c>
    </row>
    <row r="198" spans="1:10" ht="42" customHeight="1" x14ac:dyDescent="0.2">
      <c r="A198" s="1319" t="s">
        <v>4519</v>
      </c>
      <c r="B198" s="1320"/>
      <c r="C198" s="1320"/>
      <c r="D198" s="1320"/>
      <c r="E198" s="1320"/>
      <c r="F198" s="1320"/>
      <c r="G198" s="1321"/>
    </row>
    <row r="199" spans="1:10" ht="25.25" customHeight="1" x14ac:dyDescent="0.2">
      <c r="A199" s="601" t="s">
        <v>4520</v>
      </c>
      <c r="B199" s="609" t="s">
        <v>4521</v>
      </c>
      <c r="C199" s="967"/>
      <c r="D199" s="967"/>
      <c r="E199" s="967" t="s">
        <v>4522</v>
      </c>
      <c r="F199" s="967"/>
      <c r="G199" s="967"/>
    </row>
    <row r="200" spans="1:10" ht="28.75" customHeight="1" x14ac:dyDescent="0.2">
      <c r="A200" s="605"/>
      <c r="B200" s="1317" t="s">
        <v>2508</v>
      </c>
      <c r="C200" s="1267" t="s">
        <v>4513</v>
      </c>
      <c r="D200" s="1267"/>
      <c r="E200" s="1266" t="s">
        <v>2508</v>
      </c>
      <c r="F200" s="1267" t="s">
        <v>4513</v>
      </c>
      <c r="G200" s="1267"/>
    </row>
    <row r="201" spans="1:10" ht="25.25" customHeight="1" x14ac:dyDescent="0.2">
      <c r="A201" s="1206" t="s">
        <v>4523</v>
      </c>
      <c r="B201" s="145">
        <v>121530</v>
      </c>
      <c r="C201" s="145">
        <v>85</v>
      </c>
      <c r="D201" s="180"/>
      <c r="E201" s="349">
        <v>128774</v>
      </c>
      <c r="F201" s="350">
        <v>42</v>
      </c>
      <c r="G201" s="133">
        <v>0.5</v>
      </c>
    </row>
    <row r="202" spans="1:10" x14ac:dyDescent="0.2">
      <c r="A202" s="533" t="s">
        <v>4524</v>
      </c>
      <c r="B202" s="145">
        <v>18167</v>
      </c>
      <c r="C202" s="145">
        <v>25</v>
      </c>
      <c r="D202" s="180"/>
      <c r="E202" s="131">
        <v>19984</v>
      </c>
      <c r="F202" s="145">
        <v>90</v>
      </c>
      <c r="G202" s="133"/>
    </row>
    <row r="203" spans="1:10" x14ac:dyDescent="0.2">
      <c r="A203" s="533" t="s">
        <v>4525</v>
      </c>
      <c r="B203" s="145">
        <v>28226</v>
      </c>
      <c r="C203" s="145">
        <v>75</v>
      </c>
      <c r="D203" s="180"/>
      <c r="E203" s="131">
        <v>26138</v>
      </c>
      <c r="F203" s="145">
        <v>30</v>
      </c>
      <c r="G203" s="133"/>
    </row>
    <row r="204" spans="1:10" x14ac:dyDescent="0.2">
      <c r="A204" s="533" t="s">
        <v>4526</v>
      </c>
      <c r="B204" s="145">
        <v>9584</v>
      </c>
      <c r="C204" s="145">
        <v>92</v>
      </c>
      <c r="D204" s="180">
        <v>0.5</v>
      </c>
      <c r="E204" s="131">
        <v>24306</v>
      </c>
      <c r="F204" s="145">
        <v>5</v>
      </c>
      <c r="G204" s="133"/>
    </row>
    <row r="205" spans="1:10" x14ac:dyDescent="0.2">
      <c r="A205" s="533" t="s">
        <v>4527</v>
      </c>
      <c r="B205" s="145"/>
      <c r="C205" s="145"/>
      <c r="D205" s="180"/>
      <c r="E205" s="131"/>
      <c r="F205" s="145"/>
      <c r="G205" s="133"/>
    </row>
    <row r="206" spans="1:10" ht="25.25" customHeight="1" x14ac:dyDescent="0.2">
      <c r="A206" s="1206" t="s">
        <v>4528</v>
      </c>
      <c r="B206" s="145"/>
      <c r="C206" s="145"/>
      <c r="D206" s="180"/>
      <c r="E206" s="131"/>
      <c r="F206" s="145"/>
      <c r="G206" s="133"/>
    </row>
    <row r="207" spans="1:10" x14ac:dyDescent="0.2">
      <c r="A207" s="533" t="s">
        <v>4524</v>
      </c>
      <c r="B207" s="145">
        <v>69350</v>
      </c>
      <c r="C207" s="145">
        <v>40</v>
      </c>
      <c r="D207" s="180"/>
      <c r="E207" s="131">
        <v>69008</v>
      </c>
      <c r="F207" s="145">
        <v>20</v>
      </c>
      <c r="G207" s="133"/>
    </row>
    <row r="208" spans="1:10" x14ac:dyDescent="0.2">
      <c r="A208" s="533" t="s">
        <v>4525</v>
      </c>
      <c r="B208" s="145">
        <v>6052</v>
      </c>
      <c r="C208" s="145">
        <v>10</v>
      </c>
      <c r="D208" s="180"/>
      <c r="E208" s="131">
        <v>6133</v>
      </c>
      <c r="F208" s="145">
        <v>70</v>
      </c>
      <c r="G208" s="133"/>
    </row>
    <row r="209" spans="1:7" x14ac:dyDescent="0.2">
      <c r="A209" s="533" t="s">
        <v>4526</v>
      </c>
      <c r="B209" s="145">
        <v>7754</v>
      </c>
      <c r="C209" s="145">
        <v>70</v>
      </c>
      <c r="D209" s="180"/>
      <c r="E209" s="131">
        <v>9234</v>
      </c>
      <c r="F209" s="145">
        <v>25</v>
      </c>
      <c r="G209" s="133"/>
    </row>
    <row r="210" spans="1:7" x14ac:dyDescent="0.2">
      <c r="A210" s="533" t="s">
        <v>4527</v>
      </c>
      <c r="B210" s="145">
        <v>862</v>
      </c>
      <c r="C210" s="145">
        <v>70</v>
      </c>
      <c r="D210" s="180"/>
      <c r="E210" s="131">
        <v>826</v>
      </c>
      <c r="F210" s="145">
        <v>35</v>
      </c>
      <c r="G210" s="133"/>
    </row>
    <row r="211" spans="1:7" ht="22.25" customHeight="1" x14ac:dyDescent="0.2">
      <c r="A211" s="1206" t="s">
        <v>4529</v>
      </c>
      <c r="B211" s="145"/>
      <c r="C211" s="145"/>
      <c r="D211" s="180"/>
      <c r="E211" s="131"/>
      <c r="F211" s="145"/>
      <c r="G211" s="133"/>
    </row>
    <row r="212" spans="1:7" x14ac:dyDescent="0.2">
      <c r="A212" s="533" t="s">
        <v>4524</v>
      </c>
      <c r="B212" s="145">
        <v>1821</v>
      </c>
      <c r="C212" s="145">
        <v>25</v>
      </c>
      <c r="D212" s="180"/>
      <c r="E212" s="131">
        <v>1158</v>
      </c>
      <c r="F212" s="145">
        <v>75</v>
      </c>
      <c r="G212" s="133"/>
    </row>
    <row r="213" spans="1:7" x14ac:dyDescent="0.2">
      <c r="A213" s="533" t="s">
        <v>4525</v>
      </c>
      <c r="B213" s="145">
        <v>1200</v>
      </c>
      <c r="C213" s="145"/>
      <c r="D213" s="180"/>
      <c r="E213" s="131">
        <v>1179</v>
      </c>
      <c r="F213" s="145">
        <v>90</v>
      </c>
      <c r="G213" s="133"/>
    </row>
    <row r="214" spans="1:7" x14ac:dyDescent="0.2">
      <c r="A214" s="533" t="s">
        <v>4526</v>
      </c>
      <c r="B214" s="145">
        <v>750</v>
      </c>
      <c r="C214" s="145">
        <v>5</v>
      </c>
      <c r="D214" s="180"/>
      <c r="E214" s="131">
        <v>607</v>
      </c>
      <c r="F214" s="145">
        <v>70</v>
      </c>
      <c r="G214" s="133"/>
    </row>
    <row r="215" spans="1:7" x14ac:dyDescent="0.2">
      <c r="A215" s="533" t="s">
        <v>4527</v>
      </c>
      <c r="B215" s="145">
        <v>351</v>
      </c>
      <c r="C215" s="145">
        <v>60</v>
      </c>
      <c r="D215" s="180"/>
      <c r="E215" s="131">
        <v>285</v>
      </c>
      <c r="F215" s="145"/>
      <c r="G215" s="133"/>
    </row>
    <row r="216" spans="1:7" ht="22.75" customHeight="1" x14ac:dyDescent="0.2">
      <c r="A216" s="1206" t="s">
        <v>4530</v>
      </c>
      <c r="B216" s="145"/>
      <c r="C216" s="145"/>
      <c r="D216" s="180"/>
      <c r="E216" s="131"/>
      <c r="F216" s="145"/>
      <c r="G216" s="133"/>
    </row>
    <row r="217" spans="1:7" x14ac:dyDescent="0.2">
      <c r="A217" s="533" t="s">
        <v>4525</v>
      </c>
      <c r="B217" s="145">
        <v>2064</v>
      </c>
      <c r="C217" s="145">
        <v>50</v>
      </c>
      <c r="D217" s="180"/>
      <c r="E217" s="131">
        <v>4817</v>
      </c>
      <c r="F217" s="145">
        <v>5</v>
      </c>
      <c r="G217" s="133"/>
    </row>
    <row r="218" spans="1:7" x14ac:dyDescent="0.2">
      <c r="A218" s="533" t="s">
        <v>4526</v>
      </c>
      <c r="B218" s="145">
        <v>2379</v>
      </c>
      <c r="C218" s="145">
        <v>10</v>
      </c>
      <c r="D218" s="180"/>
      <c r="E218" s="131"/>
      <c r="F218" s="145"/>
      <c r="G218" s="133"/>
    </row>
    <row r="219" spans="1:7" x14ac:dyDescent="0.2">
      <c r="A219" s="533" t="s">
        <v>4527</v>
      </c>
      <c r="B219" s="145">
        <v>2272</v>
      </c>
      <c r="C219" s="145">
        <v>35</v>
      </c>
      <c r="D219" s="180"/>
      <c r="E219" s="131">
        <v>993</v>
      </c>
      <c r="F219" s="145">
        <v>70</v>
      </c>
      <c r="G219" s="133"/>
    </row>
    <row r="220" spans="1:7" ht="24" customHeight="1" x14ac:dyDescent="0.2">
      <c r="A220" s="1322" t="s">
        <v>4531</v>
      </c>
      <c r="B220" s="318">
        <v>272368</v>
      </c>
      <c r="C220" s="318">
        <v>52</v>
      </c>
      <c r="D220" s="319">
        <v>0.5</v>
      </c>
      <c r="E220" s="240">
        <v>293448</v>
      </c>
      <c r="F220" s="318">
        <v>27</v>
      </c>
      <c r="G220" s="241">
        <v>0.5</v>
      </c>
    </row>
    <row r="221" spans="1:7" x14ac:dyDescent="0.2">
      <c r="B221" s="393">
        <f>+SUM(B201:B219)</f>
        <v>272362</v>
      </c>
      <c r="C221" s="393">
        <f t="shared" ref="C221:G221" si="2">+SUM(C201:C219)</f>
        <v>652</v>
      </c>
      <c r="D221" s="1078">
        <f t="shared" si="2"/>
        <v>0.5</v>
      </c>
      <c r="E221" s="393">
        <f t="shared" si="2"/>
        <v>293442</v>
      </c>
      <c r="F221" s="393">
        <f t="shared" si="2"/>
        <v>627</v>
      </c>
      <c r="G221" s="1078">
        <f t="shared" si="2"/>
        <v>0.5</v>
      </c>
    </row>
  </sheetData>
  <mergeCells count="62">
    <mergeCell ref="F181:G181"/>
    <mergeCell ref="I181:J181"/>
    <mergeCell ref="A198:G198"/>
    <mergeCell ref="A199:A200"/>
    <mergeCell ref="B199:D199"/>
    <mergeCell ref="E199:G199"/>
    <mergeCell ref="C200:D200"/>
    <mergeCell ref="F200:G200"/>
    <mergeCell ref="T171:T172"/>
    <mergeCell ref="V171:V172"/>
    <mergeCell ref="W171:W172"/>
    <mergeCell ref="X171:X172"/>
    <mergeCell ref="A179:J179"/>
    <mergeCell ref="A180:A181"/>
    <mergeCell ref="B180:D180"/>
    <mergeCell ref="E180:G180"/>
    <mergeCell ref="H180:J180"/>
    <mergeCell ref="C181:D181"/>
    <mergeCell ref="J171:J172"/>
    <mergeCell ref="K171:K172"/>
    <mergeCell ref="M171:M172"/>
    <mergeCell ref="P171:P172"/>
    <mergeCell ref="R171:R172"/>
    <mergeCell ref="S171:S172"/>
    <mergeCell ref="P167:P168"/>
    <mergeCell ref="R167:R168"/>
    <mergeCell ref="T167:T168"/>
    <mergeCell ref="W167:W168"/>
    <mergeCell ref="X167:X168"/>
    <mergeCell ref="A171:A172"/>
    <mergeCell ref="B171:B172"/>
    <mergeCell ref="C171:C172"/>
    <mergeCell ref="D171:D172"/>
    <mergeCell ref="E171:E172"/>
    <mergeCell ref="C167:C168"/>
    <mergeCell ref="D167:D168"/>
    <mergeCell ref="H167:H168"/>
    <mergeCell ref="J167:J168"/>
    <mergeCell ref="K167:K168"/>
    <mergeCell ref="O167:O168"/>
    <mergeCell ref="A117:G117"/>
    <mergeCell ref="A122:C122"/>
    <mergeCell ref="A153:X153"/>
    <mergeCell ref="C154:X154"/>
    <mergeCell ref="G155:G174"/>
    <mergeCell ref="L155:L174"/>
    <mergeCell ref="Q155:Q174"/>
    <mergeCell ref="U155:U174"/>
    <mergeCell ref="A167:A168"/>
    <mergeCell ref="B167:B168"/>
    <mergeCell ref="B66:C66"/>
    <mergeCell ref="D66:E66"/>
    <mergeCell ref="A81:G81"/>
    <mergeCell ref="B82:C82"/>
    <mergeCell ref="D82:E82"/>
    <mergeCell ref="F82:G82"/>
    <mergeCell ref="A4:D4"/>
    <mergeCell ref="A17:B17"/>
    <mergeCell ref="A29:B29"/>
    <mergeCell ref="A42:B42"/>
    <mergeCell ref="A57:B57"/>
    <mergeCell ref="A65:G65"/>
  </mergeCell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AY214"/>
  <sheetViews>
    <sheetView workbookViewId="0">
      <selection activeCell="B1" sqref="B1"/>
    </sheetView>
  </sheetViews>
  <sheetFormatPr baseColWidth="10" defaultRowHeight="15" x14ac:dyDescent="0.2"/>
  <cols>
    <col min="1" max="1" width="47.33203125" style="106" customWidth="1"/>
    <col min="2" max="2" width="16.83203125" style="106" customWidth="1"/>
    <col min="3" max="3" width="10.33203125" style="106" customWidth="1"/>
    <col min="4" max="5" width="11.83203125" style="106" customWidth="1"/>
    <col min="6" max="10" width="10.83203125" style="106"/>
    <col min="11" max="12" width="10.5" style="106" customWidth="1"/>
    <col min="13" max="13" width="10.83203125" style="106"/>
    <col min="14" max="14" width="6.83203125" style="106" customWidth="1"/>
    <col min="15" max="15" width="10.83203125" style="106"/>
    <col min="16" max="16" width="7.33203125" style="106" customWidth="1"/>
    <col min="17" max="17" width="10.83203125" style="106"/>
    <col min="18" max="18" width="11" style="106" customWidth="1"/>
    <col min="19" max="19" width="9.6640625" style="106" customWidth="1"/>
    <col min="20" max="20" width="10.83203125" style="106"/>
    <col min="21" max="21" width="8.1640625" style="106" customWidth="1"/>
    <col min="22" max="22" width="10.83203125" style="106"/>
    <col min="23" max="23" width="7.83203125" style="106" customWidth="1"/>
    <col min="24" max="24" width="10.83203125" style="106"/>
    <col min="25" max="25" width="7.1640625" style="106" customWidth="1"/>
    <col min="26" max="26" width="10.83203125" style="106"/>
    <col min="27" max="27" width="10.5" style="106" customWidth="1"/>
    <col min="28" max="28" width="10.83203125" style="106"/>
    <col min="29" max="29" width="7.1640625" style="106" customWidth="1"/>
    <col min="30" max="30" width="10.83203125" style="106"/>
    <col min="31" max="31" width="9" style="106" customWidth="1"/>
    <col min="32" max="32" width="10.83203125" style="106"/>
    <col min="33" max="33" width="11.5" style="106" customWidth="1"/>
    <col min="34" max="41" width="10.83203125" style="106"/>
    <col min="42" max="42" width="6.5" style="106" customWidth="1"/>
    <col min="43" max="43" width="10.83203125" style="106"/>
    <col min="44" max="44" width="7.83203125" style="106" customWidth="1"/>
    <col min="45" max="45" width="11.5" style="106" customWidth="1"/>
    <col min="46" max="16384" width="10.83203125" style="106"/>
  </cols>
  <sheetData>
    <row r="1" spans="1:7" x14ac:dyDescent="0.2">
      <c r="A1" s="972" t="s">
        <v>4532</v>
      </c>
    </row>
    <row r="2" spans="1:7" x14ac:dyDescent="0.2">
      <c r="A2" s="107"/>
    </row>
    <row r="3" spans="1:7" x14ac:dyDescent="0.2">
      <c r="A3" s="526" t="s">
        <v>1111</v>
      </c>
    </row>
    <row r="4" spans="1:7" x14ac:dyDescent="0.2">
      <c r="A4" s="342" t="s">
        <v>4533</v>
      </c>
      <c r="B4" s="350">
        <v>3826852</v>
      </c>
      <c r="C4" s="198"/>
      <c r="D4" s="198"/>
      <c r="E4" s="198"/>
      <c r="F4" s="198"/>
      <c r="G4" s="199"/>
    </row>
    <row r="5" spans="1:7" ht="23.5" customHeight="1" x14ac:dyDescent="0.2">
      <c r="A5" s="1323" t="s">
        <v>4534</v>
      </c>
      <c r="B5" s="1324"/>
      <c r="C5" s="1324"/>
      <c r="D5" s="1324"/>
      <c r="E5" s="1324"/>
      <c r="F5" s="1324"/>
      <c r="G5" s="1325"/>
    </row>
    <row r="6" spans="1:7" x14ac:dyDescent="0.2">
      <c r="A6" s="854" t="s">
        <v>4535</v>
      </c>
      <c r="B6" s="134">
        <v>24</v>
      </c>
      <c r="C6" s="1326">
        <f>1/3</f>
        <v>0.33333333333333331</v>
      </c>
      <c r="D6" s="134" t="s">
        <v>4536</v>
      </c>
      <c r="E6" s="1327">
        <v>5</v>
      </c>
      <c r="F6" s="375" t="s">
        <v>4537</v>
      </c>
      <c r="G6" s="397"/>
    </row>
    <row r="7" spans="1:7" x14ac:dyDescent="0.2">
      <c r="A7" s="854" t="s">
        <v>4535</v>
      </c>
      <c r="B7" s="134">
        <v>8</v>
      </c>
      <c r="C7" s="1326"/>
      <c r="D7" s="134" t="s">
        <v>4536</v>
      </c>
      <c r="E7" s="1327">
        <v>20</v>
      </c>
      <c r="F7" s="375" t="s">
        <v>4537</v>
      </c>
      <c r="G7" s="397"/>
    </row>
    <row r="8" spans="1:7" x14ac:dyDescent="0.2">
      <c r="A8" s="854" t="s">
        <v>4535</v>
      </c>
      <c r="B8" s="134">
        <v>6</v>
      </c>
      <c r="C8" s="1326">
        <f>3/4</f>
        <v>0.75</v>
      </c>
      <c r="D8" s="134" t="s">
        <v>4536</v>
      </c>
      <c r="E8" s="1327">
        <v>40</v>
      </c>
      <c r="F8" s="375" t="s">
        <v>4537</v>
      </c>
      <c r="G8" s="397"/>
    </row>
    <row r="9" spans="1:7" x14ac:dyDescent="0.2">
      <c r="A9" s="854" t="s">
        <v>4535</v>
      </c>
      <c r="B9" s="134">
        <v>9</v>
      </c>
      <c r="C9" s="1326">
        <f>3/4</f>
        <v>0.75</v>
      </c>
      <c r="D9" s="134" t="s">
        <v>4536</v>
      </c>
      <c r="E9" s="1327">
        <v>60</v>
      </c>
      <c r="F9" s="375" t="s">
        <v>4537</v>
      </c>
      <c r="G9" s="397"/>
    </row>
    <row r="10" spans="1:7" x14ac:dyDescent="0.2">
      <c r="A10" s="1328" t="s">
        <v>4535</v>
      </c>
      <c r="B10" s="194"/>
      <c r="C10" s="1329">
        <f>3/4</f>
        <v>0.75</v>
      </c>
      <c r="D10" s="194" t="s">
        <v>4536</v>
      </c>
      <c r="E10" s="1330">
        <v>75</v>
      </c>
      <c r="F10" s="377" t="s">
        <v>4537</v>
      </c>
      <c r="G10" s="920"/>
    </row>
    <row r="14" spans="1:7" s="107" customFormat="1" x14ac:dyDescent="0.2">
      <c r="A14" s="526" t="s">
        <v>1171</v>
      </c>
    </row>
    <row r="15" spans="1:7" s="107" customFormat="1" ht="40.25" customHeight="1" x14ac:dyDescent="0.2">
      <c r="A15" s="1331" t="s">
        <v>4538</v>
      </c>
      <c r="B15" s="1332"/>
    </row>
    <row r="16" spans="1:7" s="107" customFormat="1" ht="30" x14ac:dyDescent="0.2">
      <c r="A16" s="864" t="s">
        <v>4539</v>
      </c>
      <c r="B16" s="307">
        <v>4000000</v>
      </c>
    </row>
    <row r="17" spans="1:2" s="107" customFormat="1" x14ac:dyDescent="0.2">
      <c r="A17" s="131" t="s">
        <v>4540</v>
      </c>
      <c r="B17" s="307">
        <v>3826852</v>
      </c>
    </row>
    <row r="18" spans="1:2" s="107" customFormat="1" x14ac:dyDescent="0.2">
      <c r="A18" s="622" t="s">
        <v>4541</v>
      </c>
      <c r="B18" s="717">
        <v>173148</v>
      </c>
    </row>
    <row r="19" spans="1:2" s="107" customFormat="1" x14ac:dyDescent="0.2">
      <c r="A19" s="622"/>
      <c r="B19" s="1333">
        <f>+B16-B17</f>
        <v>173148</v>
      </c>
    </row>
    <row r="20" spans="1:2" s="107" customFormat="1" ht="27" customHeight="1" x14ac:dyDescent="0.2">
      <c r="A20" s="1266" t="s">
        <v>3201</v>
      </c>
      <c r="B20" s="1317" t="s">
        <v>4542</v>
      </c>
    </row>
    <row r="21" spans="1:2" s="107" customFormat="1" x14ac:dyDescent="0.2">
      <c r="A21" s="131" t="s">
        <v>4543</v>
      </c>
      <c r="B21" s="307">
        <v>2160104</v>
      </c>
    </row>
    <row r="22" spans="1:2" s="107" customFormat="1" x14ac:dyDescent="0.2">
      <c r="A22" s="131" t="s">
        <v>4544</v>
      </c>
      <c r="B22" s="307">
        <v>4025112</v>
      </c>
    </row>
    <row r="23" spans="1:2" s="107" customFormat="1" x14ac:dyDescent="0.2">
      <c r="A23" s="131" t="s">
        <v>4545</v>
      </c>
      <c r="B23" s="307">
        <v>3992424</v>
      </c>
    </row>
    <row r="24" spans="1:2" s="107" customFormat="1" x14ac:dyDescent="0.2">
      <c r="A24" s="131" t="s">
        <v>4546</v>
      </c>
      <c r="B24" s="307">
        <v>3488218</v>
      </c>
    </row>
    <row r="25" spans="1:2" s="107" customFormat="1" x14ac:dyDescent="0.2">
      <c r="A25" s="131" t="s">
        <v>4547</v>
      </c>
      <c r="B25" s="307">
        <v>3930862</v>
      </c>
    </row>
    <row r="26" spans="1:2" s="107" customFormat="1" x14ac:dyDescent="0.2">
      <c r="A26" s="131" t="s">
        <v>4548</v>
      </c>
      <c r="B26" s="307">
        <v>4304905</v>
      </c>
    </row>
    <row r="27" spans="1:2" s="107" customFormat="1" x14ac:dyDescent="0.2">
      <c r="A27" s="131" t="s">
        <v>4549</v>
      </c>
      <c r="B27" s="307">
        <v>4360412</v>
      </c>
    </row>
    <row r="28" spans="1:2" s="107" customFormat="1" x14ac:dyDescent="0.2">
      <c r="A28" s="230" t="s">
        <v>4550</v>
      </c>
      <c r="B28" s="364">
        <v>3826852</v>
      </c>
    </row>
    <row r="29" spans="1:2" s="107" customFormat="1" x14ac:dyDescent="0.2"/>
    <row r="30" spans="1:2" s="107" customFormat="1" x14ac:dyDescent="0.2"/>
    <row r="31" spans="1:2" s="107" customFormat="1" x14ac:dyDescent="0.2"/>
    <row r="32" spans="1:2" s="107" customFormat="1" x14ac:dyDescent="0.2">
      <c r="A32" s="526" t="s">
        <v>1853</v>
      </c>
    </row>
    <row r="33" spans="1:12" s="107" customFormat="1" ht="34.25" customHeight="1" x14ac:dyDescent="0.2">
      <c r="A33" s="1265" t="s">
        <v>4551</v>
      </c>
      <c r="B33" s="1265"/>
      <c r="C33" s="1265"/>
      <c r="D33" s="1265"/>
      <c r="E33" s="1265"/>
    </row>
    <row r="34" spans="1:12" s="1277" customFormat="1" ht="28.75" customHeight="1" x14ac:dyDescent="0.15">
      <c r="A34" s="1273" t="s">
        <v>3254</v>
      </c>
      <c r="B34" s="1273" t="s">
        <v>4547</v>
      </c>
      <c r="C34" s="1273" t="s">
        <v>4548</v>
      </c>
      <c r="D34" s="1273" t="s">
        <v>4549</v>
      </c>
      <c r="E34" s="1273" t="s">
        <v>4550</v>
      </c>
    </row>
    <row r="35" spans="1:12" s="107" customFormat="1" x14ac:dyDescent="0.2">
      <c r="A35" s="131" t="s">
        <v>4552</v>
      </c>
      <c r="B35" s="716">
        <v>2805344</v>
      </c>
      <c r="C35" s="145">
        <v>3288096</v>
      </c>
      <c r="D35" s="716">
        <v>3204390</v>
      </c>
      <c r="E35" s="307">
        <v>2761707</v>
      </c>
    </row>
    <row r="36" spans="1:12" s="107" customFormat="1" x14ac:dyDescent="0.2">
      <c r="A36" s="131" t="s">
        <v>1517</v>
      </c>
      <c r="B36" s="533">
        <v>283873</v>
      </c>
      <c r="C36" s="145">
        <v>279766</v>
      </c>
      <c r="D36" s="533">
        <v>335121</v>
      </c>
      <c r="E36" s="307">
        <v>236707</v>
      </c>
    </row>
    <row r="37" spans="1:12" s="107" customFormat="1" x14ac:dyDescent="0.2">
      <c r="A37" s="131" t="s">
        <v>4033</v>
      </c>
      <c r="B37" s="533">
        <v>320853</v>
      </c>
      <c r="C37" s="145">
        <v>168860</v>
      </c>
      <c r="D37" s="533">
        <v>290773</v>
      </c>
      <c r="E37" s="307">
        <v>409952</v>
      </c>
    </row>
    <row r="38" spans="1:12" s="107" customFormat="1" x14ac:dyDescent="0.2">
      <c r="A38" s="131" t="s">
        <v>1519</v>
      </c>
      <c r="B38" s="533">
        <v>246997</v>
      </c>
      <c r="C38" s="145">
        <v>248769</v>
      </c>
      <c r="D38" s="533">
        <v>244327</v>
      </c>
      <c r="E38" s="307">
        <v>228902</v>
      </c>
    </row>
    <row r="39" spans="1:12" s="107" customFormat="1" x14ac:dyDescent="0.2">
      <c r="A39" s="131" t="s">
        <v>4553</v>
      </c>
      <c r="B39" s="533">
        <v>8442</v>
      </c>
      <c r="C39" s="145">
        <v>18866</v>
      </c>
      <c r="D39" s="533">
        <v>9970</v>
      </c>
      <c r="E39" s="307">
        <v>18307</v>
      </c>
    </row>
    <row r="40" spans="1:12" s="107" customFormat="1" x14ac:dyDescent="0.2">
      <c r="A40" s="131" t="s">
        <v>1526</v>
      </c>
      <c r="B40" s="533">
        <v>112381</v>
      </c>
      <c r="C40" s="145">
        <v>121264</v>
      </c>
      <c r="D40" s="533">
        <v>51067</v>
      </c>
      <c r="E40" s="307">
        <v>49771</v>
      </c>
    </row>
    <row r="41" spans="1:12" s="107" customFormat="1" x14ac:dyDescent="0.2">
      <c r="A41" s="131" t="s">
        <v>4034</v>
      </c>
      <c r="B41" s="533">
        <v>100924</v>
      </c>
      <c r="C41" s="145">
        <v>78500</v>
      </c>
      <c r="D41" s="533">
        <v>105193</v>
      </c>
      <c r="E41" s="307">
        <v>47669</v>
      </c>
    </row>
    <row r="42" spans="1:12" s="107" customFormat="1" x14ac:dyDescent="0.2">
      <c r="A42" s="131" t="s">
        <v>1527</v>
      </c>
      <c r="B42" s="533">
        <v>52046</v>
      </c>
      <c r="C42" s="145">
        <v>92500</v>
      </c>
      <c r="D42" s="533">
        <v>116943</v>
      </c>
      <c r="E42" s="307">
        <v>73832</v>
      </c>
    </row>
    <row r="43" spans="1:12" s="107" customFormat="1" x14ac:dyDescent="0.2">
      <c r="A43" s="230" t="s">
        <v>4299</v>
      </c>
      <c r="B43" s="535"/>
      <c r="C43" s="309">
        <v>8280</v>
      </c>
      <c r="D43" s="535">
        <v>2624</v>
      </c>
      <c r="E43" s="364"/>
    </row>
    <row r="44" spans="1:12" s="107" customFormat="1" x14ac:dyDescent="0.2">
      <c r="B44" s="393">
        <f>+SUM(B35:B43)</f>
        <v>3930860</v>
      </c>
      <c r="C44" s="393">
        <f t="shared" ref="C44:E44" si="0">+SUM(C35:C43)</f>
        <v>4304901</v>
      </c>
      <c r="D44" s="393">
        <f t="shared" si="0"/>
        <v>4360408</v>
      </c>
      <c r="E44" s="393">
        <f t="shared" si="0"/>
        <v>3826847</v>
      </c>
    </row>
    <row r="45" spans="1:12" s="107" customFormat="1" x14ac:dyDescent="0.2"/>
    <row r="46" spans="1:12" s="107" customFormat="1" x14ac:dyDescent="0.2"/>
    <row r="47" spans="1:12" s="107" customFormat="1" x14ac:dyDescent="0.2">
      <c r="A47" s="526" t="s">
        <v>1226</v>
      </c>
    </row>
    <row r="48" spans="1:12" s="107" customFormat="1" ht="27" customHeight="1" x14ac:dyDescent="0.2">
      <c r="A48" s="1265" t="s">
        <v>4497</v>
      </c>
      <c r="B48" s="1265"/>
      <c r="C48" s="1265"/>
      <c r="D48" s="1265"/>
      <c r="E48" s="1265"/>
      <c r="F48" s="1265"/>
      <c r="G48" s="1265"/>
      <c r="H48" s="1265"/>
      <c r="I48" s="1265"/>
      <c r="J48" s="1265"/>
      <c r="K48" s="1265"/>
      <c r="L48" s="1265"/>
    </row>
    <row r="49" spans="1:12" s="1271" customFormat="1" ht="20.5" customHeight="1" x14ac:dyDescent="0.2">
      <c r="A49" s="1334"/>
      <c r="B49" s="1268" t="s">
        <v>4549</v>
      </c>
      <c r="C49" s="1267"/>
      <c r="D49" s="1267"/>
      <c r="E49" s="1267" t="s">
        <v>4550</v>
      </c>
      <c r="F49" s="1267"/>
      <c r="G49" s="1267"/>
      <c r="H49" s="1267" t="s">
        <v>4093</v>
      </c>
      <c r="I49" s="1267"/>
      <c r="J49" s="1267"/>
      <c r="K49" s="1267"/>
      <c r="L49" s="1267"/>
    </row>
    <row r="50" spans="1:12" s="1271" customFormat="1" ht="20.5" customHeight="1" x14ac:dyDescent="0.2">
      <c r="A50" s="1334"/>
      <c r="B50" s="1268"/>
      <c r="C50" s="1267"/>
      <c r="D50" s="1267"/>
      <c r="E50" s="1267"/>
      <c r="F50" s="1267"/>
      <c r="G50" s="1267"/>
      <c r="H50" s="1267" t="s">
        <v>4554</v>
      </c>
      <c r="I50" s="1267"/>
      <c r="J50" s="1267" t="s">
        <v>4555</v>
      </c>
      <c r="K50" s="1267"/>
      <c r="L50" s="1267"/>
    </row>
    <row r="51" spans="1:12" s="107" customFormat="1" x14ac:dyDescent="0.2">
      <c r="A51" s="533" t="s">
        <v>4556</v>
      </c>
      <c r="B51" s="145">
        <v>6464</v>
      </c>
      <c r="C51" s="145">
        <v>10</v>
      </c>
      <c r="D51" s="180"/>
      <c r="E51" s="349">
        <v>8444</v>
      </c>
      <c r="F51" s="350">
        <v>35</v>
      </c>
      <c r="G51" s="180"/>
      <c r="H51" s="349">
        <v>1980</v>
      </c>
      <c r="I51" s="717">
        <v>25</v>
      </c>
      <c r="J51" s="349"/>
      <c r="K51" s="350"/>
      <c r="L51" s="133"/>
    </row>
    <row r="52" spans="1:12" s="107" customFormat="1" x14ac:dyDescent="0.2">
      <c r="A52" s="533" t="s">
        <v>4557</v>
      </c>
      <c r="B52" s="145">
        <v>196183</v>
      </c>
      <c r="C52" s="145">
        <v>97</v>
      </c>
      <c r="D52" s="180">
        <v>0.5</v>
      </c>
      <c r="E52" s="131">
        <v>174887</v>
      </c>
      <c r="F52" s="145">
        <v>95</v>
      </c>
      <c r="G52" s="180"/>
      <c r="H52" s="131"/>
      <c r="I52" s="307"/>
      <c r="J52" s="131">
        <v>21296</v>
      </c>
      <c r="K52" s="145">
        <v>2</v>
      </c>
      <c r="L52" s="133">
        <v>0.5</v>
      </c>
    </row>
    <row r="53" spans="1:12" s="107" customFormat="1" x14ac:dyDescent="0.2">
      <c r="A53" s="533" t="s">
        <v>4558</v>
      </c>
      <c r="B53" s="145">
        <v>64606</v>
      </c>
      <c r="C53" s="145">
        <v>40</v>
      </c>
      <c r="D53" s="180"/>
      <c r="E53" s="131">
        <v>38746</v>
      </c>
      <c r="F53" s="145">
        <v>2</v>
      </c>
      <c r="G53" s="180">
        <v>0.5</v>
      </c>
      <c r="H53" s="131"/>
      <c r="I53" s="307"/>
      <c r="J53" s="131">
        <v>25860</v>
      </c>
      <c r="K53" s="145">
        <v>37</v>
      </c>
      <c r="L53" s="133">
        <v>0.5</v>
      </c>
    </row>
    <row r="54" spans="1:12" s="107" customFormat="1" x14ac:dyDescent="0.2">
      <c r="A54" s="533" t="s">
        <v>4559</v>
      </c>
      <c r="B54" s="145">
        <v>1903</v>
      </c>
      <c r="C54" s="145">
        <v>95</v>
      </c>
      <c r="D54" s="180"/>
      <c r="E54" s="131">
        <v>11169</v>
      </c>
      <c r="F54" s="145">
        <v>85</v>
      </c>
      <c r="G54" s="180"/>
      <c r="H54" s="131">
        <v>9265</v>
      </c>
      <c r="I54" s="307">
        <v>90</v>
      </c>
      <c r="J54" s="131"/>
      <c r="K54" s="145"/>
      <c r="L54" s="133"/>
    </row>
    <row r="55" spans="1:12" s="107" customFormat="1" x14ac:dyDescent="0.2">
      <c r="A55" s="785" t="s">
        <v>2764</v>
      </c>
      <c r="B55" s="240">
        <v>269158</v>
      </c>
      <c r="C55" s="318">
        <v>42</v>
      </c>
      <c r="D55" s="319">
        <v>0.5</v>
      </c>
      <c r="E55" s="240">
        <v>233248</v>
      </c>
      <c r="F55" s="318">
        <v>17</v>
      </c>
      <c r="G55" s="319">
        <v>0.5</v>
      </c>
      <c r="H55" s="240"/>
      <c r="I55" s="513"/>
      <c r="J55" s="240">
        <v>35910</v>
      </c>
      <c r="K55" s="318">
        <v>37</v>
      </c>
      <c r="L55" s="241"/>
    </row>
    <row r="56" spans="1:12" s="107" customFormat="1" x14ac:dyDescent="0.2">
      <c r="B56" s="393">
        <f>+SUM(B51:B54)</f>
        <v>269156</v>
      </c>
      <c r="C56" s="393">
        <f t="shared" ref="C56:L56" si="1">+SUM(C51:C54)</f>
        <v>242</v>
      </c>
      <c r="D56" s="1078">
        <f t="shared" si="1"/>
        <v>0.5</v>
      </c>
      <c r="E56" s="393">
        <f t="shared" si="1"/>
        <v>233246</v>
      </c>
      <c r="F56" s="393">
        <f t="shared" si="1"/>
        <v>217</v>
      </c>
      <c r="G56" s="1078">
        <f t="shared" si="1"/>
        <v>0.5</v>
      </c>
      <c r="H56" s="393">
        <f t="shared" si="1"/>
        <v>11245</v>
      </c>
      <c r="I56" s="393">
        <f t="shared" si="1"/>
        <v>115</v>
      </c>
      <c r="J56" s="1137">
        <f t="shared" si="1"/>
        <v>47156</v>
      </c>
      <c r="K56" s="393">
        <f t="shared" si="1"/>
        <v>39</v>
      </c>
      <c r="L56" s="1078">
        <f t="shared" si="1"/>
        <v>1</v>
      </c>
    </row>
    <row r="57" spans="1:12" s="107" customFormat="1" x14ac:dyDescent="0.2"/>
    <row r="58" spans="1:12" s="107" customFormat="1" x14ac:dyDescent="0.2"/>
    <row r="59" spans="1:12" s="107" customFormat="1" x14ac:dyDescent="0.2">
      <c r="A59" s="526" t="s">
        <v>1272</v>
      </c>
    </row>
    <row r="60" spans="1:12" s="107" customFormat="1" ht="25.75" customHeight="1" x14ac:dyDescent="0.2">
      <c r="A60" s="1265" t="s">
        <v>4560</v>
      </c>
      <c r="B60" s="1265"/>
      <c r="C60" s="1265"/>
      <c r="D60" s="1265"/>
      <c r="E60" s="1265"/>
      <c r="F60" s="1265"/>
    </row>
    <row r="61" spans="1:12" s="1277" customFormat="1" ht="18.5" customHeight="1" x14ac:dyDescent="0.15">
      <c r="A61" s="1276" t="s">
        <v>4561</v>
      </c>
      <c r="B61" s="1276" t="s">
        <v>4562</v>
      </c>
      <c r="C61" s="1276"/>
      <c r="D61" s="1276" t="s">
        <v>4563</v>
      </c>
      <c r="E61" s="1276" t="s">
        <v>4093</v>
      </c>
      <c r="F61" s="1276"/>
    </row>
    <row r="62" spans="1:12" s="1277" customFormat="1" ht="18.5" customHeight="1" x14ac:dyDescent="0.15">
      <c r="A62" s="1276"/>
      <c r="B62" s="1276"/>
      <c r="C62" s="1276"/>
      <c r="D62" s="1276"/>
      <c r="E62" s="1273" t="s">
        <v>2585</v>
      </c>
      <c r="F62" s="1273" t="s">
        <v>4564</v>
      </c>
    </row>
    <row r="63" spans="1:12" s="107" customFormat="1" x14ac:dyDescent="0.2">
      <c r="A63" s="131" t="s">
        <v>4565</v>
      </c>
      <c r="B63" s="349">
        <v>14444914</v>
      </c>
      <c r="C63" s="717" t="s">
        <v>3408</v>
      </c>
      <c r="D63" s="145">
        <v>13379439</v>
      </c>
      <c r="E63" s="716"/>
      <c r="F63" s="307">
        <v>1065475</v>
      </c>
    </row>
    <row r="64" spans="1:12" s="107" customFormat="1" x14ac:dyDescent="0.2">
      <c r="A64" s="131" t="s">
        <v>4566</v>
      </c>
      <c r="B64" s="131">
        <v>8009708</v>
      </c>
      <c r="C64" s="307" t="s">
        <v>3408</v>
      </c>
      <c r="D64" s="145">
        <v>8063244</v>
      </c>
      <c r="E64" s="533">
        <v>53536</v>
      </c>
      <c r="F64" s="307"/>
    </row>
    <row r="65" spans="1:6" s="107" customFormat="1" x14ac:dyDescent="0.2">
      <c r="A65" s="131" t="s">
        <v>4567</v>
      </c>
      <c r="B65" s="131">
        <v>2794834</v>
      </c>
      <c r="C65" s="307"/>
      <c r="D65" s="145">
        <v>2818022</v>
      </c>
      <c r="E65" s="533">
        <v>23188</v>
      </c>
      <c r="F65" s="307"/>
    </row>
    <row r="66" spans="1:6" s="107" customFormat="1" x14ac:dyDescent="0.2">
      <c r="A66" s="131" t="s">
        <v>4568</v>
      </c>
      <c r="B66" s="131">
        <v>2428396</v>
      </c>
      <c r="C66" s="307"/>
      <c r="D66" s="145">
        <v>2125973</v>
      </c>
      <c r="E66" s="533"/>
      <c r="F66" s="307">
        <v>302423</v>
      </c>
    </row>
    <row r="67" spans="1:6" s="107" customFormat="1" x14ac:dyDescent="0.2">
      <c r="A67" s="131" t="s">
        <v>4569</v>
      </c>
      <c r="B67" s="131">
        <v>3627731</v>
      </c>
      <c r="C67" s="307"/>
      <c r="D67" s="145">
        <v>2995871</v>
      </c>
      <c r="E67" s="533"/>
      <c r="F67" s="307">
        <v>631860</v>
      </c>
    </row>
    <row r="68" spans="1:6" s="107" customFormat="1" x14ac:dyDescent="0.2">
      <c r="A68" s="131" t="s">
        <v>4570</v>
      </c>
      <c r="B68" s="131">
        <v>300750</v>
      </c>
      <c r="C68" s="307"/>
      <c r="D68" s="145">
        <v>214396</v>
      </c>
      <c r="E68" s="533"/>
      <c r="F68" s="307">
        <v>86354</v>
      </c>
    </row>
    <row r="69" spans="1:6" s="107" customFormat="1" x14ac:dyDescent="0.2">
      <c r="A69" s="131" t="s">
        <v>3364</v>
      </c>
      <c r="B69" s="131">
        <v>5235252</v>
      </c>
      <c r="C69" s="307"/>
      <c r="D69" s="145">
        <v>2470547</v>
      </c>
      <c r="E69" s="533"/>
      <c r="F69" s="307">
        <v>2764705</v>
      </c>
    </row>
    <row r="70" spans="1:6" s="107" customFormat="1" x14ac:dyDescent="0.2">
      <c r="A70" s="622" t="s">
        <v>1341</v>
      </c>
      <c r="B70" s="240">
        <v>36841585</v>
      </c>
      <c r="C70" s="513" t="s">
        <v>3408</v>
      </c>
      <c r="D70" s="318">
        <v>32067492</v>
      </c>
      <c r="E70" s="808">
        <v>76724</v>
      </c>
      <c r="F70" s="513">
        <v>4850817</v>
      </c>
    </row>
    <row r="71" spans="1:6" s="107" customFormat="1" x14ac:dyDescent="0.2">
      <c r="A71" s="622"/>
      <c r="B71" s="435">
        <f>+SUM(B63:B69)</f>
        <v>36841585</v>
      </c>
      <c r="C71" s="435"/>
      <c r="D71" s="435">
        <f>+SUM(D63:D69)</f>
        <v>32067492</v>
      </c>
      <c r="E71" s="435">
        <f>+SUM(E63:E69)</f>
        <v>76724</v>
      </c>
      <c r="F71" s="435">
        <f>+SUM(F63:F69)</f>
        <v>4850817</v>
      </c>
    </row>
    <row r="72" spans="1:6" s="107" customFormat="1" x14ac:dyDescent="0.2">
      <c r="A72" s="790" t="s">
        <v>4571</v>
      </c>
      <c r="B72" s="791"/>
      <c r="C72" s="791"/>
      <c r="D72" s="791"/>
      <c r="E72" s="617">
        <v>4774093</v>
      </c>
      <c r="F72" s="618"/>
    </row>
    <row r="73" spans="1:6" s="107" customFormat="1" ht="27.5" customHeight="1" x14ac:dyDescent="0.2">
      <c r="A73" s="879" t="s">
        <v>4572</v>
      </c>
      <c r="B73" s="880"/>
      <c r="C73" s="880"/>
      <c r="D73" s="880"/>
      <c r="E73" s="880"/>
      <c r="F73" s="881"/>
    </row>
    <row r="74" spans="1:6" s="107" customFormat="1" x14ac:dyDescent="0.2"/>
    <row r="75" spans="1:6" s="107" customFormat="1" x14ac:dyDescent="0.2"/>
    <row r="76" spans="1:6" s="107" customFormat="1" x14ac:dyDescent="0.2"/>
    <row r="77" spans="1:6" s="107" customFormat="1" x14ac:dyDescent="0.2">
      <c r="A77" s="526" t="s">
        <v>1342</v>
      </c>
    </row>
    <row r="78" spans="1:6" s="107" customFormat="1" ht="21.5" customHeight="1" x14ac:dyDescent="0.2">
      <c r="A78" s="1335" t="s">
        <v>4573</v>
      </c>
      <c r="B78" s="1336"/>
    </row>
    <row r="79" spans="1:6" s="107" customFormat="1" ht="47.5" customHeight="1" x14ac:dyDescent="0.2">
      <c r="A79" s="1337" t="s">
        <v>4574</v>
      </c>
      <c r="B79" s="1338"/>
    </row>
    <row r="80" spans="1:6" s="107" customFormat="1" x14ac:dyDescent="0.2">
      <c r="A80" s="1270" t="s">
        <v>4575</v>
      </c>
      <c r="B80" s="1339" t="s">
        <v>4576</v>
      </c>
    </row>
    <row r="81" spans="1:51" s="107" customFormat="1" x14ac:dyDescent="0.2">
      <c r="A81" s="230">
        <v>193615</v>
      </c>
      <c r="B81" s="364">
        <v>38723</v>
      </c>
    </row>
    <row r="82" spans="1:51" s="107" customFormat="1" x14ac:dyDescent="0.2"/>
    <row r="83" spans="1:51" s="107" customFormat="1" x14ac:dyDescent="0.2"/>
    <row r="84" spans="1:51" s="107" customFormat="1" x14ac:dyDescent="0.2"/>
    <row r="85" spans="1:51" s="107" customFormat="1" x14ac:dyDescent="0.2">
      <c r="A85" s="526" t="s">
        <v>1358</v>
      </c>
    </row>
    <row r="86" spans="1:51" s="107" customFormat="1" ht="15.5" customHeight="1" x14ac:dyDescent="0.2">
      <c r="A86" s="953" t="s">
        <v>4577</v>
      </c>
      <c r="B86" s="954"/>
      <c r="C86" s="954"/>
      <c r="D86" s="954"/>
      <c r="E86" s="954"/>
      <c r="F86" s="954"/>
      <c r="G86" s="954"/>
      <c r="H86" s="954"/>
      <c r="I86" s="954"/>
      <c r="J86" s="954"/>
      <c r="K86" s="954"/>
      <c r="L86" s="954"/>
      <c r="M86" s="954"/>
      <c r="N86" s="954"/>
      <c r="O86" s="954"/>
      <c r="P86" s="954"/>
      <c r="Q86" s="954"/>
      <c r="R86" s="954"/>
      <c r="S86" s="954"/>
      <c r="T86" s="954"/>
      <c r="U86" s="954"/>
      <c r="V86" s="954"/>
      <c r="W86" s="954"/>
      <c r="X86" s="954"/>
      <c r="Y86" s="954"/>
      <c r="Z86" s="954"/>
      <c r="AA86" s="954"/>
      <c r="AB86" s="954"/>
      <c r="AC86" s="954"/>
      <c r="AD86" s="954"/>
      <c r="AE86" s="954"/>
      <c r="AF86" s="954"/>
      <c r="AG86" s="954"/>
      <c r="AH86" s="954"/>
      <c r="AI86" s="954"/>
      <c r="AJ86" s="954"/>
      <c r="AK86" s="954"/>
      <c r="AL86" s="954"/>
      <c r="AM86" s="954"/>
      <c r="AN86" s="954"/>
      <c r="AO86" s="954"/>
      <c r="AP86" s="954"/>
      <c r="AQ86" s="954"/>
      <c r="AR86" s="954"/>
      <c r="AS86" s="954"/>
      <c r="AT86" s="954"/>
      <c r="AU86" s="954"/>
      <c r="AV86" s="954"/>
      <c r="AW86" s="954"/>
      <c r="AX86" s="954"/>
      <c r="AY86" s="955"/>
    </row>
    <row r="87" spans="1:51" s="107" customFormat="1" ht="14.5" customHeight="1" x14ac:dyDescent="0.2">
      <c r="A87" s="967" t="s">
        <v>4160</v>
      </c>
      <c r="B87" s="616" t="s">
        <v>3255</v>
      </c>
      <c r="C87" s="617"/>
      <c r="D87" s="617"/>
      <c r="E87" s="617"/>
      <c r="F87" s="617"/>
      <c r="G87" s="617"/>
      <c r="H87" s="617"/>
      <c r="I87" s="617"/>
      <c r="J87" s="617"/>
      <c r="K87" s="617"/>
      <c r="L87" s="617"/>
      <c r="M87" s="617"/>
      <c r="N87" s="617"/>
      <c r="O87" s="617"/>
      <c r="P87" s="617"/>
      <c r="Q87" s="617"/>
      <c r="R87" s="617"/>
      <c r="S87" s="617"/>
      <c r="T87" s="617"/>
      <c r="U87" s="617"/>
      <c r="V87" s="617"/>
      <c r="W87" s="617"/>
      <c r="X87" s="617"/>
      <c r="Y87" s="617"/>
      <c r="Z87" s="617"/>
      <c r="AA87" s="617"/>
      <c r="AB87" s="618"/>
      <c r="AC87" s="1141" t="s">
        <v>4161</v>
      </c>
      <c r="AD87" s="1141"/>
      <c r="AE87" s="1141" t="s">
        <v>4162</v>
      </c>
      <c r="AF87" s="1141"/>
      <c r="AG87" s="1141" t="s">
        <v>4164</v>
      </c>
      <c r="AH87" s="1141"/>
      <c r="AI87" s="1141" t="s">
        <v>4163</v>
      </c>
      <c r="AJ87" s="1141"/>
      <c r="AK87" s="1141" t="s">
        <v>4170</v>
      </c>
      <c r="AL87" s="1141"/>
      <c r="AM87" s="1141" t="s">
        <v>4166</v>
      </c>
      <c r="AN87" s="1141"/>
      <c r="AO87" s="1141" t="s">
        <v>4168</v>
      </c>
      <c r="AP87" s="1141"/>
      <c r="AQ87" s="1141" t="s">
        <v>4578</v>
      </c>
      <c r="AR87" s="1141"/>
      <c r="AS87" s="1141" t="s">
        <v>4579</v>
      </c>
      <c r="AT87" s="1141"/>
      <c r="AU87" s="1141" t="s">
        <v>4169</v>
      </c>
      <c r="AV87" s="1141"/>
      <c r="AW87" s="1236" t="s">
        <v>4174</v>
      </c>
      <c r="AX87" s="1237"/>
      <c r="AY87" s="1238"/>
    </row>
    <row r="88" spans="1:51" s="107" customFormat="1" ht="37.75" customHeight="1" x14ac:dyDescent="0.2">
      <c r="A88" s="967"/>
      <c r="B88" s="1053" t="s">
        <v>3271</v>
      </c>
      <c r="C88" s="1340"/>
      <c r="D88" s="1054"/>
      <c r="E88" s="1036" t="s">
        <v>3272</v>
      </c>
      <c r="F88" s="1036"/>
      <c r="G88" s="1036"/>
      <c r="H88" s="1036" t="s">
        <v>3577</v>
      </c>
      <c r="I88" s="1036"/>
      <c r="J88" s="1036" t="s">
        <v>3578</v>
      </c>
      <c r="K88" s="1036"/>
      <c r="L88" s="1053" t="s">
        <v>3579</v>
      </c>
      <c r="M88" s="1340"/>
      <c r="N88" s="1054"/>
      <c r="O88" s="1036" t="s">
        <v>4317</v>
      </c>
      <c r="P88" s="1036"/>
      <c r="Q88" s="1053" t="s">
        <v>4580</v>
      </c>
      <c r="R88" s="1340"/>
      <c r="S88" s="1054"/>
      <c r="T88" s="1036" t="s">
        <v>4175</v>
      </c>
      <c r="U88" s="1036"/>
      <c r="V88" s="1341" t="s">
        <v>4581</v>
      </c>
      <c r="W88" s="1342"/>
      <c r="X88" s="1341" t="s">
        <v>4582</v>
      </c>
      <c r="Y88" s="1342"/>
      <c r="Z88" s="977" t="s">
        <v>3276</v>
      </c>
      <c r="AA88" s="977"/>
      <c r="AB88" s="977"/>
      <c r="AC88" s="1141"/>
      <c r="AD88" s="1141"/>
      <c r="AE88" s="1141"/>
      <c r="AF88" s="1141"/>
      <c r="AG88" s="1141"/>
      <c r="AH88" s="1141"/>
      <c r="AI88" s="1141"/>
      <c r="AJ88" s="1141"/>
      <c r="AK88" s="1141"/>
      <c r="AL88" s="1141"/>
      <c r="AM88" s="1141"/>
      <c r="AN88" s="1141"/>
      <c r="AO88" s="1141"/>
      <c r="AP88" s="1141"/>
      <c r="AQ88" s="1141"/>
      <c r="AR88" s="1141"/>
      <c r="AS88" s="1141"/>
      <c r="AT88" s="1141"/>
      <c r="AU88" s="1141"/>
      <c r="AV88" s="1141"/>
      <c r="AW88" s="1239"/>
      <c r="AX88" s="1240"/>
      <c r="AY88" s="1241"/>
    </row>
    <row r="89" spans="1:51" s="107" customFormat="1" x14ac:dyDescent="0.2">
      <c r="A89" s="967"/>
      <c r="B89" s="1037" t="s">
        <v>4177</v>
      </c>
      <c r="C89" s="1053" t="s">
        <v>3374</v>
      </c>
      <c r="D89" s="1054"/>
      <c r="E89" s="1037" t="s">
        <v>4177</v>
      </c>
      <c r="F89" s="1036" t="s">
        <v>3374</v>
      </c>
      <c r="G89" s="1036"/>
      <c r="H89" s="1037" t="s">
        <v>4177</v>
      </c>
      <c r="I89" s="1037" t="s">
        <v>3374</v>
      </c>
      <c r="J89" s="1037" t="s">
        <v>4177</v>
      </c>
      <c r="K89" s="1037" t="s">
        <v>3374</v>
      </c>
      <c r="L89" s="1037" t="s">
        <v>4177</v>
      </c>
      <c r="M89" s="1053" t="s">
        <v>3374</v>
      </c>
      <c r="N89" s="1054"/>
      <c r="O89" s="1037" t="s">
        <v>4177</v>
      </c>
      <c r="P89" s="1037" t="s">
        <v>3374</v>
      </c>
      <c r="Q89" s="1037" t="s">
        <v>4177</v>
      </c>
      <c r="R89" s="1053" t="s">
        <v>3374</v>
      </c>
      <c r="S89" s="1054"/>
      <c r="T89" s="1037" t="s">
        <v>4177</v>
      </c>
      <c r="U89" s="1037" t="s">
        <v>3374</v>
      </c>
      <c r="V89" s="1037" t="s">
        <v>4177</v>
      </c>
      <c r="W89" s="1037" t="s">
        <v>3374</v>
      </c>
      <c r="X89" s="1037" t="s">
        <v>4177</v>
      </c>
      <c r="Y89" s="1037" t="s">
        <v>3374</v>
      </c>
      <c r="Z89" s="1037" t="s">
        <v>4177</v>
      </c>
      <c r="AA89" s="1036" t="s">
        <v>3374</v>
      </c>
      <c r="AB89" s="1036"/>
      <c r="AC89" s="1037" t="s">
        <v>4177</v>
      </c>
      <c r="AD89" s="1037" t="s">
        <v>3374</v>
      </c>
      <c r="AE89" s="1037" t="s">
        <v>4177</v>
      </c>
      <c r="AF89" s="1037" t="s">
        <v>3374</v>
      </c>
      <c r="AG89" s="1037" t="s">
        <v>4177</v>
      </c>
      <c r="AH89" s="1037" t="s">
        <v>3374</v>
      </c>
      <c r="AI89" s="1037" t="s">
        <v>4177</v>
      </c>
      <c r="AJ89" s="1037" t="s">
        <v>3374</v>
      </c>
      <c r="AK89" s="1037" t="s">
        <v>4177</v>
      </c>
      <c r="AL89" s="1037" t="s">
        <v>3374</v>
      </c>
      <c r="AM89" s="1037" t="s">
        <v>4177</v>
      </c>
      <c r="AN89" s="1037" t="s">
        <v>3374</v>
      </c>
      <c r="AO89" s="1037" t="s">
        <v>4177</v>
      </c>
      <c r="AP89" s="1037" t="s">
        <v>3374</v>
      </c>
      <c r="AQ89" s="1037" t="s">
        <v>4177</v>
      </c>
      <c r="AR89" s="1037" t="s">
        <v>3374</v>
      </c>
      <c r="AS89" s="1037" t="s">
        <v>4177</v>
      </c>
      <c r="AT89" s="1037" t="s">
        <v>3374</v>
      </c>
      <c r="AU89" s="1037" t="s">
        <v>4177</v>
      </c>
      <c r="AV89" s="1037" t="s">
        <v>3374</v>
      </c>
      <c r="AW89" s="1037" t="s">
        <v>4177</v>
      </c>
      <c r="AX89" s="1053" t="s">
        <v>3374</v>
      </c>
      <c r="AY89" s="1054"/>
    </row>
    <row r="90" spans="1:51" s="107" customFormat="1" x14ac:dyDescent="0.2">
      <c r="A90" s="1070" t="s">
        <v>3506</v>
      </c>
      <c r="B90" s="240">
        <v>18124</v>
      </c>
      <c r="C90" s="318">
        <v>82</v>
      </c>
      <c r="D90" s="241">
        <v>0.5</v>
      </c>
      <c r="E90" s="309">
        <v>394850</v>
      </c>
      <c r="F90" s="309">
        <v>4</v>
      </c>
      <c r="G90" s="310">
        <v>0.5</v>
      </c>
      <c r="H90" s="240">
        <v>557116</v>
      </c>
      <c r="I90" s="513">
        <v>70</v>
      </c>
      <c r="J90" s="240">
        <v>827675</v>
      </c>
      <c r="K90" s="513">
        <v>80</v>
      </c>
      <c r="L90" s="616">
        <v>1729784</v>
      </c>
      <c r="M90" s="617"/>
      <c r="N90" s="513">
        <v>33</v>
      </c>
      <c r="O90" s="240">
        <v>44171</v>
      </c>
      <c r="P90" s="513">
        <v>40</v>
      </c>
      <c r="Q90" s="240">
        <v>153191</v>
      </c>
      <c r="R90" s="318">
        <v>97</v>
      </c>
      <c r="S90" s="241">
        <v>0.5</v>
      </c>
      <c r="T90" s="240">
        <v>43866</v>
      </c>
      <c r="U90" s="513">
        <v>20</v>
      </c>
      <c r="V90" s="318">
        <v>34260</v>
      </c>
      <c r="W90" s="318">
        <v>10</v>
      </c>
      <c r="X90" s="240">
        <v>3599</v>
      </c>
      <c r="Y90" s="513">
        <v>65</v>
      </c>
      <c r="Z90" s="309">
        <v>3799391</v>
      </c>
      <c r="AA90" s="309">
        <v>72</v>
      </c>
      <c r="AB90" s="310">
        <v>0.5</v>
      </c>
      <c r="AC90" s="240">
        <v>11938</v>
      </c>
      <c r="AD90" s="513">
        <v>70</v>
      </c>
      <c r="AE90" s="240">
        <v>7741</v>
      </c>
      <c r="AF90" s="513">
        <v>90</v>
      </c>
      <c r="AG90" s="240">
        <v>714</v>
      </c>
      <c r="AH90" s="513">
        <v>80</v>
      </c>
      <c r="AI90" s="240">
        <v>168</v>
      </c>
      <c r="AJ90" s="513">
        <v>50</v>
      </c>
      <c r="AK90" s="240">
        <v>141</v>
      </c>
      <c r="AL90" s="513"/>
      <c r="AM90" s="240">
        <v>78</v>
      </c>
      <c r="AN90" s="513">
        <v>65</v>
      </c>
      <c r="AO90" s="240">
        <v>363</v>
      </c>
      <c r="AP90" s="513">
        <v>80</v>
      </c>
      <c r="AQ90" s="240">
        <v>464</v>
      </c>
      <c r="AR90" s="513">
        <v>40</v>
      </c>
      <c r="AS90" s="240">
        <v>5671</v>
      </c>
      <c r="AT90" s="513">
        <v>65</v>
      </c>
      <c r="AU90" s="240">
        <v>177</v>
      </c>
      <c r="AV90" s="513">
        <v>85</v>
      </c>
      <c r="AW90" s="240">
        <v>3826852</v>
      </c>
      <c r="AX90" s="318">
        <v>77</v>
      </c>
      <c r="AY90" s="241">
        <v>0.5</v>
      </c>
    </row>
    <row r="91" spans="1:51" s="107" customFormat="1" x14ac:dyDescent="0.2"/>
    <row r="92" spans="1:51" s="107" customFormat="1" x14ac:dyDescent="0.2"/>
    <row r="93" spans="1:51" s="107" customFormat="1" x14ac:dyDescent="0.2"/>
    <row r="94" spans="1:51" s="107" customFormat="1" x14ac:dyDescent="0.2">
      <c r="A94" s="526" t="s">
        <v>1374</v>
      </c>
    </row>
    <row r="95" spans="1:51" s="1343" customFormat="1" ht="31.75" customHeight="1" x14ac:dyDescent="0.15">
      <c r="A95" s="1319" t="s">
        <v>4583</v>
      </c>
      <c r="B95" s="1320"/>
      <c r="C95" s="1320"/>
      <c r="D95" s="1320"/>
      <c r="E95" s="1320"/>
      <c r="F95" s="1320"/>
      <c r="G95" s="1320"/>
      <c r="H95" s="1320"/>
      <c r="I95" s="1320"/>
      <c r="J95" s="1320"/>
      <c r="K95" s="1320"/>
      <c r="L95" s="1320"/>
      <c r="M95" s="1320"/>
      <c r="N95" s="1320"/>
      <c r="O95" s="1320"/>
      <c r="P95" s="1320"/>
      <c r="Q95" s="1320"/>
      <c r="R95" s="1320"/>
      <c r="S95" s="1320"/>
      <c r="T95" s="1320"/>
      <c r="U95" s="1320"/>
      <c r="V95" s="1320"/>
      <c r="W95" s="1320"/>
      <c r="X95" s="1320"/>
      <c r="Y95" s="1320"/>
      <c r="Z95" s="1320"/>
      <c r="AA95" s="1320"/>
      <c r="AB95" s="1320"/>
      <c r="AC95" s="1320"/>
      <c r="AD95" s="1320"/>
      <c r="AE95" s="1320"/>
      <c r="AF95" s="1320"/>
      <c r="AG95" s="1320"/>
      <c r="AH95" s="1320"/>
      <c r="AI95" s="1320"/>
      <c r="AJ95" s="1320"/>
      <c r="AK95" s="1320"/>
      <c r="AL95" s="1320"/>
      <c r="AM95" s="1320"/>
      <c r="AN95" s="1320"/>
      <c r="AO95" s="1320"/>
      <c r="AP95" s="1320"/>
      <c r="AQ95" s="1320"/>
      <c r="AR95" s="1320"/>
      <c r="AS95" s="1320"/>
      <c r="AT95" s="1320"/>
      <c r="AU95" s="1320"/>
      <c r="AV95" s="1320"/>
      <c r="AW95" s="1320"/>
      <c r="AX95" s="1321"/>
    </row>
    <row r="96" spans="1:51" s="1343" customFormat="1" ht="14.5" customHeight="1" x14ac:dyDescent="0.15">
      <c r="A96" s="967"/>
      <c r="B96" s="967" t="s">
        <v>4584</v>
      </c>
      <c r="C96" s="967"/>
      <c r="D96" s="967"/>
      <c r="E96" s="967"/>
      <c r="F96" s="967"/>
      <c r="G96" s="967"/>
      <c r="H96" s="967"/>
      <c r="I96" s="967"/>
      <c r="J96" s="967"/>
      <c r="K96" s="967"/>
      <c r="L96" s="608" t="s">
        <v>4585</v>
      </c>
      <c r="M96" s="778"/>
      <c r="N96" s="778"/>
      <c r="O96" s="778"/>
      <c r="P96" s="778"/>
      <c r="Q96" s="778"/>
      <c r="R96" s="778"/>
      <c r="S96" s="778"/>
      <c r="T96" s="778"/>
      <c r="U96" s="778"/>
      <c r="V96" s="778"/>
      <c r="W96" s="778"/>
      <c r="X96" s="778"/>
      <c r="Y96" s="778"/>
      <c r="Z96" s="778"/>
      <c r="AA96" s="778"/>
      <c r="AB96" s="778"/>
      <c r="AC96" s="778"/>
      <c r="AD96" s="778"/>
      <c r="AE96" s="778"/>
      <c r="AF96" s="778"/>
      <c r="AG96" s="778"/>
      <c r="AH96" s="778"/>
      <c r="AI96" s="778"/>
      <c r="AJ96" s="778"/>
      <c r="AK96" s="778"/>
      <c r="AL96" s="778"/>
      <c r="AM96" s="778"/>
      <c r="AN96" s="778"/>
      <c r="AO96" s="609"/>
      <c r="AP96" s="967" t="s">
        <v>4586</v>
      </c>
      <c r="AQ96" s="967"/>
      <c r="AR96" s="967"/>
      <c r="AS96" s="967"/>
      <c r="AT96" s="1276" t="s">
        <v>4280</v>
      </c>
      <c r="AU96" s="1276"/>
      <c r="AV96" s="1276" t="s">
        <v>4587</v>
      </c>
      <c r="AW96" s="1276"/>
      <c r="AX96" s="1276"/>
    </row>
    <row r="97" spans="1:51" s="1345" customFormat="1" ht="25.25" customHeight="1" x14ac:dyDescent="0.15">
      <c r="A97" s="967"/>
      <c r="B97" s="1344" t="s">
        <v>4588</v>
      </c>
      <c r="C97" s="1344"/>
      <c r="D97" s="1344" t="s">
        <v>4589</v>
      </c>
      <c r="E97" s="1344"/>
      <c r="F97" s="1344" t="s">
        <v>4590</v>
      </c>
      <c r="G97" s="1344"/>
      <c r="H97" s="1344" t="s">
        <v>4591</v>
      </c>
      <c r="I97" s="1344"/>
      <c r="J97" s="1344" t="s">
        <v>3276</v>
      </c>
      <c r="K97" s="1344"/>
      <c r="L97" s="1141" t="s">
        <v>4124</v>
      </c>
      <c r="M97" s="1141"/>
      <c r="N97" s="1141"/>
      <c r="O97" s="1141"/>
      <c r="P97" s="1141" t="s">
        <v>4125</v>
      </c>
      <c r="Q97" s="1141"/>
      <c r="R97" s="1141"/>
      <c r="S97" s="1141"/>
      <c r="T97" s="1141"/>
      <c r="U97" s="1141"/>
      <c r="V97" s="1141" t="s">
        <v>4592</v>
      </c>
      <c r="W97" s="1141"/>
      <c r="X97" s="1141"/>
      <c r="Y97" s="1141"/>
      <c r="Z97" s="1141" t="s">
        <v>4593</v>
      </c>
      <c r="AA97" s="1141"/>
      <c r="AB97" s="1141"/>
      <c r="AC97" s="1141"/>
      <c r="AD97" s="1141" t="s">
        <v>4594</v>
      </c>
      <c r="AE97" s="1141"/>
      <c r="AF97" s="1141"/>
      <c r="AG97" s="1141"/>
      <c r="AH97" s="1344" t="s">
        <v>4595</v>
      </c>
      <c r="AI97" s="1344"/>
      <c r="AJ97" s="1141" t="s">
        <v>4126</v>
      </c>
      <c r="AK97" s="1141"/>
      <c r="AL97" s="1141"/>
      <c r="AM97" s="1141"/>
      <c r="AN97" s="1141"/>
      <c r="AO97" s="1141"/>
      <c r="AP97" s="1344" t="s">
        <v>4596</v>
      </c>
      <c r="AQ97" s="1344"/>
      <c r="AR97" s="1344" t="s">
        <v>4597</v>
      </c>
      <c r="AS97" s="1344"/>
      <c r="AT97" s="1276"/>
      <c r="AU97" s="1276"/>
      <c r="AV97" s="1276"/>
      <c r="AW97" s="1276"/>
      <c r="AX97" s="1276"/>
    </row>
    <row r="98" spans="1:51" s="1345" customFormat="1" ht="36" customHeight="1" x14ac:dyDescent="0.15">
      <c r="A98" s="967"/>
      <c r="B98" s="1344"/>
      <c r="C98" s="1344"/>
      <c r="D98" s="1344"/>
      <c r="E98" s="1344"/>
      <c r="F98" s="1344"/>
      <c r="G98" s="1344"/>
      <c r="H98" s="1344"/>
      <c r="I98" s="1344"/>
      <c r="J98" s="1344"/>
      <c r="K98" s="1344"/>
      <c r="L98" s="1344" t="s">
        <v>4127</v>
      </c>
      <c r="M98" s="1344"/>
      <c r="N98" s="1344" t="s">
        <v>4598</v>
      </c>
      <c r="O98" s="1344"/>
      <c r="P98" s="1344" t="s">
        <v>4127</v>
      </c>
      <c r="Q98" s="1344"/>
      <c r="R98" s="1344"/>
      <c r="S98" s="1344" t="s">
        <v>4598</v>
      </c>
      <c r="T98" s="1344"/>
      <c r="U98" s="1344"/>
      <c r="V98" s="1344" t="s">
        <v>4127</v>
      </c>
      <c r="W98" s="1344"/>
      <c r="X98" s="1344" t="s">
        <v>4598</v>
      </c>
      <c r="Y98" s="1344"/>
      <c r="Z98" s="1344" t="s">
        <v>4127</v>
      </c>
      <c r="AA98" s="1344"/>
      <c r="AB98" s="1344" t="s">
        <v>4598</v>
      </c>
      <c r="AC98" s="1344"/>
      <c r="AD98" s="1344" t="s">
        <v>4127</v>
      </c>
      <c r="AE98" s="1344"/>
      <c r="AF98" s="1344" t="s">
        <v>4598</v>
      </c>
      <c r="AG98" s="1344"/>
      <c r="AH98" s="1344"/>
      <c r="AI98" s="1344"/>
      <c r="AJ98" s="1344" t="s">
        <v>4127</v>
      </c>
      <c r="AK98" s="1344"/>
      <c r="AL98" s="1344"/>
      <c r="AM98" s="1344" t="s">
        <v>4598</v>
      </c>
      <c r="AN98" s="1344"/>
      <c r="AO98" s="1344"/>
      <c r="AP98" s="1344"/>
      <c r="AQ98" s="1344"/>
      <c r="AR98" s="1344"/>
      <c r="AS98" s="1344"/>
      <c r="AT98" s="1276"/>
      <c r="AU98" s="1276"/>
      <c r="AV98" s="1276"/>
      <c r="AW98" s="1276"/>
      <c r="AX98" s="1276"/>
    </row>
    <row r="99" spans="1:51" s="1345" customFormat="1" ht="16.25" customHeight="1" x14ac:dyDescent="0.15">
      <c r="A99" s="1346"/>
      <c r="B99" s="1347" t="s">
        <v>3488</v>
      </c>
      <c r="C99" s="1347" t="s">
        <v>3374</v>
      </c>
      <c r="D99" s="1347" t="s">
        <v>3488</v>
      </c>
      <c r="E99" s="1347" t="s">
        <v>3374</v>
      </c>
      <c r="F99" s="1347" t="s">
        <v>3488</v>
      </c>
      <c r="G99" s="1347" t="s">
        <v>3374</v>
      </c>
      <c r="H99" s="1347" t="s">
        <v>3488</v>
      </c>
      <c r="I99" s="1347" t="s">
        <v>3374</v>
      </c>
      <c r="J99" s="1347" t="s">
        <v>3488</v>
      </c>
      <c r="K99" s="1347" t="s">
        <v>3374</v>
      </c>
      <c r="L99" s="1347" t="s">
        <v>3488</v>
      </c>
      <c r="M99" s="1347" t="s">
        <v>3374</v>
      </c>
      <c r="N99" s="1347" t="s">
        <v>3488</v>
      </c>
      <c r="O99" s="1347" t="s">
        <v>3374</v>
      </c>
      <c r="P99" s="1347" t="s">
        <v>3488</v>
      </c>
      <c r="Q99" s="1348" t="s">
        <v>3374</v>
      </c>
      <c r="R99" s="1349"/>
      <c r="S99" s="1347" t="s">
        <v>3488</v>
      </c>
      <c r="T99" s="1348" t="s">
        <v>3374</v>
      </c>
      <c r="U99" s="1349"/>
      <c r="V99" s="1347" t="s">
        <v>3488</v>
      </c>
      <c r="W99" s="1347" t="s">
        <v>3374</v>
      </c>
      <c r="X99" s="1347" t="s">
        <v>3488</v>
      </c>
      <c r="Y99" s="1347" t="s">
        <v>3374</v>
      </c>
      <c r="Z99" s="1347" t="s">
        <v>3488</v>
      </c>
      <c r="AA99" s="1347" t="s">
        <v>3374</v>
      </c>
      <c r="AB99" s="1347" t="s">
        <v>3488</v>
      </c>
      <c r="AC99" s="1347" t="s">
        <v>3374</v>
      </c>
      <c r="AD99" s="1347" t="s">
        <v>3488</v>
      </c>
      <c r="AE99" s="1347" t="s">
        <v>3374</v>
      </c>
      <c r="AF99" s="1347" t="s">
        <v>3488</v>
      </c>
      <c r="AG99" s="1347" t="s">
        <v>3374</v>
      </c>
      <c r="AH99" s="1347" t="s">
        <v>3488</v>
      </c>
      <c r="AI99" s="1347" t="s">
        <v>3374</v>
      </c>
      <c r="AJ99" s="1347" t="s">
        <v>3488</v>
      </c>
      <c r="AK99" s="1348" t="s">
        <v>3374</v>
      </c>
      <c r="AL99" s="1349"/>
      <c r="AM99" s="1347" t="s">
        <v>3488</v>
      </c>
      <c r="AN99" s="1350" t="s">
        <v>3374</v>
      </c>
      <c r="AO99" s="1351"/>
      <c r="AP99" s="1347" t="s">
        <v>3488</v>
      </c>
      <c r="AQ99" s="1347" t="s">
        <v>3374</v>
      </c>
      <c r="AR99" s="1347" t="s">
        <v>3488</v>
      </c>
      <c r="AS99" s="1347" t="s">
        <v>3374</v>
      </c>
      <c r="AT99" s="1347" t="s">
        <v>3488</v>
      </c>
      <c r="AU99" s="1347" t="s">
        <v>3374</v>
      </c>
      <c r="AV99" s="1347" t="s">
        <v>3488</v>
      </c>
      <c r="AW99" s="1348" t="s">
        <v>3374</v>
      </c>
      <c r="AX99" s="1349"/>
    </row>
    <row r="100" spans="1:51" s="107" customFormat="1" x14ac:dyDescent="0.2">
      <c r="A100" s="794" t="s">
        <v>4599</v>
      </c>
      <c r="B100" s="240">
        <v>2040</v>
      </c>
      <c r="C100" s="513">
        <v>45</v>
      </c>
      <c r="D100" s="1352">
        <v>1837</v>
      </c>
      <c r="E100" s="309">
        <v>75</v>
      </c>
      <c r="F100" s="240">
        <v>2310</v>
      </c>
      <c r="G100" s="513">
        <v>35</v>
      </c>
      <c r="H100" s="309">
        <v>2255</v>
      </c>
      <c r="I100" s="309">
        <v>80</v>
      </c>
      <c r="J100" s="240">
        <v>8444</v>
      </c>
      <c r="K100" s="513">
        <v>35</v>
      </c>
      <c r="L100" s="309">
        <v>63623</v>
      </c>
      <c r="M100" s="309">
        <v>30</v>
      </c>
      <c r="N100" s="240">
        <v>14692</v>
      </c>
      <c r="O100" s="513">
        <v>30</v>
      </c>
      <c r="P100" s="616">
        <v>104764</v>
      </c>
      <c r="Q100" s="617"/>
      <c r="R100" s="364">
        <v>50</v>
      </c>
      <c r="S100" s="240">
        <v>23410</v>
      </c>
      <c r="T100" s="318">
        <v>72</v>
      </c>
      <c r="U100" s="241">
        <v>0.5</v>
      </c>
      <c r="V100" s="309">
        <v>1237</v>
      </c>
      <c r="W100" s="309"/>
      <c r="X100" s="240">
        <v>167</v>
      </c>
      <c r="Y100" s="513">
        <v>50</v>
      </c>
      <c r="Z100" s="309">
        <v>672</v>
      </c>
      <c r="AA100" s="309"/>
      <c r="AB100" s="240">
        <v>143</v>
      </c>
      <c r="AC100" s="513"/>
      <c r="AD100" s="309">
        <v>2396</v>
      </c>
      <c r="AE100" s="309">
        <v>60</v>
      </c>
      <c r="AF100" s="240">
        <v>332</v>
      </c>
      <c r="AG100" s="513">
        <v>50</v>
      </c>
      <c r="AH100" s="309">
        <v>2194</v>
      </c>
      <c r="AI100" s="309">
        <v>55</v>
      </c>
      <c r="AJ100" s="240">
        <v>174887</v>
      </c>
      <c r="AK100" s="318">
        <v>95</v>
      </c>
      <c r="AL100" s="513"/>
      <c r="AM100" s="309">
        <v>38746</v>
      </c>
      <c r="AN100" s="309">
        <v>2</v>
      </c>
      <c r="AO100" s="241">
        <v>0.5</v>
      </c>
      <c r="AP100" s="240">
        <v>835</v>
      </c>
      <c r="AQ100" s="513">
        <v>35</v>
      </c>
      <c r="AR100" s="309">
        <v>4037</v>
      </c>
      <c r="AS100" s="309">
        <v>95</v>
      </c>
      <c r="AT100" s="240">
        <v>6293</v>
      </c>
      <c r="AU100" s="513">
        <v>35</v>
      </c>
      <c r="AV100" s="309">
        <v>233248</v>
      </c>
      <c r="AW100" s="309">
        <v>17</v>
      </c>
      <c r="AX100" s="364">
        <v>0.5</v>
      </c>
    </row>
    <row r="101" spans="1:51" s="107" customFormat="1" x14ac:dyDescent="0.2"/>
    <row r="102" spans="1:51" s="107" customFormat="1" x14ac:dyDescent="0.2"/>
    <row r="103" spans="1:51" s="107" customFormat="1" x14ac:dyDescent="0.2"/>
    <row r="104" spans="1:51" s="107" customFormat="1" x14ac:dyDescent="0.2">
      <c r="A104" s="526" t="s">
        <v>1934</v>
      </c>
    </row>
    <row r="105" spans="1:51" s="107" customFormat="1" ht="30.5" customHeight="1" x14ac:dyDescent="0.2">
      <c r="A105" s="953" t="s">
        <v>4600</v>
      </c>
      <c r="B105" s="954"/>
      <c r="C105" s="954"/>
      <c r="D105" s="954"/>
      <c r="E105" s="954"/>
      <c r="F105" s="954"/>
      <c r="G105" s="954"/>
      <c r="H105" s="954"/>
      <c r="I105" s="954"/>
      <c r="J105" s="954"/>
      <c r="K105" s="954"/>
      <c r="L105" s="954"/>
      <c r="M105" s="954"/>
      <c r="N105" s="954"/>
      <c r="O105" s="954"/>
      <c r="P105" s="954"/>
      <c r="Q105" s="954"/>
      <c r="R105" s="954"/>
      <c r="S105" s="954"/>
      <c r="T105" s="954"/>
      <c r="U105" s="954"/>
      <c r="V105" s="954"/>
      <c r="W105" s="954"/>
      <c r="X105" s="954"/>
      <c r="Y105" s="954"/>
      <c r="Z105" s="954"/>
      <c r="AA105" s="954"/>
      <c r="AB105" s="954"/>
      <c r="AC105" s="954"/>
      <c r="AD105" s="954"/>
      <c r="AE105" s="954"/>
      <c r="AF105" s="954"/>
      <c r="AG105" s="954"/>
      <c r="AH105" s="954"/>
      <c r="AI105" s="954"/>
      <c r="AJ105" s="954"/>
      <c r="AK105" s="954"/>
      <c r="AL105" s="954"/>
      <c r="AM105" s="954"/>
      <c r="AN105" s="954"/>
      <c r="AO105" s="954"/>
      <c r="AP105" s="954"/>
      <c r="AQ105" s="954"/>
      <c r="AR105" s="954"/>
      <c r="AS105" s="954"/>
      <c r="AT105" s="954"/>
      <c r="AU105" s="954"/>
      <c r="AV105" s="954"/>
      <c r="AW105" s="954"/>
      <c r="AX105" s="954"/>
      <c r="AY105" s="955"/>
    </row>
    <row r="106" spans="1:51" s="107" customFormat="1" ht="24" customHeight="1" x14ac:dyDescent="0.2">
      <c r="A106" s="967" t="s">
        <v>3254</v>
      </c>
      <c r="B106" s="617" t="s">
        <v>3255</v>
      </c>
      <c r="C106" s="617"/>
      <c r="D106" s="617"/>
      <c r="E106" s="617"/>
      <c r="F106" s="617"/>
      <c r="G106" s="617"/>
      <c r="H106" s="617"/>
      <c r="I106" s="617"/>
      <c r="J106" s="617"/>
      <c r="K106" s="617"/>
      <c r="L106" s="617"/>
      <c r="M106" s="617"/>
      <c r="N106" s="617"/>
      <c r="O106" s="617"/>
      <c r="P106" s="617"/>
      <c r="Q106" s="617"/>
      <c r="R106" s="617"/>
      <c r="S106" s="617"/>
      <c r="T106" s="617"/>
      <c r="U106" s="617"/>
      <c r="V106" s="617"/>
      <c r="W106" s="617"/>
      <c r="X106" s="617"/>
      <c r="Y106" s="617"/>
      <c r="Z106" s="617"/>
      <c r="AA106" s="617"/>
      <c r="AB106" s="618"/>
      <c r="AC106" s="1141" t="s">
        <v>4161</v>
      </c>
      <c r="AD106" s="1141"/>
      <c r="AE106" s="1141" t="s">
        <v>4162</v>
      </c>
      <c r="AF106" s="1141"/>
      <c r="AG106" s="1141" t="s">
        <v>4164</v>
      </c>
      <c r="AH106" s="1141"/>
      <c r="AI106" s="1141" t="s">
        <v>4163</v>
      </c>
      <c r="AJ106" s="1141"/>
      <c r="AK106" s="1141" t="s">
        <v>4170</v>
      </c>
      <c r="AL106" s="1141"/>
      <c r="AM106" s="1141" t="s">
        <v>4166</v>
      </c>
      <c r="AN106" s="1141"/>
      <c r="AO106" s="1141" t="s">
        <v>4168</v>
      </c>
      <c r="AP106" s="1141"/>
      <c r="AQ106" s="1141" t="s">
        <v>4578</v>
      </c>
      <c r="AR106" s="1141"/>
      <c r="AS106" s="1141" t="s">
        <v>4579</v>
      </c>
      <c r="AT106" s="1141"/>
      <c r="AU106" s="1141" t="s">
        <v>4169</v>
      </c>
      <c r="AV106" s="1141"/>
      <c r="AW106" s="1236" t="s">
        <v>4174</v>
      </c>
      <c r="AX106" s="1237"/>
      <c r="AY106" s="1238"/>
    </row>
    <row r="107" spans="1:51" s="107" customFormat="1" ht="25.75" customHeight="1" x14ac:dyDescent="0.2">
      <c r="A107" s="967"/>
      <c r="B107" s="1340" t="s">
        <v>3271</v>
      </c>
      <c r="C107" s="1340"/>
      <c r="D107" s="1054"/>
      <c r="E107" s="1036" t="s">
        <v>3272</v>
      </c>
      <c r="F107" s="1036"/>
      <c r="G107" s="1036"/>
      <c r="H107" s="1036" t="s">
        <v>3577</v>
      </c>
      <c r="I107" s="1036"/>
      <c r="J107" s="1036" t="s">
        <v>3578</v>
      </c>
      <c r="K107" s="1036"/>
      <c r="L107" s="1053" t="s">
        <v>3579</v>
      </c>
      <c r="M107" s="1340"/>
      <c r="N107" s="1054"/>
      <c r="O107" s="1036" t="s">
        <v>4317</v>
      </c>
      <c r="P107" s="1036"/>
      <c r="Q107" s="1053" t="s">
        <v>4580</v>
      </c>
      <c r="R107" s="1340"/>
      <c r="S107" s="1054"/>
      <c r="T107" s="1036" t="s">
        <v>4175</v>
      </c>
      <c r="U107" s="1036"/>
      <c r="V107" s="1341" t="s">
        <v>4581</v>
      </c>
      <c r="W107" s="1342"/>
      <c r="X107" s="1341" t="s">
        <v>4582</v>
      </c>
      <c r="Y107" s="1342"/>
      <c r="Z107" s="977" t="s">
        <v>3276</v>
      </c>
      <c r="AA107" s="977"/>
      <c r="AB107" s="977"/>
      <c r="AC107" s="1141"/>
      <c r="AD107" s="1141"/>
      <c r="AE107" s="1141"/>
      <c r="AF107" s="1141"/>
      <c r="AG107" s="1141"/>
      <c r="AH107" s="1141"/>
      <c r="AI107" s="1141"/>
      <c r="AJ107" s="1141"/>
      <c r="AK107" s="1141"/>
      <c r="AL107" s="1141"/>
      <c r="AM107" s="1141"/>
      <c r="AN107" s="1141"/>
      <c r="AO107" s="1141"/>
      <c r="AP107" s="1141"/>
      <c r="AQ107" s="1141"/>
      <c r="AR107" s="1141"/>
      <c r="AS107" s="1141"/>
      <c r="AT107" s="1141"/>
      <c r="AU107" s="1141"/>
      <c r="AV107" s="1141"/>
      <c r="AW107" s="1239"/>
      <c r="AX107" s="1240"/>
      <c r="AY107" s="1241"/>
    </row>
    <row r="108" spans="1:51" s="107" customFormat="1" ht="25.25" customHeight="1" x14ac:dyDescent="0.2">
      <c r="A108" s="967"/>
      <c r="B108" s="1353" t="s">
        <v>4177</v>
      </c>
      <c r="C108" s="1053" t="s">
        <v>3374</v>
      </c>
      <c r="D108" s="1054"/>
      <c r="E108" s="1037" t="s">
        <v>4177</v>
      </c>
      <c r="F108" s="1036" t="s">
        <v>3374</v>
      </c>
      <c r="G108" s="1036"/>
      <c r="H108" s="1037" t="s">
        <v>4177</v>
      </c>
      <c r="I108" s="1037" t="s">
        <v>3374</v>
      </c>
      <c r="J108" s="1037" t="s">
        <v>4177</v>
      </c>
      <c r="K108" s="1037" t="s">
        <v>3374</v>
      </c>
      <c r="L108" s="1037" t="s">
        <v>4177</v>
      </c>
      <c r="M108" s="1053" t="s">
        <v>3374</v>
      </c>
      <c r="N108" s="1054"/>
      <c r="O108" s="1037" t="s">
        <v>4177</v>
      </c>
      <c r="P108" s="1037" t="s">
        <v>3374</v>
      </c>
      <c r="Q108" s="1037" t="s">
        <v>4177</v>
      </c>
      <c r="R108" s="1053" t="s">
        <v>3374</v>
      </c>
      <c r="S108" s="1054"/>
      <c r="T108" s="1037" t="s">
        <v>4177</v>
      </c>
      <c r="U108" s="1037" t="s">
        <v>3374</v>
      </c>
      <c r="V108" s="1037" t="s">
        <v>4177</v>
      </c>
      <c r="W108" s="1037" t="s">
        <v>3374</v>
      </c>
      <c r="X108" s="1037" t="s">
        <v>4177</v>
      </c>
      <c r="Y108" s="1037" t="s">
        <v>3374</v>
      </c>
      <c r="Z108" s="1037" t="s">
        <v>4177</v>
      </c>
      <c r="AA108" s="1036" t="s">
        <v>3374</v>
      </c>
      <c r="AB108" s="1036"/>
      <c r="AC108" s="1037" t="s">
        <v>4177</v>
      </c>
      <c r="AD108" s="1037" t="s">
        <v>3374</v>
      </c>
      <c r="AE108" s="1037" t="s">
        <v>4177</v>
      </c>
      <c r="AF108" s="1037" t="s">
        <v>3374</v>
      </c>
      <c r="AG108" s="1037" t="s">
        <v>4177</v>
      </c>
      <c r="AH108" s="1037" t="s">
        <v>3374</v>
      </c>
      <c r="AI108" s="1037" t="s">
        <v>4177</v>
      </c>
      <c r="AJ108" s="1037" t="s">
        <v>3374</v>
      </c>
      <c r="AK108" s="1037" t="s">
        <v>4177</v>
      </c>
      <c r="AL108" s="1037" t="s">
        <v>3374</v>
      </c>
      <c r="AM108" s="1037" t="s">
        <v>4177</v>
      </c>
      <c r="AN108" s="1037" t="s">
        <v>3374</v>
      </c>
      <c r="AO108" s="1037" t="s">
        <v>4177</v>
      </c>
      <c r="AP108" s="1037" t="s">
        <v>3374</v>
      </c>
      <c r="AQ108" s="1037" t="s">
        <v>4177</v>
      </c>
      <c r="AR108" s="1037" t="s">
        <v>3374</v>
      </c>
      <c r="AS108" s="1037" t="s">
        <v>4177</v>
      </c>
      <c r="AT108" s="1037" t="s">
        <v>3374</v>
      </c>
      <c r="AU108" s="1037" t="s">
        <v>4177</v>
      </c>
      <c r="AV108" s="1037" t="s">
        <v>3374</v>
      </c>
      <c r="AW108" s="1037" t="s">
        <v>4177</v>
      </c>
      <c r="AX108" s="1053" t="s">
        <v>3374</v>
      </c>
      <c r="AY108" s="1054"/>
    </row>
    <row r="109" spans="1:51" s="107" customFormat="1" x14ac:dyDescent="0.2">
      <c r="A109" s="533" t="s">
        <v>3668</v>
      </c>
      <c r="B109" s="145">
        <v>10640</v>
      </c>
      <c r="C109" s="145">
        <v>70</v>
      </c>
      <c r="D109" s="180"/>
      <c r="E109" s="349">
        <v>220173</v>
      </c>
      <c r="F109" s="350">
        <v>5</v>
      </c>
      <c r="G109" s="352"/>
      <c r="H109" s="145">
        <v>329444</v>
      </c>
      <c r="I109" s="145">
        <v>25</v>
      </c>
      <c r="J109" s="349">
        <v>643981</v>
      </c>
      <c r="K109" s="717">
        <v>25</v>
      </c>
      <c r="L109" s="145">
        <v>1346043</v>
      </c>
      <c r="M109" s="145">
        <v>10</v>
      </c>
      <c r="N109" s="145"/>
      <c r="O109" s="349">
        <v>24</v>
      </c>
      <c r="P109" s="717">
        <v>80</v>
      </c>
      <c r="Q109" s="145">
        <v>119051</v>
      </c>
      <c r="R109" s="145">
        <v>35</v>
      </c>
      <c r="S109" s="180"/>
      <c r="T109" s="349">
        <v>48866</v>
      </c>
      <c r="U109" s="717">
        <v>20</v>
      </c>
      <c r="V109" s="145">
        <v>34260</v>
      </c>
      <c r="W109" s="145">
        <v>10</v>
      </c>
      <c r="X109" s="349"/>
      <c r="Y109" s="717"/>
      <c r="Z109" s="145">
        <v>2747484</v>
      </c>
      <c r="AA109" s="145">
        <v>80</v>
      </c>
      <c r="AB109" s="180"/>
      <c r="AC109" s="349">
        <v>8528</v>
      </c>
      <c r="AD109" s="717"/>
      <c r="AE109" s="145">
        <v>4081</v>
      </c>
      <c r="AF109" s="145">
        <v>75</v>
      </c>
      <c r="AG109" s="349"/>
      <c r="AH109" s="717"/>
      <c r="AI109" s="145"/>
      <c r="AJ109" s="145"/>
      <c r="AK109" s="349"/>
      <c r="AL109" s="717"/>
      <c r="AM109" s="145"/>
      <c r="AN109" s="145"/>
      <c r="AO109" s="349"/>
      <c r="AP109" s="717"/>
      <c r="AQ109" s="145"/>
      <c r="AR109" s="145"/>
      <c r="AS109" s="349">
        <v>1613</v>
      </c>
      <c r="AT109" s="717">
        <v>35</v>
      </c>
      <c r="AU109" s="145"/>
      <c r="AV109" s="145"/>
      <c r="AW109" s="349">
        <v>2761770</v>
      </c>
      <c r="AX109" s="350">
        <v>90</v>
      </c>
      <c r="AY109" s="133"/>
    </row>
    <row r="110" spans="1:51" s="107" customFormat="1" x14ac:dyDescent="0.2">
      <c r="A110" s="533" t="s">
        <v>1517</v>
      </c>
      <c r="B110" s="145">
        <v>252</v>
      </c>
      <c r="C110" s="145">
        <v>30</v>
      </c>
      <c r="D110" s="180"/>
      <c r="E110" s="131">
        <v>20999</v>
      </c>
      <c r="F110" s="145">
        <v>85</v>
      </c>
      <c r="G110" s="133"/>
      <c r="H110" s="145">
        <v>42697</v>
      </c>
      <c r="I110" s="145">
        <v>25</v>
      </c>
      <c r="J110" s="131">
        <v>60091</v>
      </c>
      <c r="K110" s="307">
        <v>45</v>
      </c>
      <c r="L110" s="145">
        <v>94105</v>
      </c>
      <c r="M110" s="145">
        <v>45</v>
      </c>
      <c r="N110" s="145"/>
      <c r="O110" s="131"/>
      <c r="P110" s="307"/>
      <c r="Q110" s="145">
        <v>14214</v>
      </c>
      <c r="R110" s="145">
        <v>80</v>
      </c>
      <c r="S110" s="180"/>
      <c r="T110" s="131"/>
      <c r="U110" s="307"/>
      <c r="V110" s="145"/>
      <c r="W110" s="145"/>
      <c r="X110" s="131"/>
      <c r="Y110" s="307"/>
      <c r="Z110" s="145">
        <v>232361</v>
      </c>
      <c r="AA110" s="145">
        <v>10</v>
      </c>
      <c r="AB110" s="180"/>
      <c r="AC110" s="131">
        <v>581</v>
      </c>
      <c r="AD110" s="307"/>
      <c r="AE110" s="145">
        <v>306</v>
      </c>
      <c r="AF110" s="145">
        <v>95</v>
      </c>
      <c r="AG110" s="131"/>
      <c r="AH110" s="307"/>
      <c r="AI110" s="145"/>
      <c r="AJ110" s="145"/>
      <c r="AK110" s="131"/>
      <c r="AL110" s="307"/>
      <c r="AM110" s="145">
        <v>4</v>
      </c>
      <c r="AN110" s="145">
        <v>50</v>
      </c>
      <c r="AO110" s="131"/>
      <c r="AP110" s="307"/>
      <c r="AQ110" s="145">
        <v>80</v>
      </c>
      <c r="AR110" s="145">
        <v>50</v>
      </c>
      <c r="AS110" s="131">
        <v>3229</v>
      </c>
      <c r="AT110" s="307">
        <v>10</v>
      </c>
      <c r="AU110" s="145">
        <v>144</v>
      </c>
      <c r="AV110" s="145">
        <v>75</v>
      </c>
      <c r="AW110" s="131">
        <v>236707</v>
      </c>
      <c r="AX110" s="145">
        <v>90</v>
      </c>
      <c r="AY110" s="133"/>
    </row>
    <row r="111" spans="1:51" s="107" customFormat="1" x14ac:dyDescent="0.2">
      <c r="A111" s="533" t="s">
        <v>4033</v>
      </c>
      <c r="B111" s="145">
        <v>3216</v>
      </c>
      <c r="C111" s="145">
        <v>65</v>
      </c>
      <c r="D111" s="180"/>
      <c r="E111" s="131">
        <v>88332</v>
      </c>
      <c r="F111" s="145">
        <v>40</v>
      </c>
      <c r="G111" s="133"/>
      <c r="H111" s="145">
        <v>120400</v>
      </c>
      <c r="I111" s="145"/>
      <c r="J111" s="131">
        <v>50439</v>
      </c>
      <c r="K111" s="307">
        <v>20</v>
      </c>
      <c r="L111" s="145">
        <v>130702</v>
      </c>
      <c r="M111" s="145">
        <v>20</v>
      </c>
      <c r="N111" s="145"/>
      <c r="O111" s="131"/>
      <c r="P111" s="307"/>
      <c r="Q111" s="145">
        <v>8866</v>
      </c>
      <c r="R111" s="145">
        <v>50</v>
      </c>
      <c r="S111" s="180"/>
      <c r="T111" s="131"/>
      <c r="U111" s="307"/>
      <c r="V111" s="145"/>
      <c r="W111" s="145"/>
      <c r="X111" s="131">
        <v>2838</v>
      </c>
      <c r="Y111" s="307">
        <v>90</v>
      </c>
      <c r="Z111" s="145">
        <v>407118</v>
      </c>
      <c r="AA111" s="145">
        <v>5</v>
      </c>
      <c r="AB111" s="180"/>
      <c r="AC111" s="131">
        <v>657</v>
      </c>
      <c r="AD111" s="307">
        <v>25</v>
      </c>
      <c r="AE111" s="145">
        <v>1250</v>
      </c>
      <c r="AF111" s="145"/>
      <c r="AG111" s="131"/>
      <c r="AH111" s="307"/>
      <c r="AI111" s="145">
        <v>20</v>
      </c>
      <c r="AJ111" s="145">
        <v>50</v>
      </c>
      <c r="AK111" s="131">
        <v>141</v>
      </c>
      <c r="AL111" s="307"/>
      <c r="AM111" s="145">
        <v>74</v>
      </c>
      <c r="AN111" s="145">
        <v>15</v>
      </c>
      <c r="AO111" s="131"/>
      <c r="AP111" s="307"/>
      <c r="AQ111" s="145"/>
      <c r="AR111" s="145"/>
      <c r="AS111" s="131">
        <v>669</v>
      </c>
      <c r="AT111" s="307">
        <v>65</v>
      </c>
      <c r="AU111" s="145">
        <v>22</v>
      </c>
      <c r="AV111" s="145">
        <v>10</v>
      </c>
      <c r="AW111" s="131">
        <v>409952</v>
      </c>
      <c r="AX111" s="145">
        <v>70</v>
      </c>
      <c r="AY111" s="133"/>
    </row>
    <row r="112" spans="1:51" s="107" customFormat="1" x14ac:dyDescent="0.2">
      <c r="A112" s="534" t="s">
        <v>1519</v>
      </c>
      <c r="B112" s="145">
        <v>205</v>
      </c>
      <c r="C112" s="145">
        <v>85</v>
      </c>
      <c r="D112" s="180"/>
      <c r="E112" s="131">
        <v>23523</v>
      </c>
      <c r="F112" s="145">
        <v>90</v>
      </c>
      <c r="G112" s="133"/>
      <c r="H112" s="145">
        <v>27704</v>
      </c>
      <c r="I112" s="145">
        <v>10</v>
      </c>
      <c r="J112" s="131">
        <v>31123</v>
      </c>
      <c r="K112" s="307">
        <v>75</v>
      </c>
      <c r="L112" s="145">
        <v>94323</v>
      </c>
      <c r="M112" s="145">
        <v>15</v>
      </c>
      <c r="N112" s="145"/>
      <c r="O112" s="131">
        <v>44146</v>
      </c>
      <c r="P112" s="307">
        <v>60</v>
      </c>
      <c r="Q112" s="145">
        <v>7023</v>
      </c>
      <c r="R112" s="145"/>
      <c r="S112" s="180"/>
      <c r="T112" s="131"/>
      <c r="U112" s="307"/>
      <c r="V112" s="145"/>
      <c r="W112" s="145"/>
      <c r="X112" s="131"/>
      <c r="Y112" s="307"/>
      <c r="Z112" s="145">
        <v>228050</v>
      </c>
      <c r="AA112" s="145">
        <v>35</v>
      </c>
      <c r="AB112" s="180"/>
      <c r="AC112" s="131">
        <v>15</v>
      </c>
      <c r="AD112" s="307">
        <v>40</v>
      </c>
      <c r="AE112" s="145"/>
      <c r="AF112" s="145"/>
      <c r="AG112" s="131">
        <v>714</v>
      </c>
      <c r="AH112" s="307">
        <v>80</v>
      </c>
      <c r="AI112" s="145"/>
      <c r="AJ112" s="145"/>
      <c r="AK112" s="131"/>
      <c r="AL112" s="307"/>
      <c r="AM112" s="145"/>
      <c r="AN112" s="145"/>
      <c r="AO112" s="131">
        <v>34</v>
      </c>
      <c r="AP112" s="307">
        <v>65</v>
      </c>
      <c r="AQ112" s="145"/>
      <c r="AR112" s="145"/>
      <c r="AS112" s="131">
        <v>76</v>
      </c>
      <c r="AT112" s="307">
        <v>80</v>
      </c>
      <c r="AU112" s="145">
        <v>10</v>
      </c>
      <c r="AV112" s="145">
        <v>80</v>
      </c>
      <c r="AW112" s="131">
        <v>228902</v>
      </c>
      <c r="AX112" s="145">
        <v>70</v>
      </c>
      <c r="AY112" s="133"/>
    </row>
    <row r="113" spans="1:51" s="107" customFormat="1" x14ac:dyDescent="0.2">
      <c r="A113" s="534" t="s">
        <v>4553</v>
      </c>
      <c r="B113" s="145">
        <v>1</v>
      </c>
      <c r="C113" s="145">
        <v>25</v>
      </c>
      <c r="D113" s="180"/>
      <c r="E113" s="131">
        <v>1111</v>
      </c>
      <c r="F113" s="145">
        <v>52</v>
      </c>
      <c r="G113" s="133"/>
      <c r="H113" s="145">
        <v>1431</v>
      </c>
      <c r="I113" s="145">
        <v>30</v>
      </c>
      <c r="J113" s="131">
        <v>6183</v>
      </c>
      <c r="K113" s="307">
        <v>85</v>
      </c>
      <c r="L113" s="145">
        <v>8854</v>
      </c>
      <c r="M113" s="145">
        <v>38</v>
      </c>
      <c r="N113" s="145"/>
      <c r="O113" s="131"/>
      <c r="P113" s="307"/>
      <c r="Q113" s="145">
        <v>54</v>
      </c>
      <c r="R113" s="145"/>
      <c r="S113" s="180"/>
      <c r="T113" s="131"/>
      <c r="U113" s="307"/>
      <c r="V113" s="145"/>
      <c r="W113" s="145"/>
      <c r="X113" s="131"/>
      <c r="Y113" s="307"/>
      <c r="Z113" s="145">
        <v>17636</v>
      </c>
      <c r="AA113" s="145">
        <v>30</v>
      </c>
      <c r="AB113" s="180"/>
      <c r="AC113" s="131">
        <v>671</v>
      </c>
      <c r="AD113" s="307">
        <v>40</v>
      </c>
      <c r="AE113" s="145"/>
      <c r="AF113" s="145"/>
      <c r="AG113" s="131"/>
      <c r="AH113" s="307"/>
      <c r="AI113" s="145"/>
      <c r="AJ113" s="145"/>
      <c r="AK113" s="131"/>
      <c r="AL113" s="307"/>
      <c r="AM113" s="145"/>
      <c r="AN113" s="145"/>
      <c r="AO113" s="131"/>
      <c r="AP113" s="307"/>
      <c r="AQ113" s="145"/>
      <c r="AR113" s="145"/>
      <c r="AS113" s="131"/>
      <c r="AT113" s="307"/>
      <c r="AU113" s="145"/>
      <c r="AV113" s="145"/>
      <c r="AW113" s="131">
        <v>18307</v>
      </c>
      <c r="AX113" s="145">
        <v>70</v>
      </c>
      <c r="AY113" s="133"/>
    </row>
    <row r="114" spans="1:51" s="107" customFormat="1" x14ac:dyDescent="0.2">
      <c r="A114" s="534" t="s">
        <v>1526</v>
      </c>
      <c r="B114" s="145">
        <v>2074</v>
      </c>
      <c r="C114" s="145">
        <v>75</v>
      </c>
      <c r="D114" s="180"/>
      <c r="E114" s="131">
        <v>11085</v>
      </c>
      <c r="F114" s="145">
        <v>40</v>
      </c>
      <c r="G114" s="133"/>
      <c r="H114" s="145">
        <v>6146</v>
      </c>
      <c r="I114" s="145"/>
      <c r="J114" s="131">
        <v>15281</v>
      </c>
      <c r="K114" s="307"/>
      <c r="L114" s="145">
        <v>12143</v>
      </c>
      <c r="M114" s="145">
        <v>60</v>
      </c>
      <c r="N114" s="145"/>
      <c r="O114" s="131"/>
      <c r="P114" s="307"/>
      <c r="Q114" s="145">
        <v>704</v>
      </c>
      <c r="R114" s="145">
        <v>15</v>
      </c>
      <c r="S114" s="180"/>
      <c r="T114" s="131"/>
      <c r="U114" s="307"/>
      <c r="V114" s="145"/>
      <c r="W114" s="145"/>
      <c r="X114" s="131">
        <v>29</v>
      </c>
      <c r="Y114" s="307">
        <v>10</v>
      </c>
      <c r="Z114" s="145">
        <v>47405</v>
      </c>
      <c r="AA114" s="145">
        <v>80</v>
      </c>
      <c r="AB114" s="180"/>
      <c r="AC114" s="131">
        <v>188</v>
      </c>
      <c r="AD114" s="307">
        <v>95</v>
      </c>
      <c r="AE114" s="145">
        <v>2046</v>
      </c>
      <c r="AF114" s="145"/>
      <c r="AG114" s="131"/>
      <c r="AH114" s="307"/>
      <c r="AI114" s="145">
        <v>131</v>
      </c>
      <c r="AJ114" s="145"/>
      <c r="AK114" s="131"/>
      <c r="AL114" s="307"/>
      <c r="AM114" s="145"/>
      <c r="AN114" s="145"/>
      <c r="AO114" s="131"/>
      <c r="AP114" s="307"/>
      <c r="AQ114" s="145"/>
      <c r="AR114" s="145"/>
      <c r="AS114" s="131"/>
      <c r="AT114" s="307"/>
      <c r="AU114" s="145"/>
      <c r="AV114" s="145"/>
      <c r="AW114" s="131">
        <v>49771</v>
      </c>
      <c r="AX114" s="145">
        <v>75</v>
      </c>
      <c r="AY114" s="133"/>
    </row>
    <row r="115" spans="1:51" s="107" customFormat="1" x14ac:dyDescent="0.2">
      <c r="A115" s="534" t="s">
        <v>1373</v>
      </c>
      <c r="B115" s="145">
        <v>1341</v>
      </c>
      <c r="C115" s="145">
        <v>12</v>
      </c>
      <c r="D115" s="180">
        <v>0.5</v>
      </c>
      <c r="E115" s="131">
        <v>16291</v>
      </c>
      <c r="F115" s="145">
        <v>92</v>
      </c>
      <c r="G115" s="133">
        <v>0.5</v>
      </c>
      <c r="H115" s="145">
        <v>10868</v>
      </c>
      <c r="I115" s="145">
        <v>40</v>
      </c>
      <c r="J115" s="131">
        <v>7548</v>
      </c>
      <c r="K115" s="307">
        <v>40</v>
      </c>
      <c r="L115" s="145">
        <v>11346</v>
      </c>
      <c r="M115" s="145">
        <v>35</v>
      </c>
      <c r="N115" s="145"/>
      <c r="O115" s="131"/>
      <c r="P115" s="307"/>
      <c r="Q115" s="145">
        <v>388</v>
      </c>
      <c r="R115" s="145">
        <v>42</v>
      </c>
      <c r="S115" s="180">
        <v>0.5</v>
      </c>
      <c r="T115" s="131"/>
      <c r="U115" s="307"/>
      <c r="V115" s="145"/>
      <c r="W115" s="145"/>
      <c r="X115" s="131">
        <v>465</v>
      </c>
      <c r="Y115" s="307">
        <v>95</v>
      </c>
      <c r="Z115" s="145">
        <v>47318</v>
      </c>
      <c r="AA115" s="145">
        <v>67</v>
      </c>
      <c r="AB115" s="180">
        <v>0.5</v>
      </c>
      <c r="AC115" s="131">
        <v>243</v>
      </c>
      <c r="AD115" s="307">
        <v>10</v>
      </c>
      <c r="AE115" s="145">
        <v>57</v>
      </c>
      <c r="AF115" s="145">
        <v>20</v>
      </c>
      <c r="AG115" s="131"/>
      <c r="AH115" s="307"/>
      <c r="AI115" s="145">
        <v>17</v>
      </c>
      <c r="AJ115" s="145"/>
      <c r="AK115" s="131"/>
      <c r="AL115" s="307"/>
      <c r="AM115" s="145"/>
      <c r="AN115" s="145"/>
      <c r="AO115" s="131"/>
      <c r="AP115" s="307"/>
      <c r="AQ115" s="145"/>
      <c r="AR115" s="145"/>
      <c r="AS115" s="131">
        <v>34</v>
      </c>
      <c r="AT115" s="307"/>
      <c r="AU115" s="145"/>
      <c r="AV115" s="145"/>
      <c r="AW115" s="131">
        <v>47669</v>
      </c>
      <c r="AX115" s="145">
        <v>97</v>
      </c>
      <c r="AY115" s="133">
        <v>0.5</v>
      </c>
    </row>
    <row r="116" spans="1:51" s="107" customFormat="1" x14ac:dyDescent="0.2">
      <c r="A116" s="534" t="s">
        <v>1527</v>
      </c>
      <c r="B116" s="145">
        <v>392</v>
      </c>
      <c r="C116" s="145">
        <v>20</v>
      </c>
      <c r="D116" s="180"/>
      <c r="E116" s="131">
        <v>13332</v>
      </c>
      <c r="F116" s="145"/>
      <c r="G116" s="133"/>
      <c r="H116" s="145">
        <v>10425</v>
      </c>
      <c r="I116" s="145">
        <v>40</v>
      </c>
      <c r="J116" s="131">
        <v>13026</v>
      </c>
      <c r="K116" s="307">
        <v>90</v>
      </c>
      <c r="L116" s="145">
        <v>32216</v>
      </c>
      <c r="M116" s="145">
        <v>10</v>
      </c>
      <c r="N116" s="145"/>
      <c r="O116" s="131"/>
      <c r="P116" s="307"/>
      <c r="Q116" s="145">
        <v>2889</v>
      </c>
      <c r="R116" s="145">
        <v>75</v>
      </c>
      <c r="S116" s="180"/>
      <c r="T116" s="131"/>
      <c r="U116" s="307"/>
      <c r="V116" s="145"/>
      <c r="W116" s="145"/>
      <c r="X116" s="131">
        <v>265</v>
      </c>
      <c r="Y116" s="307">
        <v>70</v>
      </c>
      <c r="Z116" s="145">
        <v>72016</v>
      </c>
      <c r="AA116" s="145">
        <v>65</v>
      </c>
      <c r="AB116" s="180"/>
      <c r="AC116" s="131">
        <v>1053</v>
      </c>
      <c r="AD116" s="307">
        <v>60</v>
      </c>
      <c r="AE116" s="145"/>
      <c r="AF116" s="145"/>
      <c r="AG116" s="131"/>
      <c r="AH116" s="307"/>
      <c r="AI116" s="145"/>
      <c r="AJ116" s="145"/>
      <c r="AK116" s="131"/>
      <c r="AL116" s="307"/>
      <c r="AM116" s="145"/>
      <c r="AN116" s="145"/>
      <c r="AO116" s="131">
        <v>329</v>
      </c>
      <c r="AP116" s="307">
        <v>25</v>
      </c>
      <c r="AQ116" s="145">
        <v>383</v>
      </c>
      <c r="AR116" s="145">
        <v>90</v>
      </c>
      <c r="AS116" s="131">
        <v>48</v>
      </c>
      <c r="AT116" s="307">
        <v>75</v>
      </c>
      <c r="AU116" s="145"/>
      <c r="AV116" s="145"/>
      <c r="AW116" s="131">
        <v>73832</v>
      </c>
      <c r="AX116" s="145">
        <v>15</v>
      </c>
      <c r="AY116" s="133"/>
    </row>
    <row r="117" spans="1:51" s="107" customFormat="1" x14ac:dyDescent="0.2">
      <c r="A117" s="823" t="s">
        <v>3573</v>
      </c>
      <c r="B117" s="240">
        <v>18124</v>
      </c>
      <c r="C117" s="318">
        <v>82</v>
      </c>
      <c r="D117" s="319">
        <v>0.5</v>
      </c>
      <c r="E117" s="240">
        <v>394850</v>
      </c>
      <c r="F117" s="318">
        <v>4</v>
      </c>
      <c r="G117" s="241">
        <v>0.5</v>
      </c>
      <c r="H117" s="318">
        <v>557116</v>
      </c>
      <c r="I117" s="318">
        <v>70</v>
      </c>
      <c r="J117" s="240">
        <v>827675</v>
      </c>
      <c r="K117" s="513">
        <v>80</v>
      </c>
      <c r="L117" s="318">
        <v>1729734</v>
      </c>
      <c r="M117" s="318">
        <v>33</v>
      </c>
      <c r="N117" s="318"/>
      <c r="O117" s="240">
        <v>44171</v>
      </c>
      <c r="P117" s="513">
        <v>40</v>
      </c>
      <c r="Q117" s="318">
        <v>153191</v>
      </c>
      <c r="R117" s="318">
        <v>97</v>
      </c>
      <c r="S117" s="319">
        <v>0.5</v>
      </c>
      <c r="T117" s="240">
        <v>48866</v>
      </c>
      <c r="U117" s="513">
        <v>20</v>
      </c>
      <c r="V117" s="318">
        <v>34260</v>
      </c>
      <c r="W117" s="318">
        <v>10</v>
      </c>
      <c r="X117" s="240">
        <v>3599</v>
      </c>
      <c r="Y117" s="513">
        <v>65</v>
      </c>
      <c r="Z117" s="318">
        <v>3799391</v>
      </c>
      <c r="AA117" s="318">
        <v>72</v>
      </c>
      <c r="AB117" s="319">
        <v>0.5</v>
      </c>
      <c r="AC117" s="240">
        <v>11938</v>
      </c>
      <c r="AD117" s="513">
        <v>70</v>
      </c>
      <c r="AE117" s="318">
        <v>7741</v>
      </c>
      <c r="AF117" s="318">
        <v>90</v>
      </c>
      <c r="AG117" s="240">
        <v>714</v>
      </c>
      <c r="AH117" s="513">
        <v>80</v>
      </c>
      <c r="AI117" s="318">
        <v>168</v>
      </c>
      <c r="AJ117" s="318">
        <v>50</v>
      </c>
      <c r="AK117" s="240">
        <v>141</v>
      </c>
      <c r="AL117" s="513"/>
      <c r="AM117" s="318">
        <v>78</v>
      </c>
      <c r="AN117" s="318">
        <v>5</v>
      </c>
      <c r="AO117" s="240">
        <v>363</v>
      </c>
      <c r="AP117" s="513">
        <v>80</v>
      </c>
      <c r="AQ117" s="318">
        <v>464</v>
      </c>
      <c r="AR117" s="318">
        <v>40</v>
      </c>
      <c r="AS117" s="240">
        <v>5671</v>
      </c>
      <c r="AT117" s="513">
        <v>65</v>
      </c>
      <c r="AU117" s="318">
        <v>177</v>
      </c>
      <c r="AV117" s="318">
        <v>65</v>
      </c>
      <c r="AW117" s="240">
        <v>3826852</v>
      </c>
      <c r="AX117" s="318">
        <v>77</v>
      </c>
      <c r="AY117" s="241">
        <v>0.5</v>
      </c>
    </row>
    <row r="118" spans="1:51" s="107" customFormat="1" x14ac:dyDescent="0.2">
      <c r="B118" s="393">
        <f>+SUM(B109:B116)</f>
        <v>18121</v>
      </c>
      <c r="C118" s="393">
        <f t="shared" ref="C118:AY118" si="2">+SUM(C109:C116)</f>
        <v>382</v>
      </c>
      <c r="D118" s="1078">
        <f t="shared" si="2"/>
        <v>0.5</v>
      </c>
      <c r="E118" s="393">
        <f t="shared" si="2"/>
        <v>394846</v>
      </c>
      <c r="F118" s="393">
        <f t="shared" si="2"/>
        <v>404</v>
      </c>
      <c r="G118" s="1078">
        <f t="shared" si="2"/>
        <v>0.5</v>
      </c>
      <c r="H118" s="1137">
        <f t="shared" si="2"/>
        <v>549115</v>
      </c>
      <c r="I118" s="393">
        <f t="shared" si="2"/>
        <v>170</v>
      </c>
      <c r="J118" s="393">
        <f t="shared" si="2"/>
        <v>827672</v>
      </c>
      <c r="K118" s="393">
        <f t="shared" si="2"/>
        <v>380</v>
      </c>
      <c r="L118" s="393">
        <f t="shared" si="2"/>
        <v>1729732</v>
      </c>
      <c r="M118" s="393">
        <f t="shared" si="2"/>
        <v>233</v>
      </c>
      <c r="N118" s="393">
        <f t="shared" si="2"/>
        <v>0</v>
      </c>
      <c r="O118" s="393">
        <f t="shared" si="2"/>
        <v>44170</v>
      </c>
      <c r="P118" s="393">
        <f t="shared" si="2"/>
        <v>140</v>
      </c>
      <c r="Q118" s="393">
        <f t="shared" si="2"/>
        <v>153189</v>
      </c>
      <c r="R118" s="393">
        <f t="shared" si="2"/>
        <v>297</v>
      </c>
      <c r="S118" s="1078">
        <f t="shared" si="2"/>
        <v>0.5</v>
      </c>
      <c r="T118" s="393">
        <f t="shared" si="2"/>
        <v>48866</v>
      </c>
      <c r="U118" s="393">
        <f t="shared" si="2"/>
        <v>20</v>
      </c>
      <c r="V118" s="393">
        <f t="shared" si="2"/>
        <v>34260</v>
      </c>
      <c r="W118" s="393">
        <f t="shared" si="2"/>
        <v>10</v>
      </c>
      <c r="X118" s="393">
        <f t="shared" si="2"/>
        <v>3597</v>
      </c>
      <c r="Y118" s="393">
        <f t="shared" si="2"/>
        <v>265</v>
      </c>
      <c r="Z118" s="393">
        <f t="shared" si="2"/>
        <v>3799388</v>
      </c>
      <c r="AA118" s="393">
        <f t="shared" si="2"/>
        <v>372</v>
      </c>
      <c r="AB118" s="1078">
        <f t="shared" si="2"/>
        <v>0.5</v>
      </c>
      <c r="AC118" s="393">
        <f t="shared" si="2"/>
        <v>11936</v>
      </c>
      <c r="AD118" s="393">
        <f t="shared" si="2"/>
        <v>270</v>
      </c>
      <c r="AE118" s="393">
        <f t="shared" si="2"/>
        <v>7740</v>
      </c>
      <c r="AF118" s="393">
        <f t="shared" si="2"/>
        <v>190</v>
      </c>
      <c r="AG118" s="393">
        <f t="shared" si="2"/>
        <v>714</v>
      </c>
      <c r="AH118" s="393">
        <f t="shared" si="2"/>
        <v>80</v>
      </c>
      <c r="AI118" s="393">
        <f t="shared" si="2"/>
        <v>168</v>
      </c>
      <c r="AJ118" s="393">
        <f t="shared" si="2"/>
        <v>50</v>
      </c>
      <c r="AK118" s="393">
        <f t="shared" si="2"/>
        <v>141</v>
      </c>
      <c r="AL118" s="393">
        <f t="shared" si="2"/>
        <v>0</v>
      </c>
      <c r="AM118" s="393">
        <f t="shared" si="2"/>
        <v>78</v>
      </c>
      <c r="AN118" s="393">
        <f t="shared" si="2"/>
        <v>65</v>
      </c>
      <c r="AO118" s="393">
        <f t="shared" si="2"/>
        <v>363</v>
      </c>
      <c r="AP118" s="1137">
        <f t="shared" si="2"/>
        <v>90</v>
      </c>
      <c r="AQ118" s="393">
        <f t="shared" si="2"/>
        <v>463</v>
      </c>
      <c r="AR118" s="393">
        <f t="shared" si="2"/>
        <v>140</v>
      </c>
      <c r="AS118" s="393">
        <f t="shared" si="2"/>
        <v>5669</v>
      </c>
      <c r="AT118" s="393">
        <f t="shared" si="2"/>
        <v>265</v>
      </c>
      <c r="AU118" s="393">
        <f t="shared" si="2"/>
        <v>176</v>
      </c>
      <c r="AV118" s="393">
        <f t="shared" si="2"/>
        <v>165</v>
      </c>
      <c r="AW118" s="393">
        <f t="shared" si="2"/>
        <v>3826910</v>
      </c>
      <c r="AX118" s="393">
        <f t="shared" si="2"/>
        <v>577</v>
      </c>
      <c r="AY118" s="1078">
        <f t="shared" si="2"/>
        <v>0.5</v>
      </c>
    </row>
    <row r="119" spans="1:51" s="107" customFormat="1" x14ac:dyDescent="0.2"/>
    <row r="120" spans="1:51" s="107" customFormat="1" x14ac:dyDescent="0.2"/>
    <row r="121" spans="1:51" s="107" customFormat="1" x14ac:dyDescent="0.2">
      <c r="A121" s="526" t="s">
        <v>1957</v>
      </c>
    </row>
    <row r="122" spans="1:51" s="107" customFormat="1" ht="15.5" customHeight="1" x14ac:dyDescent="0.2">
      <c r="A122" s="1319" t="s">
        <v>4583</v>
      </c>
      <c r="B122" s="1320"/>
      <c r="C122" s="1320"/>
      <c r="D122" s="1320"/>
      <c r="E122" s="1320"/>
      <c r="F122" s="1320"/>
      <c r="G122" s="1320"/>
      <c r="H122" s="1320"/>
      <c r="I122" s="1320"/>
      <c r="J122" s="1320"/>
      <c r="K122" s="1320"/>
      <c r="L122" s="1320"/>
      <c r="M122" s="1320"/>
      <c r="N122" s="1320"/>
      <c r="O122" s="1320"/>
      <c r="P122" s="1320"/>
      <c r="Q122" s="1320"/>
      <c r="R122" s="1320"/>
      <c r="S122" s="1320"/>
      <c r="T122" s="1320"/>
      <c r="U122" s="1320"/>
      <c r="V122" s="1320"/>
      <c r="W122" s="1320"/>
      <c r="X122" s="1320"/>
      <c r="Y122" s="1320"/>
      <c r="Z122" s="1320"/>
      <c r="AA122" s="1320"/>
      <c r="AB122" s="1320"/>
      <c r="AC122" s="1320"/>
      <c r="AD122" s="1320"/>
      <c r="AE122" s="1320"/>
      <c r="AF122" s="1320"/>
      <c r="AG122" s="1320"/>
      <c r="AH122" s="1320"/>
      <c r="AI122" s="1320"/>
      <c r="AJ122" s="1320"/>
      <c r="AK122" s="1320"/>
      <c r="AL122" s="1320"/>
      <c r="AM122" s="1320"/>
      <c r="AN122" s="1320"/>
      <c r="AO122" s="1320"/>
      <c r="AP122" s="1320"/>
      <c r="AQ122" s="1320"/>
      <c r="AR122" s="1320"/>
      <c r="AS122" s="1320"/>
      <c r="AT122" s="1320"/>
      <c r="AU122" s="1320"/>
      <c r="AV122" s="1320"/>
      <c r="AW122" s="1320"/>
      <c r="AX122" s="1321"/>
    </row>
    <row r="123" spans="1:51" s="107" customFormat="1" ht="14.5" customHeight="1" x14ac:dyDescent="0.2">
      <c r="A123" s="601" t="s">
        <v>3254</v>
      </c>
      <c r="B123" s="967" t="s">
        <v>4584</v>
      </c>
      <c r="C123" s="967"/>
      <c r="D123" s="967"/>
      <c r="E123" s="967"/>
      <c r="F123" s="967"/>
      <c r="G123" s="967"/>
      <c r="H123" s="967"/>
      <c r="I123" s="967"/>
      <c r="J123" s="967"/>
      <c r="K123" s="967"/>
      <c r="L123" s="608" t="s">
        <v>4585</v>
      </c>
      <c r="M123" s="778"/>
      <c r="N123" s="778"/>
      <c r="O123" s="778"/>
      <c r="P123" s="778"/>
      <c r="Q123" s="778"/>
      <c r="R123" s="778"/>
      <c r="S123" s="778"/>
      <c r="T123" s="778"/>
      <c r="U123" s="778"/>
      <c r="V123" s="778"/>
      <c r="W123" s="778"/>
      <c r="X123" s="778"/>
      <c r="Y123" s="778"/>
      <c r="Z123" s="778"/>
      <c r="AA123" s="778"/>
      <c r="AB123" s="778"/>
      <c r="AC123" s="778"/>
      <c r="AD123" s="778"/>
      <c r="AE123" s="778"/>
      <c r="AF123" s="778"/>
      <c r="AG123" s="778"/>
      <c r="AH123" s="778"/>
      <c r="AI123" s="778"/>
      <c r="AJ123" s="778"/>
      <c r="AK123" s="778"/>
      <c r="AL123" s="778"/>
      <c r="AM123" s="778"/>
      <c r="AN123" s="778"/>
      <c r="AO123" s="609"/>
      <c r="AP123" s="967" t="s">
        <v>4586</v>
      </c>
      <c r="AQ123" s="967"/>
      <c r="AR123" s="967"/>
      <c r="AS123" s="967"/>
      <c r="AT123" s="1276" t="s">
        <v>4280</v>
      </c>
      <c r="AU123" s="1276"/>
      <c r="AV123" s="1276" t="s">
        <v>4587</v>
      </c>
      <c r="AW123" s="1276"/>
      <c r="AX123" s="1276"/>
    </row>
    <row r="124" spans="1:51" s="107" customFormat="1" ht="14.5" customHeight="1" x14ac:dyDescent="0.2">
      <c r="A124" s="989"/>
      <c r="B124" s="1344" t="s">
        <v>4588</v>
      </c>
      <c r="C124" s="1344"/>
      <c r="D124" s="1344" t="s">
        <v>4589</v>
      </c>
      <c r="E124" s="1344"/>
      <c r="F124" s="1344" t="s">
        <v>4590</v>
      </c>
      <c r="G124" s="1344"/>
      <c r="H124" s="1344" t="s">
        <v>4591</v>
      </c>
      <c r="I124" s="1344"/>
      <c r="J124" s="1344" t="s">
        <v>3276</v>
      </c>
      <c r="K124" s="1344"/>
      <c r="L124" s="1141" t="s">
        <v>4124</v>
      </c>
      <c r="M124" s="1141"/>
      <c r="N124" s="1141"/>
      <c r="O124" s="1141"/>
      <c r="P124" s="1141" t="s">
        <v>4125</v>
      </c>
      <c r="Q124" s="1141"/>
      <c r="R124" s="1141"/>
      <c r="S124" s="1141"/>
      <c r="T124" s="1141"/>
      <c r="U124" s="1141"/>
      <c r="V124" s="1141" t="s">
        <v>4592</v>
      </c>
      <c r="W124" s="1141"/>
      <c r="X124" s="1141"/>
      <c r="Y124" s="1141"/>
      <c r="Z124" s="1141" t="s">
        <v>4593</v>
      </c>
      <c r="AA124" s="1141"/>
      <c r="AB124" s="1141"/>
      <c r="AC124" s="1141"/>
      <c r="AD124" s="1141" t="s">
        <v>4601</v>
      </c>
      <c r="AE124" s="1141"/>
      <c r="AF124" s="1141"/>
      <c r="AG124" s="1141"/>
      <c r="AH124" s="1344" t="s">
        <v>4595</v>
      </c>
      <c r="AI124" s="1344"/>
      <c r="AJ124" s="1141" t="s">
        <v>4126</v>
      </c>
      <c r="AK124" s="1141"/>
      <c r="AL124" s="1141"/>
      <c r="AM124" s="1141"/>
      <c r="AN124" s="1141"/>
      <c r="AO124" s="1141"/>
      <c r="AP124" s="1344" t="s">
        <v>4596</v>
      </c>
      <c r="AQ124" s="1344"/>
      <c r="AR124" s="1344" t="s">
        <v>4597</v>
      </c>
      <c r="AS124" s="1344"/>
      <c r="AT124" s="1276"/>
      <c r="AU124" s="1276"/>
      <c r="AV124" s="1276"/>
      <c r="AW124" s="1276"/>
      <c r="AX124" s="1276"/>
    </row>
    <row r="125" spans="1:51" s="107" customFormat="1" x14ac:dyDescent="0.2">
      <c r="A125" s="989"/>
      <c r="B125" s="1344"/>
      <c r="C125" s="1344"/>
      <c r="D125" s="1344"/>
      <c r="E125" s="1344"/>
      <c r="F125" s="1344"/>
      <c r="G125" s="1344"/>
      <c r="H125" s="1344"/>
      <c r="I125" s="1344"/>
      <c r="J125" s="1344"/>
      <c r="K125" s="1344"/>
      <c r="L125" s="1344" t="s">
        <v>4127</v>
      </c>
      <c r="M125" s="1344"/>
      <c r="N125" s="1344" t="s">
        <v>4598</v>
      </c>
      <c r="O125" s="1344"/>
      <c r="P125" s="1344" t="s">
        <v>4127</v>
      </c>
      <c r="Q125" s="1344"/>
      <c r="R125" s="1344"/>
      <c r="S125" s="1344" t="s">
        <v>4598</v>
      </c>
      <c r="T125" s="1344"/>
      <c r="U125" s="1344"/>
      <c r="V125" s="1344" t="s">
        <v>4127</v>
      </c>
      <c r="W125" s="1344"/>
      <c r="X125" s="1344" t="s">
        <v>4598</v>
      </c>
      <c r="Y125" s="1344"/>
      <c r="Z125" s="1344" t="s">
        <v>4127</v>
      </c>
      <c r="AA125" s="1344"/>
      <c r="AB125" s="1344" t="s">
        <v>4598</v>
      </c>
      <c r="AC125" s="1344"/>
      <c r="AD125" s="1344" t="s">
        <v>4127</v>
      </c>
      <c r="AE125" s="1344"/>
      <c r="AF125" s="1344" t="s">
        <v>4598</v>
      </c>
      <c r="AG125" s="1344"/>
      <c r="AH125" s="1344"/>
      <c r="AI125" s="1344"/>
      <c r="AJ125" s="1344" t="s">
        <v>4127</v>
      </c>
      <c r="AK125" s="1344"/>
      <c r="AL125" s="1344"/>
      <c r="AM125" s="1344" t="s">
        <v>4598</v>
      </c>
      <c r="AN125" s="1344"/>
      <c r="AO125" s="1344"/>
      <c r="AP125" s="1344"/>
      <c r="AQ125" s="1344"/>
      <c r="AR125" s="1344"/>
      <c r="AS125" s="1344"/>
      <c r="AT125" s="1276"/>
      <c r="AU125" s="1276"/>
      <c r="AV125" s="1276"/>
      <c r="AW125" s="1276"/>
      <c r="AX125" s="1276"/>
    </row>
    <row r="126" spans="1:51" s="107" customFormat="1" x14ac:dyDescent="0.2">
      <c r="A126" s="605"/>
      <c r="B126" s="1347" t="s">
        <v>3488</v>
      </c>
      <c r="C126" s="1347" t="s">
        <v>3374</v>
      </c>
      <c r="D126" s="1347" t="s">
        <v>3488</v>
      </c>
      <c r="E126" s="1347" t="s">
        <v>3374</v>
      </c>
      <c r="F126" s="1347" t="s">
        <v>3488</v>
      </c>
      <c r="G126" s="1347" t="s">
        <v>3374</v>
      </c>
      <c r="H126" s="1347" t="s">
        <v>3488</v>
      </c>
      <c r="I126" s="1347" t="s">
        <v>3374</v>
      </c>
      <c r="J126" s="1347" t="s">
        <v>3488</v>
      </c>
      <c r="K126" s="1347" t="s">
        <v>3374</v>
      </c>
      <c r="L126" s="1347" t="s">
        <v>3488</v>
      </c>
      <c r="M126" s="1347" t="s">
        <v>3374</v>
      </c>
      <c r="N126" s="1347" t="s">
        <v>3488</v>
      </c>
      <c r="O126" s="1347" t="s">
        <v>3374</v>
      </c>
      <c r="P126" s="1347" t="s">
        <v>3488</v>
      </c>
      <c r="Q126" s="1348" t="s">
        <v>3374</v>
      </c>
      <c r="R126" s="1349"/>
      <c r="S126" s="1347" t="s">
        <v>3488</v>
      </c>
      <c r="T126" s="1348" t="s">
        <v>3374</v>
      </c>
      <c r="U126" s="1349"/>
      <c r="V126" s="1347" t="s">
        <v>3488</v>
      </c>
      <c r="W126" s="1347" t="s">
        <v>3374</v>
      </c>
      <c r="X126" s="1347" t="s">
        <v>3488</v>
      </c>
      <c r="Y126" s="1347" t="s">
        <v>3374</v>
      </c>
      <c r="Z126" s="1347" t="s">
        <v>3488</v>
      </c>
      <c r="AA126" s="1347" t="s">
        <v>3374</v>
      </c>
      <c r="AB126" s="1347" t="s">
        <v>3488</v>
      </c>
      <c r="AC126" s="1347" t="s">
        <v>3374</v>
      </c>
      <c r="AD126" s="1347" t="s">
        <v>3488</v>
      </c>
      <c r="AE126" s="1347" t="s">
        <v>3374</v>
      </c>
      <c r="AF126" s="1347" t="s">
        <v>3488</v>
      </c>
      <c r="AG126" s="1347" t="s">
        <v>3374</v>
      </c>
      <c r="AH126" s="1347" t="s">
        <v>3488</v>
      </c>
      <c r="AI126" s="1347" t="s">
        <v>3374</v>
      </c>
      <c r="AJ126" s="1354" t="s">
        <v>3488</v>
      </c>
      <c r="AK126" s="1355" t="s">
        <v>3374</v>
      </c>
      <c r="AL126" s="1356"/>
      <c r="AM126" s="1347" t="s">
        <v>3488</v>
      </c>
      <c r="AN126" s="1348" t="s">
        <v>3374</v>
      </c>
      <c r="AO126" s="1349"/>
      <c r="AP126" s="1347" t="s">
        <v>3488</v>
      </c>
      <c r="AQ126" s="1347" t="s">
        <v>3374</v>
      </c>
      <c r="AR126" s="1347" t="s">
        <v>3488</v>
      </c>
      <c r="AS126" s="1347" t="s">
        <v>3374</v>
      </c>
      <c r="AT126" s="1347" t="s">
        <v>3488</v>
      </c>
      <c r="AU126" s="1347" t="s">
        <v>3374</v>
      </c>
      <c r="AV126" s="1347" t="s">
        <v>3488</v>
      </c>
      <c r="AW126" s="1348" t="s">
        <v>3374</v>
      </c>
      <c r="AX126" s="1349"/>
    </row>
    <row r="127" spans="1:51" s="107" customFormat="1" x14ac:dyDescent="0.2">
      <c r="A127" s="533" t="s">
        <v>3668</v>
      </c>
      <c r="B127" s="145">
        <v>609</v>
      </c>
      <c r="C127" s="145">
        <v>55</v>
      </c>
      <c r="D127" s="349"/>
      <c r="E127" s="717"/>
      <c r="F127" s="145"/>
      <c r="G127" s="145"/>
      <c r="H127" s="349">
        <v>56</v>
      </c>
      <c r="I127" s="717"/>
      <c r="J127" s="145">
        <v>665</v>
      </c>
      <c r="K127" s="145">
        <v>55</v>
      </c>
      <c r="L127" s="349">
        <v>22908</v>
      </c>
      <c r="M127" s="717">
        <v>65</v>
      </c>
      <c r="N127" s="145">
        <v>5726</v>
      </c>
      <c r="O127" s="145"/>
      <c r="P127" s="349">
        <v>18458</v>
      </c>
      <c r="Q127" s="350">
        <v>60</v>
      </c>
      <c r="R127" s="717"/>
      <c r="S127" s="145">
        <v>4613</v>
      </c>
      <c r="T127" s="145">
        <v>5</v>
      </c>
      <c r="U127" s="145"/>
      <c r="V127" s="349"/>
      <c r="W127" s="717"/>
      <c r="X127" s="145"/>
      <c r="Y127" s="145"/>
      <c r="Z127" s="349"/>
      <c r="AA127" s="717"/>
      <c r="AB127" s="145"/>
      <c r="AC127" s="145"/>
      <c r="AD127" s="349">
        <v>719</v>
      </c>
      <c r="AE127" s="717">
        <v>95</v>
      </c>
      <c r="AF127" s="145">
        <v>179</v>
      </c>
      <c r="AG127" s="145">
        <v>95</v>
      </c>
      <c r="AH127" s="349"/>
      <c r="AI127" s="350"/>
      <c r="AJ127" s="349">
        <v>42087</v>
      </c>
      <c r="AK127" s="350">
        <v>20</v>
      </c>
      <c r="AL127" s="717"/>
      <c r="AM127" s="349">
        <v>10519</v>
      </c>
      <c r="AN127" s="350"/>
      <c r="AO127" s="717"/>
      <c r="AP127" s="145"/>
      <c r="AQ127" s="145"/>
      <c r="AR127" s="349"/>
      <c r="AS127" s="717"/>
      <c r="AT127" s="145"/>
      <c r="AU127" s="145"/>
      <c r="AV127" s="349">
        <v>53271</v>
      </c>
      <c r="AW127" s="350">
        <v>75</v>
      </c>
      <c r="AX127" s="352"/>
    </row>
    <row r="128" spans="1:51" s="107" customFormat="1" x14ac:dyDescent="0.2">
      <c r="A128" s="533" t="s">
        <v>1517</v>
      </c>
      <c r="B128" s="145">
        <v>324</v>
      </c>
      <c r="C128" s="145">
        <v>80</v>
      </c>
      <c r="D128" s="131"/>
      <c r="E128" s="307"/>
      <c r="F128" s="145">
        <v>2005</v>
      </c>
      <c r="G128" s="145">
        <v>60</v>
      </c>
      <c r="H128" s="131">
        <v>196</v>
      </c>
      <c r="I128" s="307">
        <v>60</v>
      </c>
      <c r="J128" s="145">
        <v>2527</v>
      </c>
      <c r="K128" s="145"/>
      <c r="L128" s="131">
        <v>6245</v>
      </c>
      <c r="M128" s="307">
        <v>80</v>
      </c>
      <c r="N128" s="145">
        <v>1684</v>
      </c>
      <c r="O128" s="145">
        <v>20</v>
      </c>
      <c r="P128" s="131">
        <v>18320</v>
      </c>
      <c r="Q128" s="145">
        <v>75</v>
      </c>
      <c r="R128" s="307"/>
      <c r="S128" s="145">
        <v>4939</v>
      </c>
      <c r="T128" s="145">
        <v>40</v>
      </c>
      <c r="U128" s="145"/>
      <c r="V128" s="131"/>
      <c r="W128" s="307"/>
      <c r="X128" s="145"/>
      <c r="Y128" s="145"/>
      <c r="Z128" s="131"/>
      <c r="AA128" s="307"/>
      <c r="AB128" s="145"/>
      <c r="AC128" s="145"/>
      <c r="AD128" s="131">
        <v>79</v>
      </c>
      <c r="AE128" s="307"/>
      <c r="AF128" s="145">
        <v>12</v>
      </c>
      <c r="AG128" s="145">
        <v>25</v>
      </c>
      <c r="AH128" s="131"/>
      <c r="AI128" s="145"/>
      <c r="AJ128" s="131">
        <v>24645</v>
      </c>
      <c r="AK128" s="145">
        <v>55</v>
      </c>
      <c r="AL128" s="307"/>
      <c r="AM128" s="131">
        <v>6635</v>
      </c>
      <c r="AN128" s="145">
        <v>85</v>
      </c>
      <c r="AO128" s="307"/>
      <c r="AP128" s="145">
        <v>639</v>
      </c>
      <c r="AQ128" s="145">
        <v>10</v>
      </c>
      <c r="AR128" s="131">
        <v>4037</v>
      </c>
      <c r="AS128" s="307">
        <v>95</v>
      </c>
      <c r="AT128" s="145">
        <v>10</v>
      </c>
      <c r="AU128" s="145">
        <v>25</v>
      </c>
      <c r="AV128" s="131">
        <v>38495</v>
      </c>
      <c r="AW128" s="145">
        <v>70</v>
      </c>
      <c r="AX128" s="133"/>
    </row>
    <row r="129" spans="1:50" s="107" customFormat="1" x14ac:dyDescent="0.2">
      <c r="A129" s="533" t="s">
        <v>4033</v>
      </c>
      <c r="B129" s="145">
        <v>286</v>
      </c>
      <c r="C129" s="145">
        <v>50</v>
      </c>
      <c r="D129" s="131">
        <v>55</v>
      </c>
      <c r="E129" s="307"/>
      <c r="F129" s="145">
        <v>143</v>
      </c>
      <c r="G129" s="145"/>
      <c r="H129" s="131">
        <v>235</v>
      </c>
      <c r="I129" s="307">
        <v>50</v>
      </c>
      <c r="J129" s="145">
        <v>720</v>
      </c>
      <c r="K129" s="145"/>
      <c r="L129" s="131">
        <v>8720</v>
      </c>
      <c r="M129" s="307"/>
      <c r="N129" s="145">
        <v>2287</v>
      </c>
      <c r="O129" s="145"/>
      <c r="P129" s="131">
        <v>24733</v>
      </c>
      <c r="Q129" s="145">
        <v>15</v>
      </c>
      <c r="R129" s="307"/>
      <c r="S129" s="145">
        <v>5875</v>
      </c>
      <c r="T129" s="145">
        <v>45</v>
      </c>
      <c r="U129" s="145"/>
      <c r="V129" s="131">
        <v>517</v>
      </c>
      <c r="W129" s="307"/>
      <c r="X129" s="145">
        <v>107</v>
      </c>
      <c r="Y129" s="145"/>
      <c r="Z129" s="131">
        <v>672</v>
      </c>
      <c r="AA129" s="307"/>
      <c r="AB129" s="145">
        <v>143</v>
      </c>
      <c r="AC129" s="145"/>
      <c r="AD129" s="131">
        <v>450</v>
      </c>
      <c r="AE129" s="307"/>
      <c r="AF129" s="145">
        <v>100</v>
      </c>
      <c r="AG129" s="145">
        <v>5</v>
      </c>
      <c r="AH129" s="131"/>
      <c r="AI129" s="145"/>
      <c r="AJ129" s="131">
        <v>35092</v>
      </c>
      <c r="AK129" s="145">
        <v>15</v>
      </c>
      <c r="AL129" s="307"/>
      <c r="AM129" s="131">
        <v>8512</v>
      </c>
      <c r="AN129" s="145">
        <v>50</v>
      </c>
      <c r="AO129" s="307"/>
      <c r="AP129" s="145">
        <v>137</v>
      </c>
      <c r="AQ129" s="145">
        <v>5</v>
      </c>
      <c r="AR129" s="131"/>
      <c r="AS129" s="307"/>
      <c r="AT129" s="145">
        <v>4092</v>
      </c>
      <c r="AU129" s="145">
        <v>20</v>
      </c>
      <c r="AV129" s="131">
        <v>48553</v>
      </c>
      <c r="AW129" s="145">
        <v>90</v>
      </c>
      <c r="AX129" s="133"/>
    </row>
    <row r="130" spans="1:50" s="107" customFormat="1" x14ac:dyDescent="0.2">
      <c r="A130" s="534" t="s">
        <v>1519</v>
      </c>
      <c r="B130" s="145">
        <v>150</v>
      </c>
      <c r="C130" s="145"/>
      <c r="D130" s="131">
        <v>1375</v>
      </c>
      <c r="E130" s="307">
        <v>45</v>
      </c>
      <c r="F130" s="145"/>
      <c r="G130" s="145"/>
      <c r="H130" s="131">
        <v>800</v>
      </c>
      <c r="I130" s="307"/>
      <c r="J130" s="145">
        <v>2325</v>
      </c>
      <c r="K130" s="145">
        <v>45</v>
      </c>
      <c r="L130" s="131">
        <v>6048</v>
      </c>
      <c r="M130" s="307">
        <v>30</v>
      </c>
      <c r="N130" s="145">
        <v>1636</v>
      </c>
      <c r="O130" s="145">
        <v>90</v>
      </c>
      <c r="P130" s="131">
        <v>10333</v>
      </c>
      <c r="Q130" s="145">
        <v>45</v>
      </c>
      <c r="R130" s="307"/>
      <c r="S130" s="145">
        <v>2958</v>
      </c>
      <c r="T130" s="145">
        <v>30</v>
      </c>
      <c r="U130" s="145"/>
      <c r="V130" s="131"/>
      <c r="W130" s="307"/>
      <c r="X130" s="145"/>
      <c r="Y130" s="145"/>
      <c r="Z130" s="131"/>
      <c r="AA130" s="307"/>
      <c r="AB130" s="145"/>
      <c r="AC130" s="145"/>
      <c r="AD130" s="131"/>
      <c r="AE130" s="307"/>
      <c r="AF130" s="145"/>
      <c r="AG130" s="145"/>
      <c r="AH130" s="131"/>
      <c r="AI130" s="145"/>
      <c r="AJ130" s="131">
        <v>16381</v>
      </c>
      <c r="AK130" s="145">
        <v>75</v>
      </c>
      <c r="AL130" s="307"/>
      <c r="AM130" s="131">
        <v>4595</v>
      </c>
      <c r="AN130" s="145">
        <v>20</v>
      </c>
      <c r="AO130" s="307"/>
      <c r="AP130" s="145">
        <v>62</v>
      </c>
      <c r="AQ130" s="145">
        <v>20</v>
      </c>
      <c r="AR130" s="131"/>
      <c r="AS130" s="307"/>
      <c r="AT130" s="145">
        <v>920</v>
      </c>
      <c r="AU130" s="145">
        <v>25</v>
      </c>
      <c r="AV130" s="131">
        <v>24284</v>
      </c>
      <c r="AW130" s="145">
        <v>85</v>
      </c>
      <c r="AX130" s="133"/>
    </row>
    <row r="131" spans="1:50" s="107" customFormat="1" x14ac:dyDescent="0.2">
      <c r="A131" s="534" t="s">
        <v>4553</v>
      </c>
      <c r="B131" s="145">
        <v>93</v>
      </c>
      <c r="C131" s="145">
        <v>60</v>
      </c>
      <c r="D131" s="131">
        <v>375</v>
      </c>
      <c r="E131" s="307">
        <v>60</v>
      </c>
      <c r="F131" s="145"/>
      <c r="G131" s="145"/>
      <c r="H131" s="131"/>
      <c r="I131" s="307"/>
      <c r="J131" s="145">
        <v>469</v>
      </c>
      <c r="K131" s="145">
        <v>20</v>
      </c>
      <c r="L131" s="131">
        <v>2820</v>
      </c>
      <c r="M131" s="307"/>
      <c r="N131" s="145">
        <v>415</v>
      </c>
      <c r="O131" s="145">
        <v>85</v>
      </c>
      <c r="P131" s="131">
        <v>5368</v>
      </c>
      <c r="Q131" s="145">
        <v>35</v>
      </c>
      <c r="R131" s="307"/>
      <c r="S131" s="145">
        <v>772</v>
      </c>
      <c r="T131" s="145">
        <v>57</v>
      </c>
      <c r="U131" s="145">
        <v>0.5</v>
      </c>
      <c r="V131" s="131"/>
      <c r="W131" s="307"/>
      <c r="X131" s="145"/>
      <c r="Y131" s="145"/>
      <c r="Z131" s="131"/>
      <c r="AA131" s="307"/>
      <c r="AB131" s="145"/>
      <c r="AC131" s="145"/>
      <c r="AD131" s="131"/>
      <c r="AE131" s="307"/>
      <c r="AF131" s="145"/>
      <c r="AG131" s="145"/>
      <c r="AH131" s="131"/>
      <c r="AI131" s="145"/>
      <c r="AJ131" s="131">
        <v>8188</v>
      </c>
      <c r="AK131" s="145">
        <v>35</v>
      </c>
      <c r="AL131" s="307"/>
      <c r="AM131" s="131">
        <v>1188</v>
      </c>
      <c r="AN131" s="145">
        <v>42</v>
      </c>
      <c r="AO131" s="307">
        <v>0.5</v>
      </c>
      <c r="AP131" s="145"/>
      <c r="AQ131" s="145"/>
      <c r="AR131" s="131"/>
      <c r="AS131" s="307"/>
      <c r="AT131" s="145">
        <v>331</v>
      </c>
      <c r="AU131" s="145">
        <v>35</v>
      </c>
      <c r="AV131" s="131">
        <v>10177</v>
      </c>
      <c r="AW131" s="145">
        <v>32</v>
      </c>
      <c r="AX131" s="133">
        <v>0.5</v>
      </c>
    </row>
    <row r="132" spans="1:50" s="107" customFormat="1" x14ac:dyDescent="0.2">
      <c r="A132" s="534" t="s">
        <v>1526</v>
      </c>
      <c r="B132" s="145">
        <v>252</v>
      </c>
      <c r="C132" s="145"/>
      <c r="D132" s="131">
        <v>12</v>
      </c>
      <c r="E132" s="307"/>
      <c r="F132" s="145"/>
      <c r="G132" s="145"/>
      <c r="H132" s="131">
        <v>729</v>
      </c>
      <c r="I132" s="307">
        <v>80</v>
      </c>
      <c r="J132" s="145">
        <v>993</v>
      </c>
      <c r="K132" s="145">
        <v>80</v>
      </c>
      <c r="L132" s="131">
        <v>6147</v>
      </c>
      <c r="M132" s="307">
        <v>60</v>
      </c>
      <c r="N132" s="145">
        <v>1286</v>
      </c>
      <c r="O132" s="145">
        <v>60</v>
      </c>
      <c r="P132" s="131">
        <v>9617</v>
      </c>
      <c r="Q132" s="145">
        <v>40</v>
      </c>
      <c r="R132" s="307"/>
      <c r="S132" s="145">
        <v>1283</v>
      </c>
      <c r="T132" s="145">
        <v>60</v>
      </c>
      <c r="U132" s="145"/>
      <c r="V132" s="131"/>
      <c r="W132" s="307"/>
      <c r="X132" s="145"/>
      <c r="Y132" s="145"/>
      <c r="Z132" s="131"/>
      <c r="AA132" s="307"/>
      <c r="AB132" s="145"/>
      <c r="AC132" s="145"/>
      <c r="AD132" s="131">
        <v>667</v>
      </c>
      <c r="AE132" s="307">
        <v>65</v>
      </c>
      <c r="AF132" s="145"/>
      <c r="AG132" s="145"/>
      <c r="AH132" s="131">
        <v>2194</v>
      </c>
      <c r="AI132" s="145">
        <v>55</v>
      </c>
      <c r="AJ132" s="131">
        <v>18627</v>
      </c>
      <c r="AK132" s="145">
        <v>20</v>
      </c>
      <c r="AL132" s="307"/>
      <c r="AM132" s="131">
        <v>2570</v>
      </c>
      <c r="AN132" s="145">
        <v>20</v>
      </c>
      <c r="AO132" s="307"/>
      <c r="AP132" s="145"/>
      <c r="AQ132" s="145"/>
      <c r="AR132" s="131"/>
      <c r="AS132" s="307"/>
      <c r="AT132" s="145">
        <v>80</v>
      </c>
      <c r="AU132" s="145"/>
      <c r="AV132" s="131">
        <v>22271</v>
      </c>
      <c r="AW132" s="145">
        <v>20</v>
      </c>
      <c r="AX132" s="133"/>
    </row>
    <row r="133" spans="1:50" s="107" customFormat="1" x14ac:dyDescent="0.2">
      <c r="A133" s="534" t="s">
        <v>1373</v>
      </c>
      <c r="B133" s="145">
        <v>204</v>
      </c>
      <c r="C133" s="145"/>
      <c r="D133" s="131"/>
      <c r="E133" s="307"/>
      <c r="F133" s="145">
        <v>94</v>
      </c>
      <c r="G133" s="145">
        <v>65</v>
      </c>
      <c r="H133" s="131">
        <v>145</v>
      </c>
      <c r="I133" s="307">
        <v>40</v>
      </c>
      <c r="J133" s="145">
        <v>444</v>
      </c>
      <c r="K133" s="145">
        <v>5</v>
      </c>
      <c r="L133" s="131">
        <v>6381</v>
      </c>
      <c r="M133" s="307"/>
      <c r="N133" s="145">
        <v>532</v>
      </c>
      <c r="O133" s="145">
        <v>60</v>
      </c>
      <c r="P133" s="131">
        <v>9506</v>
      </c>
      <c r="Q133" s="145">
        <v>55</v>
      </c>
      <c r="R133" s="307"/>
      <c r="S133" s="145">
        <v>796</v>
      </c>
      <c r="T133" s="145">
        <v>50</v>
      </c>
      <c r="U133" s="145"/>
      <c r="V133" s="131">
        <v>720</v>
      </c>
      <c r="W133" s="307"/>
      <c r="X133" s="145">
        <v>60</v>
      </c>
      <c r="Y133" s="145">
        <v>50</v>
      </c>
      <c r="Z133" s="131"/>
      <c r="AA133" s="307"/>
      <c r="AB133" s="145"/>
      <c r="AC133" s="145"/>
      <c r="AD133" s="131">
        <v>480</v>
      </c>
      <c r="AE133" s="307"/>
      <c r="AF133" s="145">
        <v>40</v>
      </c>
      <c r="AG133" s="145">
        <v>25</v>
      </c>
      <c r="AH133" s="131"/>
      <c r="AI133" s="145"/>
      <c r="AJ133" s="131">
        <v>17087</v>
      </c>
      <c r="AK133" s="145">
        <v>55</v>
      </c>
      <c r="AL133" s="307"/>
      <c r="AM133" s="131">
        <v>1429</v>
      </c>
      <c r="AN133" s="145">
        <v>85</v>
      </c>
      <c r="AO133" s="307"/>
      <c r="AP133" s="145"/>
      <c r="AQ133" s="145"/>
      <c r="AR133" s="131"/>
      <c r="AS133" s="307"/>
      <c r="AT133" s="145">
        <v>859</v>
      </c>
      <c r="AU133" s="145">
        <v>50</v>
      </c>
      <c r="AV133" s="131">
        <v>19820</v>
      </c>
      <c r="AW133" s="145">
        <v>95</v>
      </c>
      <c r="AX133" s="133"/>
    </row>
    <row r="134" spans="1:50" s="107" customFormat="1" x14ac:dyDescent="0.2">
      <c r="A134" s="534" t="s">
        <v>1527</v>
      </c>
      <c r="B134" s="145">
        <v>120</v>
      </c>
      <c r="C134" s="145"/>
      <c r="D134" s="131">
        <v>19</v>
      </c>
      <c r="E134" s="307">
        <v>70</v>
      </c>
      <c r="F134" s="145">
        <v>67</v>
      </c>
      <c r="G134" s="145">
        <v>10</v>
      </c>
      <c r="H134" s="131">
        <v>92</v>
      </c>
      <c r="I134" s="307">
        <v>50</v>
      </c>
      <c r="J134" s="145">
        <v>299</v>
      </c>
      <c r="K134" s="145">
        <v>30</v>
      </c>
      <c r="L134" s="131">
        <v>4351</v>
      </c>
      <c r="M134" s="307">
        <v>95</v>
      </c>
      <c r="N134" s="145">
        <v>1123</v>
      </c>
      <c r="O134" s="145">
        <v>15</v>
      </c>
      <c r="P134" s="131">
        <v>8426</v>
      </c>
      <c r="Q134" s="145">
        <v>25</v>
      </c>
      <c r="R134" s="307"/>
      <c r="S134" s="145">
        <v>2171</v>
      </c>
      <c r="T134" s="145">
        <v>85</v>
      </c>
      <c r="U134" s="145"/>
      <c r="V134" s="131"/>
      <c r="W134" s="307"/>
      <c r="X134" s="145"/>
      <c r="Y134" s="145"/>
      <c r="Z134" s="131"/>
      <c r="AA134" s="307"/>
      <c r="AB134" s="145"/>
      <c r="AC134" s="145"/>
      <c r="AD134" s="131"/>
      <c r="AE134" s="307"/>
      <c r="AF134" s="145"/>
      <c r="AG134" s="145"/>
      <c r="AH134" s="131"/>
      <c r="AI134" s="145"/>
      <c r="AJ134" s="131">
        <v>12778</v>
      </c>
      <c r="AK134" s="145">
        <v>20</v>
      </c>
      <c r="AL134" s="307"/>
      <c r="AM134" s="131">
        <v>3295</v>
      </c>
      <c r="AN134" s="145"/>
      <c r="AO134" s="307"/>
      <c r="AP134" s="145"/>
      <c r="AQ134" s="145"/>
      <c r="AR134" s="131"/>
      <c r="AS134" s="307"/>
      <c r="AT134" s="145"/>
      <c r="AU134" s="145"/>
      <c r="AV134" s="131">
        <v>16372</v>
      </c>
      <c r="AW134" s="145">
        <v>50</v>
      </c>
      <c r="AX134" s="133"/>
    </row>
    <row r="135" spans="1:50" s="107" customFormat="1" x14ac:dyDescent="0.2">
      <c r="A135" s="823" t="s">
        <v>3573</v>
      </c>
      <c r="B135" s="240">
        <v>2040</v>
      </c>
      <c r="C135" s="318">
        <v>45</v>
      </c>
      <c r="D135" s="240">
        <v>1837</v>
      </c>
      <c r="E135" s="513">
        <v>75</v>
      </c>
      <c r="F135" s="318">
        <v>2310</v>
      </c>
      <c r="G135" s="318">
        <v>35</v>
      </c>
      <c r="H135" s="240">
        <v>2255</v>
      </c>
      <c r="I135" s="513">
        <v>80</v>
      </c>
      <c r="J135" s="318">
        <v>8444</v>
      </c>
      <c r="K135" s="318">
        <v>35</v>
      </c>
      <c r="L135" s="240">
        <v>63623</v>
      </c>
      <c r="M135" s="513">
        <v>30</v>
      </c>
      <c r="N135" s="318">
        <v>14692</v>
      </c>
      <c r="O135" s="318">
        <v>30</v>
      </c>
      <c r="P135" s="240">
        <v>104764</v>
      </c>
      <c r="Q135" s="318">
        <v>50</v>
      </c>
      <c r="R135" s="513"/>
      <c r="S135" s="318">
        <v>23410</v>
      </c>
      <c r="T135" s="318">
        <v>72</v>
      </c>
      <c r="U135" s="318">
        <v>0.5</v>
      </c>
      <c r="V135" s="240">
        <v>1237</v>
      </c>
      <c r="W135" s="513"/>
      <c r="X135" s="318">
        <v>167</v>
      </c>
      <c r="Y135" s="318">
        <v>50</v>
      </c>
      <c r="Z135" s="240">
        <v>672</v>
      </c>
      <c r="AA135" s="513"/>
      <c r="AB135" s="318">
        <v>143</v>
      </c>
      <c r="AC135" s="318"/>
      <c r="AD135" s="240">
        <v>2396</v>
      </c>
      <c r="AE135" s="513">
        <v>60</v>
      </c>
      <c r="AF135" s="318">
        <v>332</v>
      </c>
      <c r="AG135" s="318">
        <v>50</v>
      </c>
      <c r="AH135" s="240">
        <v>2194</v>
      </c>
      <c r="AI135" s="318">
        <v>55</v>
      </c>
      <c r="AJ135" s="240">
        <v>174887</v>
      </c>
      <c r="AK135" s="318">
        <v>95</v>
      </c>
      <c r="AL135" s="513"/>
      <c r="AM135" s="240">
        <v>38746</v>
      </c>
      <c r="AN135" s="318">
        <v>2</v>
      </c>
      <c r="AO135" s="513">
        <v>0.5</v>
      </c>
      <c r="AP135" s="318">
        <v>838</v>
      </c>
      <c r="AQ135" s="318">
        <v>35</v>
      </c>
      <c r="AR135" s="240">
        <v>4037</v>
      </c>
      <c r="AS135" s="513">
        <v>95</v>
      </c>
      <c r="AT135" s="318">
        <v>6293</v>
      </c>
      <c r="AU135" s="318">
        <v>55</v>
      </c>
      <c r="AV135" s="240">
        <v>238248</v>
      </c>
      <c r="AW135" s="318">
        <v>17</v>
      </c>
      <c r="AX135" s="241">
        <v>0.5</v>
      </c>
    </row>
    <row r="136" spans="1:50" s="107" customFormat="1" x14ac:dyDescent="0.2">
      <c r="B136" s="393">
        <f>+SUM(B127:B134)</f>
        <v>2038</v>
      </c>
      <c r="C136" s="393">
        <f t="shared" ref="C136:AX136" si="3">+SUM(C127:C134)</f>
        <v>245</v>
      </c>
      <c r="D136" s="393">
        <f t="shared" si="3"/>
        <v>1836</v>
      </c>
      <c r="E136" s="393">
        <f t="shared" si="3"/>
        <v>175</v>
      </c>
      <c r="F136" s="393">
        <f t="shared" si="3"/>
        <v>2309</v>
      </c>
      <c r="G136" s="393">
        <f t="shared" si="3"/>
        <v>135</v>
      </c>
      <c r="H136" s="393">
        <f t="shared" si="3"/>
        <v>2253</v>
      </c>
      <c r="I136" s="393">
        <f t="shared" si="3"/>
        <v>280</v>
      </c>
      <c r="J136" s="393">
        <f t="shared" si="3"/>
        <v>8442</v>
      </c>
      <c r="K136" s="393">
        <f t="shared" si="3"/>
        <v>235</v>
      </c>
      <c r="L136" s="393">
        <f t="shared" si="3"/>
        <v>63620</v>
      </c>
      <c r="M136" s="393">
        <f t="shared" si="3"/>
        <v>330</v>
      </c>
      <c r="N136" s="393">
        <f t="shared" si="3"/>
        <v>14689</v>
      </c>
      <c r="O136" s="393">
        <f t="shared" si="3"/>
        <v>330</v>
      </c>
      <c r="P136" s="393">
        <f t="shared" si="3"/>
        <v>104761</v>
      </c>
      <c r="Q136" s="393">
        <f t="shared" si="3"/>
        <v>350</v>
      </c>
      <c r="R136" s="393">
        <f t="shared" si="3"/>
        <v>0</v>
      </c>
      <c r="S136" s="393">
        <f t="shared" si="3"/>
        <v>23407</v>
      </c>
      <c r="T136" s="393">
        <f t="shared" si="3"/>
        <v>372</v>
      </c>
      <c r="U136" s="393">
        <f t="shared" si="3"/>
        <v>0.5</v>
      </c>
      <c r="V136" s="393">
        <f t="shared" si="3"/>
        <v>1237</v>
      </c>
      <c r="W136" s="393">
        <f t="shared" si="3"/>
        <v>0</v>
      </c>
      <c r="X136" s="393">
        <f t="shared" si="3"/>
        <v>167</v>
      </c>
      <c r="Y136" s="393">
        <f t="shared" si="3"/>
        <v>50</v>
      </c>
      <c r="Z136" s="393">
        <f t="shared" si="3"/>
        <v>672</v>
      </c>
      <c r="AA136" s="393">
        <f t="shared" si="3"/>
        <v>0</v>
      </c>
      <c r="AB136" s="393">
        <f t="shared" si="3"/>
        <v>143</v>
      </c>
      <c r="AC136" s="393">
        <f t="shared" si="3"/>
        <v>0</v>
      </c>
      <c r="AD136" s="393">
        <f t="shared" si="3"/>
        <v>2395</v>
      </c>
      <c r="AE136" s="393">
        <f t="shared" si="3"/>
        <v>160</v>
      </c>
      <c r="AF136" s="393">
        <f t="shared" si="3"/>
        <v>331</v>
      </c>
      <c r="AG136" s="393">
        <f t="shared" si="3"/>
        <v>150</v>
      </c>
      <c r="AH136" s="393">
        <f t="shared" si="3"/>
        <v>2194</v>
      </c>
      <c r="AI136" s="393">
        <f t="shared" si="3"/>
        <v>55</v>
      </c>
      <c r="AJ136" s="393">
        <f t="shared" si="3"/>
        <v>174885</v>
      </c>
      <c r="AK136" s="393">
        <f t="shared" si="3"/>
        <v>295</v>
      </c>
      <c r="AL136" s="393">
        <f t="shared" si="3"/>
        <v>0</v>
      </c>
      <c r="AM136" s="393">
        <f t="shared" si="3"/>
        <v>38743</v>
      </c>
      <c r="AN136" s="393">
        <f t="shared" si="3"/>
        <v>302</v>
      </c>
      <c r="AO136" s="393">
        <f t="shared" si="3"/>
        <v>0.5</v>
      </c>
      <c r="AP136" s="393">
        <f t="shared" si="3"/>
        <v>838</v>
      </c>
      <c r="AQ136" s="393">
        <f t="shared" si="3"/>
        <v>35</v>
      </c>
      <c r="AR136" s="393">
        <f t="shared" si="3"/>
        <v>4037</v>
      </c>
      <c r="AS136" s="393">
        <f t="shared" si="3"/>
        <v>95</v>
      </c>
      <c r="AT136" s="393">
        <f t="shared" si="3"/>
        <v>6292</v>
      </c>
      <c r="AU136" s="393">
        <f t="shared" si="3"/>
        <v>155</v>
      </c>
      <c r="AV136" s="393">
        <f t="shared" si="3"/>
        <v>233243</v>
      </c>
      <c r="AW136" s="393">
        <f t="shared" si="3"/>
        <v>517</v>
      </c>
      <c r="AX136" s="1078">
        <f t="shared" si="3"/>
        <v>0.5</v>
      </c>
    </row>
    <row r="137" spans="1:50" s="107" customFormat="1" x14ac:dyDescent="0.2"/>
    <row r="138" spans="1:50" s="107" customFormat="1" x14ac:dyDescent="0.2"/>
    <row r="139" spans="1:50" s="107" customFormat="1" x14ac:dyDescent="0.2">
      <c r="A139" s="526" t="s">
        <v>1988</v>
      </c>
    </row>
    <row r="140" spans="1:50" s="107" customFormat="1" ht="34.75" customHeight="1" x14ac:dyDescent="0.2">
      <c r="A140" s="1287" t="s">
        <v>4602</v>
      </c>
      <c r="B140" s="1288"/>
      <c r="C140" s="1288"/>
      <c r="D140" s="1288"/>
      <c r="E140" s="1288"/>
      <c r="F140" s="1288"/>
      <c r="G140" s="1288"/>
      <c r="H140" s="1288"/>
      <c r="I140" s="1288"/>
      <c r="J140" s="1288"/>
      <c r="K140" s="1289"/>
    </row>
    <row r="141" spans="1:50" s="107" customFormat="1" ht="25.25" customHeight="1" x14ac:dyDescent="0.2">
      <c r="A141" s="616" t="s">
        <v>4603</v>
      </c>
      <c r="B141" s="617"/>
      <c r="C141" s="617"/>
      <c r="D141" s="617"/>
      <c r="E141" s="617"/>
      <c r="F141" s="617"/>
      <c r="G141" s="617"/>
      <c r="H141" s="617"/>
      <c r="I141" s="617"/>
      <c r="J141" s="617"/>
      <c r="K141" s="618"/>
    </row>
    <row r="142" spans="1:50" s="1360" customFormat="1" ht="27" customHeight="1" x14ac:dyDescent="0.15">
      <c r="A142" s="967"/>
      <c r="B142" s="1357" t="s">
        <v>4056</v>
      </c>
      <c r="C142" s="1358"/>
      <c r="D142" s="1358"/>
      <c r="E142" s="1358"/>
      <c r="F142" s="1358"/>
      <c r="G142" s="1358"/>
      <c r="H142" s="1358"/>
      <c r="I142" s="1358"/>
      <c r="J142" s="1358"/>
      <c r="K142" s="1359"/>
    </row>
    <row r="143" spans="1:50" s="1343" customFormat="1" ht="19.25" customHeight="1" x14ac:dyDescent="0.15">
      <c r="A143" s="967"/>
      <c r="B143" s="967" t="s">
        <v>4058</v>
      </c>
      <c r="C143" s="967"/>
      <c r="D143" s="967"/>
      <c r="E143" s="967"/>
      <c r="F143" s="967"/>
      <c r="G143" s="608" t="s">
        <v>4059</v>
      </c>
      <c r="H143" s="778"/>
      <c r="I143" s="778"/>
      <c r="J143" s="778"/>
      <c r="K143" s="609"/>
    </row>
    <row r="144" spans="1:50" s="1343" customFormat="1" x14ac:dyDescent="0.15">
      <c r="A144" s="967"/>
      <c r="B144" s="608" t="s">
        <v>4065</v>
      </c>
      <c r="C144" s="778"/>
      <c r="D144" s="609"/>
      <c r="E144" s="608" t="s">
        <v>4066</v>
      </c>
      <c r="F144" s="609"/>
      <c r="G144" s="608" t="s">
        <v>4604</v>
      </c>
      <c r="H144" s="778"/>
      <c r="I144" s="609"/>
      <c r="J144" s="608" t="s">
        <v>4066</v>
      </c>
      <c r="K144" s="609"/>
    </row>
    <row r="145" spans="1:20" s="1362" customFormat="1" ht="14" x14ac:dyDescent="0.15">
      <c r="A145" s="967"/>
      <c r="B145" s="1290" t="s">
        <v>4605</v>
      </c>
      <c r="C145" s="1291" t="s">
        <v>3406</v>
      </c>
      <c r="D145" s="1292"/>
      <c r="E145" s="1290" t="s">
        <v>4605</v>
      </c>
      <c r="F145" s="1290" t="s">
        <v>3406</v>
      </c>
      <c r="G145" s="1361" t="s">
        <v>4605</v>
      </c>
      <c r="H145" s="1291" t="s">
        <v>3406</v>
      </c>
      <c r="I145" s="1293"/>
      <c r="J145" s="1290" t="s">
        <v>4605</v>
      </c>
      <c r="K145" s="1290" t="s">
        <v>3406</v>
      </c>
    </row>
    <row r="146" spans="1:20" s="107" customFormat="1" ht="38.5" customHeight="1" x14ac:dyDescent="0.2">
      <c r="A146" s="808" t="s">
        <v>1341</v>
      </c>
      <c r="B146" s="309">
        <v>804</v>
      </c>
      <c r="C146" s="309">
        <v>55632</v>
      </c>
      <c r="D146" s="309">
        <v>0.5</v>
      </c>
      <c r="E146" s="230">
        <v>543</v>
      </c>
      <c r="F146" s="364">
        <v>596244</v>
      </c>
      <c r="G146" s="309">
        <v>781</v>
      </c>
      <c r="H146" s="309">
        <v>55475</v>
      </c>
      <c r="I146" s="309"/>
      <c r="J146" s="240">
        <v>534</v>
      </c>
      <c r="K146" s="513">
        <v>590812</v>
      </c>
    </row>
    <row r="147" spans="1:20" s="107" customFormat="1" x14ac:dyDescent="0.2"/>
    <row r="148" spans="1:20" s="107" customFormat="1" ht="17.5" customHeight="1" x14ac:dyDescent="0.2"/>
    <row r="149" spans="1:20" s="1343" customFormat="1" ht="31.75" customHeight="1" x14ac:dyDescent="0.15">
      <c r="A149" s="1363"/>
      <c r="B149" s="1364" t="s">
        <v>4606</v>
      </c>
      <c r="C149" s="608" t="s">
        <v>4607</v>
      </c>
      <c r="D149" s="778"/>
      <c r="E149" s="778"/>
      <c r="F149" s="778"/>
      <c r="G149" s="778"/>
      <c r="H149" s="778"/>
      <c r="I149" s="778"/>
      <c r="J149" s="778"/>
      <c r="K149" s="778"/>
      <c r="L149" s="778"/>
      <c r="M149" s="778"/>
      <c r="N149" s="778"/>
      <c r="O149" s="778"/>
      <c r="P149" s="778"/>
      <c r="Q149" s="778"/>
      <c r="R149" s="609"/>
      <c r="S149" s="1365" t="s">
        <v>4608</v>
      </c>
      <c r="T149" s="1365"/>
    </row>
    <row r="150" spans="1:20" s="1343" customFormat="1" ht="33" customHeight="1" x14ac:dyDescent="0.15">
      <c r="A150" s="1366"/>
      <c r="B150" s="1367"/>
      <c r="C150" s="1365" t="s">
        <v>4609</v>
      </c>
      <c r="D150" s="1365"/>
      <c r="E150" s="1365" t="s">
        <v>4610</v>
      </c>
      <c r="F150" s="1365"/>
      <c r="G150" s="1365" t="s">
        <v>4611</v>
      </c>
      <c r="H150" s="1365"/>
      <c r="I150" s="1365" t="s">
        <v>4612</v>
      </c>
      <c r="J150" s="1365"/>
      <c r="K150" s="1365" t="s">
        <v>4613</v>
      </c>
      <c r="L150" s="1365"/>
      <c r="M150" s="1365" t="s">
        <v>4614</v>
      </c>
      <c r="N150" s="1365"/>
      <c r="O150" s="1365" t="s">
        <v>4615</v>
      </c>
      <c r="P150" s="1365"/>
      <c r="Q150" s="1365" t="s">
        <v>3276</v>
      </c>
      <c r="R150" s="1365"/>
      <c r="S150" s="1365"/>
      <c r="T150" s="1365"/>
    </row>
    <row r="151" spans="1:20" s="1343" customFormat="1" x14ac:dyDescent="0.15">
      <c r="A151" s="1366"/>
      <c r="B151" s="1368" t="s">
        <v>3407</v>
      </c>
      <c r="C151" s="1368" t="s">
        <v>3486</v>
      </c>
      <c r="D151" s="1368" t="s">
        <v>3282</v>
      </c>
      <c r="E151" s="1368" t="s">
        <v>3486</v>
      </c>
      <c r="F151" s="1368" t="s">
        <v>3282</v>
      </c>
      <c r="G151" s="1368" t="s">
        <v>3486</v>
      </c>
      <c r="H151" s="1368" t="s">
        <v>3282</v>
      </c>
      <c r="I151" s="1368" t="s">
        <v>3486</v>
      </c>
      <c r="J151" s="1368" t="s">
        <v>3282</v>
      </c>
      <c r="K151" s="1368" t="s">
        <v>3486</v>
      </c>
      <c r="L151" s="1368" t="s">
        <v>3282</v>
      </c>
      <c r="M151" s="1368" t="s">
        <v>3486</v>
      </c>
      <c r="N151" s="1368" t="s">
        <v>3282</v>
      </c>
      <c r="O151" s="1368" t="s">
        <v>3486</v>
      </c>
      <c r="P151" s="1368" t="s">
        <v>3282</v>
      </c>
      <c r="Q151" s="1368" t="s">
        <v>3486</v>
      </c>
      <c r="R151" s="1368" t="s">
        <v>3282</v>
      </c>
      <c r="S151" s="1368" t="s">
        <v>3488</v>
      </c>
      <c r="T151" s="1368" t="s">
        <v>3374</v>
      </c>
    </row>
    <row r="152" spans="1:20" s="107" customFormat="1" ht="30.5" customHeight="1" x14ac:dyDescent="0.2">
      <c r="A152" s="230" t="s">
        <v>4616</v>
      </c>
      <c r="B152" s="808">
        <v>1944064</v>
      </c>
      <c r="C152" s="240">
        <v>13379439</v>
      </c>
      <c r="D152" s="513">
        <v>94</v>
      </c>
      <c r="E152" s="318">
        <v>8063244</v>
      </c>
      <c r="F152" s="318">
        <v>750</v>
      </c>
      <c r="G152" s="240">
        <v>2818022</v>
      </c>
      <c r="H152" s="513">
        <v>250</v>
      </c>
      <c r="I152" s="318">
        <v>2125973</v>
      </c>
      <c r="J152" s="318"/>
      <c r="K152" s="240">
        <v>2995871</v>
      </c>
      <c r="L152" s="513">
        <v>410</v>
      </c>
      <c r="M152" s="318">
        <v>2470547</v>
      </c>
      <c r="N152" s="318">
        <v>710</v>
      </c>
      <c r="O152" s="240">
        <v>214396</v>
      </c>
      <c r="P152" s="513">
        <v>630</v>
      </c>
      <c r="Q152" s="318">
        <v>32067494</v>
      </c>
      <c r="R152" s="318">
        <v>844</v>
      </c>
      <c r="S152" s="240">
        <v>9926486</v>
      </c>
      <c r="T152" s="513">
        <v>26</v>
      </c>
    </row>
    <row r="153" spans="1:20" s="107" customFormat="1" x14ac:dyDescent="0.2"/>
    <row r="154" spans="1:20" s="107" customFormat="1" x14ac:dyDescent="0.2"/>
    <row r="155" spans="1:20" s="107" customFormat="1" x14ac:dyDescent="0.2">
      <c r="A155" s="793"/>
      <c r="B155" s="1364" t="s">
        <v>4606</v>
      </c>
      <c r="C155" s="793" t="s">
        <v>4617</v>
      </c>
      <c r="D155" s="793"/>
      <c r="E155" s="793"/>
      <c r="F155" s="793"/>
      <c r="G155" s="793"/>
      <c r="H155" s="793"/>
      <c r="I155" s="793"/>
      <c r="J155" s="793"/>
      <c r="K155" s="793"/>
      <c r="L155" s="1365" t="s">
        <v>4618</v>
      </c>
      <c r="M155" s="1365"/>
    </row>
    <row r="156" spans="1:20" s="1362" customFormat="1" ht="31.75" customHeight="1" x14ac:dyDescent="0.15">
      <c r="A156" s="793"/>
      <c r="B156" s="1367"/>
      <c r="C156" s="1290" t="s">
        <v>4187</v>
      </c>
      <c r="D156" s="1365" t="s">
        <v>4619</v>
      </c>
      <c r="E156" s="1365"/>
      <c r="F156" s="1365" t="s">
        <v>4189</v>
      </c>
      <c r="G156" s="1365"/>
      <c r="H156" s="1365" t="s">
        <v>4620</v>
      </c>
      <c r="I156" s="1365"/>
      <c r="J156" s="1365" t="s">
        <v>4621</v>
      </c>
      <c r="K156" s="1365"/>
      <c r="L156" s="1365"/>
      <c r="M156" s="1365"/>
    </row>
    <row r="157" spans="1:20" s="1369" customFormat="1" ht="12" x14ac:dyDescent="0.15">
      <c r="A157" s="793"/>
      <c r="B157" s="1273" t="s">
        <v>3407</v>
      </c>
      <c r="C157" s="1273" t="s">
        <v>4605</v>
      </c>
      <c r="D157" s="1273" t="s">
        <v>3486</v>
      </c>
      <c r="E157" s="1273" t="s">
        <v>3282</v>
      </c>
      <c r="F157" s="1273" t="s">
        <v>3486</v>
      </c>
      <c r="G157" s="1273" t="s">
        <v>3282</v>
      </c>
      <c r="H157" s="1273" t="s">
        <v>3486</v>
      </c>
      <c r="I157" s="1273" t="s">
        <v>3282</v>
      </c>
      <c r="J157" s="1273" t="s">
        <v>3486</v>
      </c>
      <c r="K157" s="1273" t="s">
        <v>3282</v>
      </c>
      <c r="L157" s="1273" t="s">
        <v>3488</v>
      </c>
      <c r="M157" s="1273" t="s">
        <v>3374</v>
      </c>
    </row>
    <row r="158" spans="1:20" s="107" customFormat="1" ht="26.5" customHeight="1" x14ac:dyDescent="0.2">
      <c r="A158" s="230" t="s">
        <v>4616</v>
      </c>
      <c r="B158" s="808">
        <v>1088277</v>
      </c>
      <c r="C158" s="309">
        <v>29848</v>
      </c>
      <c r="D158" s="240">
        <v>6443627</v>
      </c>
      <c r="E158" s="513">
        <v>500</v>
      </c>
      <c r="F158" s="309">
        <v>1477741</v>
      </c>
      <c r="G158" s="309"/>
      <c r="H158" s="240">
        <v>38700467</v>
      </c>
      <c r="I158" s="513"/>
      <c r="J158" s="309">
        <v>512748</v>
      </c>
      <c r="K158" s="309">
        <v>500</v>
      </c>
      <c r="L158" s="240">
        <v>13501178</v>
      </c>
      <c r="M158" s="513">
        <v>12</v>
      </c>
    </row>
    <row r="159" spans="1:20" s="107" customFormat="1" ht="25.75" customHeight="1" x14ac:dyDescent="0.2"/>
    <row r="160" spans="1:20" s="107" customFormat="1" x14ac:dyDescent="0.2"/>
    <row r="161" spans="1:34" s="107" customFormat="1" x14ac:dyDescent="0.2"/>
    <row r="162" spans="1:34" s="107" customFormat="1" x14ac:dyDescent="0.2">
      <c r="A162" s="526" t="s">
        <v>1993</v>
      </c>
    </row>
    <row r="163" spans="1:34" s="1370" customFormat="1" ht="35.5" customHeight="1" x14ac:dyDescent="0.15">
      <c r="A163" s="1272" t="s">
        <v>4622</v>
      </c>
      <c r="B163" s="1272"/>
      <c r="C163" s="1272"/>
      <c r="D163" s="1272"/>
      <c r="E163" s="1272"/>
      <c r="F163" s="1272"/>
      <c r="G163" s="1272"/>
      <c r="H163" s="1272"/>
      <c r="I163" s="1272"/>
      <c r="J163" s="1272"/>
      <c r="K163" s="1272"/>
      <c r="L163" s="1272"/>
      <c r="M163" s="1272"/>
      <c r="N163" s="1272"/>
      <c r="O163" s="1272"/>
      <c r="P163" s="1272"/>
      <c r="Q163" s="1272"/>
      <c r="R163" s="1272"/>
      <c r="S163" s="1272"/>
      <c r="T163" s="1272"/>
    </row>
    <row r="164" spans="1:34" s="1343" customFormat="1" ht="22.75" customHeight="1" x14ac:dyDescent="0.15">
      <c r="A164" s="967" t="s">
        <v>3254</v>
      </c>
      <c r="B164" s="967" t="s">
        <v>3376</v>
      </c>
      <c r="C164" s="609" t="s">
        <v>4056</v>
      </c>
      <c r="D164" s="967"/>
      <c r="E164" s="967"/>
      <c r="F164" s="967"/>
      <c r="G164" s="967"/>
      <c r="H164" s="967"/>
      <c r="I164" s="967"/>
      <c r="J164" s="967"/>
      <c r="K164" s="967"/>
      <c r="L164" s="967"/>
      <c r="M164" s="967"/>
      <c r="N164" s="967"/>
      <c r="O164" s="967"/>
      <c r="P164" s="967"/>
      <c r="Q164" s="967"/>
      <c r="R164" s="967"/>
      <c r="S164" s="967"/>
      <c r="T164" s="967"/>
    </row>
    <row r="165" spans="1:34" s="1343" customFormat="1" ht="20.5" customHeight="1" x14ac:dyDescent="0.15">
      <c r="A165" s="967"/>
      <c r="B165" s="967"/>
      <c r="C165" s="609" t="s">
        <v>4058</v>
      </c>
      <c r="D165" s="967"/>
      <c r="E165" s="967"/>
      <c r="F165" s="967"/>
      <c r="G165" s="967"/>
      <c r="H165" s="967"/>
      <c r="I165" s="967"/>
      <c r="J165" s="967"/>
      <c r="K165" s="967"/>
      <c r="L165" s="967" t="s">
        <v>4059</v>
      </c>
      <c r="M165" s="967"/>
      <c r="N165" s="967"/>
      <c r="O165" s="967"/>
      <c r="P165" s="967"/>
      <c r="Q165" s="967"/>
      <c r="R165" s="967"/>
      <c r="S165" s="967"/>
      <c r="T165" s="967"/>
    </row>
    <row r="166" spans="1:34" s="1343" customFormat="1" ht="18.5" customHeight="1" x14ac:dyDescent="0.15">
      <c r="A166" s="967"/>
      <c r="B166" s="967"/>
      <c r="C166" s="609" t="s">
        <v>4623</v>
      </c>
      <c r="D166" s="967"/>
      <c r="E166" s="967"/>
      <c r="F166" s="967"/>
      <c r="G166" s="967"/>
      <c r="H166" s="967" t="s">
        <v>4624</v>
      </c>
      <c r="I166" s="967"/>
      <c r="J166" s="967"/>
      <c r="K166" s="967"/>
      <c r="L166" s="967" t="s">
        <v>4623</v>
      </c>
      <c r="M166" s="967"/>
      <c r="N166" s="967"/>
      <c r="O166" s="967"/>
      <c r="P166" s="967"/>
      <c r="Q166" s="967" t="s">
        <v>4624</v>
      </c>
      <c r="R166" s="967"/>
      <c r="S166" s="967"/>
      <c r="T166" s="967"/>
    </row>
    <row r="167" spans="1:34" s="1343" customFormat="1" ht="21" customHeight="1" x14ac:dyDescent="0.15">
      <c r="A167" s="967"/>
      <c r="B167" s="967"/>
      <c r="C167" s="967" t="s">
        <v>4605</v>
      </c>
      <c r="D167" s="967"/>
      <c r="E167" s="967" t="s">
        <v>1636</v>
      </c>
      <c r="F167" s="967"/>
      <c r="G167" s="967"/>
      <c r="H167" s="609" t="s">
        <v>4605</v>
      </c>
      <c r="I167" s="967"/>
      <c r="J167" s="967" t="s">
        <v>1636</v>
      </c>
      <c r="K167" s="967"/>
      <c r="L167" s="967" t="s">
        <v>4605</v>
      </c>
      <c r="M167" s="967"/>
      <c r="N167" s="967" t="s">
        <v>1636</v>
      </c>
      <c r="O167" s="967"/>
      <c r="P167" s="967"/>
      <c r="Q167" s="967" t="s">
        <v>4605</v>
      </c>
      <c r="R167" s="967"/>
      <c r="S167" s="967" t="s">
        <v>1636</v>
      </c>
      <c r="T167" s="967"/>
    </row>
    <row r="168" spans="1:34" s="107" customFormat="1" ht="16.75" customHeight="1" x14ac:dyDescent="0.2">
      <c r="A168" s="1371" t="s">
        <v>1341</v>
      </c>
      <c r="B168" s="533" t="s">
        <v>4549</v>
      </c>
      <c r="C168" s="131"/>
      <c r="D168" s="307">
        <v>923</v>
      </c>
      <c r="E168" s="145"/>
      <c r="F168" s="145">
        <v>40462</v>
      </c>
      <c r="G168" s="180">
        <v>0.5</v>
      </c>
      <c r="H168" s="349"/>
      <c r="I168" s="717">
        <v>588</v>
      </c>
      <c r="J168" s="145"/>
      <c r="K168" s="145">
        <v>668713</v>
      </c>
      <c r="L168" s="349"/>
      <c r="M168" s="717">
        <v>902</v>
      </c>
      <c r="N168" s="145"/>
      <c r="O168" s="145">
        <v>57824</v>
      </c>
      <c r="P168" s="180">
        <v>0.5</v>
      </c>
      <c r="Q168" s="349"/>
      <c r="R168" s="717">
        <v>587</v>
      </c>
      <c r="S168" s="145"/>
      <c r="T168" s="307">
        <v>666883</v>
      </c>
    </row>
    <row r="169" spans="1:34" s="107" customFormat="1" x14ac:dyDescent="0.2">
      <c r="A169" s="781"/>
      <c r="B169" s="533" t="s">
        <v>4550</v>
      </c>
      <c r="C169" s="131"/>
      <c r="D169" s="307">
        <v>804</v>
      </c>
      <c r="E169" s="230"/>
      <c r="F169" s="309">
        <v>55632</v>
      </c>
      <c r="G169" s="180"/>
      <c r="H169" s="131"/>
      <c r="I169" s="307">
        <v>543</v>
      </c>
      <c r="J169" s="145"/>
      <c r="K169" s="145">
        <v>596244</v>
      </c>
      <c r="L169" s="131"/>
      <c r="M169" s="307">
        <v>781</v>
      </c>
      <c r="N169" s="145"/>
      <c r="O169" s="145">
        <v>55475</v>
      </c>
      <c r="P169" s="180"/>
      <c r="Q169" s="131"/>
      <c r="R169" s="307">
        <v>534</v>
      </c>
      <c r="S169" s="145"/>
      <c r="T169" s="307">
        <v>590812</v>
      </c>
    </row>
    <row r="170" spans="1:34" s="107" customFormat="1" x14ac:dyDescent="0.2">
      <c r="A170" s="1372"/>
      <c r="B170" s="808" t="s">
        <v>4625</v>
      </c>
      <c r="C170" s="1373" t="s">
        <v>4626</v>
      </c>
      <c r="D170" s="513">
        <v>119</v>
      </c>
      <c r="E170" s="1374" t="s">
        <v>3559</v>
      </c>
      <c r="F170" s="318">
        <v>15169</v>
      </c>
      <c r="G170" s="319">
        <v>0.5</v>
      </c>
      <c r="H170" s="1373" t="s">
        <v>4626</v>
      </c>
      <c r="I170" s="513">
        <v>45</v>
      </c>
      <c r="J170" s="1373" t="s">
        <v>4626</v>
      </c>
      <c r="K170" s="318">
        <v>72469</v>
      </c>
      <c r="L170" s="1373" t="s">
        <v>4626</v>
      </c>
      <c r="M170" s="513">
        <v>121</v>
      </c>
      <c r="N170" s="1373" t="s">
        <v>4626</v>
      </c>
      <c r="O170" s="318">
        <v>2349</v>
      </c>
      <c r="P170" s="319">
        <v>0.5</v>
      </c>
      <c r="Q170" s="1373" t="s">
        <v>4626</v>
      </c>
      <c r="R170" s="513">
        <v>53</v>
      </c>
      <c r="S170" s="1373" t="s">
        <v>4626</v>
      </c>
      <c r="T170" s="513">
        <v>76071</v>
      </c>
    </row>
    <row r="171" spans="1:34" s="107" customFormat="1" x14ac:dyDescent="0.2">
      <c r="D171" s="393">
        <f>+D169-D168</f>
        <v>-119</v>
      </c>
      <c r="F171" s="393">
        <f>+F169-F168</f>
        <v>15170</v>
      </c>
      <c r="G171" s="1078">
        <f>+G169-G168</f>
        <v>-0.5</v>
      </c>
      <c r="I171" s="393">
        <f>+I169-I168</f>
        <v>-45</v>
      </c>
      <c r="K171" s="393">
        <f>+K169-K168</f>
        <v>-72469</v>
      </c>
      <c r="M171" s="393">
        <f>+M169-M168</f>
        <v>-121</v>
      </c>
      <c r="O171" s="393">
        <f>+O169-O168</f>
        <v>-2349</v>
      </c>
      <c r="P171" s="1078">
        <f>+P169-P168</f>
        <v>-0.5</v>
      </c>
      <c r="R171" s="393">
        <f>+R169-R168</f>
        <v>-53</v>
      </c>
      <c r="T171" s="393">
        <f>+T169-T168</f>
        <v>-76071</v>
      </c>
    </row>
    <row r="172" spans="1:34" s="1343" customFormat="1" ht="30.5" customHeight="1" x14ac:dyDescent="0.15">
      <c r="A172" s="967" t="s">
        <v>3254</v>
      </c>
      <c r="B172" s="967" t="s">
        <v>3376</v>
      </c>
      <c r="C172" s="602" t="s">
        <v>4627</v>
      </c>
      <c r="D172" s="603"/>
      <c r="E172" s="967" t="s">
        <v>4628</v>
      </c>
      <c r="F172" s="967"/>
      <c r="G172" s="967"/>
      <c r="H172" s="967"/>
      <c r="I172" s="967"/>
      <c r="J172" s="967"/>
      <c r="K172" s="967"/>
      <c r="L172" s="967"/>
      <c r="M172" s="967"/>
      <c r="N172" s="967"/>
      <c r="O172" s="967"/>
      <c r="P172" s="967"/>
      <c r="Q172" s="967"/>
      <c r="R172" s="967"/>
      <c r="S172" s="967"/>
      <c r="T172" s="967"/>
      <c r="U172" s="967"/>
      <c r="V172" s="967"/>
      <c r="W172" s="967"/>
      <c r="X172" s="967"/>
      <c r="Y172" s="967"/>
      <c r="Z172" s="967"/>
      <c r="AA172" s="967"/>
      <c r="AB172" s="967"/>
      <c r="AC172" s="967"/>
      <c r="AD172" s="967"/>
      <c r="AE172" s="967"/>
      <c r="AF172" s="967" t="s">
        <v>4629</v>
      </c>
      <c r="AG172" s="967"/>
      <c r="AH172" s="967"/>
    </row>
    <row r="173" spans="1:34" s="1343" customFormat="1" ht="19.75" customHeight="1" x14ac:dyDescent="0.15">
      <c r="A173" s="967"/>
      <c r="B173" s="967"/>
      <c r="C173" s="606"/>
      <c r="D173" s="607"/>
      <c r="E173" s="967" t="s">
        <v>4609</v>
      </c>
      <c r="F173" s="967"/>
      <c r="G173" s="967"/>
      <c r="H173" s="967" t="s">
        <v>4610</v>
      </c>
      <c r="I173" s="967"/>
      <c r="J173" s="967"/>
      <c r="K173" s="967" t="s">
        <v>4611</v>
      </c>
      <c r="L173" s="967"/>
      <c r="M173" s="967"/>
      <c r="N173" s="967" t="s">
        <v>4612</v>
      </c>
      <c r="O173" s="967"/>
      <c r="P173" s="967"/>
      <c r="Q173" s="967" t="s">
        <v>4613</v>
      </c>
      <c r="R173" s="967"/>
      <c r="S173" s="967"/>
      <c r="T173" s="967" t="s">
        <v>4630</v>
      </c>
      <c r="U173" s="967"/>
      <c r="V173" s="967"/>
      <c r="W173" s="967" t="s">
        <v>4631</v>
      </c>
      <c r="X173" s="967"/>
      <c r="Y173" s="967"/>
      <c r="Z173" s="967" t="s">
        <v>4632</v>
      </c>
      <c r="AA173" s="967"/>
      <c r="AB173" s="967"/>
      <c r="AC173" s="967" t="s">
        <v>3276</v>
      </c>
      <c r="AD173" s="967"/>
      <c r="AE173" s="967"/>
      <c r="AF173" s="967"/>
      <c r="AG173" s="967"/>
      <c r="AH173" s="967"/>
    </row>
    <row r="174" spans="1:34" s="1362" customFormat="1" ht="21.5" customHeight="1" x14ac:dyDescent="0.15">
      <c r="A174" s="967"/>
      <c r="B174" s="967"/>
      <c r="C174" s="1291" t="s">
        <v>3407</v>
      </c>
      <c r="D174" s="1293"/>
      <c r="E174" s="1291" t="s">
        <v>3486</v>
      </c>
      <c r="F174" s="1293"/>
      <c r="G174" s="1375" t="s">
        <v>3282</v>
      </c>
      <c r="H174" s="1291" t="s">
        <v>3486</v>
      </c>
      <c r="I174" s="1293"/>
      <c r="J174" s="1375" t="s">
        <v>3282</v>
      </c>
      <c r="K174" s="1291" t="s">
        <v>3486</v>
      </c>
      <c r="L174" s="1293"/>
      <c r="M174" s="1375" t="s">
        <v>3282</v>
      </c>
      <c r="N174" s="1291" t="s">
        <v>3486</v>
      </c>
      <c r="O174" s="1293"/>
      <c r="P174" s="1375" t="s">
        <v>3282</v>
      </c>
      <c r="Q174" s="1291" t="s">
        <v>3486</v>
      </c>
      <c r="R174" s="1293"/>
      <c r="S174" s="1375" t="s">
        <v>3282</v>
      </c>
      <c r="T174" s="1291" t="s">
        <v>3486</v>
      </c>
      <c r="U174" s="1293"/>
      <c r="V174" s="1375" t="s">
        <v>3282</v>
      </c>
      <c r="W174" s="1291" t="s">
        <v>3486</v>
      </c>
      <c r="X174" s="1293"/>
      <c r="Y174" s="1375" t="s">
        <v>3282</v>
      </c>
      <c r="Z174" s="1291" t="s">
        <v>3486</v>
      </c>
      <c r="AA174" s="1293"/>
      <c r="AB174" s="1375" t="s">
        <v>3282</v>
      </c>
      <c r="AC174" s="1291" t="s">
        <v>3486</v>
      </c>
      <c r="AD174" s="1293"/>
      <c r="AE174" s="1375" t="s">
        <v>3282</v>
      </c>
      <c r="AF174" s="1291" t="s">
        <v>3486</v>
      </c>
      <c r="AG174" s="1293"/>
      <c r="AH174" s="1376" t="s">
        <v>3282</v>
      </c>
    </row>
    <row r="175" spans="1:34" s="107" customFormat="1" ht="16.75" customHeight="1" x14ac:dyDescent="0.2">
      <c r="A175" s="1371" t="s">
        <v>1341</v>
      </c>
      <c r="B175" s="533" t="s">
        <v>4549</v>
      </c>
      <c r="C175" s="145"/>
      <c r="D175" s="145">
        <v>3526346</v>
      </c>
      <c r="E175" s="349"/>
      <c r="F175" s="350">
        <v>14444914</v>
      </c>
      <c r="G175" s="717">
        <v>806</v>
      </c>
      <c r="H175" s="145"/>
      <c r="I175" s="145">
        <v>8009708</v>
      </c>
      <c r="J175" s="145">
        <v>250</v>
      </c>
      <c r="K175" s="349"/>
      <c r="L175" s="350">
        <v>2794834</v>
      </c>
      <c r="M175" s="717">
        <v>750</v>
      </c>
      <c r="N175" s="145"/>
      <c r="O175" s="145">
        <v>2428396</v>
      </c>
      <c r="P175" s="145">
        <v>750</v>
      </c>
      <c r="Q175" s="349"/>
      <c r="R175" s="350">
        <v>3627731</v>
      </c>
      <c r="S175" s="717">
        <v>913</v>
      </c>
      <c r="T175" s="145"/>
      <c r="U175" s="145">
        <v>300750</v>
      </c>
      <c r="V175" s="145">
        <v>281</v>
      </c>
      <c r="W175" s="349"/>
      <c r="X175" s="350">
        <v>112</v>
      </c>
      <c r="Y175" s="717">
        <v>80</v>
      </c>
      <c r="Z175" s="145"/>
      <c r="AA175" s="145">
        <v>5235252</v>
      </c>
      <c r="AB175" s="145"/>
      <c r="AC175" s="349"/>
      <c r="AD175" s="350">
        <v>36953395</v>
      </c>
      <c r="AE175" s="717">
        <v>750</v>
      </c>
      <c r="AF175" s="145"/>
      <c r="AG175" s="145">
        <v>11504028</v>
      </c>
      <c r="AH175" s="307">
        <v>30</v>
      </c>
    </row>
    <row r="176" spans="1:34" s="107" customFormat="1" x14ac:dyDescent="0.2">
      <c r="A176" s="781"/>
      <c r="B176" s="533" t="s">
        <v>4550</v>
      </c>
      <c r="C176" s="145"/>
      <c r="D176" s="145">
        <v>1944064</v>
      </c>
      <c r="E176" s="131"/>
      <c r="F176" s="145">
        <v>13379439</v>
      </c>
      <c r="G176" s="307">
        <v>94</v>
      </c>
      <c r="H176" s="145"/>
      <c r="I176" s="145">
        <v>8063244</v>
      </c>
      <c r="J176" s="145">
        <v>750</v>
      </c>
      <c r="K176" s="131"/>
      <c r="L176" s="145">
        <v>2818022</v>
      </c>
      <c r="M176" s="307">
        <v>250</v>
      </c>
      <c r="N176" s="145"/>
      <c r="O176" s="145">
        <v>2125973</v>
      </c>
      <c r="P176" s="145"/>
      <c r="Q176" s="131"/>
      <c r="R176" s="145">
        <v>2995871</v>
      </c>
      <c r="S176" s="307">
        <v>410</v>
      </c>
      <c r="T176" s="145"/>
      <c r="U176" s="145">
        <v>214396</v>
      </c>
      <c r="V176" s="145">
        <v>630</v>
      </c>
      <c r="W176" s="131"/>
      <c r="X176" s="145"/>
      <c r="Y176" s="307"/>
      <c r="Z176" s="145"/>
      <c r="AA176" s="145">
        <v>2470547</v>
      </c>
      <c r="AB176" s="145">
        <v>710</v>
      </c>
      <c r="AC176" s="131"/>
      <c r="AD176" s="145">
        <v>32067494</v>
      </c>
      <c r="AE176" s="307">
        <v>884</v>
      </c>
      <c r="AF176" s="145"/>
      <c r="AG176" s="145">
        <v>9926486</v>
      </c>
      <c r="AH176" s="307">
        <v>26</v>
      </c>
    </row>
    <row r="177" spans="1:34" s="107" customFormat="1" x14ac:dyDescent="0.2">
      <c r="A177" s="1372"/>
      <c r="B177" s="808" t="s">
        <v>4625</v>
      </c>
      <c r="C177" s="1373" t="s">
        <v>4626</v>
      </c>
      <c r="D177" s="318">
        <v>1582282</v>
      </c>
      <c r="E177" s="1373" t="s">
        <v>4626</v>
      </c>
      <c r="F177" s="318">
        <v>1065475</v>
      </c>
      <c r="G177" s="513">
        <v>712</v>
      </c>
      <c r="H177" s="1374" t="s">
        <v>3559</v>
      </c>
      <c r="I177" s="318">
        <v>53536</v>
      </c>
      <c r="J177" s="318">
        <v>500</v>
      </c>
      <c r="K177" s="1374" t="s">
        <v>3559</v>
      </c>
      <c r="L177" s="318">
        <v>23187</v>
      </c>
      <c r="M177" s="513">
        <v>500</v>
      </c>
      <c r="N177" s="1373" t="s">
        <v>4626</v>
      </c>
      <c r="O177" s="318">
        <v>302423</v>
      </c>
      <c r="P177" s="318">
        <v>750</v>
      </c>
      <c r="Q177" s="1373" t="s">
        <v>4626</v>
      </c>
      <c r="R177" s="318">
        <v>631860</v>
      </c>
      <c r="S177" s="513">
        <v>503</v>
      </c>
      <c r="T177" s="1373" t="s">
        <v>4626</v>
      </c>
      <c r="U177" s="318">
        <v>86353</v>
      </c>
      <c r="V177" s="318">
        <v>651</v>
      </c>
      <c r="W177" s="1373" t="s">
        <v>4626</v>
      </c>
      <c r="X177" s="318">
        <v>112</v>
      </c>
      <c r="Y177" s="513">
        <v>80</v>
      </c>
      <c r="Z177" s="1373" t="s">
        <v>4626</v>
      </c>
      <c r="AA177" s="318">
        <v>2764704</v>
      </c>
      <c r="AB177" s="318">
        <v>290</v>
      </c>
      <c r="AC177" s="1373" t="s">
        <v>4626</v>
      </c>
      <c r="AD177" s="318">
        <v>4885900</v>
      </c>
      <c r="AE177" s="513">
        <v>866</v>
      </c>
      <c r="AF177" s="1373" t="s">
        <v>4626</v>
      </c>
      <c r="AG177" s="318">
        <v>1577542</v>
      </c>
      <c r="AH177" s="513">
        <v>4</v>
      </c>
    </row>
    <row r="178" spans="1:34" s="107" customFormat="1" x14ac:dyDescent="0.2">
      <c r="A178" s="1377"/>
      <c r="B178" s="318"/>
      <c r="C178" s="1374"/>
      <c r="D178" s="1117">
        <f>+D176-D175</f>
        <v>-1582282</v>
      </c>
      <c r="E178" s="1374"/>
      <c r="F178" s="1117">
        <f>+F176-F175</f>
        <v>-1065475</v>
      </c>
      <c r="G178" s="1117">
        <f>+G176-G175</f>
        <v>-712</v>
      </c>
      <c r="H178" s="1374"/>
      <c r="I178" s="1117">
        <f>+I176-I175</f>
        <v>53536</v>
      </c>
      <c r="J178" s="1117">
        <f>+J176-J175</f>
        <v>500</v>
      </c>
      <c r="K178" s="1374"/>
      <c r="L178" s="1117">
        <f>+L176-L175</f>
        <v>23188</v>
      </c>
      <c r="M178" s="1117">
        <f>+M176-M175</f>
        <v>-500</v>
      </c>
      <c r="N178" s="1374"/>
      <c r="O178" s="1117">
        <f>+O176-O175</f>
        <v>-302423</v>
      </c>
      <c r="P178" s="1117">
        <f>+P176-P175</f>
        <v>-750</v>
      </c>
      <c r="Q178" s="1374"/>
      <c r="R178" s="1117">
        <f>+R176-R175</f>
        <v>-631860</v>
      </c>
      <c r="S178" s="1117">
        <f>+S176-S175</f>
        <v>-503</v>
      </c>
      <c r="T178" s="1374"/>
      <c r="U178" s="1117">
        <f>+U176-U175</f>
        <v>-86354</v>
      </c>
      <c r="V178" s="1117">
        <f>+V176-V175</f>
        <v>349</v>
      </c>
      <c r="W178" s="1374"/>
      <c r="X178" s="1117">
        <f>+X176-X175</f>
        <v>-112</v>
      </c>
      <c r="Y178" s="1117">
        <f>+Y176-Y175</f>
        <v>-80</v>
      </c>
      <c r="Z178" s="1374"/>
      <c r="AA178" s="1117">
        <f>+AA176-AA175</f>
        <v>-2764705</v>
      </c>
      <c r="AB178" s="1117">
        <f>+AB176-AB175</f>
        <v>710</v>
      </c>
      <c r="AC178" s="1374"/>
      <c r="AD178" s="1117">
        <f>+AD176-AD175</f>
        <v>-4885901</v>
      </c>
      <c r="AE178" s="1117">
        <f>+AE176-AE175</f>
        <v>134</v>
      </c>
      <c r="AF178" s="1374"/>
      <c r="AG178" s="1117">
        <f>+AG176-AG175</f>
        <v>-1577542</v>
      </c>
      <c r="AH178" s="1117">
        <f>+AH176-AH175</f>
        <v>-4</v>
      </c>
    </row>
    <row r="179" spans="1:34" s="107" customFormat="1" ht="22.75" customHeight="1" x14ac:dyDescent="0.2">
      <c r="A179" s="1242" t="s">
        <v>4633</v>
      </c>
      <c r="B179" s="1243"/>
      <c r="C179" s="1243"/>
      <c r="D179" s="1243"/>
      <c r="E179" s="1243"/>
      <c r="F179" s="1243"/>
      <c r="G179" s="1243"/>
      <c r="H179" s="1243"/>
      <c r="I179" s="1243"/>
      <c r="J179" s="1243"/>
      <c r="K179" s="1243"/>
      <c r="L179" s="1243"/>
      <c r="M179" s="1243"/>
      <c r="N179" s="1243"/>
      <c r="O179" s="1243"/>
      <c r="P179" s="1243"/>
      <c r="Q179" s="1243"/>
      <c r="R179" s="1243"/>
      <c r="S179" s="1243"/>
      <c r="T179" s="1243"/>
      <c r="U179" s="1243"/>
      <c r="V179" s="1243"/>
      <c r="W179" s="1243"/>
      <c r="X179" s="1243"/>
      <c r="Y179" s="1243"/>
      <c r="Z179" s="1243"/>
      <c r="AA179" s="1243"/>
      <c r="AB179" s="1243"/>
      <c r="AC179" s="1243"/>
      <c r="AD179" s="1243"/>
      <c r="AE179" s="1243"/>
      <c r="AF179" s="1243"/>
      <c r="AG179" s="1243"/>
      <c r="AH179" s="1244"/>
    </row>
    <row r="180" spans="1:34" s="107" customFormat="1" x14ac:dyDescent="0.2">
      <c r="A180" s="107" t="s">
        <v>3991</v>
      </c>
    </row>
    <row r="181" spans="1:34" s="107" customFormat="1" x14ac:dyDescent="0.2"/>
    <row r="182" spans="1:34" s="107" customFormat="1" x14ac:dyDescent="0.2"/>
    <row r="183" spans="1:34" s="107" customFormat="1" x14ac:dyDescent="0.2"/>
    <row r="184" spans="1:34" s="107" customFormat="1" x14ac:dyDescent="0.2"/>
    <row r="185" spans="1:34" s="107" customFormat="1" x14ac:dyDescent="0.2"/>
    <row r="186" spans="1:34" s="107" customFormat="1" x14ac:dyDescent="0.2"/>
    <row r="187" spans="1:34" s="107" customFormat="1" x14ac:dyDescent="0.2"/>
    <row r="188" spans="1:34" s="107" customFormat="1" x14ac:dyDescent="0.2"/>
    <row r="189" spans="1:34" s="107" customFormat="1" x14ac:dyDescent="0.2"/>
    <row r="190" spans="1:34" s="107" customFormat="1" x14ac:dyDescent="0.2"/>
    <row r="191" spans="1:34" s="107" customFormat="1" x14ac:dyDescent="0.2"/>
    <row r="192" spans="1:34" s="107" customFormat="1" x14ac:dyDescent="0.2"/>
    <row r="193" s="107" customFormat="1" x14ac:dyDescent="0.2"/>
    <row r="194" s="107" customFormat="1" x14ac:dyDescent="0.2"/>
    <row r="195" s="107" customFormat="1" x14ac:dyDescent="0.2"/>
    <row r="196" s="107" customFormat="1" x14ac:dyDescent="0.2"/>
    <row r="197" s="107" customFormat="1" x14ac:dyDescent="0.2"/>
    <row r="198" s="107" customFormat="1" x14ac:dyDescent="0.2"/>
    <row r="199" s="107" customFormat="1" x14ac:dyDescent="0.2"/>
    <row r="200" s="107" customFormat="1" x14ac:dyDescent="0.2"/>
    <row r="201" s="107" customFormat="1" x14ac:dyDescent="0.2"/>
    <row r="202" s="107" customFormat="1" x14ac:dyDescent="0.2"/>
    <row r="203" s="107" customFormat="1" x14ac:dyDescent="0.2"/>
    <row r="204" s="107" customFormat="1" x14ac:dyDescent="0.2"/>
    <row r="205" s="107" customFormat="1" x14ac:dyDescent="0.2"/>
    <row r="206" s="107" customFormat="1" x14ac:dyDescent="0.2"/>
    <row r="207" s="107" customFormat="1" x14ac:dyDescent="0.2"/>
    <row r="208" s="107" customFormat="1" x14ac:dyDescent="0.2"/>
    <row r="209" s="107" customFormat="1" x14ac:dyDescent="0.2"/>
    <row r="210" s="107" customFormat="1" x14ac:dyDescent="0.2"/>
    <row r="211" s="107" customFormat="1" x14ac:dyDescent="0.2"/>
    <row r="212" s="107" customFormat="1" x14ac:dyDescent="0.2"/>
    <row r="213" s="107" customFormat="1" x14ac:dyDescent="0.2"/>
    <row r="214" s="107" customFormat="1" x14ac:dyDescent="0.2"/>
  </sheetData>
  <mergeCells count="242">
    <mergeCell ref="AC174:AD174"/>
    <mergeCell ref="AF174:AG174"/>
    <mergeCell ref="A175:A177"/>
    <mergeCell ref="A179:AH179"/>
    <mergeCell ref="K174:L174"/>
    <mergeCell ref="N174:O174"/>
    <mergeCell ref="Q174:R174"/>
    <mergeCell ref="T174:U174"/>
    <mergeCell ref="W174:X174"/>
    <mergeCell ref="Z174:AA174"/>
    <mergeCell ref="AF172:AH173"/>
    <mergeCell ref="E173:G173"/>
    <mergeCell ref="H173:J173"/>
    <mergeCell ref="K173:M173"/>
    <mergeCell ref="N173:P173"/>
    <mergeCell ref="Q173:S173"/>
    <mergeCell ref="T173:V173"/>
    <mergeCell ref="W173:Y173"/>
    <mergeCell ref="Z173:AB173"/>
    <mergeCell ref="AC173:AE173"/>
    <mergeCell ref="Q167:R167"/>
    <mergeCell ref="S167:T167"/>
    <mergeCell ref="A168:A170"/>
    <mergeCell ref="A172:A174"/>
    <mergeCell ref="B172:B174"/>
    <mergeCell ref="C172:D173"/>
    <mergeCell ref="E172:AE172"/>
    <mergeCell ref="C174:D174"/>
    <mergeCell ref="E174:F174"/>
    <mergeCell ref="H174:I174"/>
    <mergeCell ref="C167:D167"/>
    <mergeCell ref="E167:G167"/>
    <mergeCell ref="H167:I167"/>
    <mergeCell ref="J167:K167"/>
    <mergeCell ref="L167:M167"/>
    <mergeCell ref="N167:P167"/>
    <mergeCell ref="A163:T163"/>
    <mergeCell ref="A164:A167"/>
    <mergeCell ref="B164:B167"/>
    <mergeCell ref="C164:T164"/>
    <mergeCell ref="C165:K165"/>
    <mergeCell ref="L165:T165"/>
    <mergeCell ref="C166:G166"/>
    <mergeCell ref="H166:K166"/>
    <mergeCell ref="L166:P166"/>
    <mergeCell ref="Q166:T166"/>
    <mergeCell ref="O150:P150"/>
    <mergeCell ref="Q150:R150"/>
    <mergeCell ref="A155:A157"/>
    <mergeCell ref="B155:B156"/>
    <mergeCell ref="C155:K155"/>
    <mergeCell ref="L155:M156"/>
    <mergeCell ref="D156:E156"/>
    <mergeCell ref="F156:G156"/>
    <mergeCell ref="H156:I156"/>
    <mergeCell ref="J156:K156"/>
    <mergeCell ref="H145:I145"/>
    <mergeCell ref="B149:B150"/>
    <mergeCell ref="C149:R149"/>
    <mergeCell ref="S149:T150"/>
    <mergeCell ref="C150:D150"/>
    <mergeCell ref="E150:F150"/>
    <mergeCell ref="G150:H150"/>
    <mergeCell ref="I150:J150"/>
    <mergeCell ref="K150:L150"/>
    <mergeCell ref="M150:N150"/>
    <mergeCell ref="A141:K141"/>
    <mergeCell ref="A142:A145"/>
    <mergeCell ref="B142:K142"/>
    <mergeCell ref="B143:F143"/>
    <mergeCell ref="G143:K143"/>
    <mergeCell ref="B144:D144"/>
    <mergeCell ref="E144:F144"/>
    <mergeCell ref="G144:I144"/>
    <mergeCell ref="J144:K144"/>
    <mergeCell ref="C145:D145"/>
    <mergeCell ref="Q126:R126"/>
    <mergeCell ref="T126:U126"/>
    <mergeCell ref="AK126:AL126"/>
    <mergeCell ref="AN126:AO126"/>
    <mergeCell ref="AW126:AX126"/>
    <mergeCell ref="A140:K140"/>
    <mergeCell ref="V125:W125"/>
    <mergeCell ref="X125:Y125"/>
    <mergeCell ref="Z125:AA125"/>
    <mergeCell ref="AB125:AC125"/>
    <mergeCell ref="AD125:AE125"/>
    <mergeCell ref="AF125:AG125"/>
    <mergeCell ref="Z124:AC124"/>
    <mergeCell ref="AD124:AG124"/>
    <mergeCell ref="AH124:AI125"/>
    <mergeCell ref="AJ124:AO124"/>
    <mergeCell ref="AP124:AQ125"/>
    <mergeCell ref="AR124:AS125"/>
    <mergeCell ref="AJ125:AL125"/>
    <mergeCell ref="AM125:AO125"/>
    <mergeCell ref="F124:G125"/>
    <mergeCell ref="H124:I125"/>
    <mergeCell ref="J124:K125"/>
    <mergeCell ref="L124:O124"/>
    <mergeCell ref="P124:U124"/>
    <mergeCell ref="V124:Y124"/>
    <mergeCell ref="L125:M125"/>
    <mergeCell ref="N125:O125"/>
    <mergeCell ref="P125:R125"/>
    <mergeCell ref="S125:U125"/>
    <mergeCell ref="AX108:AY108"/>
    <mergeCell ref="A122:AX122"/>
    <mergeCell ref="A123:A126"/>
    <mergeCell ref="B123:K123"/>
    <mergeCell ref="L123:AO123"/>
    <mergeCell ref="AP123:AS123"/>
    <mergeCell ref="AT123:AU125"/>
    <mergeCell ref="AV123:AX125"/>
    <mergeCell ref="B124:C125"/>
    <mergeCell ref="D124:E125"/>
    <mergeCell ref="Q107:S107"/>
    <mergeCell ref="T107:U107"/>
    <mergeCell ref="V107:W107"/>
    <mergeCell ref="X107:Y107"/>
    <mergeCell ref="Z107:AB107"/>
    <mergeCell ref="C108:D108"/>
    <mergeCell ref="F108:G108"/>
    <mergeCell ref="M108:N108"/>
    <mergeCell ref="R108:S108"/>
    <mergeCell ref="AA108:AB108"/>
    <mergeCell ref="AQ106:AR107"/>
    <mergeCell ref="AS106:AT107"/>
    <mergeCell ref="AU106:AV107"/>
    <mergeCell ref="AW106:AY107"/>
    <mergeCell ref="B107:D107"/>
    <mergeCell ref="E107:G107"/>
    <mergeCell ref="H107:I107"/>
    <mergeCell ref="J107:K107"/>
    <mergeCell ref="L107:N107"/>
    <mergeCell ref="O107:P107"/>
    <mergeCell ref="A105:AY105"/>
    <mergeCell ref="A106:A108"/>
    <mergeCell ref="B106:AB106"/>
    <mergeCell ref="AC106:AD107"/>
    <mergeCell ref="AE106:AF107"/>
    <mergeCell ref="AG106:AH107"/>
    <mergeCell ref="AI106:AJ107"/>
    <mergeCell ref="AK106:AL107"/>
    <mergeCell ref="AM106:AN107"/>
    <mergeCell ref="AO106:AP107"/>
    <mergeCell ref="Q99:R99"/>
    <mergeCell ref="T99:U99"/>
    <mergeCell ref="AK99:AL99"/>
    <mergeCell ref="AN99:AO99"/>
    <mergeCell ref="AW99:AX99"/>
    <mergeCell ref="P100:Q100"/>
    <mergeCell ref="AR97:AS98"/>
    <mergeCell ref="L98:M98"/>
    <mergeCell ref="N98:O98"/>
    <mergeCell ref="P98:R98"/>
    <mergeCell ref="S98:U98"/>
    <mergeCell ref="V98:W98"/>
    <mergeCell ref="X98:Y98"/>
    <mergeCell ref="Z98:AA98"/>
    <mergeCell ref="AB98:AC98"/>
    <mergeCell ref="AD98:AE98"/>
    <mergeCell ref="V97:Y97"/>
    <mergeCell ref="Z97:AC97"/>
    <mergeCell ref="AD97:AG97"/>
    <mergeCell ref="AH97:AI98"/>
    <mergeCell ref="AJ97:AO97"/>
    <mergeCell ref="AP97:AQ98"/>
    <mergeCell ref="AF98:AG98"/>
    <mergeCell ref="AJ98:AL98"/>
    <mergeCell ref="AM98:AO98"/>
    <mergeCell ref="D97:E98"/>
    <mergeCell ref="F97:G98"/>
    <mergeCell ref="H97:I98"/>
    <mergeCell ref="J97:K98"/>
    <mergeCell ref="L97:O97"/>
    <mergeCell ref="P97:U97"/>
    <mergeCell ref="AX89:AY89"/>
    <mergeCell ref="L90:M90"/>
    <mergeCell ref="A95:AX95"/>
    <mergeCell ref="A96:A98"/>
    <mergeCell ref="B96:K96"/>
    <mergeCell ref="L96:AO96"/>
    <mergeCell ref="AP96:AS96"/>
    <mergeCell ref="AT96:AU98"/>
    <mergeCell ref="AV96:AX98"/>
    <mergeCell ref="B97:C98"/>
    <mergeCell ref="X88:Y88"/>
    <mergeCell ref="Z88:AB88"/>
    <mergeCell ref="C89:D89"/>
    <mergeCell ref="F89:G89"/>
    <mergeCell ref="M89:N89"/>
    <mergeCell ref="R89:S89"/>
    <mergeCell ref="AA89:AB89"/>
    <mergeCell ref="AW87:AY88"/>
    <mergeCell ref="B88:D88"/>
    <mergeCell ref="E88:G88"/>
    <mergeCell ref="H88:I88"/>
    <mergeCell ref="J88:K88"/>
    <mergeCell ref="L88:N88"/>
    <mergeCell ref="O88:P88"/>
    <mergeCell ref="Q88:S88"/>
    <mergeCell ref="T88:U88"/>
    <mergeCell ref="V88:W88"/>
    <mergeCell ref="AK87:AL88"/>
    <mergeCell ref="AM87:AN88"/>
    <mergeCell ref="AO87:AP88"/>
    <mergeCell ref="AQ87:AR88"/>
    <mergeCell ref="AS87:AT88"/>
    <mergeCell ref="AU87:AV88"/>
    <mergeCell ref="A73:F73"/>
    <mergeCell ref="A78:B78"/>
    <mergeCell ref="A79:B79"/>
    <mergeCell ref="A86:AY86"/>
    <mergeCell ref="A87:A89"/>
    <mergeCell ref="B87:AB87"/>
    <mergeCell ref="AC87:AD88"/>
    <mergeCell ref="AE87:AF88"/>
    <mergeCell ref="AG87:AH88"/>
    <mergeCell ref="AI87:AJ88"/>
    <mergeCell ref="A60:F60"/>
    <mergeCell ref="A61:A62"/>
    <mergeCell ref="B61:C62"/>
    <mergeCell ref="D61:D62"/>
    <mergeCell ref="E61:F61"/>
    <mergeCell ref="A72:D72"/>
    <mergeCell ref="E72:F72"/>
    <mergeCell ref="A15:B15"/>
    <mergeCell ref="A33:E33"/>
    <mergeCell ref="A48:L48"/>
    <mergeCell ref="A49:A50"/>
    <mergeCell ref="B49:D50"/>
    <mergeCell ref="E49:G50"/>
    <mergeCell ref="H49:L49"/>
    <mergeCell ref="H50:I50"/>
    <mergeCell ref="J50:L50"/>
    <mergeCell ref="A5:G5"/>
    <mergeCell ref="F6:G6"/>
    <mergeCell ref="F7:G7"/>
    <mergeCell ref="F8:G8"/>
    <mergeCell ref="F9:G9"/>
    <mergeCell ref="F10:G10"/>
  </mergeCell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AY273"/>
  <sheetViews>
    <sheetView topLeftCell="O243" workbookViewId="0">
      <selection activeCell="B1" sqref="B1"/>
    </sheetView>
  </sheetViews>
  <sheetFormatPr baseColWidth="10" defaultRowHeight="15" x14ac:dyDescent="0.2"/>
  <cols>
    <col min="1" max="1" width="55" style="107" customWidth="1"/>
    <col min="2" max="2" width="10.83203125" style="107"/>
    <col min="3" max="3" width="7.1640625" style="107" customWidth="1"/>
    <col min="4" max="4" width="10.83203125" style="107"/>
    <col min="5" max="5" width="8.1640625" style="107" customWidth="1"/>
    <col min="6" max="8" width="9.83203125" style="107" customWidth="1"/>
    <col min="9" max="9" width="7.1640625" style="107" customWidth="1"/>
    <col min="10" max="10" width="10.83203125" style="107"/>
    <col min="11" max="11" width="10.83203125" style="107" customWidth="1"/>
    <col min="12" max="12" width="8.1640625" style="107" customWidth="1"/>
    <col min="13" max="13" width="10.83203125" style="107"/>
    <col min="14" max="14" width="13.83203125" style="107" customWidth="1"/>
    <col min="15" max="15" width="10.83203125" style="107" customWidth="1"/>
    <col min="16" max="17" width="10.83203125" style="107"/>
    <col min="18" max="18" width="11" style="107" customWidth="1"/>
    <col min="19" max="19" width="6.1640625" style="107" customWidth="1"/>
    <col min="20" max="20" width="10.83203125" style="107"/>
    <col min="21" max="21" width="5.5" style="107" customWidth="1"/>
    <col min="22" max="22" width="8.33203125" style="107" customWidth="1"/>
    <col min="23" max="23" width="10.83203125" style="107"/>
    <col min="24" max="24" width="11.1640625" style="107" customWidth="1"/>
    <col min="25" max="25" width="5.83203125" style="107" customWidth="1"/>
    <col min="26" max="26" width="10.83203125" style="107"/>
    <col min="27" max="27" width="5.83203125" style="107" customWidth="1"/>
    <col min="28" max="28" width="12.1640625" style="107" customWidth="1"/>
    <col min="29" max="29" width="10.83203125" style="107"/>
    <col min="30" max="30" width="11.33203125" style="107" customWidth="1"/>
    <col min="31" max="31" width="6" style="107" customWidth="1"/>
    <col min="32" max="32" width="10.83203125" style="107"/>
    <col min="33" max="33" width="9.5" style="107" customWidth="1"/>
    <col min="34" max="34" width="8.83203125" style="107" customWidth="1"/>
    <col min="35" max="35" width="10.83203125" style="107"/>
    <col min="36" max="36" width="6.5" style="107" customWidth="1"/>
    <col min="37" max="37" width="10.83203125" style="107" customWidth="1"/>
    <col min="38" max="38" width="10.83203125" style="107"/>
    <col min="39" max="39" width="13.83203125" style="107" customWidth="1"/>
    <col min="40" max="40" width="10.83203125" style="107"/>
    <col min="41" max="41" width="9.83203125" style="107" customWidth="1"/>
    <col min="42" max="42" width="10.83203125" style="107"/>
    <col min="43" max="43" width="8.1640625" style="107" customWidth="1"/>
    <col min="44" max="44" width="10.83203125" style="107"/>
    <col min="45" max="45" width="5.83203125" style="107" customWidth="1"/>
    <col min="46" max="46" width="10.83203125" style="107"/>
    <col min="47" max="47" width="5.83203125" style="107" customWidth="1"/>
    <col min="48" max="48" width="10.83203125" style="107"/>
    <col min="49" max="49" width="5.6640625" style="107" customWidth="1"/>
    <col min="50" max="16384" width="10.83203125" style="107"/>
  </cols>
  <sheetData>
    <row r="1" spans="1:4" x14ac:dyDescent="0.2">
      <c r="A1" s="972" t="s">
        <v>4634</v>
      </c>
    </row>
    <row r="3" spans="1:4" x14ac:dyDescent="0.2">
      <c r="A3" s="526" t="s">
        <v>1111</v>
      </c>
    </row>
    <row r="4" spans="1:4" x14ac:dyDescent="0.2">
      <c r="A4" s="349" t="s">
        <v>4635</v>
      </c>
      <c r="B4" s="350">
        <v>1782297</v>
      </c>
      <c r="C4" s="350">
        <v>85</v>
      </c>
      <c r="D4" s="352"/>
    </row>
    <row r="5" spans="1:4" x14ac:dyDescent="0.2">
      <c r="A5" s="131" t="s">
        <v>4636</v>
      </c>
      <c r="B5" s="145">
        <v>4532081</v>
      </c>
      <c r="C5" s="145">
        <v>22</v>
      </c>
      <c r="D5" s="133">
        <v>0.5</v>
      </c>
    </row>
    <row r="6" spans="1:4" x14ac:dyDescent="0.2">
      <c r="A6" s="131" t="s">
        <v>4637</v>
      </c>
      <c r="B6" s="145">
        <v>1552765</v>
      </c>
      <c r="C6" s="145">
        <v>78</v>
      </c>
      <c r="D6" s="133">
        <v>0.75</v>
      </c>
    </row>
    <row r="7" spans="1:4" x14ac:dyDescent="0.2">
      <c r="A7" s="131" t="s">
        <v>4638</v>
      </c>
      <c r="B7" s="145">
        <v>4795266</v>
      </c>
      <c r="C7" s="145">
        <v>32</v>
      </c>
      <c r="D7" s="133">
        <v>0.25</v>
      </c>
    </row>
    <row r="8" spans="1:4" x14ac:dyDescent="0.2">
      <c r="A8" s="131" t="s">
        <v>4639</v>
      </c>
      <c r="B8" s="145">
        <v>182399</v>
      </c>
      <c r="C8" s="145">
        <v>65</v>
      </c>
      <c r="D8" s="133"/>
    </row>
    <row r="9" spans="1:4" x14ac:dyDescent="0.2">
      <c r="A9" s="131" t="s">
        <v>4640</v>
      </c>
      <c r="B9" s="145">
        <v>277893</v>
      </c>
      <c r="C9" s="145">
        <v>20</v>
      </c>
      <c r="D9" s="133"/>
    </row>
    <row r="10" spans="1:4" x14ac:dyDescent="0.2">
      <c r="A10" s="539" t="s">
        <v>4641</v>
      </c>
      <c r="B10" s="145">
        <v>119938</v>
      </c>
      <c r="C10" s="145">
        <v>76</v>
      </c>
      <c r="D10" s="133"/>
    </row>
    <row r="11" spans="1:4" ht="30" x14ac:dyDescent="0.2">
      <c r="A11" s="539" t="s">
        <v>4642</v>
      </c>
      <c r="B11" s="145">
        <v>300951</v>
      </c>
      <c r="C11" s="145">
        <v>32</v>
      </c>
      <c r="D11" s="133"/>
    </row>
    <row r="12" spans="1:4" x14ac:dyDescent="0.2">
      <c r="A12" s="131" t="s">
        <v>4643</v>
      </c>
      <c r="B12" s="145">
        <v>1599898</v>
      </c>
      <c r="C12" s="145">
        <v>20</v>
      </c>
      <c r="D12" s="133"/>
    </row>
    <row r="13" spans="1:4" x14ac:dyDescent="0.2">
      <c r="A13" s="131" t="s">
        <v>4644</v>
      </c>
      <c r="B13" s="145">
        <v>4254188</v>
      </c>
      <c r="C13" s="145">
        <v>2</v>
      </c>
      <c r="D13" s="133">
        <v>0.5</v>
      </c>
    </row>
    <row r="14" spans="1:4" x14ac:dyDescent="0.2">
      <c r="A14" s="131" t="s">
        <v>4645</v>
      </c>
      <c r="B14" s="145">
        <v>1432833</v>
      </c>
      <c r="C14" s="145">
        <v>97</v>
      </c>
      <c r="D14" s="133">
        <v>0.75</v>
      </c>
    </row>
    <row r="15" spans="1:4" x14ac:dyDescent="0.2">
      <c r="A15" s="230" t="s">
        <v>4646</v>
      </c>
      <c r="B15" s="309">
        <v>4494315</v>
      </c>
      <c r="C15" s="309">
        <v>10</v>
      </c>
      <c r="D15" s="231"/>
    </row>
    <row r="19" spans="1:15" x14ac:dyDescent="0.2">
      <c r="A19" s="526" t="s">
        <v>1428</v>
      </c>
    </row>
    <row r="20" spans="1:15" ht="22.75" customHeight="1" x14ac:dyDescent="0.2">
      <c r="A20" s="1272" t="s">
        <v>4647</v>
      </c>
      <c r="B20" s="1272"/>
      <c r="C20" s="1272"/>
      <c r="D20" s="1272"/>
      <c r="E20" s="1272"/>
      <c r="F20" s="1272"/>
      <c r="G20" s="1272"/>
      <c r="H20" s="1272"/>
      <c r="I20" s="1272"/>
      <c r="J20" s="1272"/>
      <c r="K20" s="1272"/>
      <c r="L20" s="1272"/>
      <c r="M20" s="1272"/>
      <c r="N20" s="1272"/>
      <c r="O20" s="1272"/>
    </row>
    <row r="21" spans="1:15" x14ac:dyDescent="0.2">
      <c r="A21" s="838" t="s">
        <v>1766</v>
      </c>
      <c r="B21" s="838"/>
      <c r="C21" s="838"/>
      <c r="D21" s="838"/>
      <c r="E21" s="838"/>
      <c r="F21" s="838"/>
      <c r="G21" s="838"/>
      <c r="H21" s="838"/>
      <c r="I21" s="838"/>
      <c r="J21" s="838"/>
      <c r="K21" s="838"/>
      <c r="L21" s="838"/>
      <c r="M21" s="838"/>
      <c r="N21" s="838"/>
      <c r="O21" s="838"/>
    </row>
    <row r="22" spans="1:15" s="1369" customFormat="1" ht="33.5" customHeight="1" x14ac:dyDescent="0.15">
      <c r="A22" s="1273" t="s">
        <v>1227</v>
      </c>
      <c r="B22" s="1274" t="s">
        <v>4648</v>
      </c>
      <c r="C22" s="1276"/>
      <c r="D22" s="1276" t="s">
        <v>4649</v>
      </c>
      <c r="E22" s="1276"/>
      <c r="F22" s="1276"/>
      <c r="G22" s="1276" t="s">
        <v>4650</v>
      </c>
      <c r="H22" s="1276"/>
      <c r="I22" s="1275"/>
      <c r="J22" s="1276" t="s">
        <v>4651</v>
      </c>
      <c r="K22" s="1276"/>
      <c r="L22" s="1276"/>
      <c r="M22" s="1274" t="s">
        <v>4652</v>
      </c>
      <c r="N22" s="1276"/>
      <c r="O22" s="1276"/>
    </row>
    <row r="23" spans="1:15" x14ac:dyDescent="0.2">
      <c r="A23" s="533" t="s">
        <v>4653</v>
      </c>
      <c r="B23" s="145"/>
      <c r="C23" s="145"/>
      <c r="D23" s="349"/>
      <c r="E23" s="350"/>
      <c r="F23" s="717"/>
      <c r="G23" s="145"/>
      <c r="H23" s="145"/>
      <c r="I23" s="145"/>
      <c r="J23" s="131"/>
      <c r="K23" s="145"/>
      <c r="L23" s="307"/>
      <c r="M23" s="1378" t="s">
        <v>4654</v>
      </c>
      <c r="N23" s="145"/>
      <c r="O23" s="307"/>
    </row>
    <row r="24" spans="1:15" x14ac:dyDescent="0.2">
      <c r="A24" s="533" t="s">
        <v>3668</v>
      </c>
      <c r="B24" s="145">
        <v>880420</v>
      </c>
      <c r="C24" s="145">
        <v>5</v>
      </c>
      <c r="D24" s="131">
        <v>3038024</v>
      </c>
      <c r="E24" s="145">
        <v>40</v>
      </c>
      <c r="F24" s="307"/>
      <c r="G24" s="145">
        <v>938534</v>
      </c>
      <c r="H24" s="145">
        <v>55</v>
      </c>
      <c r="I24" s="145"/>
      <c r="J24" s="131">
        <v>3098913</v>
      </c>
      <c r="K24" s="145">
        <v>45</v>
      </c>
      <c r="L24" s="307"/>
      <c r="M24" s="145"/>
      <c r="N24" s="145">
        <v>653192</v>
      </c>
      <c r="O24" s="307">
        <v>20</v>
      </c>
    </row>
    <row r="25" spans="1:15" x14ac:dyDescent="0.2">
      <c r="A25" s="533" t="s">
        <v>1517</v>
      </c>
      <c r="B25" s="145">
        <v>180320</v>
      </c>
      <c r="C25" s="145">
        <v>75</v>
      </c>
      <c r="D25" s="131">
        <v>361160</v>
      </c>
      <c r="E25" s="145">
        <v>95</v>
      </c>
      <c r="F25" s="307"/>
      <c r="G25" s="145">
        <v>131726</v>
      </c>
      <c r="H25" s="145">
        <v>65</v>
      </c>
      <c r="I25" s="145"/>
      <c r="J25" s="131">
        <v>263874</v>
      </c>
      <c r="K25" s="145">
        <v>15</v>
      </c>
      <c r="L25" s="307"/>
      <c r="M25" s="145"/>
      <c r="N25" s="145">
        <v>33647</v>
      </c>
      <c r="O25" s="307">
        <v>90</v>
      </c>
    </row>
    <row r="26" spans="1:15" x14ac:dyDescent="0.2">
      <c r="A26" s="533" t="s">
        <v>4033</v>
      </c>
      <c r="B26" s="145">
        <v>411731</v>
      </c>
      <c r="C26" s="145">
        <v>90</v>
      </c>
      <c r="D26" s="131">
        <v>685809</v>
      </c>
      <c r="E26" s="145">
        <v>20</v>
      </c>
      <c r="F26" s="307"/>
      <c r="G26" s="145">
        <v>332169</v>
      </c>
      <c r="H26" s="145"/>
      <c r="I26" s="145"/>
      <c r="J26" s="131">
        <v>906308</v>
      </c>
      <c r="K26" s="145">
        <v>75</v>
      </c>
      <c r="L26" s="307"/>
      <c r="M26" s="145"/>
      <c r="N26" s="145">
        <v>368078</v>
      </c>
      <c r="O26" s="307">
        <v>30</v>
      </c>
    </row>
    <row r="27" spans="1:15" x14ac:dyDescent="0.2">
      <c r="A27" s="533" t="s">
        <v>1519</v>
      </c>
      <c r="B27" s="145">
        <v>172643</v>
      </c>
      <c r="C27" s="145">
        <v>35</v>
      </c>
      <c r="D27" s="131">
        <v>259635</v>
      </c>
      <c r="E27" s="145">
        <v>65</v>
      </c>
      <c r="F27" s="307"/>
      <c r="G27" s="145">
        <v>77702</v>
      </c>
      <c r="H27" s="145">
        <v>45</v>
      </c>
      <c r="I27" s="145"/>
      <c r="J27" s="131">
        <v>327076</v>
      </c>
      <c r="K27" s="145">
        <v>60</v>
      </c>
      <c r="L27" s="307"/>
      <c r="M27" s="1378" t="s">
        <v>4654</v>
      </c>
      <c r="N27" s="145"/>
      <c r="O27" s="307"/>
    </row>
    <row r="28" spans="1:15" x14ac:dyDescent="0.2">
      <c r="A28" s="533" t="s">
        <v>4553</v>
      </c>
      <c r="B28" s="145">
        <v>11013</v>
      </c>
      <c r="C28" s="145">
        <v>25</v>
      </c>
      <c r="D28" s="131">
        <v>4831</v>
      </c>
      <c r="E28" s="145">
        <v>10</v>
      </c>
      <c r="F28" s="307"/>
      <c r="G28" s="145">
        <v>1827</v>
      </c>
      <c r="H28" s="145">
        <v>70</v>
      </c>
      <c r="I28" s="145"/>
      <c r="J28" s="131">
        <v>4676</v>
      </c>
      <c r="K28" s="145">
        <v>30</v>
      </c>
      <c r="L28" s="307"/>
      <c r="M28" s="145"/>
      <c r="N28" s="145">
        <v>542</v>
      </c>
      <c r="O28" s="307">
        <v>35</v>
      </c>
    </row>
    <row r="29" spans="1:15" x14ac:dyDescent="0.2">
      <c r="A29" s="533" t="s">
        <v>4655</v>
      </c>
      <c r="B29" s="145">
        <v>60185</v>
      </c>
      <c r="C29" s="145">
        <v>45</v>
      </c>
      <c r="D29" s="131"/>
      <c r="E29" s="145"/>
      <c r="F29" s="307"/>
      <c r="G29" s="145">
        <v>493</v>
      </c>
      <c r="H29" s="145">
        <v>78</v>
      </c>
      <c r="I29" s="145">
        <v>0.75</v>
      </c>
      <c r="J29" s="131">
        <v>24531</v>
      </c>
      <c r="K29" s="145">
        <v>17</v>
      </c>
      <c r="L29" s="307">
        <v>0.25</v>
      </c>
      <c r="M29" s="1378" t="s">
        <v>4654</v>
      </c>
      <c r="N29" s="145"/>
      <c r="O29" s="307"/>
    </row>
    <row r="30" spans="1:15" x14ac:dyDescent="0.2">
      <c r="A30" s="533" t="s">
        <v>1526</v>
      </c>
      <c r="B30" s="145">
        <v>27669</v>
      </c>
      <c r="C30" s="145"/>
      <c r="D30" s="131">
        <v>65287</v>
      </c>
      <c r="E30" s="145">
        <v>25</v>
      </c>
      <c r="F30" s="307"/>
      <c r="G30" s="145">
        <v>18917</v>
      </c>
      <c r="H30" s="145">
        <v>10</v>
      </c>
      <c r="I30" s="145"/>
      <c r="J30" s="131">
        <v>50990</v>
      </c>
      <c r="K30" s="145">
        <v>90</v>
      </c>
      <c r="L30" s="307"/>
      <c r="M30" s="145"/>
      <c r="N30" s="145">
        <v>10456</v>
      </c>
      <c r="O30" s="307">
        <v>60</v>
      </c>
    </row>
    <row r="31" spans="1:15" x14ac:dyDescent="0.2">
      <c r="A31" s="533" t="s">
        <v>1373</v>
      </c>
      <c r="B31" s="145">
        <v>38314</v>
      </c>
      <c r="C31" s="145">
        <v>10</v>
      </c>
      <c r="D31" s="131">
        <v>51309</v>
      </c>
      <c r="E31" s="145">
        <v>7</v>
      </c>
      <c r="F31" s="307">
        <v>0.5</v>
      </c>
      <c r="G31" s="145">
        <v>17594</v>
      </c>
      <c r="H31" s="145"/>
      <c r="I31" s="145"/>
      <c r="J31" s="131">
        <v>44171</v>
      </c>
      <c r="K31" s="145">
        <v>75</v>
      </c>
      <c r="L31" s="307"/>
      <c r="M31" s="145"/>
      <c r="N31" s="145">
        <v>4840</v>
      </c>
      <c r="O31" s="307">
        <v>25</v>
      </c>
    </row>
    <row r="32" spans="1:15" x14ac:dyDescent="0.2">
      <c r="A32" s="533" t="s">
        <v>1527</v>
      </c>
      <c r="B32" s="145"/>
      <c r="C32" s="145"/>
      <c r="D32" s="131">
        <v>66023</v>
      </c>
      <c r="E32" s="145">
        <v>60</v>
      </c>
      <c r="F32" s="307"/>
      <c r="G32" s="145">
        <v>33807</v>
      </c>
      <c r="H32" s="145">
        <v>50</v>
      </c>
      <c r="I32" s="145"/>
      <c r="J32" s="131">
        <v>74723</v>
      </c>
      <c r="K32" s="145">
        <v>35</v>
      </c>
      <c r="L32" s="307"/>
      <c r="M32" s="1378" t="s">
        <v>4654</v>
      </c>
      <c r="N32" s="145">
        <v>11234</v>
      </c>
      <c r="O32" s="307">
        <v>55</v>
      </c>
    </row>
    <row r="33" spans="1:15" x14ac:dyDescent="0.2">
      <c r="A33" s="785" t="s">
        <v>4656</v>
      </c>
      <c r="B33" s="240">
        <v>1782297</v>
      </c>
      <c r="C33" s="318">
        <v>85</v>
      </c>
      <c r="D33" s="240">
        <v>4532081</v>
      </c>
      <c r="E33" s="318">
        <v>22</v>
      </c>
      <c r="F33" s="513">
        <v>0.5</v>
      </c>
      <c r="G33" s="318">
        <v>1552765</v>
      </c>
      <c r="H33" s="318">
        <v>78</v>
      </c>
      <c r="I33" s="318">
        <v>0.75</v>
      </c>
      <c r="J33" s="240">
        <v>4795266</v>
      </c>
      <c r="K33" s="318">
        <v>32</v>
      </c>
      <c r="L33" s="513">
        <v>0.25</v>
      </c>
      <c r="M33" s="318"/>
      <c r="N33" s="318">
        <v>1081992</v>
      </c>
      <c r="O33" s="513">
        <v>25</v>
      </c>
    </row>
    <row r="34" spans="1:15" x14ac:dyDescent="0.2">
      <c r="A34" s="622"/>
      <c r="B34" s="1145">
        <f>+SUM(B23:B32)</f>
        <v>1782295</v>
      </c>
      <c r="C34" s="1145">
        <f t="shared" ref="C34:O34" si="0">+SUM(C23:C32)</f>
        <v>285</v>
      </c>
      <c r="D34" s="1145">
        <f t="shared" si="0"/>
        <v>4532078</v>
      </c>
      <c r="E34" s="1145">
        <f t="shared" si="0"/>
        <v>322</v>
      </c>
      <c r="F34" s="1145">
        <f t="shared" si="0"/>
        <v>0.5</v>
      </c>
      <c r="G34" s="1147">
        <f t="shared" si="0"/>
        <v>1552769</v>
      </c>
      <c r="H34" s="1145">
        <f t="shared" si="0"/>
        <v>373</v>
      </c>
      <c r="I34" s="1145">
        <f t="shared" si="0"/>
        <v>0.75</v>
      </c>
      <c r="J34" s="1145">
        <f t="shared" si="0"/>
        <v>4795262</v>
      </c>
      <c r="K34" s="1147">
        <f t="shared" si="0"/>
        <v>442</v>
      </c>
      <c r="L34" s="1145">
        <f t="shared" si="0"/>
        <v>0.25</v>
      </c>
      <c r="M34" s="1145">
        <f t="shared" si="0"/>
        <v>0</v>
      </c>
      <c r="N34" s="1145">
        <f t="shared" si="0"/>
        <v>1081989</v>
      </c>
      <c r="O34" s="1147">
        <f t="shared" si="0"/>
        <v>315</v>
      </c>
    </row>
    <row r="35" spans="1:15" x14ac:dyDescent="0.2">
      <c r="A35" s="1058" t="s">
        <v>4657</v>
      </c>
      <c r="B35" s="1059"/>
      <c r="C35" s="1059"/>
      <c r="D35" s="1059"/>
      <c r="E35" s="1059"/>
      <c r="F35" s="1059"/>
      <c r="G35" s="1059"/>
      <c r="H35" s="1059"/>
      <c r="I35" s="1059"/>
      <c r="J35" s="1059"/>
      <c r="K35" s="1059"/>
      <c r="L35" s="1059"/>
      <c r="M35" s="1059"/>
      <c r="N35" s="1059"/>
      <c r="O35" s="1060"/>
    </row>
    <row r="36" spans="1:15" x14ac:dyDescent="0.2">
      <c r="A36" s="514" t="s">
        <v>4658</v>
      </c>
      <c r="B36" s="515"/>
      <c r="C36" s="515"/>
      <c r="D36" s="515"/>
      <c r="E36" s="515"/>
      <c r="F36" s="515"/>
      <c r="G36" s="515"/>
      <c r="H36" s="515"/>
      <c r="I36" s="515"/>
      <c r="J36" s="515"/>
      <c r="K36" s="515"/>
      <c r="L36" s="515"/>
      <c r="M36" s="515"/>
      <c r="N36" s="515"/>
      <c r="O36" s="1029"/>
    </row>
    <row r="38" spans="1:15" ht="16" x14ac:dyDescent="0.2">
      <c r="A38" s="1272" t="s">
        <v>4659</v>
      </c>
      <c r="B38" s="1272"/>
      <c r="C38" s="1272"/>
      <c r="D38" s="1272"/>
      <c r="E38" s="1272"/>
      <c r="F38" s="1272"/>
      <c r="G38" s="1272"/>
      <c r="H38" s="1272"/>
      <c r="I38" s="1272"/>
      <c r="J38" s="1272"/>
      <c r="K38" s="1272"/>
      <c r="L38" s="1272"/>
      <c r="M38" s="1272"/>
      <c r="N38" s="1272"/>
      <c r="O38" s="1272"/>
    </row>
    <row r="39" spans="1:15" x14ac:dyDescent="0.2">
      <c r="A39" s="838" t="s">
        <v>1882</v>
      </c>
      <c r="B39" s="838"/>
      <c r="C39" s="838"/>
      <c r="D39" s="838"/>
      <c r="E39" s="838"/>
      <c r="F39" s="838"/>
      <c r="G39" s="838"/>
      <c r="H39" s="838"/>
      <c r="I39" s="838"/>
      <c r="J39" s="838"/>
      <c r="K39" s="838"/>
      <c r="L39" s="838"/>
      <c r="M39" s="838"/>
      <c r="N39" s="838"/>
      <c r="O39" s="838"/>
    </row>
    <row r="40" spans="1:15" ht="33" customHeight="1" x14ac:dyDescent="0.2">
      <c r="A40" s="1273" t="s">
        <v>1227</v>
      </c>
      <c r="B40" s="1274" t="s">
        <v>4648</v>
      </c>
      <c r="C40" s="1276"/>
      <c r="D40" s="1276" t="s">
        <v>4649</v>
      </c>
      <c r="E40" s="1276"/>
      <c r="F40" s="1276"/>
      <c r="G40" s="1276" t="s">
        <v>4650</v>
      </c>
      <c r="H40" s="1276"/>
      <c r="I40" s="1275"/>
      <c r="J40" s="1276" t="s">
        <v>4651</v>
      </c>
      <c r="K40" s="1276"/>
      <c r="L40" s="1276"/>
      <c r="M40" s="1274" t="s">
        <v>4652</v>
      </c>
      <c r="N40" s="1276"/>
      <c r="O40" s="1276"/>
    </row>
    <row r="41" spans="1:15" x14ac:dyDescent="0.2">
      <c r="A41" s="533" t="s">
        <v>4660</v>
      </c>
      <c r="B41" s="145"/>
      <c r="C41" s="145"/>
      <c r="D41" s="349"/>
      <c r="E41" s="350"/>
      <c r="F41" s="717"/>
      <c r="G41" s="145"/>
      <c r="H41" s="145"/>
      <c r="I41" s="145"/>
      <c r="J41" s="131"/>
      <c r="K41" s="145"/>
      <c r="L41" s="307"/>
      <c r="M41" s="1378" t="s">
        <v>4654</v>
      </c>
      <c r="N41" s="145"/>
      <c r="O41" s="307"/>
    </row>
    <row r="42" spans="1:15" x14ac:dyDescent="0.2">
      <c r="A42" s="533" t="s">
        <v>3668</v>
      </c>
      <c r="B42" s="145">
        <v>24178</v>
      </c>
      <c r="C42" s="145">
        <v>45</v>
      </c>
      <c r="D42" s="131">
        <v>72297</v>
      </c>
      <c r="E42" s="145">
        <v>55</v>
      </c>
      <c r="F42" s="307"/>
      <c r="G42" s="145">
        <v>32420</v>
      </c>
      <c r="H42" s="145">
        <v>60</v>
      </c>
      <c r="I42" s="145"/>
      <c r="J42" s="131">
        <v>80568</v>
      </c>
      <c r="K42" s="145">
        <v>70</v>
      </c>
      <c r="L42" s="307"/>
      <c r="M42" s="145"/>
      <c r="N42" s="145">
        <v>13220</v>
      </c>
      <c r="O42" s="307">
        <v>20</v>
      </c>
    </row>
    <row r="43" spans="1:15" x14ac:dyDescent="0.2">
      <c r="A43" s="533" t="s">
        <v>1517</v>
      </c>
      <c r="B43" s="145">
        <v>31262</v>
      </c>
      <c r="C43" s="145">
        <v>30</v>
      </c>
      <c r="D43" s="131">
        <v>29568</v>
      </c>
      <c r="E43" s="145">
        <v>5</v>
      </c>
      <c r="F43" s="307"/>
      <c r="G43" s="145">
        <v>13708</v>
      </c>
      <c r="H43" s="145">
        <v>5</v>
      </c>
      <c r="I43" s="145"/>
      <c r="J43" s="131">
        <v>31202</v>
      </c>
      <c r="K43" s="145">
        <v>35</v>
      </c>
      <c r="L43" s="307"/>
      <c r="M43" s="145"/>
      <c r="N43" s="145">
        <v>4951</v>
      </c>
      <c r="O43" s="307">
        <v>20</v>
      </c>
    </row>
    <row r="44" spans="1:15" x14ac:dyDescent="0.2">
      <c r="A44" s="533" t="s">
        <v>4033</v>
      </c>
      <c r="B44" s="145">
        <v>51427</v>
      </c>
      <c r="C44" s="145">
        <v>90</v>
      </c>
      <c r="D44" s="131">
        <v>79043</v>
      </c>
      <c r="E44" s="145">
        <v>90</v>
      </c>
      <c r="F44" s="307"/>
      <c r="G44" s="145">
        <v>32723</v>
      </c>
      <c r="H44" s="145">
        <v>80</v>
      </c>
      <c r="I44" s="145"/>
      <c r="J44" s="131">
        <v>80117</v>
      </c>
      <c r="K44" s="145">
        <v>35</v>
      </c>
      <c r="L44" s="307"/>
      <c r="M44" s="145"/>
      <c r="N44" s="145">
        <v>15434</v>
      </c>
      <c r="O44" s="307">
        <v>35</v>
      </c>
    </row>
    <row r="45" spans="1:15" x14ac:dyDescent="0.2">
      <c r="A45" s="533" t="s">
        <v>1519</v>
      </c>
      <c r="B45" s="145">
        <v>12667</v>
      </c>
      <c r="C45" s="145">
        <v>80</v>
      </c>
      <c r="D45" s="131">
        <v>25238</v>
      </c>
      <c r="E45" s="145">
        <v>75</v>
      </c>
      <c r="F45" s="307"/>
      <c r="G45" s="145">
        <v>10569</v>
      </c>
      <c r="H45" s="145">
        <v>5</v>
      </c>
      <c r="I45" s="145"/>
      <c r="J45" s="131">
        <v>26977</v>
      </c>
      <c r="K45" s="145">
        <v>75</v>
      </c>
      <c r="L45" s="307"/>
      <c r="M45" s="1378" t="s">
        <v>4654</v>
      </c>
      <c r="N45" s="145"/>
      <c r="O45" s="307"/>
    </row>
    <row r="46" spans="1:15" x14ac:dyDescent="0.2">
      <c r="A46" s="533" t="s">
        <v>4553</v>
      </c>
      <c r="B46" s="145">
        <v>9514</v>
      </c>
      <c r="C46" s="145">
        <v>30</v>
      </c>
      <c r="D46" s="131">
        <v>9891</v>
      </c>
      <c r="E46" s="145">
        <v>70</v>
      </c>
      <c r="F46" s="307"/>
      <c r="G46" s="145">
        <v>3271</v>
      </c>
      <c r="H46" s="145">
        <v>80</v>
      </c>
      <c r="I46" s="145"/>
      <c r="J46" s="131">
        <v>9780</v>
      </c>
      <c r="K46" s="145">
        <v>55</v>
      </c>
      <c r="L46" s="307"/>
      <c r="M46" s="145"/>
      <c r="N46" s="145">
        <v>1686</v>
      </c>
      <c r="O46" s="307">
        <v>80</v>
      </c>
    </row>
    <row r="47" spans="1:15" x14ac:dyDescent="0.2">
      <c r="A47" s="533" t="s">
        <v>4661</v>
      </c>
      <c r="B47" s="145"/>
      <c r="C47" s="145"/>
      <c r="D47" s="131"/>
      <c r="E47" s="145"/>
      <c r="F47" s="307"/>
      <c r="G47" s="145">
        <v>306</v>
      </c>
      <c r="H47" s="145">
        <v>66</v>
      </c>
      <c r="I47" s="145"/>
      <c r="J47" s="131">
        <v>3823</v>
      </c>
      <c r="K47" s="145">
        <v>67</v>
      </c>
      <c r="L47" s="307"/>
      <c r="M47" s="1378" t="s">
        <v>4654</v>
      </c>
      <c r="N47" s="145"/>
      <c r="O47" s="307"/>
    </row>
    <row r="48" spans="1:15" x14ac:dyDescent="0.2">
      <c r="A48" s="533" t="s">
        <v>1526</v>
      </c>
      <c r="B48" s="145">
        <v>19121</v>
      </c>
      <c r="C48" s="145">
        <v>65</v>
      </c>
      <c r="D48" s="131">
        <v>25200</v>
      </c>
      <c r="E48" s="145">
        <v>40</v>
      </c>
      <c r="F48" s="307"/>
      <c r="G48" s="145">
        <v>10140</v>
      </c>
      <c r="H48" s="145"/>
      <c r="I48" s="145"/>
      <c r="J48" s="131">
        <v>28714</v>
      </c>
      <c r="K48" s="145">
        <v>20</v>
      </c>
      <c r="L48" s="307"/>
      <c r="M48" s="145"/>
      <c r="N48" s="145">
        <v>3901</v>
      </c>
      <c r="O48" s="307">
        <v>20</v>
      </c>
    </row>
    <row r="49" spans="1:15" x14ac:dyDescent="0.2">
      <c r="A49" s="533" t="s">
        <v>1373</v>
      </c>
      <c r="B49" s="145">
        <v>18378</v>
      </c>
      <c r="C49" s="145">
        <v>15</v>
      </c>
      <c r="D49" s="131">
        <v>19682</v>
      </c>
      <c r="E49" s="145">
        <v>30</v>
      </c>
      <c r="F49" s="307"/>
      <c r="G49" s="145">
        <v>7572</v>
      </c>
      <c r="H49" s="145">
        <v>55</v>
      </c>
      <c r="I49" s="145"/>
      <c r="J49" s="131">
        <v>20247</v>
      </c>
      <c r="K49" s="145"/>
      <c r="L49" s="307"/>
      <c r="M49" s="145"/>
      <c r="N49" s="145">
        <v>3211</v>
      </c>
      <c r="O49" s="307">
        <v>90</v>
      </c>
    </row>
    <row r="50" spans="1:15" x14ac:dyDescent="0.2">
      <c r="A50" s="533" t="s">
        <v>1527</v>
      </c>
      <c r="B50" s="145">
        <v>15849</v>
      </c>
      <c r="C50" s="145">
        <v>10</v>
      </c>
      <c r="D50" s="131">
        <v>16970</v>
      </c>
      <c r="E50" s="145">
        <v>55</v>
      </c>
      <c r="F50" s="307"/>
      <c r="G50" s="145">
        <v>9226</v>
      </c>
      <c r="H50" s="145">
        <v>25</v>
      </c>
      <c r="I50" s="145"/>
      <c r="J50" s="131">
        <v>19519</v>
      </c>
      <c r="K50" s="145">
        <v>75</v>
      </c>
      <c r="L50" s="307"/>
      <c r="M50" s="1378" t="s">
        <v>4654</v>
      </c>
      <c r="N50" s="145">
        <v>1649</v>
      </c>
      <c r="O50" s="307">
        <v>5</v>
      </c>
    </row>
    <row r="51" spans="1:15" x14ac:dyDescent="0.2">
      <c r="A51" s="785" t="s">
        <v>4656</v>
      </c>
      <c r="B51" s="240">
        <v>182399</v>
      </c>
      <c r="C51" s="318">
        <v>65</v>
      </c>
      <c r="D51" s="240">
        <v>277893</v>
      </c>
      <c r="E51" s="318">
        <v>20</v>
      </c>
      <c r="F51" s="513"/>
      <c r="G51" s="318">
        <v>119938</v>
      </c>
      <c r="H51" s="318">
        <v>76</v>
      </c>
      <c r="I51" s="318"/>
      <c r="J51" s="240">
        <v>300951</v>
      </c>
      <c r="K51" s="318">
        <v>32</v>
      </c>
      <c r="L51" s="513"/>
      <c r="M51" s="318"/>
      <c r="N51" s="318">
        <v>44054</v>
      </c>
      <c r="O51" s="513">
        <v>70</v>
      </c>
    </row>
    <row r="52" spans="1:15" x14ac:dyDescent="0.2">
      <c r="A52" s="794"/>
      <c r="B52" s="435">
        <f>+SUM(B41:B50)</f>
        <v>182396</v>
      </c>
      <c r="C52" s="435">
        <f t="shared" ref="C52:O52" si="1">+SUM(C41:C50)</f>
        <v>365</v>
      </c>
      <c r="D52" s="435">
        <f t="shared" si="1"/>
        <v>277889</v>
      </c>
      <c r="E52" s="435">
        <f t="shared" si="1"/>
        <v>420</v>
      </c>
      <c r="F52" s="435">
        <f t="shared" si="1"/>
        <v>0</v>
      </c>
      <c r="G52" s="435">
        <f t="shared" si="1"/>
        <v>119935</v>
      </c>
      <c r="H52" s="435">
        <f t="shared" si="1"/>
        <v>376</v>
      </c>
      <c r="I52" s="435">
        <f t="shared" si="1"/>
        <v>0</v>
      </c>
      <c r="J52" s="435">
        <f t="shared" si="1"/>
        <v>300947</v>
      </c>
      <c r="K52" s="435">
        <f t="shared" si="1"/>
        <v>432</v>
      </c>
      <c r="L52" s="435">
        <f t="shared" si="1"/>
        <v>0</v>
      </c>
      <c r="M52" s="435">
        <f t="shared" si="1"/>
        <v>0</v>
      </c>
      <c r="N52" s="435">
        <f t="shared" si="1"/>
        <v>44052</v>
      </c>
      <c r="O52" s="435">
        <f t="shared" si="1"/>
        <v>270</v>
      </c>
    </row>
    <row r="53" spans="1:15" x14ac:dyDescent="0.2">
      <c r="A53" s="514" t="s">
        <v>4658</v>
      </c>
      <c r="B53" s="515"/>
      <c r="C53" s="515"/>
      <c r="D53" s="515"/>
      <c r="E53" s="515"/>
      <c r="F53" s="515"/>
      <c r="G53" s="515"/>
      <c r="H53" s="515"/>
      <c r="I53" s="515"/>
      <c r="J53" s="515"/>
      <c r="K53" s="515"/>
      <c r="L53" s="515"/>
      <c r="M53" s="515"/>
      <c r="N53" s="515"/>
      <c r="O53" s="1029"/>
    </row>
    <row r="55" spans="1:15" ht="16" x14ac:dyDescent="0.2">
      <c r="A55" s="1272" t="s">
        <v>4662</v>
      </c>
      <c r="B55" s="1272"/>
      <c r="C55" s="1272"/>
      <c r="D55" s="1272"/>
      <c r="E55" s="1272"/>
      <c r="F55" s="1272"/>
      <c r="G55" s="1272"/>
      <c r="H55" s="1272"/>
      <c r="I55" s="1272"/>
      <c r="J55" s="1272"/>
      <c r="K55" s="1272"/>
      <c r="L55" s="1272"/>
      <c r="M55" s="1272"/>
      <c r="N55" s="1272"/>
      <c r="O55" s="1272"/>
    </row>
    <row r="56" spans="1:15" x14ac:dyDescent="0.2">
      <c r="A56" s="838" t="s">
        <v>3784</v>
      </c>
      <c r="B56" s="838"/>
      <c r="C56" s="838"/>
      <c r="D56" s="838"/>
      <c r="E56" s="838"/>
      <c r="F56" s="838"/>
      <c r="G56" s="838"/>
      <c r="H56" s="838"/>
      <c r="I56" s="838"/>
      <c r="J56" s="838"/>
      <c r="K56" s="838"/>
      <c r="L56" s="838"/>
      <c r="M56" s="838"/>
      <c r="N56" s="838"/>
      <c r="O56" s="838"/>
    </row>
    <row r="57" spans="1:15" ht="30" customHeight="1" x14ac:dyDescent="0.2">
      <c r="A57" s="1273" t="s">
        <v>1227</v>
      </c>
      <c r="B57" s="1274" t="s">
        <v>4648</v>
      </c>
      <c r="C57" s="1276"/>
      <c r="D57" s="1276" t="s">
        <v>4649</v>
      </c>
      <c r="E57" s="1276"/>
      <c r="F57" s="1276"/>
      <c r="G57" s="1276" t="s">
        <v>4650</v>
      </c>
      <c r="H57" s="1276"/>
      <c r="I57" s="1275"/>
      <c r="J57" s="1276" t="s">
        <v>4651</v>
      </c>
      <c r="K57" s="1276"/>
      <c r="L57" s="1276"/>
      <c r="M57" s="1379" t="s">
        <v>4652</v>
      </c>
      <c r="N57" s="1364"/>
      <c r="O57" s="1364"/>
    </row>
    <row r="58" spans="1:15" x14ac:dyDescent="0.2">
      <c r="A58" s="533" t="s">
        <v>4660</v>
      </c>
      <c r="B58" s="145"/>
      <c r="C58" s="145"/>
      <c r="D58" s="349"/>
      <c r="E58" s="350"/>
      <c r="F58" s="352"/>
      <c r="G58" s="145"/>
      <c r="H58" s="145"/>
      <c r="I58" s="352"/>
      <c r="J58" s="131"/>
      <c r="K58" s="145"/>
      <c r="L58" s="352"/>
      <c r="M58" s="1380"/>
      <c r="N58" s="350"/>
      <c r="O58" s="1381" t="s">
        <v>4654</v>
      </c>
    </row>
    <row r="59" spans="1:15" x14ac:dyDescent="0.2">
      <c r="A59" s="533" t="s">
        <v>3668</v>
      </c>
      <c r="B59" s="145">
        <v>856241</v>
      </c>
      <c r="C59" s="145">
        <v>60</v>
      </c>
      <c r="D59" s="131">
        <v>2965726</v>
      </c>
      <c r="E59" s="145">
        <v>85</v>
      </c>
      <c r="F59" s="133"/>
      <c r="G59" s="145">
        <v>906113</v>
      </c>
      <c r="H59" s="145">
        <v>95</v>
      </c>
      <c r="I59" s="133"/>
      <c r="J59" s="131">
        <v>3018344</v>
      </c>
      <c r="K59" s="145">
        <v>75</v>
      </c>
      <c r="L59" s="133"/>
      <c r="M59" s="131">
        <v>639972</v>
      </c>
      <c r="N59" s="145">
        <v>10</v>
      </c>
      <c r="O59" s="756"/>
    </row>
    <row r="60" spans="1:15" x14ac:dyDescent="0.2">
      <c r="A60" s="533" t="s">
        <v>1517</v>
      </c>
      <c r="B60" s="145">
        <v>149058</v>
      </c>
      <c r="C60" s="145">
        <v>45</v>
      </c>
      <c r="D60" s="131">
        <v>331592</v>
      </c>
      <c r="E60" s="145">
        <v>90</v>
      </c>
      <c r="F60" s="133"/>
      <c r="G60" s="145">
        <v>118018</v>
      </c>
      <c r="H60" s="145">
        <v>60</v>
      </c>
      <c r="I60" s="133"/>
      <c r="J60" s="131">
        <v>232671</v>
      </c>
      <c r="K60" s="145">
        <v>80</v>
      </c>
      <c r="L60" s="133"/>
      <c r="M60" s="131">
        <v>28696</v>
      </c>
      <c r="N60" s="145">
        <v>70</v>
      </c>
      <c r="O60" s="756"/>
    </row>
    <row r="61" spans="1:15" x14ac:dyDescent="0.2">
      <c r="A61" s="533" t="s">
        <v>4033</v>
      </c>
      <c r="B61" s="145">
        <v>360304</v>
      </c>
      <c r="C61" s="145"/>
      <c r="D61" s="131">
        <v>606765</v>
      </c>
      <c r="E61" s="145">
        <v>30</v>
      </c>
      <c r="F61" s="133"/>
      <c r="G61" s="145">
        <v>299445</v>
      </c>
      <c r="H61" s="145">
        <v>20</v>
      </c>
      <c r="I61" s="133"/>
      <c r="J61" s="131">
        <v>826191</v>
      </c>
      <c r="K61" s="145">
        <v>40</v>
      </c>
      <c r="L61" s="133"/>
      <c r="M61" s="131">
        <v>352643</v>
      </c>
      <c r="N61" s="145">
        <v>95</v>
      </c>
      <c r="O61" s="756"/>
    </row>
    <row r="62" spans="1:15" x14ac:dyDescent="0.2">
      <c r="A62" s="533" t="s">
        <v>1519</v>
      </c>
      <c r="B62" s="145">
        <v>159975</v>
      </c>
      <c r="C62" s="145">
        <v>55</v>
      </c>
      <c r="D62" s="131">
        <v>234396</v>
      </c>
      <c r="E62" s="145">
        <v>90</v>
      </c>
      <c r="F62" s="133"/>
      <c r="G62" s="145">
        <v>67133</v>
      </c>
      <c r="H62" s="145">
        <v>40</v>
      </c>
      <c r="I62" s="133"/>
      <c r="J62" s="131">
        <v>300098</v>
      </c>
      <c r="K62" s="145">
        <v>85</v>
      </c>
      <c r="L62" s="133"/>
      <c r="M62" s="1382"/>
      <c r="N62" s="145"/>
      <c r="O62" s="1383" t="s">
        <v>4654</v>
      </c>
    </row>
    <row r="63" spans="1:15" x14ac:dyDescent="0.2">
      <c r="A63" s="533" t="s">
        <v>4553</v>
      </c>
      <c r="B63" s="145">
        <v>1498</v>
      </c>
      <c r="C63" s="145">
        <v>95</v>
      </c>
      <c r="D63" s="1382" t="s">
        <v>2111</v>
      </c>
      <c r="E63" s="145"/>
      <c r="F63" s="133"/>
      <c r="G63" s="1382" t="s">
        <v>2111</v>
      </c>
      <c r="H63" s="145"/>
      <c r="I63" s="133"/>
      <c r="J63" s="1382" t="s">
        <v>2111</v>
      </c>
      <c r="K63" s="145"/>
      <c r="L63" s="133"/>
      <c r="M63" s="1382"/>
      <c r="N63" s="145"/>
      <c r="O63" s="1383" t="s">
        <v>2111</v>
      </c>
    </row>
    <row r="64" spans="1:15" x14ac:dyDescent="0.2">
      <c r="A64" s="533" t="s">
        <v>4661</v>
      </c>
      <c r="B64" s="145"/>
      <c r="C64" s="145"/>
      <c r="D64" s="131"/>
      <c r="E64" s="145"/>
      <c r="F64" s="133"/>
      <c r="G64" s="145">
        <v>187</v>
      </c>
      <c r="H64" s="145">
        <v>12</v>
      </c>
      <c r="I64" s="133">
        <v>0.75</v>
      </c>
      <c r="J64" s="131">
        <v>20707</v>
      </c>
      <c r="K64" s="145">
        <v>50</v>
      </c>
      <c r="L64" s="133">
        <v>0.25</v>
      </c>
      <c r="M64" s="1382"/>
      <c r="N64" s="145"/>
      <c r="O64" s="1383" t="s">
        <v>4654</v>
      </c>
    </row>
    <row r="65" spans="1:37" x14ac:dyDescent="0.2">
      <c r="A65" s="533" t="s">
        <v>1526</v>
      </c>
      <c r="B65" s="145">
        <v>41063</v>
      </c>
      <c r="C65" s="145">
        <v>80</v>
      </c>
      <c r="D65" s="131">
        <v>40086</v>
      </c>
      <c r="E65" s="145">
        <v>85</v>
      </c>
      <c r="F65" s="133"/>
      <c r="G65" s="145">
        <v>8777</v>
      </c>
      <c r="H65" s="145">
        <v>10</v>
      </c>
      <c r="I65" s="133"/>
      <c r="J65" s="131">
        <v>22276</v>
      </c>
      <c r="K65" s="145">
        <v>70</v>
      </c>
      <c r="L65" s="133"/>
      <c r="M65" s="131">
        <v>6555</v>
      </c>
      <c r="N65" s="145">
        <v>40</v>
      </c>
      <c r="O65" s="756"/>
    </row>
    <row r="66" spans="1:37" x14ac:dyDescent="0.2">
      <c r="A66" s="533" t="s">
        <v>1373</v>
      </c>
      <c r="B66" s="145">
        <v>9290</v>
      </c>
      <c r="C66" s="145">
        <v>85</v>
      </c>
      <c r="D66" s="131">
        <v>31626</v>
      </c>
      <c r="E66" s="145">
        <v>77</v>
      </c>
      <c r="F66" s="133">
        <v>0.5</v>
      </c>
      <c r="G66" s="145">
        <v>10021</v>
      </c>
      <c r="H66" s="145">
        <v>45</v>
      </c>
      <c r="I66" s="133"/>
      <c r="J66" s="131">
        <v>23924</v>
      </c>
      <c r="K66" s="145">
        <v>75</v>
      </c>
      <c r="L66" s="133"/>
      <c r="M66" s="131">
        <v>1628</v>
      </c>
      <c r="N66" s="145">
        <v>35</v>
      </c>
      <c r="O66" s="756"/>
    </row>
    <row r="67" spans="1:37" x14ac:dyDescent="0.2">
      <c r="A67" s="533" t="s">
        <v>1527</v>
      </c>
      <c r="B67" s="145">
        <v>22465</v>
      </c>
      <c r="C67" s="145"/>
      <c r="D67" s="131">
        <v>49053</v>
      </c>
      <c r="E67" s="145">
        <v>5</v>
      </c>
      <c r="F67" s="133"/>
      <c r="G67" s="145">
        <v>24581</v>
      </c>
      <c r="H67" s="145">
        <v>25</v>
      </c>
      <c r="I67" s="133"/>
      <c r="J67" s="131">
        <v>55203</v>
      </c>
      <c r="K67" s="145">
        <v>60</v>
      </c>
      <c r="L67" s="133"/>
      <c r="M67" s="230">
        <v>9585</v>
      </c>
      <c r="N67" s="309">
        <v>50</v>
      </c>
      <c r="O67" s="1384" t="s">
        <v>4654</v>
      </c>
    </row>
    <row r="68" spans="1:37" x14ac:dyDescent="0.2">
      <c r="A68" s="785" t="s">
        <v>4656</v>
      </c>
      <c r="B68" s="240">
        <v>1599898</v>
      </c>
      <c r="C68" s="318">
        <v>20</v>
      </c>
      <c r="D68" s="349">
        <v>4259248</v>
      </c>
      <c r="E68" s="350">
        <v>62</v>
      </c>
      <c r="F68" s="352">
        <v>0.5</v>
      </c>
      <c r="G68" s="349">
        <v>1434278</v>
      </c>
      <c r="H68" s="350">
        <v>7</v>
      </c>
      <c r="I68" s="352">
        <v>0.75</v>
      </c>
      <c r="J68" s="349">
        <v>4499419</v>
      </c>
      <c r="K68" s="350">
        <v>35</v>
      </c>
      <c r="L68" s="352">
        <v>0.25</v>
      </c>
      <c r="M68" s="131">
        <v>1039082</v>
      </c>
      <c r="N68" s="145"/>
      <c r="O68" s="307"/>
    </row>
    <row r="69" spans="1:37" x14ac:dyDescent="0.2">
      <c r="A69" s="622"/>
      <c r="B69" s="1145">
        <f>+SUM(B58:B67)</f>
        <v>1599894</v>
      </c>
      <c r="C69" s="1145">
        <f t="shared" ref="C69:O69" si="2">+SUM(C58:C67)</f>
        <v>420</v>
      </c>
      <c r="D69" s="1145">
        <f t="shared" si="2"/>
        <v>4259244</v>
      </c>
      <c r="E69" s="1145">
        <f t="shared" si="2"/>
        <v>462</v>
      </c>
      <c r="F69" s="1146">
        <f t="shared" si="2"/>
        <v>0.5</v>
      </c>
      <c r="G69" s="1145">
        <f t="shared" si="2"/>
        <v>1434275</v>
      </c>
      <c r="H69" s="1145">
        <f t="shared" si="2"/>
        <v>307</v>
      </c>
      <c r="I69" s="1146">
        <f t="shared" si="2"/>
        <v>0.75</v>
      </c>
      <c r="J69" s="1145">
        <f t="shared" si="2"/>
        <v>4499414</v>
      </c>
      <c r="K69" s="1145">
        <f t="shared" si="2"/>
        <v>535</v>
      </c>
      <c r="L69" s="1146">
        <f t="shared" si="2"/>
        <v>0.25</v>
      </c>
      <c r="M69" s="1145">
        <f t="shared" si="2"/>
        <v>1039079</v>
      </c>
      <c r="N69" s="1145">
        <f t="shared" si="2"/>
        <v>300</v>
      </c>
      <c r="O69" s="1145">
        <f t="shared" si="2"/>
        <v>0</v>
      </c>
    </row>
    <row r="70" spans="1:37" x14ac:dyDescent="0.2">
      <c r="A70" s="1385" t="s">
        <v>4663</v>
      </c>
      <c r="B70" s="1386"/>
      <c r="C70" s="1386"/>
      <c r="D70" s="230">
        <v>5060</v>
      </c>
      <c r="E70" s="309">
        <v>60</v>
      </c>
      <c r="F70" s="231"/>
      <c r="G70" s="230">
        <v>1444</v>
      </c>
      <c r="H70" s="309">
        <v>10</v>
      </c>
      <c r="I70" s="231"/>
      <c r="J70" s="230">
        <v>5104</v>
      </c>
      <c r="K70" s="309">
        <v>25</v>
      </c>
      <c r="L70" s="231"/>
      <c r="M70" s="230">
        <v>1144</v>
      </c>
      <c r="N70" s="309">
        <v>45</v>
      </c>
      <c r="O70" s="364"/>
    </row>
    <row r="71" spans="1:37" x14ac:dyDescent="0.2">
      <c r="A71" s="1387"/>
      <c r="B71" s="1388"/>
      <c r="C71" s="1389"/>
      <c r="D71" s="230">
        <v>4254188</v>
      </c>
      <c r="E71" s="309">
        <v>2</v>
      </c>
      <c r="F71" s="231">
        <v>0.5</v>
      </c>
      <c r="G71" s="230">
        <v>1432833</v>
      </c>
      <c r="H71" s="309">
        <v>97</v>
      </c>
      <c r="I71" s="231">
        <v>0.75</v>
      </c>
      <c r="J71" s="230">
        <v>4494315</v>
      </c>
      <c r="K71" s="309">
        <v>10</v>
      </c>
      <c r="L71" s="231">
        <v>0.25</v>
      </c>
      <c r="M71" s="230">
        <v>1037937</v>
      </c>
      <c r="N71" s="309">
        <v>55</v>
      </c>
      <c r="O71" s="364"/>
    </row>
    <row r="72" spans="1:37" x14ac:dyDescent="0.2">
      <c r="A72" s="1390"/>
      <c r="B72" s="1391"/>
      <c r="C72" s="1391"/>
      <c r="D72" s="309">
        <f>+D69-D70</f>
        <v>4254184</v>
      </c>
      <c r="E72" s="309">
        <f t="shared" ref="E72:O72" si="3">+E69-E70</f>
        <v>402</v>
      </c>
      <c r="F72" s="310">
        <f t="shared" si="3"/>
        <v>0.5</v>
      </c>
      <c r="G72" s="309">
        <f t="shared" si="3"/>
        <v>1432831</v>
      </c>
      <c r="H72" s="309">
        <f t="shared" si="3"/>
        <v>297</v>
      </c>
      <c r="I72" s="310">
        <f t="shared" si="3"/>
        <v>0.75</v>
      </c>
      <c r="J72" s="309">
        <f t="shared" si="3"/>
        <v>4494310</v>
      </c>
      <c r="K72" s="309">
        <f t="shared" si="3"/>
        <v>510</v>
      </c>
      <c r="L72" s="310">
        <f t="shared" si="3"/>
        <v>0.25</v>
      </c>
      <c r="M72" s="309">
        <f t="shared" si="3"/>
        <v>1037935</v>
      </c>
      <c r="N72" s="309">
        <f t="shared" si="3"/>
        <v>255</v>
      </c>
      <c r="O72" s="309">
        <f t="shared" si="3"/>
        <v>0</v>
      </c>
    </row>
    <row r="73" spans="1:37" x14ac:dyDescent="0.2">
      <c r="A73" s="514" t="s">
        <v>4658</v>
      </c>
      <c r="B73" s="515"/>
      <c r="C73" s="515"/>
      <c r="D73" s="515"/>
      <c r="E73" s="515"/>
      <c r="F73" s="515"/>
      <c r="G73" s="515"/>
      <c r="H73" s="515"/>
      <c r="I73" s="515"/>
      <c r="J73" s="515"/>
      <c r="K73" s="515"/>
      <c r="L73" s="515"/>
      <c r="M73" s="515"/>
      <c r="N73" s="515"/>
      <c r="O73" s="1029"/>
    </row>
    <row r="77" spans="1:37" x14ac:dyDescent="0.2">
      <c r="A77" s="526" t="s">
        <v>1182</v>
      </c>
    </row>
    <row r="78" spans="1:37" s="1343" customFormat="1" ht="29.5" customHeight="1" x14ac:dyDescent="0.15">
      <c r="A78" s="1272" t="s">
        <v>4664</v>
      </c>
      <c r="B78" s="1272"/>
      <c r="C78" s="1272"/>
      <c r="D78" s="1272"/>
      <c r="E78" s="1272"/>
      <c r="F78" s="1272"/>
      <c r="G78" s="1272"/>
      <c r="H78" s="1272"/>
      <c r="I78" s="1272"/>
      <c r="J78" s="1272"/>
      <c r="K78" s="1272"/>
      <c r="L78" s="1272"/>
      <c r="M78" s="1272"/>
      <c r="N78" s="1272"/>
      <c r="O78" s="1272"/>
      <c r="P78" s="1272"/>
      <c r="Q78" s="1272"/>
      <c r="R78" s="1272"/>
      <c r="S78" s="1272"/>
      <c r="T78" s="1272"/>
      <c r="U78" s="1272"/>
      <c r="V78" s="1272"/>
      <c r="W78" s="1272"/>
      <c r="X78" s="1272"/>
      <c r="Y78" s="1272"/>
      <c r="Z78" s="1272"/>
      <c r="AA78" s="1272"/>
      <c r="AB78" s="1272"/>
      <c r="AC78" s="1272"/>
      <c r="AD78" s="1272"/>
      <c r="AE78" s="1272"/>
      <c r="AF78" s="1272"/>
      <c r="AG78" s="1272"/>
      <c r="AH78" s="1272"/>
      <c r="AI78" s="1272"/>
      <c r="AJ78" s="1272"/>
      <c r="AK78" s="1272"/>
    </row>
    <row r="79" spans="1:37" s="1343" customFormat="1" ht="21.5" customHeight="1" x14ac:dyDescent="0.15">
      <c r="A79" s="967" t="s">
        <v>4665</v>
      </c>
      <c r="B79" s="967"/>
      <c r="C79" s="967"/>
      <c r="D79" s="967"/>
      <c r="E79" s="967"/>
      <c r="F79" s="967"/>
      <c r="G79" s="967"/>
      <c r="H79" s="967"/>
      <c r="I79" s="967"/>
      <c r="J79" s="967"/>
      <c r="K79" s="967"/>
      <c r="L79" s="967"/>
      <c r="M79" s="967"/>
      <c r="N79" s="967"/>
      <c r="O79" s="967"/>
      <c r="P79" s="967"/>
      <c r="Q79" s="967"/>
      <c r="R79" s="967"/>
      <c r="S79" s="967"/>
      <c r="T79" s="967"/>
      <c r="U79" s="967"/>
      <c r="V79" s="967"/>
      <c r="W79" s="967"/>
      <c r="X79" s="967"/>
      <c r="Y79" s="967"/>
      <c r="Z79" s="967"/>
      <c r="AA79" s="967"/>
      <c r="AB79" s="967"/>
      <c r="AC79" s="967"/>
      <c r="AD79" s="967"/>
      <c r="AE79" s="967"/>
      <c r="AF79" s="967"/>
      <c r="AG79" s="967"/>
      <c r="AH79" s="967"/>
      <c r="AI79" s="967"/>
      <c r="AJ79" s="967"/>
      <c r="AK79" s="967"/>
    </row>
    <row r="80" spans="1:37" s="1343" customFormat="1" x14ac:dyDescent="0.15">
      <c r="A80" s="967" t="s">
        <v>4666</v>
      </c>
      <c r="B80" s="967"/>
      <c r="C80" s="967"/>
      <c r="D80" s="967"/>
      <c r="E80" s="967"/>
      <c r="F80" s="967"/>
      <c r="G80" s="967"/>
      <c r="H80" s="967"/>
      <c r="I80" s="967"/>
      <c r="J80" s="967"/>
      <c r="K80" s="967"/>
      <c r="L80" s="967"/>
      <c r="M80" s="967"/>
      <c r="N80" s="967"/>
      <c r="O80" s="967"/>
      <c r="P80" s="967"/>
      <c r="Q80" s="967"/>
      <c r="R80" s="967"/>
      <c r="S80" s="967"/>
      <c r="T80" s="967"/>
      <c r="U80" s="967"/>
      <c r="V80" s="967"/>
      <c r="W80" s="967"/>
      <c r="X80" s="967"/>
      <c r="Y80" s="967"/>
      <c r="Z80" s="967"/>
      <c r="AA80" s="967"/>
      <c r="AB80" s="967"/>
      <c r="AC80" s="967"/>
      <c r="AD80" s="967"/>
      <c r="AE80" s="967"/>
      <c r="AF80" s="967"/>
      <c r="AG80" s="967"/>
      <c r="AH80" s="967"/>
      <c r="AI80" s="967"/>
      <c r="AJ80" s="967"/>
      <c r="AK80" s="967"/>
    </row>
    <row r="81" spans="1:37" s="1343" customFormat="1" ht="25.75" customHeight="1" x14ac:dyDescent="0.15">
      <c r="A81" s="967" t="s">
        <v>3476</v>
      </c>
      <c r="B81" s="967" t="s">
        <v>4667</v>
      </c>
      <c r="C81" s="967"/>
      <c r="D81" s="967"/>
      <c r="E81" s="967"/>
      <c r="F81" s="967"/>
      <c r="G81" s="967"/>
      <c r="H81" s="967"/>
      <c r="I81" s="967"/>
      <c r="J81" s="967"/>
      <c r="K81" s="967" t="s">
        <v>4668</v>
      </c>
      <c r="L81" s="967"/>
      <c r="M81" s="967"/>
      <c r="N81" s="967"/>
      <c r="O81" s="967"/>
      <c r="P81" s="967"/>
      <c r="Q81" s="967"/>
      <c r="R81" s="967"/>
      <c r="S81" s="967"/>
      <c r="T81" s="967" t="s">
        <v>4669</v>
      </c>
      <c r="U81" s="967"/>
      <c r="V81" s="967"/>
      <c r="W81" s="967"/>
      <c r="X81" s="967"/>
      <c r="Y81" s="967"/>
      <c r="Z81" s="967"/>
      <c r="AA81" s="967"/>
      <c r="AB81" s="967"/>
      <c r="AC81" s="967" t="s">
        <v>4670</v>
      </c>
      <c r="AD81" s="967"/>
      <c r="AE81" s="967"/>
      <c r="AF81" s="967"/>
      <c r="AG81" s="967"/>
      <c r="AH81" s="967"/>
      <c r="AI81" s="967"/>
      <c r="AJ81" s="967"/>
      <c r="AK81" s="967"/>
    </row>
    <row r="82" spans="1:37" s="1369" customFormat="1" ht="29.5" customHeight="1" x14ac:dyDescent="0.15">
      <c r="A82" s="967"/>
      <c r="B82" s="1276" t="s">
        <v>1766</v>
      </c>
      <c r="C82" s="1276"/>
      <c r="D82" s="1276"/>
      <c r="E82" s="1276" t="s">
        <v>1935</v>
      </c>
      <c r="F82" s="1276"/>
      <c r="G82" s="1276"/>
      <c r="H82" s="1276" t="s">
        <v>4671</v>
      </c>
      <c r="I82" s="1276"/>
      <c r="J82" s="1276"/>
      <c r="K82" s="1276" t="s">
        <v>1766</v>
      </c>
      <c r="L82" s="1276"/>
      <c r="M82" s="1276"/>
      <c r="N82" s="1274" t="s">
        <v>1935</v>
      </c>
      <c r="O82" s="1276"/>
      <c r="P82" s="1276"/>
      <c r="Q82" s="1276" t="s">
        <v>4671</v>
      </c>
      <c r="R82" s="1276"/>
      <c r="S82" s="1276"/>
      <c r="T82" s="1276" t="s">
        <v>1766</v>
      </c>
      <c r="U82" s="1276"/>
      <c r="V82" s="1276"/>
      <c r="W82" s="1276" t="s">
        <v>1935</v>
      </c>
      <c r="X82" s="1276"/>
      <c r="Y82" s="1276"/>
      <c r="Z82" s="1276" t="s">
        <v>4671</v>
      </c>
      <c r="AA82" s="1276"/>
      <c r="AB82" s="1276"/>
      <c r="AC82" s="1276" t="s">
        <v>1766</v>
      </c>
      <c r="AD82" s="1276"/>
      <c r="AE82" s="1276"/>
      <c r="AF82" s="1276" t="s">
        <v>1935</v>
      </c>
      <c r="AG82" s="1276"/>
      <c r="AH82" s="1276"/>
      <c r="AI82" s="1276" t="s">
        <v>4671</v>
      </c>
      <c r="AJ82" s="1276"/>
      <c r="AK82" s="1276"/>
    </row>
    <row r="83" spans="1:37" x14ac:dyDescent="0.2">
      <c r="A83" s="716" t="s">
        <v>4672</v>
      </c>
      <c r="B83" s="350">
        <v>822894</v>
      </c>
      <c r="C83" s="350">
        <v>72</v>
      </c>
      <c r="D83" s="351">
        <v>0.5</v>
      </c>
      <c r="E83" s="349">
        <v>155888</v>
      </c>
      <c r="F83" s="350">
        <v>15</v>
      </c>
      <c r="G83" s="717"/>
      <c r="H83" s="350">
        <v>667006</v>
      </c>
      <c r="I83" s="350">
        <v>57</v>
      </c>
      <c r="J83" s="351">
        <v>0.5</v>
      </c>
      <c r="K83" s="349">
        <v>1391792</v>
      </c>
      <c r="L83" s="350">
        <v>97</v>
      </c>
      <c r="M83" s="352">
        <v>0.5</v>
      </c>
      <c r="N83" s="350">
        <v>127991</v>
      </c>
      <c r="O83" s="350">
        <v>62</v>
      </c>
      <c r="P83" s="351">
        <v>0.5</v>
      </c>
      <c r="Q83" s="349">
        <v>1263801</v>
      </c>
      <c r="R83" s="350">
        <v>35</v>
      </c>
      <c r="S83" s="351"/>
      <c r="T83" s="349">
        <v>299934</v>
      </c>
      <c r="U83" s="350">
        <v>60</v>
      </c>
      <c r="V83" s="717"/>
      <c r="W83" s="349">
        <v>42559</v>
      </c>
      <c r="X83" s="350">
        <v>85</v>
      </c>
      <c r="Y83" s="717"/>
      <c r="Z83" s="350">
        <v>257374</v>
      </c>
      <c r="AA83" s="350">
        <v>75</v>
      </c>
      <c r="AB83" s="350"/>
      <c r="AC83" s="349">
        <v>853393</v>
      </c>
      <c r="AD83" s="350"/>
      <c r="AE83" s="717"/>
      <c r="AF83" s="350">
        <v>136321</v>
      </c>
      <c r="AG83" s="350">
        <v>95</v>
      </c>
      <c r="AH83" s="351"/>
      <c r="AI83" s="349">
        <v>717071</v>
      </c>
      <c r="AJ83" s="350">
        <v>5</v>
      </c>
      <c r="AK83" s="352"/>
    </row>
    <row r="84" spans="1:37" x14ac:dyDescent="0.2">
      <c r="A84" s="533" t="s">
        <v>3587</v>
      </c>
      <c r="B84" s="145">
        <v>88104</v>
      </c>
      <c r="C84" s="145">
        <v>60</v>
      </c>
      <c r="D84" s="180"/>
      <c r="E84" s="131">
        <v>15832</v>
      </c>
      <c r="F84" s="145">
        <v>5</v>
      </c>
      <c r="G84" s="307"/>
      <c r="H84" s="145">
        <v>72272</v>
      </c>
      <c r="I84" s="145">
        <v>55</v>
      </c>
      <c r="J84" s="180"/>
      <c r="K84" s="131">
        <v>104949</v>
      </c>
      <c r="L84" s="145">
        <v>35</v>
      </c>
      <c r="M84" s="133"/>
      <c r="N84" s="145">
        <v>11846</v>
      </c>
      <c r="O84" s="145">
        <v>32</v>
      </c>
      <c r="P84" s="180">
        <v>0.5</v>
      </c>
      <c r="Q84" s="131">
        <v>93103</v>
      </c>
      <c r="R84" s="145">
        <v>2</v>
      </c>
      <c r="S84" s="180">
        <v>0.5</v>
      </c>
      <c r="T84" s="131">
        <v>30415</v>
      </c>
      <c r="U84" s="145">
        <v>20</v>
      </c>
      <c r="V84" s="307"/>
      <c r="W84" s="131">
        <v>3335</v>
      </c>
      <c r="X84" s="145">
        <v>75</v>
      </c>
      <c r="Y84" s="307"/>
      <c r="Z84" s="145">
        <v>26179</v>
      </c>
      <c r="AA84" s="145">
        <v>45</v>
      </c>
      <c r="AB84" s="145"/>
      <c r="AC84" s="131">
        <v>71521</v>
      </c>
      <c r="AD84" s="145">
        <v>20</v>
      </c>
      <c r="AE84" s="307"/>
      <c r="AF84" s="145">
        <v>11708</v>
      </c>
      <c r="AG84" s="145">
        <v>50</v>
      </c>
      <c r="AH84" s="180"/>
      <c r="AI84" s="131">
        <v>59812</v>
      </c>
      <c r="AJ84" s="145">
        <v>70</v>
      </c>
      <c r="AK84" s="133"/>
    </row>
    <row r="85" spans="1:37" x14ac:dyDescent="0.2">
      <c r="A85" s="533" t="s">
        <v>3588</v>
      </c>
      <c r="B85" s="145">
        <v>43765</v>
      </c>
      <c r="C85" s="145">
        <v>45</v>
      </c>
      <c r="D85" s="180"/>
      <c r="E85" s="131">
        <v>7711</v>
      </c>
      <c r="F85" s="145">
        <v>35</v>
      </c>
      <c r="G85" s="307"/>
      <c r="H85" s="145">
        <v>36054</v>
      </c>
      <c r="I85" s="145">
        <v>10</v>
      </c>
      <c r="J85" s="180"/>
      <c r="K85" s="131">
        <v>66935</v>
      </c>
      <c r="L85" s="145">
        <v>80</v>
      </c>
      <c r="M85" s="133"/>
      <c r="N85" s="145">
        <v>6806</v>
      </c>
      <c r="O85" s="145">
        <v>77</v>
      </c>
      <c r="P85" s="180">
        <v>0.5</v>
      </c>
      <c r="Q85" s="131">
        <v>60129</v>
      </c>
      <c r="R85" s="145">
        <v>2</v>
      </c>
      <c r="S85" s="180">
        <v>0.5</v>
      </c>
      <c r="T85" s="131">
        <v>31616</v>
      </c>
      <c r="U85" s="145">
        <v>40</v>
      </c>
      <c r="V85" s="307"/>
      <c r="W85" s="131">
        <v>3856</v>
      </c>
      <c r="X85" s="145">
        <v>30</v>
      </c>
      <c r="Y85" s="307"/>
      <c r="Z85" s="145">
        <v>27760</v>
      </c>
      <c r="AA85" s="145">
        <v>10</v>
      </c>
      <c r="AB85" s="145"/>
      <c r="AC85" s="131">
        <v>76577</v>
      </c>
      <c r="AD85" s="145"/>
      <c r="AE85" s="307"/>
      <c r="AF85" s="145">
        <v>10284</v>
      </c>
      <c r="AG85" s="145">
        <v>15</v>
      </c>
      <c r="AH85" s="180"/>
      <c r="AI85" s="131">
        <v>66292</v>
      </c>
      <c r="AJ85" s="145">
        <v>85</v>
      </c>
      <c r="AK85" s="133"/>
    </row>
    <row r="86" spans="1:37" x14ac:dyDescent="0.2">
      <c r="A86" s="533" t="s">
        <v>3589</v>
      </c>
      <c r="B86" s="145">
        <v>24198</v>
      </c>
      <c r="C86" s="145">
        <v>30</v>
      </c>
      <c r="D86" s="180"/>
      <c r="E86" s="131">
        <v>5969</v>
      </c>
      <c r="F86" s="145">
        <v>10</v>
      </c>
      <c r="G86" s="307"/>
      <c r="H86" s="145">
        <v>18229</v>
      </c>
      <c r="I86" s="145">
        <v>20</v>
      </c>
      <c r="J86" s="180"/>
      <c r="K86" s="131">
        <v>86800</v>
      </c>
      <c r="L86" s="145">
        <v>42</v>
      </c>
      <c r="M86" s="133">
        <v>0.5</v>
      </c>
      <c r="N86" s="145">
        <v>12442</v>
      </c>
      <c r="O86" s="145">
        <v>40</v>
      </c>
      <c r="P86" s="180"/>
      <c r="Q86" s="131">
        <v>74358</v>
      </c>
      <c r="R86" s="145">
        <v>2</v>
      </c>
      <c r="S86" s="180">
        <v>0.5</v>
      </c>
      <c r="T86" s="131">
        <v>56085</v>
      </c>
      <c r="U86" s="145"/>
      <c r="V86" s="307"/>
      <c r="W86" s="131">
        <v>8572</v>
      </c>
      <c r="X86" s="145">
        <v>65</v>
      </c>
      <c r="Y86" s="307"/>
      <c r="Z86" s="145">
        <v>47512</v>
      </c>
      <c r="AA86" s="145">
        <v>35</v>
      </c>
      <c r="AB86" s="145"/>
      <c r="AC86" s="131">
        <v>113310</v>
      </c>
      <c r="AD86" s="145">
        <v>80</v>
      </c>
      <c r="AE86" s="307"/>
      <c r="AF86" s="145">
        <v>19587</v>
      </c>
      <c r="AG86" s="145">
        <v>90</v>
      </c>
      <c r="AH86" s="180"/>
      <c r="AI86" s="131">
        <v>93722</v>
      </c>
      <c r="AJ86" s="145">
        <v>90</v>
      </c>
      <c r="AK86" s="133"/>
    </row>
    <row r="87" spans="1:37" x14ac:dyDescent="0.2">
      <c r="A87" s="533" t="s">
        <v>3590</v>
      </c>
      <c r="B87" s="309">
        <v>2467</v>
      </c>
      <c r="C87" s="309">
        <v>50</v>
      </c>
      <c r="D87" s="310"/>
      <c r="E87" s="230">
        <v>1033</v>
      </c>
      <c r="F87" s="309"/>
      <c r="G87" s="364"/>
      <c r="H87" s="309">
        <v>1434</v>
      </c>
      <c r="I87" s="309">
        <v>50</v>
      </c>
      <c r="J87" s="310"/>
      <c r="K87" s="230">
        <v>1411</v>
      </c>
      <c r="L87" s="309">
        <v>50</v>
      </c>
      <c r="M87" s="231"/>
      <c r="N87" s="309">
        <v>834</v>
      </c>
      <c r="O87" s="309">
        <v>80</v>
      </c>
      <c r="P87" s="310"/>
      <c r="Q87" s="230">
        <v>576</v>
      </c>
      <c r="R87" s="309">
        <v>70</v>
      </c>
      <c r="S87" s="310"/>
      <c r="T87" s="230">
        <v>2200</v>
      </c>
      <c r="U87" s="309"/>
      <c r="V87" s="364"/>
      <c r="W87" s="230"/>
      <c r="X87" s="309"/>
      <c r="Y87" s="364"/>
      <c r="Z87" s="309">
        <v>2200</v>
      </c>
      <c r="AA87" s="309"/>
      <c r="AB87" s="309"/>
      <c r="AC87" s="230">
        <v>6600</v>
      </c>
      <c r="AD87" s="309"/>
      <c r="AE87" s="364"/>
      <c r="AF87" s="309"/>
      <c r="AG87" s="309"/>
      <c r="AH87" s="310"/>
      <c r="AI87" s="230">
        <v>6600</v>
      </c>
      <c r="AJ87" s="309"/>
      <c r="AK87" s="231"/>
    </row>
    <row r="88" spans="1:37" x14ac:dyDescent="0.2">
      <c r="A88" s="1068" t="s">
        <v>4673</v>
      </c>
      <c r="B88" s="145">
        <v>981430</v>
      </c>
      <c r="C88" s="145">
        <v>57</v>
      </c>
      <c r="D88" s="180">
        <v>0.5</v>
      </c>
      <c r="E88" s="131">
        <v>186433</v>
      </c>
      <c r="F88" s="145">
        <v>65</v>
      </c>
      <c r="G88" s="307"/>
      <c r="H88" s="145">
        <v>794996</v>
      </c>
      <c r="I88" s="145">
        <v>92</v>
      </c>
      <c r="J88" s="180">
        <v>0.5</v>
      </c>
      <c r="K88" s="131">
        <v>1651890</v>
      </c>
      <c r="L88" s="145">
        <v>50</v>
      </c>
      <c r="M88" s="133"/>
      <c r="N88" s="145">
        <v>159921</v>
      </c>
      <c r="O88" s="145">
        <v>92</v>
      </c>
      <c r="P88" s="180">
        <v>0.5</v>
      </c>
      <c r="Q88" s="131">
        <v>1491968</v>
      </c>
      <c r="R88" s="145">
        <v>12</v>
      </c>
      <c r="S88" s="180">
        <v>0.5</v>
      </c>
      <c r="T88" s="131">
        <v>420251</v>
      </c>
      <c r="U88" s="145">
        <v>20</v>
      </c>
      <c r="V88" s="307"/>
      <c r="W88" s="131">
        <v>58324</v>
      </c>
      <c r="X88" s="145">
        <v>55</v>
      </c>
      <c r="Y88" s="307"/>
      <c r="Z88" s="145">
        <v>361926</v>
      </c>
      <c r="AA88" s="145">
        <v>65</v>
      </c>
      <c r="AB88" s="145"/>
      <c r="AC88" s="131">
        <v>1121402</v>
      </c>
      <c r="AD88" s="145"/>
      <c r="AE88" s="307"/>
      <c r="AF88" s="145">
        <v>177902</v>
      </c>
      <c r="AG88" s="145">
        <v>50</v>
      </c>
      <c r="AH88" s="180"/>
      <c r="AI88" s="131">
        <v>943499</v>
      </c>
      <c r="AJ88" s="145">
        <v>50</v>
      </c>
      <c r="AK88" s="133"/>
    </row>
    <row r="89" spans="1:37" x14ac:dyDescent="0.2">
      <c r="A89" s="533" t="s">
        <v>3807</v>
      </c>
      <c r="B89" s="145">
        <v>17727</v>
      </c>
      <c r="C89" s="145">
        <v>75</v>
      </c>
      <c r="D89" s="180"/>
      <c r="E89" s="131">
        <v>14005</v>
      </c>
      <c r="F89" s="145">
        <v>45</v>
      </c>
      <c r="G89" s="307"/>
      <c r="H89" s="145">
        <v>3722</v>
      </c>
      <c r="I89" s="145">
        <v>30</v>
      </c>
      <c r="J89" s="180"/>
      <c r="K89" s="131">
        <v>23380</v>
      </c>
      <c r="L89" s="145">
        <v>90</v>
      </c>
      <c r="M89" s="133"/>
      <c r="N89" s="145">
        <v>13843</v>
      </c>
      <c r="O89" s="145">
        <v>95</v>
      </c>
      <c r="P89" s="180"/>
      <c r="Q89" s="131">
        <v>9536</v>
      </c>
      <c r="R89" s="145">
        <v>95</v>
      </c>
      <c r="S89" s="180"/>
      <c r="T89" s="131">
        <v>11897</v>
      </c>
      <c r="U89" s="145">
        <v>80</v>
      </c>
      <c r="V89" s="307"/>
      <c r="W89" s="131">
        <v>7145</v>
      </c>
      <c r="X89" s="145">
        <v>10</v>
      </c>
      <c r="Y89" s="307"/>
      <c r="Z89" s="145">
        <v>4752</v>
      </c>
      <c r="AA89" s="145">
        <v>70</v>
      </c>
      <c r="AB89" s="145"/>
      <c r="AC89" s="131">
        <v>30663</v>
      </c>
      <c r="AD89" s="145">
        <v>55</v>
      </c>
      <c r="AE89" s="307"/>
      <c r="AF89" s="145">
        <v>17639</v>
      </c>
      <c r="AG89" s="145">
        <v>15</v>
      </c>
      <c r="AH89" s="180"/>
      <c r="AI89" s="131">
        <v>13024</v>
      </c>
      <c r="AJ89" s="145">
        <v>40</v>
      </c>
      <c r="AK89" s="133"/>
    </row>
    <row r="90" spans="1:37" x14ac:dyDescent="0.2">
      <c r="A90" s="533" t="s">
        <v>4044</v>
      </c>
      <c r="B90" s="145">
        <v>64975</v>
      </c>
      <c r="C90" s="145">
        <v>65</v>
      </c>
      <c r="D90" s="180"/>
      <c r="E90" s="131">
        <v>29033</v>
      </c>
      <c r="F90" s="145">
        <v>30</v>
      </c>
      <c r="G90" s="307"/>
      <c r="H90" s="145">
        <v>35942</v>
      </c>
      <c r="I90" s="145">
        <v>35</v>
      </c>
      <c r="J90" s="180"/>
      <c r="K90" s="131">
        <v>43593</v>
      </c>
      <c r="L90" s="145">
        <v>50</v>
      </c>
      <c r="M90" s="133"/>
      <c r="N90" s="145"/>
      <c r="O90" s="145"/>
      <c r="P90" s="180"/>
      <c r="Q90" s="131">
        <v>43593</v>
      </c>
      <c r="R90" s="145">
        <v>50</v>
      </c>
      <c r="S90" s="180"/>
      <c r="T90" s="131">
        <v>20000</v>
      </c>
      <c r="U90" s="145"/>
      <c r="V90" s="307"/>
      <c r="W90" s="131"/>
      <c r="X90" s="145"/>
      <c r="Y90" s="307"/>
      <c r="Z90" s="145">
        <v>20000</v>
      </c>
      <c r="AA90" s="145"/>
      <c r="AB90" s="145"/>
      <c r="AC90" s="131">
        <v>60000</v>
      </c>
      <c r="AD90" s="145"/>
      <c r="AE90" s="307"/>
      <c r="AF90" s="145"/>
      <c r="AG90" s="145"/>
      <c r="AH90" s="180"/>
      <c r="AI90" s="131">
        <v>60000</v>
      </c>
      <c r="AJ90" s="145"/>
      <c r="AK90" s="133"/>
    </row>
    <row r="91" spans="1:37" x14ac:dyDescent="0.2">
      <c r="A91" s="533" t="s">
        <v>4674</v>
      </c>
      <c r="B91" s="145">
        <v>10000</v>
      </c>
      <c r="C91" s="145">
        <v>40</v>
      </c>
      <c r="D91" s="180"/>
      <c r="E91" s="131">
        <v>6609</v>
      </c>
      <c r="F91" s="145">
        <v>40</v>
      </c>
      <c r="G91" s="307"/>
      <c r="H91" s="145">
        <v>3391</v>
      </c>
      <c r="I91" s="145"/>
      <c r="J91" s="180"/>
      <c r="K91" s="131">
        <v>15414</v>
      </c>
      <c r="L91" s="145">
        <v>87</v>
      </c>
      <c r="M91" s="133">
        <v>0.5</v>
      </c>
      <c r="N91" s="145">
        <v>9747</v>
      </c>
      <c r="O91" s="145">
        <v>72</v>
      </c>
      <c r="P91" s="180">
        <v>0.5</v>
      </c>
      <c r="Q91" s="131">
        <v>5667</v>
      </c>
      <c r="R91" s="145">
        <v>15</v>
      </c>
      <c r="S91" s="180"/>
      <c r="T91" s="131">
        <v>522</v>
      </c>
      <c r="U91" s="145">
        <v>95</v>
      </c>
      <c r="V91" s="307"/>
      <c r="W91" s="131">
        <v>1368</v>
      </c>
      <c r="X91" s="145">
        <v>35</v>
      </c>
      <c r="Y91" s="307"/>
      <c r="Z91" s="145"/>
      <c r="AA91" s="145"/>
      <c r="AB91" s="145"/>
      <c r="AC91" s="131">
        <v>13375</v>
      </c>
      <c r="AD91" s="145"/>
      <c r="AE91" s="307"/>
      <c r="AF91" s="145">
        <v>6027</v>
      </c>
      <c r="AG91" s="145">
        <v>60</v>
      </c>
      <c r="AH91" s="180"/>
      <c r="AI91" s="131">
        <v>7347</v>
      </c>
      <c r="AJ91" s="145">
        <v>40</v>
      </c>
      <c r="AK91" s="133"/>
    </row>
    <row r="92" spans="1:37" x14ac:dyDescent="0.2">
      <c r="A92" s="533" t="s">
        <v>4675</v>
      </c>
      <c r="B92" s="145"/>
      <c r="C92" s="145"/>
      <c r="D92" s="180"/>
      <c r="E92" s="131"/>
      <c r="F92" s="145"/>
      <c r="G92" s="307"/>
      <c r="H92" s="145"/>
      <c r="I92" s="145"/>
      <c r="J92" s="180"/>
      <c r="K92" s="131">
        <v>3859</v>
      </c>
      <c r="L92" s="145">
        <v>30</v>
      </c>
      <c r="M92" s="133"/>
      <c r="N92" s="145"/>
      <c r="O92" s="145"/>
      <c r="P92" s="180"/>
      <c r="Q92" s="131">
        <v>3859</v>
      </c>
      <c r="R92" s="145">
        <v>30</v>
      </c>
      <c r="S92" s="180"/>
      <c r="T92" s="131">
        <v>370</v>
      </c>
      <c r="U92" s="145">
        <v>35</v>
      </c>
      <c r="V92" s="307"/>
      <c r="W92" s="131"/>
      <c r="X92" s="145"/>
      <c r="Y92" s="307"/>
      <c r="Z92" s="145">
        <v>370</v>
      </c>
      <c r="AA92" s="145">
        <v>35</v>
      </c>
      <c r="AB92" s="145"/>
      <c r="AC92" s="131">
        <v>1728</v>
      </c>
      <c r="AD92" s="145">
        <v>20</v>
      </c>
      <c r="AE92" s="307"/>
      <c r="AF92" s="145"/>
      <c r="AG92" s="145"/>
      <c r="AH92" s="180"/>
      <c r="AI92" s="131">
        <v>1728</v>
      </c>
      <c r="AJ92" s="145">
        <v>20</v>
      </c>
      <c r="AK92" s="133"/>
    </row>
    <row r="93" spans="1:37" x14ac:dyDescent="0.2">
      <c r="A93" s="533" t="s">
        <v>4676</v>
      </c>
      <c r="B93" s="145"/>
      <c r="C93" s="145"/>
      <c r="D93" s="180"/>
      <c r="E93" s="131"/>
      <c r="F93" s="145"/>
      <c r="G93" s="307"/>
      <c r="H93" s="145"/>
      <c r="I93" s="145"/>
      <c r="J93" s="180"/>
      <c r="K93" s="131">
        <v>1280</v>
      </c>
      <c r="L93" s="145">
        <v>20</v>
      </c>
      <c r="M93" s="133"/>
      <c r="N93" s="145"/>
      <c r="O93" s="145"/>
      <c r="P93" s="180"/>
      <c r="Q93" s="131">
        <v>1280</v>
      </c>
      <c r="R93" s="145">
        <v>20</v>
      </c>
      <c r="S93" s="180"/>
      <c r="T93" s="131">
        <v>426</v>
      </c>
      <c r="U93" s="145">
        <v>55</v>
      </c>
      <c r="V93" s="307"/>
      <c r="W93" s="131"/>
      <c r="X93" s="145"/>
      <c r="Y93" s="307"/>
      <c r="Z93" s="145">
        <v>426</v>
      </c>
      <c r="AA93" s="145">
        <v>55</v>
      </c>
      <c r="AB93" s="145"/>
      <c r="AC93" s="131">
        <v>900</v>
      </c>
      <c r="AD93" s="145"/>
      <c r="AE93" s="307"/>
      <c r="AF93" s="145"/>
      <c r="AG93" s="145"/>
      <c r="AH93" s="180"/>
      <c r="AI93" s="131">
        <v>900</v>
      </c>
      <c r="AJ93" s="145"/>
      <c r="AK93" s="133"/>
    </row>
    <row r="94" spans="1:37" x14ac:dyDescent="0.2">
      <c r="A94" s="533" t="s">
        <v>4677</v>
      </c>
      <c r="B94" s="145"/>
      <c r="C94" s="145"/>
      <c r="D94" s="180"/>
      <c r="E94" s="131"/>
      <c r="F94" s="145"/>
      <c r="G94" s="307"/>
      <c r="H94" s="145"/>
      <c r="I94" s="145"/>
      <c r="J94" s="180"/>
      <c r="K94" s="131"/>
      <c r="L94" s="145"/>
      <c r="M94" s="133"/>
      <c r="N94" s="145"/>
      <c r="O94" s="145"/>
      <c r="P94" s="180"/>
      <c r="Q94" s="131"/>
      <c r="R94" s="145"/>
      <c r="S94" s="180"/>
      <c r="T94" s="131"/>
      <c r="U94" s="145"/>
      <c r="V94" s="307"/>
      <c r="W94" s="131"/>
      <c r="X94" s="145"/>
      <c r="Y94" s="307"/>
      <c r="Z94" s="145"/>
      <c r="AA94" s="145"/>
      <c r="AB94" s="145"/>
      <c r="AC94" s="131">
        <v>416</v>
      </c>
      <c r="AD94" s="145">
        <v>65</v>
      </c>
      <c r="AE94" s="307"/>
      <c r="AF94" s="145"/>
      <c r="AG94" s="145"/>
      <c r="AH94" s="180"/>
      <c r="AI94" s="131">
        <v>416</v>
      </c>
      <c r="AJ94" s="145">
        <v>65</v>
      </c>
      <c r="AK94" s="133"/>
    </row>
    <row r="95" spans="1:37" x14ac:dyDescent="0.2">
      <c r="A95" s="533" t="s">
        <v>4678</v>
      </c>
      <c r="B95" s="145">
        <v>3990</v>
      </c>
      <c r="C95" s="145"/>
      <c r="D95" s="180"/>
      <c r="E95" s="131"/>
      <c r="F95" s="145"/>
      <c r="G95" s="307"/>
      <c r="H95" s="145">
        <v>3990</v>
      </c>
      <c r="I95" s="145"/>
      <c r="J95" s="180"/>
      <c r="K95" s="131"/>
      <c r="L95" s="145"/>
      <c r="M95" s="133"/>
      <c r="N95" s="145"/>
      <c r="O95" s="145"/>
      <c r="P95" s="180"/>
      <c r="Q95" s="131"/>
      <c r="R95" s="145"/>
      <c r="S95" s="180"/>
      <c r="T95" s="131"/>
      <c r="U95" s="145"/>
      <c r="V95" s="307"/>
      <c r="W95" s="131"/>
      <c r="X95" s="145"/>
      <c r="Y95" s="307"/>
      <c r="Z95" s="145"/>
      <c r="AA95" s="145"/>
      <c r="AB95" s="145"/>
      <c r="AC95" s="131"/>
      <c r="AD95" s="145"/>
      <c r="AE95" s="307"/>
      <c r="AF95" s="145"/>
      <c r="AG95" s="145"/>
      <c r="AH95" s="180"/>
      <c r="AI95" s="131"/>
      <c r="AJ95" s="145"/>
      <c r="AK95" s="133"/>
    </row>
    <row r="96" spans="1:37" x14ac:dyDescent="0.2">
      <c r="A96" s="533" t="s">
        <v>4679</v>
      </c>
      <c r="B96" s="145">
        <v>31573</v>
      </c>
      <c r="C96" s="145">
        <v>60</v>
      </c>
      <c r="D96" s="180"/>
      <c r="E96" s="131">
        <v>1560</v>
      </c>
      <c r="F96" s="145"/>
      <c r="G96" s="307"/>
      <c r="H96" s="145">
        <v>30013</v>
      </c>
      <c r="I96" s="145">
        <v>60</v>
      </c>
      <c r="J96" s="180"/>
      <c r="K96" s="131">
        <v>27800</v>
      </c>
      <c r="L96" s="145">
        <v>20</v>
      </c>
      <c r="M96" s="133"/>
      <c r="N96" s="145">
        <v>1436</v>
      </c>
      <c r="O96" s="145"/>
      <c r="P96" s="180"/>
      <c r="Q96" s="131">
        <v>26364</v>
      </c>
      <c r="R96" s="145">
        <v>20</v>
      </c>
      <c r="S96" s="180"/>
      <c r="T96" s="131">
        <v>10377</v>
      </c>
      <c r="U96" s="145">
        <v>60</v>
      </c>
      <c r="V96" s="307"/>
      <c r="W96" s="131">
        <v>524</v>
      </c>
      <c r="X96" s="145"/>
      <c r="Y96" s="307"/>
      <c r="Z96" s="145">
        <v>9853</v>
      </c>
      <c r="AA96" s="145">
        <v>60</v>
      </c>
      <c r="AB96" s="145"/>
      <c r="AC96" s="131">
        <v>13058</v>
      </c>
      <c r="AD96" s="145"/>
      <c r="AE96" s="307"/>
      <c r="AF96" s="145">
        <v>7684</v>
      </c>
      <c r="AG96" s="145">
        <v>57</v>
      </c>
      <c r="AH96" s="180">
        <v>0.5</v>
      </c>
      <c r="AI96" s="131">
        <v>5373</v>
      </c>
      <c r="AJ96" s="145">
        <v>42</v>
      </c>
      <c r="AK96" s="133">
        <v>0.5</v>
      </c>
    </row>
    <row r="97" spans="1:37" x14ac:dyDescent="0.2">
      <c r="A97" s="533" t="s">
        <v>4680</v>
      </c>
      <c r="B97" s="145">
        <v>5245</v>
      </c>
      <c r="C97" s="145">
        <v>40</v>
      </c>
      <c r="D97" s="180"/>
      <c r="E97" s="131"/>
      <c r="F97" s="145"/>
      <c r="G97" s="307"/>
      <c r="H97" s="145">
        <v>5245</v>
      </c>
      <c r="I97" s="145">
        <v>40</v>
      </c>
      <c r="J97" s="180"/>
      <c r="K97" s="131"/>
      <c r="L97" s="145"/>
      <c r="M97" s="133"/>
      <c r="N97" s="145"/>
      <c r="O97" s="145"/>
      <c r="P97" s="180"/>
      <c r="Q97" s="131"/>
      <c r="R97" s="145"/>
      <c r="S97" s="180"/>
      <c r="T97" s="131"/>
      <c r="U97" s="145"/>
      <c r="V97" s="307"/>
      <c r="W97" s="131"/>
      <c r="X97" s="145"/>
      <c r="Y97" s="307"/>
      <c r="Z97" s="145"/>
      <c r="AA97" s="145"/>
      <c r="AB97" s="145"/>
      <c r="AC97" s="131"/>
      <c r="AD97" s="145"/>
      <c r="AE97" s="307"/>
      <c r="AF97" s="145"/>
      <c r="AG97" s="145"/>
      <c r="AH97" s="180"/>
      <c r="AI97" s="131"/>
      <c r="AJ97" s="145"/>
      <c r="AK97" s="133"/>
    </row>
    <row r="98" spans="1:37" x14ac:dyDescent="0.2">
      <c r="A98" s="533" t="s">
        <v>4681</v>
      </c>
      <c r="B98" s="145">
        <v>31528</v>
      </c>
      <c r="C98" s="145">
        <v>50</v>
      </c>
      <c r="D98" s="180"/>
      <c r="E98" s="131"/>
      <c r="F98" s="145"/>
      <c r="G98" s="307"/>
      <c r="H98" s="145">
        <v>31528</v>
      </c>
      <c r="I98" s="145">
        <v>50</v>
      </c>
      <c r="J98" s="180"/>
      <c r="K98" s="131"/>
      <c r="L98" s="145"/>
      <c r="M98" s="133"/>
      <c r="N98" s="145"/>
      <c r="O98" s="145"/>
      <c r="P98" s="180"/>
      <c r="Q98" s="131"/>
      <c r="R98" s="145"/>
      <c r="S98" s="180"/>
      <c r="T98" s="131"/>
      <c r="U98" s="145"/>
      <c r="V98" s="307"/>
      <c r="W98" s="131"/>
      <c r="X98" s="145"/>
      <c r="Y98" s="307"/>
      <c r="Z98" s="145"/>
      <c r="AA98" s="145"/>
      <c r="AB98" s="145"/>
      <c r="AC98" s="131"/>
      <c r="AD98" s="145"/>
      <c r="AE98" s="307"/>
      <c r="AF98" s="145"/>
      <c r="AG98" s="145"/>
      <c r="AH98" s="180"/>
      <c r="AI98" s="131"/>
      <c r="AJ98" s="145"/>
      <c r="AK98" s="133"/>
    </row>
    <row r="99" spans="1:37" x14ac:dyDescent="0.2">
      <c r="A99" s="533" t="s">
        <v>4682</v>
      </c>
      <c r="B99" s="145">
        <v>55700</v>
      </c>
      <c r="C99" s="145"/>
      <c r="D99" s="180"/>
      <c r="E99" s="131"/>
      <c r="F99" s="145"/>
      <c r="G99" s="307"/>
      <c r="H99" s="145">
        <v>55700</v>
      </c>
      <c r="I99" s="145"/>
      <c r="J99" s="180"/>
      <c r="K99" s="131"/>
      <c r="L99" s="145"/>
      <c r="M99" s="133"/>
      <c r="N99" s="145"/>
      <c r="O99" s="145"/>
      <c r="P99" s="180"/>
      <c r="Q99" s="131"/>
      <c r="R99" s="145"/>
      <c r="S99" s="180"/>
      <c r="T99" s="131"/>
      <c r="U99" s="145"/>
      <c r="V99" s="307"/>
      <c r="W99" s="131"/>
      <c r="X99" s="145"/>
      <c r="Y99" s="307"/>
      <c r="Z99" s="145"/>
      <c r="AA99" s="145"/>
      <c r="AB99" s="145"/>
      <c r="AC99" s="131"/>
      <c r="AD99" s="145"/>
      <c r="AE99" s="307"/>
      <c r="AF99" s="145"/>
      <c r="AG99" s="145"/>
      <c r="AH99" s="180"/>
      <c r="AI99" s="131"/>
      <c r="AJ99" s="145"/>
      <c r="AK99" s="133"/>
    </row>
    <row r="100" spans="1:37" x14ac:dyDescent="0.2">
      <c r="A100" s="533" t="s">
        <v>4683</v>
      </c>
      <c r="B100" s="145">
        <v>33790</v>
      </c>
      <c r="C100" s="145">
        <v>10</v>
      </c>
      <c r="D100" s="180"/>
      <c r="E100" s="131"/>
      <c r="F100" s="145"/>
      <c r="G100" s="307"/>
      <c r="H100" s="145">
        <v>33790</v>
      </c>
      <c r="I100" s="145">
        <v>10</v>
      </c>
      <c r="J100" s="180"/>
      <c r="K100" s="131"/>
      <c r="L100" s="145"/>
      <c r="M100" s="133"/>
      <c r="N100" s="145"/>
      <c r="O100" s="145"/>
      <c r="P100" s="180"/>
      <c r="Q100" s="131"/>
      <c r="R100" s="145"/>
      <c r="S100" s="180"/>
      <c r="T100" s="131"/>
      <c r="U100" s="145"/>
      <c r="V100" s="307"/>
      <c r="W100" s="131"/>
      <c r="X100" s="145"/>
      <c r="Y100" s="307"/>
      <c r="Z100" s="145"/>
      <c r="AA100" s="145"/>
      <c r="AB100" s="145"/>
      <c r="AC100" s="131"/>
      <c r="AD100" s="145"/>
      <c r="AE100" s="307"/>
      <c r="AF100" s="145"/>
      <c r="AG100" s="145"/>
      <c r="AH100" s="180"/>
      <c r="AI100" s="131"/>
      <c r="AJ100" s="145"/>
      <c r="AK100" s="133"/>
    </row>
    <row r="101" spans="1:37" x14ac:dyDescent="0.2">
      <c r="A101" s="533" t="s">
        <v>4684</v>
      </c>
      <c r="B101" s="145">
        <v>31907</v>
      </c>
      <c r="C101" s="145">
        <v>5</v>
      </c>
      <c r="D101" s="180"/>
      <c r="E101" s="131"/>
      <c r="F101" s="145"/>
      <c r="G101" s="307"/>
      <c r="H101" s="145">
        <v>31907</v>
      </c>
      <c r="I101" s="145">
        <v>5</v>
      </c>
      <c r="J101" s="180"/>
      <c r="K101" s="131"/>
      <c r="L101" s="145"/>
      <c r="M101" s="133"/>
      <c r="N101" s="145"/>
      <c r="O101" s="145"/>
      <c r="P101" s="180"/>
      <c r="Q101" s="131"/>
      <c r="R101" s="145"/>
      <c r="S101" s="180"/>
      <c r="T101" s="131"/>
      <c r="U101" s="145"/>
      <c r="V101" s="307"/>
      <c r="W101" s="131"/>
      <c r="X101" s="145"/>
      <c r="Y101" s="307"/>
      <c r="Z101" s="145"/>
      <c r="AA101" s="145"/>
      <c r="AB101" s="145"/>
      <c r="AC101" s="131"/>
      <c r="AD101" s="145"/>
      <c r="AE101" s="307"/>
      <c r="AF101" s="145"/>
      <c r="AG101" s="145"/>
      <c r="AH101" s="180"/>
      <c r="AI101" s="230"/>
      <c r="AJ101" s="309"/>
      <c r="AK101" s="231"/>
    </row>
    <row r="102" spans="1:37" x14ac:dyDescent="0.2">
      <c r="A102" s="785" t="s">
        <v>4673</v>
      </c>
      <c r="B102" s="318">
        <v>1267869</v>
      </c>
      <c r="C102" s="318">
        <v>2</v>
      </c>
      <c r="D102" s="319">
        <v>0.5</v>
      </c>
      <c r="E102" s="240">
        <v>237641</v>
      </c>
      <c r="F102" s="318">
        <v>80</v>
      </c>
      <c r="G102" s="513"/>
      <c r="H102" s="318">
        <v>1030227</v>
      </c>
      <c r="I102" s="318">
        <v>22</v>
      </c>
      <c r="J102" s="319">
        <v>0.5</v>
      </c>
      <c r="K102" s="240">
        <v>1767219</v>
      </c>
      <c r="L102" s="318">
        <v>2</v>
      </c>
      <c r="M102" s="241">
        <v>0.5</v>
      </c>
      <c r="N102" s="318">
        <v>184949</v>
      </c>
      <c r="O102" s="318">
        <v>60</v>
      </c>
      <c r="P102" s="319"/>
      <c r="Q102" s="240">
        <v>1582269</v>
      </c>
      <c r="R102" s="318">
        <v>42</v>
      </c>
      <c r="S102" s="319">
        <v>0.5</v>
      </c>
      <c r="T102" s="240">
        <v>463846</v>
      </c>
      <c r="U102" s="318">
        <v>45</v>
      </c>
      <c r="V102" s="513"/>
      <c r="W102" s="240">
        <v>67362</v>
      </c>
      <c r="X102" s="318"/>
      <c r="Y102" s="513"/>
      <c r="Z102" s="318">
        <v>396484</v>
      </c>
      <c r="AA102" s="318">
        <v>45</v>
      </c>
      <c r="AB102" s="318"/>
      <c r="AC102" s="240">
        <v>1241543</v>
      </c>
      <c r="AD102" s="318">
        <v>40</v>
      </c>
      <c r="AE102" s="513"/>
      <c r="AF102" s="318">
        <v>209253</v>
      </c>
      <c r="AG102" s="318">
        <v>82</v>
      </c>
      <c r="AH102" s="319">
        <v>0.5</v>
      </c>
      <c r="AI102" s="240">
        <v>1032289</v>
      </c>
      <c r="AJ102" s="318">
        <v>57</v>
      </c>
      <c r="AK102" s="319">
        <v>0.5</v>
      </c>
    </row>
    <row r="103" spans="1:37" x14ac:dyDescent="0.2">
      <c r="B103" s="393">
        <f>+SUM(B83:B101)-B88</f>
        <v>1267863</v>
      </c>
      <c r="C103" s="393">
        <f t="shared" ref="C103:AK103" si="4">+SUM(C83:C101)-C88</f>
        <v>602</v>
      </c>
      <c r="D103" s="1078">
        <f t="shared" si="4"/>
        <v>0.5</v>
      </c>
      <c r="E103" s="393">
        <f t="shared" si="4"/>
        <v>237640</v>
      </c>
      <c r="F103" s="393">
        <f t="shared" si="4"/>
        <v>180</v>
      </c>
      <c r="G103" s="393">
        <f t="shared" si="4"/>
        <v>0</v>
      </c>
      <c r="H103" s="393">
        <f t="shared" si="4"/>
        <v>1030223</v>
      </c>
      <c r="I103" s="393">
        <f t="shared" si="4"/>
        <v>422</v>
      </c>
      <c r="J103" s="1078">
        <f t="shared" si="4"/>
        <v>0.5</v>
      </c>
      <c r="K103" s="393">
        <f t="shared" si="4"/>
        <v>1767213</v>
      </c>
      <c r="L103" s="393">
        <f t="shared" si="4"/>
        <v>601</v>
      </c>
      <c r="M103" s="1078">
        <f t="shared" si="4"/>
        <v>1.5</v>
      </c>
      <c r="N103" s="393">
        <f t="shared" si="4"/>
        <v>184945</v>
      </c>
      <c r="O103" s="393">
        <f t="shared" si="4"/>
        <v>458</v>
      </c>
      <c r="P103" s="1078">
        <f t="shared" si="4"/>
        <v>2</v>
      </c>
      <c r="Q103" s="393">
        <f t="shared" si="4"/>
        <v>1582266</v>
      </c>
      <c r="R103" s="393">
        <f t="shared" si="4"/>
        <v>341</v>
      </c>
      <c r="S103" s="1078">
        <f t="shared" si="4"/>
        <v>1.5</v>
      </c>
      <c r="T103" s="393">
        <f t="shared" si="4"/>
        <v>463842</v>
      </c>
      <c r="U103" s="393">
        <f t="shared" si="4"/>
        <v>445</v>
      </c>
      <c r="V103" s="393">
        <f t="shared" si="4"/>
        <v>0</v>
      </c>
      <c r="W103" s="393">
        <f t="shared" si="4"/>
        <v>67359</v>
      </c>
      <c r="X103" s="393">
        <f t="shared" si="4"/>
        <v>300</v>
      </c>
      <c r="Y103" s="393">
        <f t="shared" si="4"/>
        <v>0</v>
      </c>
      <c r="Z103" s="1137">
        <f t="shared" si="4"/>
        <v>396426</v>
      </c>
      <c r="AA103" s="1137">
        <f t="shared" si="4"/>
        <v>385</v>
      </c>
      <c r="AB103" s="393">
        <f t="shared" si="4"/>
        <v>0</v>
      </c>
      <c r="AC103" s="393">
        <f t="shared" si="4"/>
        <v>1241541</v>
      </c>
      <c r="AD103" s="393">
        <f t="shared" si="4"/>
        <v>240</v>
      </c>
      <c r="AE103" s="393">
        <f t="shared" si="4"/>
        <v>0</v>
      </c>
      <c r="AF103" s="393">
        <f t="shared" si="4"/>
        <v>209250</v>
      </c>
      <c r="AG103" s="393">
        <f t="shared" si="4"/>
        <v>382</v>
      </c>
      <c r="AH103" s="1078">
        <f t="shared" si="4"/>
        <v>0.5</v>
      </c>
      <c r="AI103" s="393">
        <f t="shared" si="4"/>
        <v>1032285</v>
      </c>
      <c r="AJ103" s="393">
        <f t="shared" si="4"/>
        <v>457</v>
      </c>
      <c r="AK103" s="1078">
        <f t="shared" si="4"/>
        <v>0.5</v>
      </c>
    </row>
    <row r="106" spans="1:37" x14ac:dyDescent="0.2">
      <c r="A106" s="526" t="s">
        <v>1226</v>
      </c>
    </row>
    <row r="107" spans="1:37" ht="34.25" customHeight="1" x14ac:dyDescent="0.2">
      <c r="A107" s="1392" t="s">
        <v>4685</v>
      </c>
      <c r="B107" s="1392"/>
      <c r="C107" s="1392"/>
      <c r="D107" s="1392"/>
      <c r="E107" s="1392"/>
      <c r="F107" s="1392"/>
      <c r="G107" s="1392"/>
    </row>
    <row r="108" spans="1:37" ht="30" customHeight="1" x14ac:dyDescent="0.2">
      <c r="A108" s="808"/>
      <c r="B108" s="1293">
        <v>1888</v>
      </c>
      <c r="C108" s="1291"/>
      <c r="D108" s="1365">
        <v>1889</v>
      </c>
      <c r="E108" s="1365"/>
      <c r="F108" s="1293">
        <v>1890</v>
      </c>
      <c r="G108" s="1365"/>
    </row>
    <row r="109" spans="1:37" x14ac:dyDescent="0.2">
      <c r="A109" s="533" t="s">
        <v>4686</v>
      </c>
      <c r="B109" s="145">
        <v>141531</v>
      </c>
      <c r="C109" s="145"/>
      <c r="D109" s="131">
        <v>150022</v>
      </c>
      <c r="E109" s="307">
        <v>86</v>
      </c>
      <c r="F109" s="145">
        <v>150532</v>
      </c>
      <c r="G109" s="307">
        <v>37</v>
      </c>
    </row>
    <row r="110" spans="1:37" x14ac:dyDescent="0.2">
      <c r="A110" s="533" t="s">
        <v>2666</v>
      </c>
      <c r="B110" s="145">
        <v>93500</v>
      </c>
      <c r="C110" s="145"/>
      <c r="D110" s="131">
        <v>99110</v>
      </c>
      <c r="E110" s="307"/>
      <c r="F110" s="145">
        <v>99446</v>
      </c>
      <c r="G110" s="307">
        <v>60</v>
      </c>
    </row>
    <row r="111" spans="1:37" x14ac:dyDescent="0.2">
      <c r="A111" s="533" t="s">
        <v>2693</v>
      </c>
      <c r="B111" s="145">
        <v>56551</v>
      </c>
      <c r="C111" s="145">
        <v>40</v>
      </c>
      <c r="D111" s="131">
        <v>59944</v>
      </c>
      <c r="E111" s="307">
        <v>48</v>
      </c>
      <c r="F111" s="145">
        <v>60148</v>
      </c>
      <c r="G111" s="307">
        <v>6</v>
      </c>
    </row>
    <row r="112" spans="1:37" x14ac:dyDescent="0.2">
      <c r="A112" s="533" t="s">
        <v>2694</v>
      </c>
      <c r="B112" s="145">
        <v>123973</v>
      </c>
      <c r="C112" s="145"/>
      <c r="D112" s="131">
        <v>131411</v>
      </c>
      <c r="E112" s="307">
        <v>38</v>
      </c>
      <c r="F112" s="145">
        <v>131857</v>
      </c>
      <c r="G112" s="307">
        <v>68</v>
      </c>
    </row>
    <row r="113" spans="1:7" x14ac:dyDescent="0.2">
      <c r="A113" s="533" t="s">
        <v>2668</v>
      </c>
      <c r="B113" s="145">
        <v>170104</v>
      </c>
      <c r="C113" s="145"/>
      <c r="D113" s="131">
        <v>180310</v>
      </c>
      <c r="E113" s="307">
        <v>24</v>
      </c>
      <c r="F113" s="145">
        <v>180922</v>
      </c>
      <c r="G113" s="307">
        <v>61</v>
      </c>
    </row>
    <row r="114" spans="1:7" x14ac:dyDescent="0.2">
      <c r="A114" s="533" t="s">
        <v>2695</v>
      </c>
      <c r="B114" s="145">
        <v>21892</v>
      </c>
      <c r="C114" s="145"/>
      <c r="D114" s="131">
        <v>23205</v>
      </c>
      <c r="E114" s="307">
        <v>52</v>
      </c>
      <c r="F114" s="145">
        <v>23284</v>
      </c>
      <c r="G114" s="307">
        <v>33</v>
      </c>
    </row>
    <row r="115" spans="1:7" x14ac:dyDescent="0.2">
      <c r="A115" s="533" t="s">
        <v>1371</v>
      </c>
      <c r="B115" s="145">
        <v>177400</v>
      </c>
      <c r="C115" s="145"/>
      <c r="D115" s="131"/>
      <c r="E115" s="307"/>
      <c r="F115" s="145"/>
      <c r="G115" s="307"/>
    </row>
    <row r="116" spans="1:7" x14ac:dyDescent="0.2">
      <c r="A116" s="533" t="s">
        <v>2671</v>
      </c>
      <c r="B116" s="145">
        <v>160100</v>
      </c>
      <c r="C116" s="145"/>
      <c r="D116" s="131">
        <v>169706</v>
      </c>
      <c r="E116" s="307"/>
      <c r="F116" s="145">
        <v>170282</v>
      </c>
      <c r="G116" s="307">
        <v>36</v>
      </c>
    </row>
    <row r="117" spans="1:7" x14ac:dyDescent="0.2">
      <c r="A117" s="533" t="s">
        <v>2672</v>
      </c>
      <c r="B117" s="145">
        <v>108580</v>
      </c>
      <c r="C117" s="145"/>
      <c r="D117" s="131">
        <v>115094</v>
      </c>
      <c r="E117" s="307">
        <v>80</v>
      </c>
      <c r="F117" s="145">
        <v>115485</v>
      </c>
      <c r="G117" s="307">
        <v>68</v>
      </c>
    </row>
    <row r="118" spans="1:7" ht="22.75" customHeight="1" x14ac:dyDescent="0.2">
      <c r="A118" s="535" t="s">
        <v>4687</v>
      </c>
      <c r="B118" s="318">
        <v>1053631</v>
      </c>
      <c r="C118" s="318">
        <v>40</v>
      </c>
      <c r="D118" s="240">
        <v>928805</v>
      </c>
      <c r="E118" s="513">
        <v>28</v>
      </c>
      <c r="F118" s="318">
        <v>931959</v>
      </c>
      <c r="G118" s="513">
        <v>69</v>
      </c>
    </row>
    <row r="119" spans="1:7" ht="22.75" customHeight="1" x14ac:dyDescent="0.2">
      <c r="A119" s="131"/>
      <c r="B119" s="1145">
        <f>+SUM(B109:B117)</f>
        <v>1053631</v>
      </c>
      <c r="C119" s="1145">
        <f t="shared" ref="C119:G119" si="5">+SUM(C109:C117)</f>
        <v>40</v>
      </c>
      <c r="D119" s="1145">
        <f t="shared" si="5"/>
        <v>928802</v>
      </c>
      <c r="E119" s="1145">
        <f t="shared" si="5"/>
        <v>328</v>
      </c>
      <c r="F119" s="1145">
        <f t="shared" si="5"/>
        <v>931956</v>
      </c>
      <c r="G119" s="1145">
        <f t="shared" si="5"/>
        <v>369</v>
      </c>
    </row>
    <row r="120" spans="1:7" ht="15" customHeight="1" x14ac:dyDescent="0.2">
      <c r="A120" s="1058" t="s">
        <v>4688</v>
      </c>
      <c r="B120" s="1059"/>
      <c r="C120" s="1059"/>
      <c r="D120" s="1059"/>
      <c r="E120" s="1059"/>
      <c r="F120" s="145">
        <v>2400000</v>
      </c>
      <c r="G120" s="307"/>
    </row>
    <row r="121" spans="1:7" ht="15" customHeight="1" x14ac:dyDescent="0.2">
      <c r="A121" s="480" t="s">
        <v>4689</v>
      </c>
      <c r="B121" s="481"/>
      <c r="C121" s="481"/>
      <c r="D121" s="145">
        <v>1022074</v>
      </c>
      <c r="E121" s="145">
        <v>15</v>
      </c>
      <c r="F121" s="145"/>
      <c r="G121" s="307"/>
    </row>
    <row r="122" spans="1:7" ht="15" customHeight="1" thickBot="1" x14ac:dyDescent="0.25">
      <c r="A122" s="480" t="s">
        <v>4690</v>
      </c>
      <c r="B122" s="481"/>
      <c r="C122" s="481"/>
      <c r="D122" s="187">
        <v>1053631</v>
      </c>
      <c r="E122" s="187">
        <v>40</v>
      </c>
      <c r="F122" s="187">
        <v>2075705</v>
      </c>
      <c r="G122" s="444">
        <v>55</v>
      </c>
    </row>
    <row r="123" spans="1:7" ht="15" customHeight="1" x14ac:dyDescent="0.2">
      <c r="A123" s="790" t="s">
        <v>4691</v>
      </c>
      <c r="B123" s="791"/>
      <c r="C123" s="791"/>
      <c r="D123" s="791"/>
      <c r="E123" s="791"/>
      <c r="F123" s="309">
        <v>324294</v>
      </c>
      <c r="G123" s="364">
        <v>45</v>
      </c>
    </row>
    <row r="124" spans="1:7" ht="15" customHeight="1" x14ac:dyDescent="0.2">
      <c r="A124" s="145"/>
      <c r="B124" s="145"/>
      <c r="C124" s="145"/>
      <c r="D124" s="145"/>
      <c r="E124" s="145"/>
      <c r="F124" s="145"/>
      <c r="G124" s="145"/>
    </row>
    <row r="125" spans="1:7" ht="15" customHeight="1" x14ac:dyDescent="0.2"/>
    <row r="127" spans="1:7" x14ac:dyDescent="0.2">
      <c r="A127" s="526" t="s">
        <v>1272</v>
      </c>
    </row>
    <row r="128" spans="1:7" ht="29.5" customHeight="1" x14ac:dyDescent="0.2">
      <c r="A128" s="1393" t="s">
        <v>4692</v>
      </c>
      <c r="B128" s="1394"/>
      <c r="C128" s="1395"/>
    </row>
    <row r="129" spans="1:3" x14ac:dyDescent="0.2">
      <c r="A129" s="131" t="s">
        <v>4693</v>
      </c>
      <c r="B129" s="145">
        <v>21523</v>
      </c>
      <c r="C129" s="307">
        <v>30</v>
      </c>
    </row>
    <row r="130" spans="1:3" ht="16" thickBot="1" x14ac:dyDescent="0.25">
      <c r="A130" s="131" t="s">
        <v>4694</v>
      </c>
      <c r="B130" s="187">
        <v>27045</v>
      </c>
      <c r="C130" s="444">
        <v>35</v>
      </c>
    </row>
    <row r="131" spans="1:3" x14ac:dyDescent="0.2">
      <c r="A131" s="131" t="s">
        <v>4695</v>
      </c>
      <c r="B131" s="145">
        <v>48568</v>
      </c>
      <c r="C131" s="307">
        <v>65</v>
      </c>
    </row>
    <row r="132" spans="1:3" ht="31.25" customHeight="1" x14ac:dyDescent="0.2">
      <c r="A132" s="516" t="s">
        <v>4696</v>
      </c>
      <c r="B132" s="517"/>
      <c r="C132" s="540"/>
    </row>
    <row r="133" spans="1:3" x14ac:dyDescent="0.2">
      <c r="A133" s="131" t="s">
        <v>4697</v>
      </c>
      <c r="B133" s="145">
        <v>125283</v>
      </c>
      <c r="C133" s="307"/>
    </row>
    <row r="134" spans="1:3" x14ac:dyDescent="0.2">
      <c r="A134" s="131" t="s">
        <v>4698</v>
      </c>
      <c r="B134" s="145">
        <v>49980</v>
      </c>
      <c r="C134" s="307"/>
    </row>
    <row r="135" spans="1:3" x14ac:dyDescent="0.2">
      <c r="A135" s="131" t="s">
        <v>4699</v>
      </c>
      <c r="B135" s="145">
        <v>71780</v>
      </c>
      <c r="C135" s="307"/>
    </row>
    <row r="136" spans="1:3" ht="16" thickBot="1" x14ac:dyDescent="0.25">
      <c r="A136" s="622" t="s">
        <v>3199</v>
      </c>
      <c r="B136" s="595">
        <v>247043</v>
      </c>
      <c r="C136" s="596"/>
    </row>
    <row r="137" spans="1:3" x14ac:dyDescent="0.2">
      <c r="A137" s="131" t="s">
        <v>4700</v>
      </c>
      <c r="B137" s="145">
        <v>128090</v>
      </c>
      <c r="C137" s="307">
        <v>75</v>
      </c>
    </row>
    <row r="138" spans="1:3" x14ac:dyDescent="0.2">
      <c r="A138" s="480" t="s">
        <v>4701</v>
      </c>
      <c r="B138" s="481"/>
      <c r="C138" s="676"/>
    </row>
    <row r="139" spans="1:3" x14ac:dyDescent="0.2">
      <c r="A139" s="131" t="s">
        <v>4702</v>
      </c>
      <c r="B139" s="145">
        <v>780044</v>
      </c>
      <c r="C139" s="307"/>
    </row>
    <row r="140" spans="1:3" x14ac:dyDescent="0.2">
      <c r="A140" s="131" t="s">
        <v>4703</v>
      </c>
      <c r="B140" s="145">
        <v>56176</v>
      </c>
      <c r="C140" s="307"/>
    </row>
    <row r="141" spans="1:3" x14ac:dyDescent="0.2">
      <c r="A141" s="131" t="s">
        <v>4704</v>
      </c>
      <c r="B141" s="145">
        <v>29772</v>
      </c>
      <c r="C141" s="307"/>
    </row>
    <row r="142" spans="1:3" ht="16" thickBot="1" x14ac:dyDescent="0.25">
      <c r="A142" s="622" t="s">
        <v>3199</v>
      </c>
      <c r="B142" s="595">
        <v>865992</v>
      </c>
      <c r="C142" s="596"/>
    </row>
    <row r="143" spans="1:3" x14ac:dyDescent="0.2">
      <c r="A143" s="131" t="s">
        <v>4705</v>
      </c>
      <c r="B143" s="145">
        <v>213868</v>
      </c>
      <c r="C143" s="307">
        <v>80</v>
      </c>
    </row>
    <row r="144" spans="1:3" x14ac:dyDescent="0.2">
      <c r="A144" s="131" t="s">
        <v>4706</v>
      </c>
      <c r="B144" s="145">
        <v>128090</v>
      </c>
      <c r="C144" s="307">
        <v>75</v>
      </c>
    </row>
    <row r="145" spans="1:51" ht="16" thickBot="1" x14ac:dyDescent="0.25">
      <c r="A145" s="131" t="s">
        <v>4707</v>
      </c>
      <c r="B145" s="595">
        <v>341959</v>
      </c>
      <c r="C145" s="596">
        <v>55</v>
      </c>
    </row>
    <row r="146" spans="1:51" ht="30" x14ac:dyDescent="0.2">
      <c r="A146" s="539" t="s">
        <v>4708</v>
      </c>
      <c r="B146" s="145">
        <v>1000000</v>
      </c>
      <c r="C146" s="307"/>
    </row>
    <row r="147" spans="1:51" x14ac:dyDescent="0.2">
      <c r="A147" s="131" t="s">
        <v>4709</v>
      </c>
      <c r="B147" s="145">
        <v>658040</v>
      </c>
      <c r="C147" s="307">
        <v>45</v>
      </c>
    </row>
    <row r="148" spans="1:51" x14ac:dyDescent="0.2">
      <c r="A148" s="230" t="s">
        <v>4710</v>
      </c>
      <c r="B148" s="309">
        <v>1316080</v>
      </c>
      <c r="C148" s="364">
        <v>90</v>
      </c>
    </row>
    <row r="152" spans="1:51" x14ac:dyDescent="0.2">
      <c r="A152" s="526" t="s">
        <v>1342</v>
      </c>
    </row>
    <row r="153" spans="1:51" ht="34.75" customHeight="1" x14ac:dyDescent="0.2">
      <c r="A153" s="1272" t="s">
        <v>4711</v>
      </c>
      <c r="B153" s="1272"/>
      <c r="C153" s="1272"/>
      <c r="D153" s="1272"/>
      <c r="E153" s="1272"/>
      <c r="F153" s="1272"/>
      <c r="G153" s="1272"/>
      <c r="H153" s="1272"/>
      <c r="I153" s="1272"/>
      <c r="J153" s="1272"/>
      <c r="K153" s="1272"/>
      <c r="L153" s="1272"/>
      <c r="M153" s="1272"/>
      <c r="N153" s="1272"/>
      <c r="O153" s="1272"/>
      <c r="P153" s="1272"/>
      <c r="Q153" s="1272"/>
      <c r="R153" s="1272"/>
      <c r="S153" s="1272"/>
      <c r="T153" s="1272"/>
      <c r="U153" s="1272"/>
      <c r="V153" s="1272"/>
      <c r="W153" s="1272"/>
      <c r="X153" s="1272"/>
      <c r="Y153" s="1272"/>
      <c r="Z153" s="1272"/>
      <c r="AA153" s="1272"/>
      <c r="AB153" s="1272"/>
      <c r="AC153" s="1272"/>
      <c r="AD153" s="1272"/>
      <c r="AE153" s="1272"/>
      <c r="AF153" s="1272"/>
      <c r="AG153" s="1272"/>
      <c r="AH153" s="1272"/>
      <c r="AI153" s="1272"/>
      <c r="AJ153" s="1272"/>
      <c r="AK153" s="1272"/>
      <c r="AL153" s="1272"/>
      <c r="AM153" s="1272"/>
      <c r="AN153" s="1272"/>
      <c r="AO153" s="1272"/>
      <c r="AP153" s="1272"/>
      <c r="AQ153" s="1272"/>
      <c r="AR153" s="1272"/>
      <c r="AS153" s="1272"/>
      <c r="AT153" s="1272"/>
      <c r="AU153" s="1272"/>
      <c r="AV153" s="1272"/>
      <c r="AW153" s="1272"/>
    </row>
    <row r="154" spans="1:51" x14ac:dyDescent="0.2">
      <c r="A154" s="793" t="s">
        <v>4712</v>
      </c>
      <c r="B154" s="793"/>
      <c r="C154" s="793"/>
      <c r="D154" s="793"/>
      <c r="E154" s="793"/>
      <c r="F154" s="793"/>
      <c r="G154" s="793"/>
      <c r="H154" s="793"/>
      <c r="I154" s="793"/>
      <c r="J154" s="793"/>
      <c r="K154" s="793"/>
      <c r="L154" s="793"/>
      <c r="M154" s="793"/>
      <c r="N154" s="793"/>
      <c r="O154" s="793"/>
      <c r="P154" s="793"/>
      <c r="Q154" s="793"/>
      <c r="R154" s="793"/>
      <c r="S154" s="793"/>
      <c r="T154" s="793"/>
      <c r="U154" s="793"/>
      <c r="V154" s="793"/>
      <c r="W154" s="793"/>
      <c r="X154" s="793"/>
      <c r="Y154" s="793"/>
      <c r="Z154" s="793"/>
      <c r="AA154" s="793"/>
      <c r="AB154" s="793"/>
      <c r="AC154" s="793"/>
      <c r="AD154" s="793"/>
      <c r="AE154" s="793"/>
      <c r="AF154" s="793"/>
      <c r="AG154" s="793"/>
      <c r="AH154" s="793"/>
      <c r="AI154" s="793"/>
      <c r="AJ154" s="793"/>
      <c r="AK154" s="793"/>
      <c r="AL154" s="793"/>
      <c r="AM154" s="793"/>
      <c r="AN154" s="793"/>
      <c r="AO154" s="793"/>
      <c r="AP154" s="793"/>
      <c r="AQ154" s="793"/>
      <c r="AR154" s="793"/>
      <c r="AS154" s="793"/>
      <c r="AT154" s="793"/>
      <c r="AU154" s="793"/>
      <c r="AV154" s="793"/>
      <c r="AW154" s="793"/>
    </row>
    <row r="155" spans="1:51" s="1398" customFormat="1" ht="25.25" customHeight="1" x14ac:dyDescent="0.15">
      <c r="A155" s="838" t="s">
        <v>4713</v>
      </c>
      <c r="B155" s="1396" t="s">
        <v>4714</v>
      </c>
      <c r="C155" s="1397"/>
      <c r="D155" s="1397"/>
      <c r="E155" s="1397"/>
      <c r="F155" s="1397"/>
      <c r="G155" s="1397"/>
      <c r="H155" s="1397"/>
      <c r="I155" s="1397"/>
      <c r="J155" s="1397"/>
      <c r="K155" s="1397"/>
      <c r="L155" s="1397"/>
      <c r="M155" s="1397"/>
      <c r="N155" s="1397"/>
      <c r="O155" s="1397"/>
      <c r="P155" s="1397"/>
      <c r="Q155" s="1397"/>
      <c r="R155" s="1397"/>
      <c r="S155" s="1397"/>
      <c r="T155" s="1397"/>
      <c r="U155" s="1397"/>
      <c r="V155" s="1397"/>
      <c r="W155" s="1397"/>
      <c r="X155" s="1397"/>
      <c r="Y155" s="1397"/>
      <c r="Z155" s="1365" t="s">
        <v>4715</v>
      </c>
      <c r="AA155" s="1365"/>
      <c r="AB155" s="1365" t="s">
        <v>1730</v>
      </c>
      <c r="AC155" s="1365"/>
      <c r="AD155" s="1365" t="s">
        <v>1386</v>
      </c>
      <c r="AE155" s="1365"/>
      <c r="AF155" s="1365" t="s">
        <v>4716</v>
      </c>
      <c r="AG155" s="1365"/>
      <c r="AH155" s="1365" t="s">
        <v>4717</v>
      </c>
      <c r="AI155" s="1365"/>
      <c r="AJ155" s="1365" t="s">
        <v>4718</v>
      </c>
      <c r="AK155" s="1365"/>
      <c r="AL155" s="1365" t="s">
        <v>4719</v>
      </c>
      <c r="AM155" s="1365"/>
      <c r="AN155" s="1365" t="s">
        <v>2004</v>
      </c>
      <c r="AO155" s="1365"/>
      <c r="AP155" s="1365" t="s">
        <v>4720</v>
      </c>
      <c r="AQ155" s="1365"/>
      <c r="AR155" s="1365" t="s">
        <v>4721</v>
      </c>
      <c r="AS155" s="1365"/>
      <c r="AT155" s="1365" t="s">
        <v>2763</v>
      </c>
      <c r="AU155" s="1365"/>
      <c r="AV155" s="1365" t="s">
        <v>4722</v>
      </c>
      <c r="AW155" s="1365"/>
    </row>
    <row r="156" spans="1:51" ht="31.75" customHeight="1" x14ac:dyDescent="0.2">
      <c r="A156" s="838"/>
      <c r="B156" s="1293" t="s">
        <v>4723</v>
      </c>
      <c r="C156" s="1365"/>
      <c r="D156" s="1365" t="s">
        <v>4724</v>
      </c>
      <c r="E156" s="1365"/>
      <c r="F156" s="1365" t="s">
        <v>4725</v>
      </c>
      <c r="G156" s="1365"/>
      <c r="H156" s="1365" t="s">
        <v>4726</v>
      </c>
      <c r="I156" s="1365"/>
      <c r="J156" s="1365" t="s">
        <v>4727</v>
      </c>
      <c r="K156" s="1365"/>
      <c r="L156" s="1365" t="s">
        <v>4728</v>
      </c>
      <c r="M156" s="1365"/>
      <c r="N156" s="1365" t="s">
        <v>4729</v>
      </c>
      <c r="O156" s="1365"/>
      <c r="P156" s="1293" t="s">
        <v>4730</v>
      </c>
      <c r="Q156" s="1291"/>
      <c r="R156" s="1365" t="s">
        <v>4731</v>
      </c>
      <c r="S156" s="1365"/>
      <c r="T156" s="1365" t="s">
        <v>4732</v>
      </c>
      <c r="U156" s="1365"/>
      <c r="V156" s="1399"/>
      <c r="W156" s="1399"/>
      <c r="X156" s="1365" t="s">
        <v>1170</v>
      </c>
      <c r="Y156" s="1365"/>
      <c r="Z156" s="1365"/>
      <c r="AA156" s="1365"/>
      <c r="AB156" s="1365"/>
      <c r="AC156" s="1365"/>
      <c r="AD156" s="1365"/>
      <c r="AE156" s="1365"/>
      <c r="AF156" s="1365"/>
      <c r="AG156" s="1365"/>
      <c r="AH156" s="1365"/>
      <c r="AI156" s="1365"/>
      <c r="AJ156" s="1365"/>
      <c r="AK156" s="1365"/>
      <c r="AL156" s="1365"/>
      <c r="AM156" s="1365"/>
      <c r="AN156" s="1365"/>
      <c r="AO156" s="1365"/>
      <c r="AP156" s="1365"/>
      <c r="AQ156" s="1365"/>
      <c r="AR156" s="1365"/>
      <c r="AS156" s="1365"/>
      <c r="AT156" s="1365"/>
      <c r="AU156" s="1365"/>
      <c r="AV156" s="1365"/>
      <c r="AW156" s="1365"/>
      <c r="AX156" s="1400"/>
      <c r="AY156" s="1400"/>
    </row>
    <row r="157" spans="1:51" x14ac:dyDescent="0.2">
      <c r="A157" s="533" t="s">
        <v>4733</v>
      </c>
      <c r="B157" s="145"/>
      <c r="C157" s="145"/>
      <c r="D157" s="349">
        <v>31932</v>
      </c>
      <c r="E157" s="717">
        <v>90</v>
      </c>
      <c r="F157" s="145">
        <v>51314</v>
      </c>
      <c r="G157" s="145"/>
      <c r="H157" s="349">
        <v>58431</v>
      </c>
      <c r="I157" s="717">
        <v>40</v>
      </c>
      <c r="J157" s="145">
        <v>124819</v>
      </c>
      <c r="K157" s="145">
        <v>40</v>
      </c>
      <c r="L157" s="349">
        <v>1997</v>
      </c>
      <c r="M157" s="717">
        <v>70</v>
      </c>
      <c r="N157" s="131">
        <v>11894</v>
      </c>
      <c r="O157" s="307">
        <v>80</v>
      </c>
      <c r="P157" s="350"/>
      <c r="Q157" s="350"/>
      <c r="R157" s="131"/>
      <c r="S157" s="307"/>
      <c r="T157" s="349">
        <v>1964</v>
      </c>
      <c r="U157" s="717">
        <v>45</v>
      </c>
      <c r="V157" s="145"/>
      <c r="W157" s="145"/>
      <c r="X157" s="349">
        <v>282105</v>
      </c>
      <c r="Y157" s="717">
        <v>85</v>
      </c>
      <c r="Z157" s="145">
        <v>534</v>
      </c>
      <c r="AA157" s="145">
        <v>55</v>
      </c>
      <c r="AB157" s="349">
        <v>388</v>
      </c>
      <c r="AC157" s="717">
        <v>15</v>
      </c>
      <c r="AD157" s="145">
        <v>90</v>
      </c>
      <c r="AE157" s="145"/>
      <c r="AF157" s="349">
        <v>50</v>
      </c>
      <c r="AG157" s="717"/>
      <c r="AH157" s="145">
        <v>35</v>
      </c>
      <c r="AI157" s="145">
        <v>50</v>
      </c>
      <c r="AJ157" s="349">
        <v>43</v>
      </c>
      <c r="AK157" s="717">
        <v>40</v>
      </c>
      <c r="AL157" s="145">
        <v>369</v>
      </c>
      <c r="AM157" s="145">
        <v>30</v>
      </c>
      <c r="AN157" s="349">
        <v>439</v>
      </c>
      <c r="AO157" s="717">
        <v>85</v>
      </c>
      <c r="AP157" s="145"/>
      <c r="AQ157" s="145"/>
      <c r="AR157" s="349"/>
      <c r="AS157" s="717"/>
      <c r="AT157" s="145">
        <v>6</v>
      </c>
      <c r="AU157" s="145">
        <v>25</v>
      </c>
      <c r="AV157" s="349">
        <v>284062</v>
      </c>
      <c r="AW157" s="717">
        <v>95</v>
      </c>
    </row>
    <row r="158" spans="1:51" x14ac:dyDescent="0.2">
      <c r="A158" s="533" t="s">
        <v>4734</v>
      </c>
      <c r="B158" s="145"/>
      <c r="C158" s="145"/>
      <c r="D158" s="131">
        <v>26797</v>
      </c>
      <c r="E158" s="307">
        <v>25</v>
      </c>
      <c r="F158" s="145">
        <v>39762</v>
      </c>
      <c r="G158" s="145"/>
      <c r="H158" s="131">
        <v>85464</v>
      </c>
      <c r="I158" s="307">
        <v>75</v>
      </c>
      <c r="J158" s="145">
        <v>191606</v>
      </c>
      <c r="K158" s="145">
        <v>80</v>
      </c>
      <c r="L158" s="131">
        <v>1388</v>
      </c>
      <c r="M158" s="307">
        <v>15</v>
      </c>
      <c r="N158" s="131">
        <v>17260</v>
      </c>
      <c r="O158" s="307"/>
      <c r="P158" s="145"/>
      <c r="Q158" s="145"/>
      <c r="R158" s="131"/>
      <c r="S158" s="307"/>
      <c r="T158" s="131">
        <v>823</v>
      </c>
      <c r="U158" s="307">
        <v>55</v>
      </c>
      <c r="V158" s="145"/>
      <c r="W158" s="145"/>
      <c r="X158" s="131">
        <v>362814</v>
      </c>
      <c r="Y158" s="307">
        <v>70</v>
      </c>
      <c r="Z158" s="145">
        <v>397</v>
      </c>
      <c r="AA158" s="145">
        <v>90</v>
      </c>
      <c r="AB158" s="131">
        <v>60</v>
      </c>
      <c r="AC158" s="307">
        <v>30</v>
      </c>
      <c r="AD158" s="145">
        <v>26</v>
      </c>
      <c r="AE158" s="145">
        <v>80</v>
      </c>
      <c r="AF158" s="131">
        <v>14</v>
      </c>
      <c r="AG158" s="307"/>
      <c r="AH158" s="145">
        <v>40</v>
      </c>
      <c r="AI158" s="145">
        <v>35</v>
      </c>
      <c r="AJ158" s="131">
        <v>630</v>
      </c>
      <c r="AK158" s="307">
        <v>50</v>
      </c>
      <c r="AL158" s="145">
        <v>1345</v>
      </c>
      <c r="AM158" s="145">
        <v>30</v>
      </c>
      <c r="AN158" s="131">
        <v>1749</v>
      </c>
      <c r="AO158" s="307">
        <v>55</v>
      </c>
      <c r="AP158" s="145"/>
      <c r="AQ158" s="145"/>
      <c r="AR158" s="131"/>
      <c r="AS158" s="307"/>
      <c r="AT158" s="145">
        <v>7</v>
      </c>
      <c r="AU158" s="145">
        <v>25</v>
      </c>
      <c r="AV158" s="131">
        <v>367131</v>
      </c>
      <c r="AW158" s="307">
        <v>65</v>
      </c>
    </row>
    <row r="159" spans="1:51" x14ac:dyDescent="0.2">
      <c r="A159" s="533" t="s">
        <v>4735</v>
      </c>
      <c r="B159" s="145"/>
      <c r="C159" s="145"/>
      <c r="D159" s="131">
        <v>19581</v>
      </c>
      <c r="E159" s="307">
        <v>85</v>
      </c>
      <c r="F159" s="145">
        <v>31821</v>
      </c>
      <c r="G159" s="145">
        <v>40</v>
      </c>
      <c r="H159" s="131">
        <v>71562</v>
      </c>
      <c r="I159" s="307">
        <v>80</v>
      </c>
      <c r="J159" s="145">
        <v>154190</v>
      </c>
      <c r="K159" s="145">
        <v>20</v>
      </c>
      <c r="L159" s="131">
        <v>3098</v>
      </c>
      <c r="M159" s="307">
        <v>75</v>
      </c>
      <c r="N159" s="131">
        <v>18366</v>
      </c>
      <c r="O159" s="307">
        <v>20</v>
      </c>
      <c r="P159" s="145"/>
      <c r="Q159" s="145"/>
      <c r="R159" s="131"/>
      <c r="S159" s="307"/>
      <c r="T159" s="131">
        <v>3181</v>
      </c>
      <c r="U159" s="307">
        <v>15</v>
      </c>
      <c r="V159" s="145"/>
      <c r="W159" s="145"/>
      <c r="X159" s="131">
        <v>301469</v>
      </c>
      <c r="Y159" s="307">
        <v>90</v>
      </c>
      <c r="Z159" s="145">
        <v>544</v>
      </c>
      <c r="AA159" s="145">
        <v>95</v>
      </c>
      <c r="AB159" s="131">
        <v>749</v>
      </c>
      <c r="AC159" s="307">
        <v>5</v>
      </c>
      <c r="AD159" s="145">
        <v>72</v>
      </c>
      <c r="AE159" s="145">
        <v>40</v>
      </c>
      <c r="AF159" s="131"/>
      <c r="AG159" s="307"/>
      <c r="AH159" s="145">
        <v>35</v>
      </c>
      <c r="AI159" s="145">
        <v>40</v>
      </c>
      <c r="AJ159" s="131"/>
      <c r="AK159" s="307"/>
      <c r="AL159" s="145">
        <v>254</v>
      </c>
      <c r="AM159" s="145">
        <v>15</v>
      </c>
      <c r="AN159" s="131">
        <v>331</v>
      </c>
      <c r="AO159" s="307">
        <v>30</v>
      </c>
      <c r="AP159" s="145"/>
      <c r="AQ159" s="145"/>
      <c r="AR159" s="131"/>
      <c r="AS159" s="307"/>
      <c r="AT159" s="145">
        <v>114</v>
      </c>
      <c r="AU159" s="145">
        <v>95</v>
      </c>
      <c r="AV159" s="131">
        <v>303572</v>
      </c>
      <c r="AW159" s="307">
        <v>10</v>
      </c>
    </row>
    <row r="160" spans="1:51" x14ac:dyDescent="0.2">
      <c r="A160" s="533" t="s">
        <v>4736</v>
      </c>
      <c r="B160" s="145"/>
      <c r="C160" s="145"/>
      <c r="D160" s="131">
        <v>16742</v>
      </c>
      <c r="E160" s="307">
        <v>40</v>
      </c>
      <c r="F160" s="145">
        <v>18980</v>
      </c>
      <c r="G160" s="145">
        <v>50</v>
      </c>
      <c r="H160" s="131">
        <v>18307</v>
      </c>
      <c r="I160" s="307">
        <v>25</v>
      </c>
      <c r="J160" s="145">
        <v>37980</v>
      </c>
      <c r="K160" s="145">
        <v>40</v>
      </c>
      <c r="L160" s="131"/>
      <c r="M160" s="307"/>
      <c r="N160" s="131">
        <v>5606</v>
      </c>
      <c r="O160" s="307">
        <v>65</v>
      </c>
      <c r="P160" s="145"/>
      <c r="Q160" s="145"/>
      <c r="R160" s="131">
        <v>141611</v>
      </c>
      <c r="S160" s="307">
        <v>40</v>
      </c>
      <c r="T160" s="131">
        <v>790</v>
      </c>
      <c r="U160" s="307">
        <v>35</v>
      </c>
      <c r="V160" s="145"/>
      <c r="W160" s="145"/>
      <c r="X160" s="131">
        <v>239624</v>
      </c>
      <c r="Y160" s="307">
        <v>40</v>
      </c>
      <c r="Z160" s="145">
        <v>262</v>
      </c>
      <c r="AA160" s="145">
        <v>70</v>
      </c>
      <c r="AB160" s="131">
        <v>92</v>
      </c>
      <c r="AC160" s="307">
        <v>15</v>
      </c>
      <c r="AD160" s="145"/>
      <c r="AE160" s="145"/>
      <c r="AF160" s="131">
        <v>4</v>
      </c>
      <c r="AG160" s="307"/>
      <c r="AH160" s="145">
        <v>446</v>
      </c>
      <c r="AI160" s="145">
        <v>5</v>
      </c>
      <c r="AJ160" s="131"/>
      <c r="AK160" s="307"/>
      <c r="AL160" s="145"/>
      <c r="AM160" s="145"/>
      <c r="AN160" s="131">
        <v>1612</v>
      </c>
      <c r="AO160" s="307">
        <v>40</v>
      </c>
      <c r="AP160" s="145"/>
      <c r="AQ160" s="145"/>
      <c r="AR160" s="131"/>
      <c r="AS160" s="307"/>
      <c r="AT160" s="145">
        <v>1035</v>
      </c>
      <c r="AU160" s="145"/>
      <c r="AV160" s="131">
        <v>243076</v>
      </c>
      <c r="AW160" s="307">
        <v>70</v>
      </c>
    </row>
    <row r="161" spans="1:49" x14ac:dyDescent="0.2">
      <c r="A161" s="533" t="s">
        <v>4737</v>
      </c>
      <c r="B161" s="145"/>
      <c r="C161" s="145"/>
      <c r="D161" s="131">
        <v>15174</v>
      </c>
      <c r="E161" s="307">
        <v>95</v>
      </c>
      <c r="F161" s="145">
        <v>6323</v>
      </c>
      <c r="G161" s="145">
        <v>45</v>
      </c>
      <c r="H161" s="131">
        <v>11369</v>
      </c>
      <c r="I161" s="307">
        <v>5</v>
      </c>
      <c r="J161" s="145">
        <v>22904</v>
      </c>
      <c r="K161" s="145">
        <v>80</v>
      </c>
      <c r="L161" s="131"/>
      <c r="M161" s="307"/>
      <c r="N161" s="131">
        <v>1498</v>
      </c>
      <c r="O161" s="307"/>
      <c r="P161" s="145">
        <v>20</v>
      </c>
      <c r="Q161" s="145">
        <v>40</v>
      </c>
      <c r="R161" s="131"/>
      <c r="S161" s="307"/>
      <c r="T161" s="131">
        <v>16</v>
      </c>
      <c r="U161" s="307">
        <v>50</v>
      </c>
      <c r="V161" s="145"/>
      <c r="W161" s="145"/>
      <c r="X161" s="131">
        <v>57004</v>
      </c>
      <c r="Y161" s="307">
        <v>75</v>
      </c>
      <c r="Z161" s="145">
        <v>293</v>
      </c>
      <c r="AA161" s="145">
        <v>65</v>
      </c>
      <c r="AB161" s="131">
        <v>113</v>
      </c>
      <c r="AC161" s="307"/>
      <c r="AD161" s="145"/>
      <c r="AE161" s="145"/>
      <c r="AF161" s="131">
        <v>16</v>
      </c>
      <c r="AG161" s="307">
        <v>50</v>
      </c>
      <c r="AH161" s="145">
        <v>20</v>
      </c>
      <c r="AI161" s="145"/>
      <c r="AJ161" s="131"/>
      <c r="AK161" s="307"/>
      <c r="AL161" s="145">
        <v>148</v>
      </c>
      <c r="AM161" s="145">
        <v>10</v>
      </c>
      <c r="AN161" s="131">
        <v>172</v>
      </c>
      <c r="AO161" s="307">
        <v>75</v>
      </c>
      <c r="AP161" s="145">
        <v>12</v>
      </c>
      <c r="AQ161" s="145"/>
      <c r="AR161" s="131"/>
      <c r="AS161" s="307"/>
      <c r="AT161" s="145">
        <v>1708</v>
      </c>
      <c r="AU161" s="145"/>
      <c r="AV161" s="131">
        <v>59489</v>
      </c>
      <c r="AW161" s="307"/>
    </row>
    <row r="162" spans="1:49" x14ac:dyDescent="0.2">
      <c r="A162" s="533" t="s">
        <v>4738</v>
      </c>
      <c r="B162" s="145"/>
      <c r="C162" s="145"/>
      <c r="D162" s="131">
        <v>16303</v>
      </c>
      <c r="E162" s="307">
        <v>5</v>
      </c>
      <c r="F162" s="145">
        <v>11300</v>
      </c>
      <c r="G162" s="145">
        <v>85</v>
      </c>
      <c r="H162" s="131">
        <v>17914</v>
      </c>
      <c r="I162" s="307">
        <v>15</v>
      </c>
      <c r="J162" s="145">
        <v>29753</v>
      </c>
      <c r="K162" s="145">
        <v>60</v>
      </c>
      <c r="L162" s="131"/>
      <c r="M162" s="307"/>
      <c r="N162" s="131">
        <v>1477</v>
      </c>
      <c r="O162" s="307"/>
      <c r="P162" s="145">
        <v>554</v>
      </c>
      <c r="Q162" s="145">
        <v>5</v>
      </c>
      <c r="R162" s="131"/>
      <c r="S162" s="307"/>
      <c r="T162" s="131"/>
      <c r="U162" s="307"/>
      <c r="V162" s="145"/>
      <c r="W162" s="145"/>
      <c r="X162" s="131">
        <v>76781</v>
      </c>
      <c r="Y162" s="307">
        <v>55</v>
      </c>
      <c r="Z162" s="145">
        <v>297</v>
      </c>
      <c r="AA162" s="145">
        <v>20</v>
      </c>
      <c r="AB162" s="131">
        <v>385</v>
      </c>
      <c r="AC162" s="307">
        <v>55</v>
      </c>
      <c r="AD162" s="145"/>
      <c r="AE162" s="145"/>
      <c r="AF162" s="131">
        <v>52</v>
      </c>
      <c r="AG162" s="307">
        <v>50</v>
      </c>
      <c r="AH162" s="145">
        <v>10</v>
      </c>
      <c r="AI162" s="145">
        <v>40</v>
      </c>
      <c r="AJ162" s="131"/>
      <c r="AK162" s="307"/>
      <c r="AL162" s="145">
        <v>236</v>
      </c>
      <c r="AM162" s="145">
        <v>85</v>
      </c>
      <c r="AN162" s="131">
        <v>54</v>
      </c>
      <c r="AO162" s="307">
        <v>40</v>
      </c>
      <c r="AP162" s="145"/>
      <c r="AQ162" s="145"/>
      <c r="AR162" s="131"/>
      <c r="AS162" s="307"/>
      <c r="AT162" s="145">
        <v>998</v>
      </c>
      <c r="AU162" s="145"/>
      <c r="AV162" s="131">
        <v>78816</v>
      </c>
      <c r="AW162" s="307">
        <v>45</v>
      </c>
    </row>
    <row r="163" spans="1:49" x14ac:dyDescent="0.2">
      <c r="A163" s="533" t="s">
        <v>4739</v>
      </c>
      <c r="B163" s="145">
        <v>66</v>
      </c>
      <c r="C163" s="145">
        <v>40</v>
      </c>
      <c r="D163" s="131">
        <v>27989</v>
      </c>
      <c r="E163" s="307">
        <v>70</v>
      </c>
      <c r="F163" s="145">
        <v>17224</v>
      </c>
      <c r="G163" s="145">
        <v>80</v>
      </c>
      <c r="H163" s="131">
        <v>22110</v>
      </c>
      <c r="I163" s="307">
        <v>90</v>
      </c>
      <c r="J163" s="145">
        <v>24741</v>
      </c>
      <c r="K163" s="145">
        <v>35</v>
      </c>
      <c r="L163" s="131">
        <v>1160</v>
      </c>
      <c r="M163" s="307">
        <v>50</v>
      </c>
      <c r="N163" s="131">
        <v>5142</v>
      </c>
      <c r="O163" s="307">
        <v>55</v>
      </c>
      <c r="P163" s="145">
        <v>23616</v>
      </c>
      <c r="Q163" s="145"/>
      <c r="R163" s="131"/>
      <c r="S163" s="307"/>
      <c r="T163" s="131"/>
      <c r="U163" s="307"/>
      <c r="V163" s="145"/>
      <c r="W163" s="145"/>
      <c r="X163" s="131">
        <v>121503</v>
      </c>
      <c r="Y163" s="307">
        <v>60</v>
      </c>
      <c r="Z163" s="145">
        <v>863</v>
      </c>
      <c r="AA163" s="145">
        <v>55</v>
      </c>
      <c r="AB163" s="131">
        <v>194</v>
      </c>
      <c r="AC163" s="307">
        <v>70</v>
      </c>
      <c r="AD163" s="145"/>
      <c r="AE163" s="145"/>
      <c r="AF163" s="131">
        <v>26</v>
      </c>
      <c r="AG163" s="307">
        <v>50</v>
      </c>
      <c r="AH163" s="145"/>
      <c r="AI163" s="145"/>
      <c r="AJ163" s="131"/>
      <c r="AK163" s="307"/>
      <c r="AL163" s="145">
        <v>3</v>
      </c>
      <c r="AM163" s="145">
        <v>65</v>
      </c>
      <c r="AN163" s="131">
        <v>15</v>
      </c>
      <c r="AO163" s="307">
        <v>70</v>
      </c>
      <c r="AP163" s="145"/>
      <c r="AQ163" s="145"/>
      <c r="AR163" s="131"/>
      <c r="AS163" s="307"/>
      <c r="AT163" s="145"/>
      <c r="AU163" s="145"/>
      <c r="AV163" s="131">
        <v>122607</v>
      </c>
      <c r="AW163" s="307">
        <v>70</v>
      </c>
    </row>
    <row r="164" spans="1:49" x14ac:dyDescent="0.2">
      <c r="A164" s="533" t="s">
        <v>4740</v>
      </c>
      <c r="B164" s="145"/>
      <c r="C164" s="145"/>
      <c r="D164" s="131">
        <v>12846</v>
      </c>
      <c r="E164" s="307">
        <v>45</v>
      </c>
      <c r="F164" s="145">
        <v>8118</v>
      </c>
      <c r="G164" s="145">
        <v>20</v>
      </c>
      <c r="H164" s="131">
        <v>5380</v>
      </c>
      <c r="I164" s="307">
        <v>30</v>
      </c>
      <c r="J164" s="145">
        <v>1062</v>
      </c>
      <c r="K164" s="145">
        <v>60</v>
      </c>
      <c r="L164" s="131">
        <v>1</v>
      </c>
      <c r="M164" s="307">
        <v>30</v>
      </c>
      <c r="N164" s="131">
        <v>1142</v>
      </c>
      <c r="O164" s="307">
        <v>25</v>
      </c>
      <c r="P164" s="145">
        <v>9770</v>
      </c>
      <c r="Q164" s="145">
        <v>40</v>
      </c>
      <c r="R164" s="131"/>
      <c r="S164" s="307"/>
      <c r="T164" s="131"/>
      <c r="U164" s="307"/>
      <c r="V164" s="145"/>
      <c r="W164" s="145"/>
      <c r="X164" s="131">
        <v>38085</v>
      </c>
      <c r="Y164" s="307">
        <v>40</v>
      </c>
      <c r="Z164" s="145">
        <v>41</v>
      </c>
      <c r="AA164" s="145">
        <v>45</v>
      </c>
      <c r="AB164" s="131">
        <v>249</v>
      </c>
      <c r="AC164" s="307">
        <v>15</v>
      </c>
      <c r="AD164" s="145"/>
      <c r="AE164" s="145"/>
      <c r="AF164" s="131">
        <v>19</v>
      </c>
      <c r="AG164" s="307">
        <v>50</v>
      </c>
      <c r="AH164" s="145"/>
      <c r="AI164" s="145">
        <v>40</v>
      </c>
      <c r="AJ164" s="131"/>
      <c r="AK164" s="307"/>
      <c r="AL164" s="145"/>
      <c r="AM164" s="145"/>
      <c r="AN164" s="131">
        <v>144</v>
      </c>
      <c r="AO164" s="307">
        <v>50</v>
      </c>
      <c r="AP164" s="145"/>
      <c r="AQ164" s="145"/>
      <c r="AR164" s="131"/>
      <c r="AS164" s="307"/>
      <c r="AT164" s="145"/>
      <c r="AU164" s="145"/>
      <c r="AV164" s="131">
        <v>38540</v>
      </c>
      <c r="AW164" s="307">
        <v>40</v>
      </c>
    </row>
    <row r="165" spans="1:49" x14ac:dyDescent="0.2">
      <c r="A165" s="533" t="s">
        <v>4741</v>
      </c>
      <c r="B165" s="145">
        <v>217</v>
      </c>
      <c r="C165" s="145">
        <v>50</v>
      </c>
      <c r="D165" s="131">
        <v>6246</v>
      </c>
      <c r="E165" s="307">
        <v>55</v>
      </c>
      <c r="F165" s="145">
        <v>6733</v>
      </c>
      <c r="G165" s="145">
        <v>45</v>
      </c>
      <c r="H165" s="131">
        <v>12871</v>
      </c>
      <c r="I165" s="307">
        <v>45</v>
      </c>
      <c r="J165" s="145">
        <v>17366</v>
      </c>
      <c r="K165" s="145">
        <v>80</v>
      </c>
      <c r="L165" s="131">
        <v>4072</v>
      </c>
      <c r="M165" s="307">
        <v>75</v>
      </c>
      <c r="N165" s="131">
        <v>2493</v>
      </c>
      <c r="O165" s="307">
        <v>75</v>
      </c>
      <c r="P165" s="145"/>
      <c r="Q165" s="145"/>
      <c r="R165" s="131"/>
      <c r="S165" s="307"/>
      <c r="T165" s="131">
        <v>84</v>
      </c>
      <c r="U165" s="307">
        <v>40</v>
      </c>
      <c r="V165" s="145"/>
      <c r="W165" s="145"/>
      <c r="X165" s="131">
        <v>50028</v>
      </c>
      <c r="Y165" s="307">
        <v>5</v>
      </c>
      <c r="Z165" s="145">
        <v>39</v>
      </c>
      <c r="AA165" s="145">
        <v>75</v>
      </c>
      <c r="AB165" s="131">
        <v>63</v>
      </c>
      <c r="AC165" s="307">
        <v>50</v>
      </c>
      <c r="AD165" s="145">
        <v>9</v>
      </c>
      <c r="AE165" s="145">
        <v>40</v>
      </c>
      <c r="AF165" s="131">
        <v>6</v>
      </c>
      <c r="AG165" s="307">
        <v>50</v>
      </c>
      <c r="AH165" s="145">
        <v>3</v>
      </c>
      <c r="AI165" s="145">
        <v>15</v>
      </c>
      <c r="AJ165" s="131"/>
      <c r="AK165" s="307"/>
      <c r="AL165" s="145"/>
      <c r="AM165" s="145"/>
      <c r="AN165" s="131">
        <v>1122</v>
      </c>
      <c r="AO165" s="307"/>
      <c r="AP165" s="145"/>
      <c r="AQ165" s="145"/>
      <c r="AR165" s="131"/>
      <c r="AS165" s="307"/>
      <c r="AT165" s="145">
        <v>8</v>
      </c>
      <c r="AU165" s="145">
        <v>80</v>
      </c>
      <c r="AV165" s="131">
        <v>51281</v>
      </c>
      <c r="AW165" s="307">
        <v>40</v>
      </c>
    </row>
    <row r="166" spans="1:49" x14ac:dyDescent="0.2">
      <c r="A166" s="533" t="s">
        <v>4742</v>
      </c>
      <c r="B166" s="145">
        <v>242</v>
      </c>
      <c r="C166" s="145">
        <v>15</v>
      </c>
      <c r="D166" s="131">
        <v>15533</v>
      </c>
      <c r="E166" s="307">
        <v>25</v>
      </c>
      <c r="F166" s="145">
        <v>12044</v>
      </c>
      <c r="G166" s="145">
        <v>20</v>
      </c>
      <c r="H166" s="131">
        <v>10152</v>
      </c>
      <c r="I166" s="307">
        <v>20</v>
      </c>
      <c r="J166" s="145">
        <v>15083</v>
      </c>
      <c r="K166" s="145">
        <v>60</v>
      </c>
      <c r="L166" s="131">
        <v>5288</v>
      </c>
      <c r="M166" s="307">
        <v>15</v>
      </c>
      <c r="N166" s="131">
        <v>2069</v>
      </c>
      <c r="O166" s="307">
        <v>85</v>
      </c>
      <c r="P166" s="145">
        <v>55</v>
      </c>
      <c r="Q166" s="145">
        <v>85</v>
      </c>
      <c r="R166" s="131"/>
      <c r="S166" s="307"/>
      <c r="T166" s="131"/>
      <c r="U166" s="307"/>
      <c r="V166" s="145"/>
      <c r="W166" s="145"/>
      <c r="X166" s="131">
        <v>60430</v>
      </c>
      <c r="Y166" s="307">
        <v>55</v>
      </c>
      <c r="Z166" s="145">
        <v>307</v>
      </c>
      <c r="AA166" s="145">
        <v>15</v>
      </c>
      <c r="AB166" s="131">
        <v>256</v>
      </c>
      <c r="AC166" s="307"/>
      <c r="AD166" s="145"/>
      <c r="AE166" s="145"/>
      <c r="AF166" s="131">
        <v>4</v>
      </c>
      <c r="AG166" s="307">
        <v>50</v>
      </c>
      <c r="AH166" s="145">
        <v>8</v>
      </c>
      <c r="AI166" s="145">
        <v>40</v>
      </c>
      <c r="AJ166" s="131"/>
      <c r="AK166" s="307"/>
      <c r="AL166" s="145"/>
      <c r="AM166" s="145"/>
      <c r="AN166" s="131">
        <v>2001</v>
      </c>
      <c r="AO166" s="307">
        <v>75</v>
      </c>
      <c r="AP166" s="145"/>
      <c r="AQ166" s="145"/>
      <c r="AR166" s="131"/>
      <c r="AS166" s="307"/>
      <c r="AT166" s="145">
        <v>59</v>
      </c>
      <c r="AU166" s="145">
        <v>20</v>
      </c>
      <c r="AV166" s="131">
        <v>63067</v>
      </c>
      <c r="AW166" s="307">
        <v>55</v>
      </c>
    </row>
    <row r="167" spans="1:49" x14ac:dyDescent="0.2">
      <c r="A167" s="533" t="s">
        <v>4743</v>
      </c>
      <c r="B167" s="145">
        <v>124</v>
      </c>
      <c r="C167" s="145">
        <v>75</v>
      </c>
      <c r="D167" s="131">
        <v>11895</v>
      </c>
      <c r="E167" s="307">
        <v>60</v>
      </c>
      <c r="F167" s="145">
        <v>8135</v>
      </c>
      <c r="G167" s="145">
        <v>60</v>
      </c>
      <c r="H167" s="131">
        <v>16812</v>
      </c>
      <c r="I167" s="307">
        <v>55</v>
      </c>
      <c r="J167" s="145">
        <v>19721</v>
      </c>
      <c r="K167" s="145">
        <v>75</v>
      </c>
      <c r="L167" s="131">
        <v>19</v>
      </c>
      <c r="M167" s="307">
        <v>90</v>
      </c>
      <c r="N167" s="131">
        <v>941</v>
      </c>
      <c r="O167" s="307">
        <v>55</v>
      </c>
      <c r="P167" s="145">
        <v>69</v>
      </c>
      <c r="Q167" s="145">
        <v>25</v>
      </c>
      <c r="R167" s="131"/>
      <c r="S167" s="307"/>
      <c r="T167" s="131"/>
      <c r="U167" s="307"/>
      <c r="V167" s="145"/>
      <c r="W167" s="145"/>
      <c r="X167" s="131">
        <v>57653</v>
      </c>
      <c r="Y167" s="307">
        <v>10</v>
      </c>
      <c r="Z167" s="145">
        <v>389</v>
      </c>
      <c r="AA167" s="145">
        <v>95</v>
      </c>
      <c r="AB167" s="131">
        <v>182</v>
      </c>
      <c r="AC167" s="307">
        <v>25</v>
      </c>
      <c r="AD167" s="145">
        <v>15</v>
      </c>
      <c r="AE167" s="145">
        <v>80</v>
      </c>
      <c r="AF167" s="131">
        <v>18</v>
      </c>
      <c r="AG167" s="307">
        <v>50</v>
      </c>
      <c r="AH167" s="145">
        <v>10</v>
      </c>
      <c r="AI167" s="145">
        <v>15</v>
      </c>
      <c r="AJ167" s="131">
        <v>202</v>
      </c>
      <c r="AK167" s="307">
        <v>90</v>
      </c>
      <c r="AL167" s="145"/>
      <c r="AM167" s="145"/>
      <c r="AN167" s="131">
        <v>292</v>
      </c>
      <c r="AO167" s="307">
        <v>90</v>
      </c>
      <c r="AP167" s="145"/>
      <c r="AQ167" s="145"/>
      <c r="AR167" s="131"/>
      <c r="AS167" s="307"/>
      <c r="AT167" s="145">
        <v>6</v>
      </c>
      <c r="AU167" s="145">
        <v>70</v>
      </c>
      <c r="AV167" s="131">
        <v>58772</v>
      </c>
      <c r="AW167" s="307">
        <v>25</v>
      </c>
    </row>
    <row r="168" spans="1:49" x14ac:dyDescent="0.2">
      <c r="A168" s="535" t="s">
        <v>4744</v>
      </c>
      <c r="B168" s="309">
        <v>503</v>
      </c>
      <c r="C168" s="309">
        <v>90</v>
      </c>
      <c r="D168" s="230">
        <v>25081</v>
      </c>
      <c r="E168" s="364">
        <v>40</v>
      </c>
      <c r="F168" s="309">
        <v>18908</v>
      </c>
      <c r="G168" s="309">
        <v>25</v>
      </c>
      <c r="H168" s="230">
        <v>19723</v>
      </c>
      <c r="I168" s="364">
        <v>85</v>
      </c>
      <c r="J168" s="309">
        <v>41503</v>
      </c>
      <c r="K168" s="309">
        <v>95</v>
      </c>
      <c r="L168" s="230">
        <v>8</v>
      </c>
      <c r="M168" s="364">
        <v>35</v>
      </c>
      <c r="N168" s="230">
        <v>1206</v>
      </c>
      <c r="O168" s="364"/>
      <c r="P168" s="309">
        <v>63</v>
      </c>
      <c r="Q168" s="309">
        <v>70</v>
      </c>
      <c r="R168" s="230"/>
      <c r="S168" s="364"/>
      <c r="T168" s="230">
        <v>838</v>
      </c>
      <c r="U168" s="364">
        <v>35</v>
      </c>
      <c r="V168" s="309"/>
      <c r="W168" s="309"/>
      <c r="X168" s="230">
        <v>107760</v>
      </c>
      <c r="Y168" s="364">
        <v>85</v>
      </c>
      <c r="Z168" s="309">
        <v>189</v>
      </c>
      <c r="AA168" s="309">
        <v>5</v>
      </c>
      <c r="AB168" s="230">
        <v>310</v>
      </c>
      <c r="AC168" s="364">
        <v>70</v>
      </c>
      <c r="AD168" s="309"/>
      <c r="AE168" s="309"/>
      <c r="AF168" s="230"/>
      <c r="AG168" s="364"/>
      <c r="AH168" s="309">
        <v>19</v>
      </c>
      <c r="AI168" s="309">
        <v>30</v>
      </c>
      <c r="AJ168" s="230"/>
      <c r="AK168" s="364"/>
      <c r="AL168" s="309"/>
      <c r="AM168" s="309"/>
      <c r="AN168" s="230">
        <v>911</v>
      </c>
      <c r="AO168" s="364">
        <v>95</v>
      </c>
      <c r="AP168" s="309">
        <v>3</v>
      </c>
      <c r="AQ168" s="309">
        <v>90</v>
      </c>
      <c r="AR168" s="230">
        <v>2253</v>
      </c>
      <c r="AS168" s="364">
        <v>15</v>
      </c>
      <c r="AT168" s="309">
        <v>130</v>
      </c>
      <c r="AU168" s="309">
        <v>80</v>
      </c>
      <c r="AV168" s="230">
        <v>111879</v>
      </c>
      <c r="AW168" s="364">
        <v>70</v>
      </c>
    </row>
    <row r="169" spans="1:49" ht="27" customHeight="1" x14ac:dyDescent="0.2">
      <c r="A169" s="785" t="s">
        <v>4745</v>
      </c>
      <c r="B169" s="309">
        <v>1154</v>
      </c>
      <c r="C169" s="309">
        <v>70</v>
      </c>
      <c r="D169" s="230">
        <v>226131</v>
      </c>
      <c r="E169" s="364">
        <v>35</v>
      </c>
      <c r="F169" s="309">
        <v>230666</v>
      </c>
      <c r="G169" s="309">
        <v>70</v>
      </c>
      <c r="H169" s="230">
        <v>350101</v>
      </c>
      <c r="I169" s="364">
        <v>25</v>
      </c>
      <c r="J169" s="309">
        <v>680735</v>
      </c>
      <c r="K169" s="309">
        <v>25</v>
      </c>
      <c r="L169" s="230">
        <v>17035</v>
      </c>
      <c r="M169" s="364">
        <v>55</v>
      </c>
      <c r="N169" s="230">
        <v>69099</v>
      </c>
      <c r="O169" s="364">
        <v>45</v>
      </c>
      <c r="P169" s="309">
        <v>34149</v>
      </c>
      <c r="Q169" s="309">
        <v>65</v>
      </c>
      <c r="R169" s="230">
        <v>141611</v>
      </c>
      <c r="S169" s="364">
        <v>40</v>
      </c>
      <c r="T169" s="230">
        <v>7698</v>
      </c>
      <c r="U169" s="364">
        <v>75</v>
      </c>
      <c r="V169" s="309"/>
      <c r="W169" s="309"/>
      <c r="X169" s="230">
        <v>1755262</v>
      </c>
      <c r="Y169" s="364">
        <v>70</v>
      </c>
      <c r="Z169" s="309">
        <v>4461</v>
      </c>
      <c r="AA169" s="309">
        <v>15</v>
      </c>
      <c r="AB169" s="230">
        <v>3041</v>
      </c>
      <c r="AC169" s="364">
        <v>15</v>
      </c>
      <c r="AD169" s="309">
        <v>218</v>
      </c>
      <c r="AE169" s="309">
        <v>40</v>
      </c>
      <c r="AF169" s="230">
        <v>212</v>
      </c>
      <c r="AG169" s="364">
        <v>50</v>
      </c>
      <c r="AH169" s="309">
        <v>629</v>
      </c>
      <c r="AI169" s="309">
        <v>10</v>
      </c>
      <c r="AJ169" s="230">
        <v>876</v>
      </c>
      <c r="AK169" s="364">
        <v>80</v>
      </c>
      <c r="AL169" s="309">
        <v>2357</v>
      </c>
      <c r="AM169" s="309">
        <v>35</v>
      </c>
      <c r="AN169" s="230">
        <v>8894</v>
      </c>
      <c r="AO169" s="364">
        <v>30</v>
      </c>
      <c r="AP169" s="309">
        <v>15</v>
      </c>
      <c r="AQ169" s="309">
        <v>90</v>
      </c>
      <c r="AR169" s="230">
        <v>2253</v>
      </c>
      <c r="AS169" s="364">
        <v>15</v>
      </c>
      <c r="AT169" s="309">
        <v>4074</v>
      </c>
      <c r="AU169" s="309">
        <v>95</v>
      </c>
      <c r="AV169" s="230">
        <v>1782297</v>
      </c>
      <c r="AW169" s="364">
        <v>85</v>
      </c>
    </row>
    <row r="170" spans="1:49" ht="27" customHeight="1" x14ac:dyDescent="0.2">
      <c r="A170" s="622"/>
      <c r="B170" s="1093">
        <f>+SUM(B157:B168)</f>
        <v>1152</v>
      </c>
      <c r="C170" s="1093">
        <f t="shared" ref="C170:AW170" si="6">+SUM(C157:C168)</f>
        <v>270</v>
      </c>
      <c r="D170" s="1093">
        <f t="shared" si="6"/>
        <v>226119</v>
      </c>
      <c r="E170" s="1093">
        <f t="shared" si="6"/>
        <v>635</v>
      </c>
      <c r="F170" s="1093">
        <f t="shared" si="6"/>
        <v>230662</v>
      </c>
      <c r="G170" s="1093">
        <f t="shared" si="6"/>
        <v>470</v>
      </c>
      <c r="H170" s="1401">
        <f t="shared" si="6"/>
        <v>350095</v>
      </c>
      <c r="I170" s="1401">
        <f t="shared" si="6"/>
        <v>565</v>
      </c>
      <c r="J170" s="1093">
        <f t="shared" si="6"/>
        <v>680728</v>
      </c>
      <c r="K170" s="1093">
        <f t="shared" si="6"/>
        <v>725</v>
      </c>
      <c r="L170" s="1093">
        <f t="shared" si="6"/>
        <v>17031</v>
      </c>
      <c r="M170" s="1093">
        <f t="shared" si="6"/>
        <v>455</v>
      </c>
      <c r="N170" s="1401">
        <f t="shared" si="6"/>
        <v>69094</v>
      </c>
      <c r="O170" s="1401">
        <f t="shared" si="6"/>
        <v>460</v>
      </c>
      <c r="P170" s="1093">
        <f t="shared" si="6"/>
        <v>34147</v>
      </c>
      <c r="Q170" s="1093">
        <f t="shared" si="6"/>
        <v>265</v>
      </c>
      <c r="R170" s="1093">
        <f t="shared" si="6"/>
        <v>141611</v>
      </c>
      <c r="S170" s="1093">
        <f t="shared" si="6"/>
        <v>40</v>
      </c>
      <c r="T170" s="1093">
        <f t="shared" si="6"/>
        <v>7696</v>
      </c>
      <c r="U170" s="1093">
        <f t="shared" si="6"/>
        <v>275</v>
      </c>
      <c r="V170" s="1093">
        <f t="shared" si="6"/>
        <v>0</v>
      </c>
      <c r="W170" s="1093">
        <f t="shared" si="6"/>
        <v>0</v>
      </c>
      <c r="X170" s="1093">
        <f t="shared" si="6"/>
        <v>1755256</v>
      </c>
      <c r="Y170" s="1093">
        <f t="shared" si="6"/>
        <v>670</v>
      </c>
      <c r="Z170" s="1093">
        <f t="shared" si="6"/>
        <v>4155</v>
      </c>
      <c r="AA170" s="1401">
        <f t="shared" si="6"/>
        <v>685</v>
      </c>
      <c r="AB170" s="1093">
        <f t="shared" si="6"/>
        <v>3041</v>
      </c>
      <c r="AC170" s="1401">
        <f t="shared" si="6"/>
        <v>350</v>
      </c>
      <c r="AD170" s="1401">
        <f t="shared" si="6"/>
        <v>212</v>
      </c>
      <c r="AE170" s="1093">
        <f t="shared" si="6"/>
        <v>240</v>
      </c>
      <c r="AF170" s="1093">
        <f t="shared" si="6"/>
        <v>209</v>
      </c>
      <c r="AG170" s="1093">
        <f t="shared" si="6"/>
        <v>350</v>
      </c>
      <c r="AH170" s="1093">
        <f t="shared" si="6"/>
        <v>626</v>
      </c>
      <c r="AI170" s="1093">
        <f t="shared" si="6"/>
        <v>310</v>
      </c>
      <c r="AJ170" s="1093">
        <f t="shared" si="6"/>
        <v>875</v>
      </c>
      <c r="AK170" s="1093">
        <f t="shared" si="6"/>
        <v>180</v>
      </c>
      <c r="AL170" s="1093">
        <f t="shared" si="6"/>
        <v>2355</v>
      </c>
      <c r="AM170" s="1093">
        <f t="shared" si="6"/>
        <v>235</v>
      </c>
      <c r="AN170" s="1401">
        <f t="shared" si="6"/>
        <v>8842</v>
      </c>
      <c r="AO170" s="1401">
        <f t="shared" si="6"/>
        <v>705</v>
      </c>
      <c r="AP170" s="1093">
        <f t="shared" si="6"/>
        <v>15</v>
      </c>
      <c r="AQ170" s="1093">
        <f t="shared" si="6"/>
        <v>90</v>
      </c>
      <c r="AR170" s="1093">
        <f t="shared" si="6"/>
        <v>2253</v>
      </c>
      <c r="AS170" s="1093">
        <f t="shared" si="6"/>
        <v>15</v>
      </c>
      <c r="AT170" s="1093">
        <f t="shared" si="6"/>
        <v>4071</v>
      </c>
      <c r="AU170" s="1093">
        <f t="shared" si="6"/>
        <v>395</v>
      </c>
      <c r="AV170" s="1093">
        <f t="shared" si="6"/>
        <v>1782292</v>
      </c>
      <c r="AW170" s="1093">
        <f t="shared" si="6"/>
        <v>585</v>
      </c>
    </row>
    <row r="171" spans="1:49" x14ac:dyDescent="0.2">
      <c r="A171" s="516" t="s">
        <v>4746</v>
      </c>
      <c r="B171" s="517"/>
      <c r="C171" s="517"/>
      <c r="D171" s="517"/>
      <c r="E171" s="517"/>
      <c r="F171" s="517"/>
      <c r="G171" s="517"/>
      <c r="H171" s="517"/>
      <c r="I171" s="517"/>
      <c r="J171" s="517"/>
      <c r="K171" s="517"/>
      <c r="L171" s="517"/>
      <c r="M171" s="517"/>
      <c r="N171" s="517"/>
      <c r="O171" s="517"/>
      <c r="P171" s="517"/>
      <c r="Q171" s="517"/>
      <c r="R171" s="517"/>
      <c r="S171" s="517"/>
      <c r="T171" s="517"/>
      <c r="U171" s="517"/>
      <c r="V171" s="517"/>
      <c r="W171" s="517"/>
      <c r="X171" s="517"/>
      <c r="Y171" s="517"/>
      <c r="Z171" s="517"/>
      <c r="AA171" s="517"/>
      <c r="AB171" s="517"/>
      <c r="AC171" s="517"/>
      <c r="AD171" s="517"/>
      <c r="AE171" s="517"/>
      <c r="AF171" s="517"/>
      <c r="AG171" s="517"/>
      <c r="AH171" s="517"/>
      <c r="AI171" s="517"/>
      <c r="AJ171" s="517"/>
      <c r="AK171" s="517"/>
      <c r="AL171" s="517"/>
      <c r="AM171" s="517"/>
      <c r="AN171" s="517"/>
      <c r="AO171" s="517"/>
      <c r="AP171" s="517"/>
      <c r="AQ171" s="517"/>
      <c r="AR171" s="517"/>
      <c r="AS171" s="517"/>
      <c r="AT171" s="517"/>
      <c r="AU171" s="517"/>
      <c r="AV171" s="517"/>
      <c r="AW171" s="540"/>
    </row>
    <row r="172" spans="1:49" ht="30.5" customHeight="1" x14ac:dyDescent="0.2">
      <c r="A172" s="524" t="s">
        <v>4747</v>
      </c>
      <c r="B172" s="525"/>
      <c r="C172" s="525"/>
      <c r="D172" s="525"/>
      <c r="E172" s="525"/>
      <c r="F172" s="525"/>
      <c r="G172" s="525"/>
      <c r="H172" s="525"/>
      <c r="I172" s="525"/>
      <c r="J172" s="525"/>
      <c r="K172" s="525"/>
      <c r="L172" s="525"/>
      <c r="M172" s="525"/>
      <c r="N172" s="525"/>
      <c r="O172" s="525"/>
      <c r="P172" s="525"/>
      <c r="Q172" s="525"/>
      <c r="R172" s="525"/>
      <c r="S172" s="525"/>
      <c r="T172" s="525"/>
      <c r="U172" s="525"/>
      <c r="V172" s="525"/>
      <c r="W172" s="525"/>
      <c r="X172" s="525"/>
      <c r="Y172" s="525"/>
      <c r="Z172" s="525"/>
      <c r="AA172" s="525"/>
      <c r="AB172" s="525"/>
      <c r="AC172" s="525"/>
      <c r="AD172" s="525"/>
      <c r="AE172" s="525"/>
      <c r="AF172" s="525"/>
      <c r="AG172" s="525"/>
      <c r="AH172" s="525"/>
      <c r="AI172" s="525"/>
      <c r="AJ172" s="525"/>
      <c r="AK172" s="525"/>
      <c r="AL172" s="525"/>
      <c r="AM172" s="525"/>
      <c r="AN172" s="525"/>
      <c r="AO172" s="525"/>
      <c r="AP172" s="525"/>
      <c r="AQ172" s="525"/>
      <c r="AR172" s="525"/>
      <c r="AS172" s="525"/>
      <c r="AT172" s="525"/>
      <c r="AU172" s="525"/>
      <c r="AV172" s="525"/>
      <c r="AW172" s="543"/>
    </row>
    <row r="176" spans="1:49" x14ac:dyDescent="0.2">
      <c r="A176" s="526" t="s">
        <v>1358</v>
      </c>
    </row>
    <row r="177" spans="1:45" ht="30.5" customHeight="1" x14ac:dyDescent="0.2">
      <c r="A177" s="1272" t="s">
        <v>4748</v>
      </c>
      <c r="B177" s="1272"/>
      <c r="C177" s="1272"/>
      <c r="D177" s="1272"/>
      <c r="E177" s="1272"/>
      <c r="F177" s="1272"/>
      <c r="G177" s="1272"/>
      <c r="H177" s="1272"/>
      <c r="I177" s="1272"/>
      <c r="J177" s="1272"/>
      <c r="K177" s="1272"/>
      <c r="L177" s="1272"/>
      <c r="M177" s="1272"/>
      <c r="N177" s="1272"/>
      <c r="O177" s="1272"/>
      <c r="P177" s="1272"/>
      <c r="Q177" s="1272"/>
      <c r="R177" s="1272"/>
      <c r="S177" s="1272"/>
      <c r="T177" s="1272"/>
      <c r="U177" s="1272"/>
      <c r="V177" s="1272"/>
      <c r="W177" s="1272"/>
      <c r="X177" s="1272"/>
      <c r="Y177" s="1272"/>
      <c r="Z177" s="1272"/>
      <c r="AA177" s="1272"/>
      <c r="AB177" s="1272"/>
      <c r="AC177" s="1272"/>
      <c r="AD177" s="1272"/>
      <c r="AE177" s="1272"/>
      <c r="AF177" s="1272"/>
      <c r="AG177" s="1272"/>
      <c r="AH177" s="1272"/>
      <c r="AI177" s="1272"/>
      <c r="AJ177" s="1272"/>
      <c r="AK177" s="1272"/>
      <c r="AL177" s="1272"/>
      <c r="AM177" s="1272"/>
      <c r="AN177" s="1272"/>
      <c r="AO177" s="1272"/>
      <c r="AP177" s="1272"/>
      <c r="AQ177" s="1272"/>
      <c r="AR177" s="1272"/>
      <c r="AS177" s="1272"/>
    </row>
    <row r="178" spans="1:45" s="1402" customFormat="1" ht="23.5" customHeight="1" x14ac:dyDescent="0.15">
      <c r="A178" s="967" t="s">
        <v>4713</v>
      </c>
      <c r="B178" s="838" t="s">
        <v>4749</v>
      </c>
      <c r="C178" s="838"/>
      <c r="D178" s="838"/>
      <c r="E178" s="838"/>
      <c r="F178" s="838"/>
      <c r="G178" s="838"/>
      <c r="H178" s="838"/>
      <c r="I178" s="838"/>
      <c r="J178" s="838"/>
      <c r="K178" s="838"/>
      <c r="L178" s="838" t="s">
        <v>4750</v>
      </c>
      <c r="M178" s="838"/>
      <c r="N178" s="838"/>
      <c r="O178" s="838"/>
      <c r="P178" s="838"/>
      <c r="Q178" s="838"/>
      <c r="R178" s="838"/>
      <c r="S178" s="838"/>
      <c r="T178" s="838"/>
      <c r="U178" s="838"/>
      <c r="V178" s="838"/>
      <c r="W178" s="838"/>
      <c r="X178" s="838"/>
      <c r="Y178" s="838"/>
      <c r="Z178" s="838"/>
      <c r="AA178" s="838"/>
      <c r="AB178" s="838"/>
      <c r="AC178" s="838"/>
      <c r="AD178" s="838"/>
      <c r="AE178" s="838"/>
      <c r="AF178" s="838"/>
      <c r="AG178" s="838"/>
      <c r="AH178" s="838"/>
      <c r="AI178" s="838"/>
      <c r="AJ178" s="838"/>
      <c r="AK178" s="838"/>
      <c r="AL178" s="838" t="s">
        <v>4751</v>
      </c>
      <c r="AM178" s="838"/>
      <c r="AN178" s="838"/>
      <c r="AO178" s="838"/>
      <c r="AP178" s="967" t="s">
        <v>4752</v>
      </c>
      <c r="AQ178" s="967"/>
      <c r="AR178" s="967" t="s">
        <v>4753</v>
      </c>
      <c r="AS178" s="967"/>
    </row>
    <row r="179" spans="1:45" s="1403" customFormat="1" ht="43.75" customHeight="1" x14ac:dyDescent="0.15">
      <c r="A179" s="967"/>
      <c r="B179" s="1344" t="s">
        <v>4754</v>
      </c>
      <c r="C179" s="1344"/>
      <c r="D179" s="1344" t="s">
        <v>4755</v>
      </c>
      <c r="E179" s="1344"/>
      <c r="F179" s="1344" t="s">
        <v>4756</v>
      </c>
      <c r="G179" s="1344"/>
      <c r="H179" s="1344" t="s">
        <v>4559</v>
      </c>
      <c r="I179" s="1344"/>
      <c r="J179" s="1344" t="s">
        <v>1170</v>
      </c>
      <c r="K179" s="1344"/>
      <c r="L179" s="1344" t="s">
        <v>4757</v>
      </c>
      <c r="M179" s="1344"/>
      <c r="N179" s="1344"/>
      <c r="O179" s="1344"/>
      <c r="P179" s="1344" t="s">
        <v>4758</v>
      </c>
      <c r="Q179" s="1344"/>
      <c r="R179" s="1344"/>
      <c r="S179" s="1344"/>
      <c r="T179" s="1344" t="s">
        <v>4759</v>
      </c>
      <c r="U179" s="1344"/>
      <c r="V179" s="1344"/>
      <c r="W179" s="1344"/>
      <c r="X179" s="1344" t="s">
        <v>4760</v>
      </c>
      <c r="Y179" s="1344"/>
      <c r="Z179" s="1344"/>
      <c r="AA179" s="1344"/>
      <c r="AB179" s="1344" t="s">
        <v>4761</v>
      </c>
      <c r="AC179" s="1344"/>
      <c r="AD179" s="1344"/>
      <c r="AE179" s="1344"/>
      <c r="AF179" s="1344" t="s">
        <v>4762</v>
      </c>
      <c r="AG179" s="1344"/>
      <c r="AH179" s="1344" t="s">
        <v>4763</v>
      </c>
      <c r="AI179" s="1344"/>
      <c r="AJ179" s="1344"/>
      <c r="AK179" s="1344"/>
      <c r="AL179" s="1344" t="s">
        <v>4764</v>
      </c>
      <c r="AM179" s="1344"/>
      <c r="AN179" s="1344" t="s">
        <v>4765</v>
      </c>
      <c r="AO179" s="1344"/>
      <c r="AP179" s="967"/>
      <c r="AQ179" s="967"/>
      <c r="AR179" s="967"/>
      <c r="AS179" s="967"/>
    </row>
    <row r="180" spans="1:45" s="1403" customFormat="1" ht="30.5" customHeight="1" x14ac:dyDescent="0.15">
      <c r="A180" s="967"/>
      <c r="B180" s="1344"/>
      <c r="C180" s="1344"/>
      <c r="D180" s="1344"/>
      <c r="E180" s="1344"/>
      <c r="F180" s="1344"/>
      <c r="G180" s="1344"/>
      <c r="H180" s="1344"/>
      <c r="I180" s="1344"/>
      <c r="J180" s="1344"/>
      <c r="K180" s="1344"/>
      <c r="L180" s="1404" t="s">
        <v>4766</v>
      </c>
      <c r="M180" s="1404"/>
      <c r="N180" s="1404" t="s">
        <v>4767</v>
      </c>
      <c r="O180" s="1404"/>
      <c r="P180" s="1404" t="s">
        <v>4766</v>
      </c>
      <c r="Q180" s="1404"/>
      <c r="R180" s="1405" t="s">
        <v>4767</v>
      </c>
      <c r="S180" s="1405"/>
      <c r="T180" s="1404" t="s">
        <v>4766</v>
      </c>
      <c r="U180" s="1404"/>
      <c r="V180" s="1404" t="s">
        <v>4767</v>
      </c>
      <c r="W180" s="1404"/>
      <c r="X180" s="1404" t="s">
        <v>4766</v>
      </c>
      <c r="Y180" s="1404"/>
      <c r="Z180" s="1404" t="s">
        <v>4767</v>
      </c>
      <c r="AA180" s="1404"/>
      <c r="AB180" s="1404" t="s">
        <v>4766</v>
      </c>
      <c r="AC180" s="1404"/>
      <c r="AD180" s="1404" t="s">
        <v>4767</v>
      </c>
      <c r="AE180" s="1404"/>
      <c r="AF180" s="1344"/>
      <c r="AG180" s="1344"/>
      <c r="AH180" s="1404" t="s">
        <v>4766</v>
      </c>
      <c r="AI180" s="1404"/>
      <c r="AJ180" s="1404" t="s">
        <v>4767</v>
      </c>
      <c r="AK180" s="1404"/>
      <c r="AL180" s="1344"/>
      <c r="AM180" s="1344"/>
      <c r="AN180" s="1344"/>
      <c r="AO180" s="1344"/>
      <c r="AP180" s="967"/>
      <c r="AQ180" s="967"/>
      <c r="AR180" s="967"/>
      <c r="AS180" s="967"/>
    </row>
    <row r="181" spans="1:45" x14ac:dyDescent="0.2">
      <c r="A181" s="131" t="s">
        <v>4768</v>
      </c>
      <c r="B181" s="349">
        <v>224</v>
      </c>
      <c r="C181" s="717">
        <v>35</v>
      </c>
      <c r="D181" s="145">
        <v>36</v>
      </c>
      <c r="E181" s="145">
        <v>30</v>
      </c>
      <c r="F181" s="349">
        <v>25</v>
      </c>
      <c r="G181" s="717">
        <v>75</v>
      </c>
      <c r="H181" s="145">
        <v>299</v>
      </c>
      <c r="I181" s="145">
        <v>40</v>
      </c>
      <c r="J181" s="349">
        <v>585</v>
      </c>
      <c r="K181" s="717">
        <v>80</v>
      </c>
      <c r="L181" s="145">
        <v>5667</v>
      </c>
      <c r="M181" s="145">
        <v>85</v>
      </c>
      <c r="N181" s="145">
        <v>1079</v>
      </c>
      <c r="O181" s="145">
        <v>10</v>
      </c>
      <c r="P181" s="349">
        <v>9770</v>
      </c>
      <c r="Q181" s="717"/>
      <c r="R181" s="350"/>
      <c r="S181" s="717"/>
      <c r="T181" s="349">
        <v>107</v>
      </c>
      <c r="U181" s="717"/>
      <c r="V181" s="145">
        <v>16</v>
      </c>
      <c r="W181" s="145">
        <v>95</v>
      </c>
      <c r="X181" s="349">
        <v>48</v>
      </c>
      <c r="Y181" s="717"/>
      <c r="Z181" s="350">
        <v>12</v>
      </c>
      <c r="AA181" s="717"/>
      <c r="AB181" s="349">
        <v>150</v>
      </c>
      <c r="AC181" s="717"/>
      <c r="AD181" s="145">
        <v>31</v>
      </c>
      <c r="AE181" s="145"/>
      <c r="AF181" s="349"/>
      <c r="AG181" s="717"/>
      <c r="AH181" s="349">
        <v>15742</v>
      </c>
      <c r="AI181" s="717">
        <v>85</v>
      </c>
      <c r="AJ181" s="145">
        <v>3222</v>
      </c>
      <c r="AK181" s="145">
        <v>55</v>
      </c>
      <c r="AL181" s="349">
        <v>57</v>
      </c>
      <c r="AM181" s="717"/>
      <c r="AN181" s="145"/>
      <c r="AO181" s="145"/>
      <c r="AP181" s="349">
        <v>312</v>
      </c>
      <c r="AQ181" s="717">
        <v>55</v>
      </c>
      <c r="AR181" s="145">
        <v>19863</v>
      </c>
      <c r="AS181" s="307">
        <v>20</v>
      </c>
    </row>
    <row r="182" spans="1:45" x14ac:dyDescent="0.2">
      <c r="A182" s="131" t="s">
        <v>4769</v>
      </c>
      <c r="B182" s="131">
        <v>176</v>
      </c>
      <c r="C182" s="307">
        <v>75</v>
      </c>
      <c r="D182" s="145">
        <v>42</v>
      </c>
      <c r="E182" s="145">
        <v>30</v>
      </c>
      <c r="F182" s="131"/>
      <c r="G182" s="307"/>
      <c r="H182" s="145">
        <v>232</v>
      </c>
      <c r="I182" s="145">
        <v>10</v>
      </c>
      <c r="J182" s="131">
        <v>451</v>
      </c>
      <c r="K182" s="307">
        <v>15</v>
      </c>
      <c r="L182" s="145">
        <v>5366</v>
      </c>
      <c r="M182" s="145">
        <v>65</v>
      </c>
      <c r="N182" s="145">
        <v>1256</v>
      </c>
      <c r="O182" s="145">
        <v>40</v>
      </c>
      <c r="P182" s="131">
        <v>7862</v>
      </c>
      <c r="Q182" s="307">
        <v>40</v>
      </c>
      <c r="R182" s="145"/>
      <c r="S182" s="307"/>
      <c r="T182" s="131">
        <v>60</v>
      </c>
      <c r="U182" s="307"/>
      <c r="V182" s="145">
        <v>15</v>
      </c>
      <c r="W182" s="145">
        <v>50</v>
      </c>
      <c r="X182" s="131">
        <v>48</v>
      </c>
      <c r="Y182" s="307"/>
      <c r="Z182" s="145">
        <v>21</v>
      </c>
      <c r="AA182" s="307">
        <v>55</v>
      </c>
      <c r="AB182" s="131">
        <v>360</v>
      </c>
      <c r="AC182" s="307"/>
      <c r="AD182" s="145">
        <v>30</v>
      </c>
      <c r="AE182" s="145">
        <v>65</v>
      </c>
      <c r="AF182" s="131"/>
      <c r="AG182" s="307"/>
      <c r="AH182" s="131">
        <v>13698</v>
      </c>
      <c r="AI182" s="307">
        <v>5</v>
      </c>
      <c r="AJ182" s="145">
        <v>3426</v>
      </c>
      <c r="AK182" s="145">
        <v>35</v>
      </c>
      <c r="AL182" s="131"/>
      <c r="AM182" s="307"/>
      <c r="AN182" s="145">
        <v>660</v>
      </c>
      <c r="AO182" s="145">
        <v>65</v>
      </c>
      <c r="AP182" s="131">
        <v>89</v>
      </c>
      <c r="AQ182" s="307">
        <v>95</v>
      </c>
      <c r="AR182" s="145">
        <v>18326</v>
      </c>
      <c r="AS182" s="307">
        <v>15</v>
      </c>
    </row>
    <row r="183" spans="1:45" x14ac:dyDescent="0.2">
      <c r="A183" s="131" t="s">
        <v>4770</v>
      </c>
      <c r="B183" s="131">
        <v>170</v>
      </c>
      <c r="C183" s="307">
        <v>25</v>
      </c>
      <c r="D183" s="145">
        <v>110</v>
      </c>
      <c r="E183" s="145">
        <v>90</v>
      </c>
      <c r="F183" s="131">
        <v>240</v>
      </c>
      <c r="G183" s="307"/>
      <c r="H183" s="145">
        <v>107</v>
      </c>
      <c r="I183" s="145">
        <v>60</v>
      </c>
      <c r="J183" s="131">
        <v>628</v>
      </c>
      <c r="K183" s="307">
        <v>75</v>
      </c>
      <c r="L183" s="145">
        <v>6037</v>
      </c>
      <c r="M183" s="145">
        <v>35</v>
      </c>
      <c r="N183" s="145">
        <v>1328</v>
      </c>
      <c r="O183" s="145">
        <v>85</v>
      </c>
      <c r="P183" s="131">
        <v>10286</v>
      </c>
      <c r="Q183" s="307">
        <v>25</v>
      </c>
      <c r="R183" s="145"/>
      <c r="S183" s="307"/>
      <c r="T183" s="131">
        <v>154</v>
      </c>
      <c r="U183" s="307"/>
      <c r="V183" s="145">
        <v>14</v>
      </c>
      <c r="W183" s="145">
        <v>75</v>
      </c>
      <c r="X183" s="131">
        <v>48</v>
      </c>
      <c r="Y183" s="307"/>
      <c r="Z183" s="145"/>
      <c r="AA183" s="307"/>
      <c r="AB183" s="131">
        <v>270</v>
      </c>
      <c r="AC183" s="307"/>
      <c r="AD183" s="145">
        <v>23</v>
      </c>
      <c r="AE183" s="145">
        <v>95</v>
      </c>
      <c r="AF183" s="131">
        <v>200</v>
      </c>
      <c r="AG183" s="307"/>
      <c r="AH183" s="131">
        <v>16995</v>
      </c>
      <c r="AI183" s="307">
        <v>60</v>
      </c>
      <c r="AJ183" s="145">
        <v>2880</v>
      </c>
      <c r="AK183" s="145">
        <v>85</v>
      </c>
      <c r="AL183" s="131"/>
      <c r="AM183" s="307"/>
      <c r="AN183" s="145"/>
      <c r="AO183" s="145"/>
      <c r="AP183" s="131">
        <v>337</v>
      </c>
      <c r="AQ183" s="307">
        <v>10</v>
      </c>
      <c r="AR183" s="145">
        <v>20840</v>
      </c>
      <c r="AS183" s="307">
        <v>30</v>
      </c>
    </row>
    <row r="184" spans="1:45" x14ac:dyDescent="0.2">
      <c r="A184" s="131" t="s">
        <v>4771</v>
      </c>
      <c r="B184" s="131">
        <v>130</v>
      </c>
      <c r="C184" s="307">
        <v>95</v>
      </c>
      <c r="D184" s="145">
        <v>46</v>
      </c>
      <c r="E184" s="145">
        <v>30</v>
      </c>
      <c r="F184" s="131"/>
      <c r="G184" s="307"/>
      <c r="H184" s="145">
        <v>264</v>
      </c>
      <c r="I184" s="145">
        <v>90</v>
      </c>
      <c r="J184" s="131">
        <v>442</v>
      </c>
      <c r="K184" s="307">
        <v>15</v>
      </c>
      <c r="L184" s="145">
        <v>5140</v>
      </c>
      <c r="M184" s="145"/>
      <c r="N184" s="145">
        <v>1060</v>
      </c>
      <c r="O184" s="145">
        <v>5</v>
      </c>
      <c r="P184" s="131">
        <v>8580</v>
      </c>
      <c r="Q184" s="307">
        <v>40</v>
      </c>
      <c r="R184" s="145"/>
      <c r="S184" s="307"/>
      <c r="T184" s="131">
        <v>107</v>
      </c>
      <c r="U184" s="307"/>
      <c r="V184" s="145">
        <v>28</v>
      </c>
      <c r="W184" s="145">
        <v>65</v>
      </c>
      <c r="X184" s="131">
        <v>48</v>
      </c>
      <c r="Y184" s="307"/>
      <c r="Z184" s="145">
        <v>21</v>
      </c>
      <c r="AA184" s="307">
        <v>60</v>
      </c>
      <c r="AB184" s="131">
        <v>260</v>
      </c>
      <c r="AC184" s="307"/>
      <c r="AD184" s="145">
        <v>26</v>
      </c>
      <c r="AE184" s="145">
        <v>90</v>
      </c>
      <c r="AF184" s="131">
        <v>185</v>
      </c>
      <c r="AG184" s="307"/>
      <c r="AH184" s="131">
        <v>14320</v>
      </c>
      <c r="AI184" s="307">
        <v>40</v>
      </c>
      <c r="AJ184" s="145">
        <v>2754</v>
      </c>
      <c r="AK184" s="145">
        <v>15</v>
      </c>
      <c r="AL184" s="131"/>
      <c r="AM184" s="307"/>
      <c r="AN184" s="145"/>
      <c r="AO184" s="145"/>
      <c r="AP184" s="131">
        <v>138</v>
      </c>
      <c r="AQ184" s="307">
        <v>70</v>
      </c>
      <c r="AR184" s="145">
        <v>17655</v>
      </c>
      <c r="AS184" s="307">
        <v>40</v>
      </c>
    </row>
    <row r="185" spans="1:45" x14ac:dyDescent="0.2">
      <c r="A185" s="131" t="s">
        <v>4737</v>
      </c>
      <c r="B185" s="131">
        <v>161</v>
      </c>
      <c r="C185" s="307">
        <v>45</v>
      </c>
      <c r="D185" s="145">
        <v>41</v>
      </c>
      <c r="E185" s="145">
        <v>30</v>
      </c>
      <c r="F185" s="131"/>
      <c r="G185" s="307"/>
      <c r="H185" s="145">
        <v>119</v>
      </c>
      <c r="I185" s="145">
        <v>40</v>
      </c>
      <c r="J185" s="131">
        <v>322</v>
      </c>
      <c r="K185" s="307">
        <v>15</v>
      </c>
      <c r="L185" s="145">
        <v>3088</v>
      </c>
      <c r="M185" s="145">
        <v>20</v>
      </c>
      <c r="N185" s="145">
        <v>534</v>
      </c>
      <c r="O185" s="145">
        <v>80</v>
      </c>
      <c r="P185" s="131">
        <v>5974</v>
      </c>
      <c r="Q185" s="307">
        <v>10</v>
      </c>
      <c r="R185" s="145"/>
      <c r="S185" s="307"/>
      <c r="T185" s="131">
        <v>107</v>
      </c>
      <c r="U185" s="307"/>
      <c r="V185" s="145">
        <v>17</v>
      </c>
      <c r="W185" s="145">
        <v>35</v>
      </c>
      <c r="X185" s="131">
        <v>48</v>
      </c>
      <c r="Y185" s="307"/>
      <c r="Z185" s="145">
        <v>9</v>
      </c>
      <c r="AA185" s="307">
        <v>60</v>
      </c>
      <c r="AB185" s="131">
        <v>151</v>
      </c>
      <c r="AC185" s="307">
        <v>60</v>
      </c>
      <c r="AD185" s="145">
        <v>17</v>
      </c>
      <c r="AE185" s="145">
        <v>60</v>
      </c>
      <c r="AF185" s="131"/>
      <c r="AG185" s="307"/>
      <c r="AH185" s="131">
        <v>9368</v>
      </c>
      <c r="AI185" s="307">
        <v>90</v>
      </c>
      <c r="AJ185" s="145">
        <v>1807</v>
      </c>
      <c r="AK185" s="145">
        <v>90</v>
      </c>
      <c r="AL185" s="131"/>
      <c r="AM185" s="307"/>
      <c r="AN185" s="145"/>
      <c r="AO185" s="145"/>
      <c r="AP185" s="131">
        <v>82</v>
      </c>
      <c r="AQ185" s="307">
        <v>70</v>
      </c>
      <c r="AR185" s="145">
        <v>11581</v>
      </c>
      <c r="AS185" s="307">
        <v>65</v>
      </c>
    </row>
    <row r="186" spans="1:45" x14ac:dyDescent="0.2">
      <c r="A186" s="131" t="s">
        <v>4738</v>
      </c>
      <c r="B186" s="131">
        <v>78</v>
      </c>
      <c r="C186" s="307">
        <v>10</v>
      </c>
      <c r="D186" s="145">
        <v>36</v>
      </c>
      <c r="E186" s="145">
        <v>30</v>
      </c>
      <c r="F186" s="131"/>
      <c r="G186" s="307"/>
      <c r="H186" s="145">
        <v>77</v>
      </c>
      <c r="I186" s="145">
        <v>50</v>
      </c>
      <c r="J186" s="131">
        <v>191</v>
      </c>
      <c r="K186" s="307">
        <v>90</v>
      </c>
      <c r="L186" s="145">
        <v>3672</v>
      </c>
      <c r="M186" s="145">
        <v>25</v>
      </c>
      <c r="N186" s="145">
        <v>826</v>
      </c>
      <c r="O186" s="145">
        <v>95</v>
      </c>
      <c r="P186" s="131">
        <v>7035</v>
      </c>
      <c r="Q186" s="307">
        <v>55</v>
      </c>
      <c r="R186" s="145"/>
      <c r="S186" s="307"/>
      <c r="T186" s="131">
        <v>107</v>
      </c>
      <c r="U186" s="307"/>
      <c r="V186" s="145">
        <v>12</v>
      </c>
      <c r="W186" s="145">
        <v>5</v>
      </c>
      <c r="X186" s="131">
        <v>48</v>
      </c>
      <c r="Y186" s="307"/>
      <c r="Z186" s="145">
        <v>10</v>
      </c>
      <c r="AA186" s="307">
        <v>5</v>
      </c>
      <c r="AB186" s="131">
        <v>210</v>
      </c>
      <c r="AC186" s="307"/>
      <c r="AD186" s="145">
        <v>11</v>
      </c>
      <c r="AE186" s="145">
        <v>65</v>
      </c>
      <c r="AF186" s="131">
        <v>250</v>
      </c>
      <c r="AG186" s="307"/>
      <c r="AH186" s="131">
        <v>11322</v>
      </c>
      <c r="AI186" s="307">
        <v>80</v>
      </c>
      <c r="AJ186" s="145">
        <v>1838</v>
      </c>
      <c r="AK186" s="145">
        <v>35</v>
      </c>
      <c r="AL186" s="131"/>
      <c r="AM186" s="307"/>
      <c r="AN186" s="145"/>
      <c r="AO186" s="145"/>
      <c r="AP186" s="131">
        <v>2</v>
      </c>
      <c r="AQ186" s="307">
        <v>50</v>
      </c>
      <c r="AR186" s="145">
        <v>13355</v>
      </c>
      <c r="AS186" s="307">
        <v>55</v>
      </c>
    </row>
    <row r="187" spans="1:45" x14ac:dyDescent="0.2">
      <c r="A187" s="131" t="s">
        <v>4739</v>
      </c>
      <c r="B187" s="131">
        <v>116</v>
      </c>
      <c r="C187" s="307">
        <v>65</v>
      </c>
      <c r="D187" s="145">
        <v>5</v>
      </c>
      <c r="E187" s="145"/>
      <c r="F187" s="131">
        <v>773</v>
      </c>
      <c r="G187" s="307">
        <v>60</v>
      </c>
      <c r="H187" s="145">
        <v>176</v>
      </c>
      <c r="I187" s="145">
        <v>60</v>
      </c>
      <c r="J187" s="131">
        <v>1071</v>
      </c>
      <c r="K187" s="307">
        <v>85</v>
      </c>
      <c r="L187" s="145">
        <v>4921</v>
      </c>
      <c r="M187" s="145">
        <v>85</v>
      </c>
      <c r="N187" s="145">
        <v>579</v>
      </c>
      <c r="O187" s="145"/>
      <c r="P187" s="131">
        <v>5045</v>
      </c>
      <c r="Q187" s="307">
        <v>10</v>
      </c>
      <c r="R187" s="145"/>
      <c r="S187" s="307"/>
      <c r="T187" s="131">
        <v>107</v>
      </c>
      <c r="U187" s="307"/>
      <c r="V187" s="145">
        <v>9</v>
      </c>
      <c r="W187" s="145">
        <v>40</v>
      </c>
      <c r="X187" s="131">
        <v>60</v>
      </c>
      <c r="Y187" s="307"/>
      <c r="Z187" s="145">
        <v>9</v>
      </c>
      <c r="AA187" s="307">
        <v>60</v>
      </c>
      <c r="AB187" s="131">
        <v>90</v>
      </c>
      <c r="AC187" s="307"/>
      <c r="AD187" s="145">
        <v>20</v>
      </c>
      <c r="AE187" s="145"/>
      <c r="AF187" s="131">
        <v>250</v>
      </c>
      <c r="AG187" s="307"/>
      <c r="AH187" s="131">
        <v>10473</v>
      </c>
      <c r="AI187" s="307">
        <v>95</v>
      </c>
      <c r="AJ187" s="145">
        <v>1257</v>
      </c>
      <c r="AK187" s="145">
        <v>50</v>
      </c>
      <c r="AL187" s="131"/>
      <c r="AM187" s="307"/>
      <c r="AN187" s="145"/>
      <c r="AO187" s="145"/>
      <c r="AP187" s="131">
        <v>103</v>
      </c>
      <c r="AQ187" s="307">
        <v>35</v>
      </c>
      <c r="AR187" s="145">
        <v>12906</v>
      </c>
      <c r="AS187" s="307">
        <v>65</v>
      </c>
    </row>
    <row r="188" spans="1:45" x14ac:dyDescent="0.2">
      <c r="A188" s="131" t="s">
        <v>4740</v>
      </c>
      <c r="B188" s="131">
        <v>74</v>
      </c>
      <c r="C188" s="307">
        <v>80</v>
      </c>
      <c r="D188" s="145">
        <v>27</v>
      </c>
      <c r="E188" s="145">
        <v>30</v>
      </c>
      <c r="F188" s="131">
        <v>12</v>
      </c>
      <c r="G188" s="307">
        <v>60</v>
      </c>
      <c r="H188" s="145">
        <v>140</v>
      </c>
      <c r="I188" s="145"/>
      <c r="J188" s="131">
        <v>254</v>
      </c>
      <c r="K188" s="307">
        <v>70</v>
      </c>
      <c r="L188" s="145">
        <v>1828</v>
      </c>
      <c r="M188" s="145">
        <v>25</v>
      </c>
      <c r="N188" s="145">
        <v>826</v>
      </c>
      <c r="O188" s="145">
        <v>15</v>
      </c>
      <c r="P188" s="131">
        <v>4844</v>
      </c>
      <c r="Q188" s="307">
        <v>55</v>
      </c>
      <c r="R188" s="145"/>
      <c r="S188" s="307"/>
      <c r="T188" s="131">
        <v>107</v>
      </c>
      <c r="U188" s="307"/>
      <c r="V188" s="145">
        <v>9</v>
      </c>
      <c r="W188" s="145">
        <v>40</v>
      </c>
      <c r="X188" s="131">
        <v>48</v>
      </c>
      <c r="Y188" s="307"/>
      <c r="Z188" s="145">
        <v>9</v>
      </c>
      <c r="AA188" s="307">
        <v>60</v>
      </c>
      <c r="AB188" s="131">
        <v>40</v>
      </c>
      <c r="AC188" s="307"/>
      <c r="AD188" s="145">
        <v>10</v>
      </c>
      <c r="AE188" s="145"/>
      <c r="AF188" s="131"/>
      <c r="AG188" s="307"/>
      <c r="AH188" s="131">
        <v>6867</v>
      </c>
      <c r="AI188" s="307">
        <v>80</v>
      </c>
      <c r="AJ188" s="145">
        <v>1546</v>
      </c>
      <c r="AK188" s="145">
        <v>60</v>
      </c>
      <c r="AL188" s="131"/>
      <c r="AM188" s="307"/>
      <c r="AN188" s="145"/>
      <c r="AO188" s="145"/>
      <c r="AP188" s="131">
        <v>10</v>
      </c>
      <c r="AQ188" s="307">
        <v>50</v>
      </c>
      <c r="AR188" s="145">
        <v>8679</v>
      </c>
      <c r="AS188" s="307">
        <v>60</v>
      </c>
    </row>
    <row r="189" spans="1:45" x14ac:dyDescent="0.2">
      <c r="A189" s="131" t="s">
        <v>4741</v>
      </c>
      <c r="B189" s="131">
        <v>120</v>
      </c>
      <c r="C189" s="307">
        <v>10</v>
      </c>
      <c r="D189" s="145">
        <v>122</v>
      </c>
      <c r="E189" s="145">
        <v>30</v>
      </c>
      <c r="F189" s="131">
        <v>21</v>
      </c>
      <c r="G189" s="307">
        <v>80</v>
      </c>
      <c r="H189" s="145"/>
      <c r="I189" s="145"/>
      <c r="J189" s="131">
        <v>264</v>
      </c>
      <c r="K189" s="307">
        <v>20</v>
      </c>
      <c r="L189" s="145">
        <v>3621</v>
      </c>
      <c r="M189" s="145">
        <v>70</v>
      </c>
      <c r="N189" s="145">
        <v>770</v>
      </c>
      <c r="O189" s="145">
        <v>80</v>
      </c>
      <c r="P189" s="131">
        <v>3983</v>
      </c>
      <c r="Q189" s="307">
        <v>85</v>
      </c>
      <c r="R189" s="145"/>
      <c r="S189" s="307"/>
      <c r="T189" s="131">
        <v>107</v>
      </c>
      <c r="U189" s="307"/>
      <c r="V189" s="145"/>
      <c r="W189" s="145"/>
      <c r="X189" s="131">
        <v>108</v>
      </c>
      <c r="Y189" s="307"/>
      <c r="Z189" s="145"/>
      <c r="AA189" s="307"/>
      <c r="AB189" s="131">
        <v>40</v>
      </c>
      <c r="AC189" s="307"/>
      <c r="AD189" s="145">
        <v>10</v>
      </c>
      <c r="AE189" s="145"/>
      <c r="AF189" s="131">
        <v>200</v>
      </c>
      <c r="AG189" s="307"/>
      <c r="AH189" s="131">
        <v>8060</v>
      </c>
      <c r="AI189" s="307">
        <v>55</v>
      </c>
      <c r="AJ189" s="145">
        <v>1346</v>
      </c>
      <c r="AK189" s="145">
        <v>10</v>
      </c>
      <c r="AL189" s="131"/>
      <c r="AM189" s="307"/>
      <c r="AN189" s="145"/>
      <c r="AO189" s="145"/>
      <c r="AP189" s="131">
        <v>28</v>
      </c>
      <c r="AQ189" s="307">
        <v>55</v>
      </c>
      <c r="AR189" s="145">
        <v>9699</v>
      </c>
      <c r="AS189" s="307">
        <v>40</v>
      </c>
    </row>
    <row r="190" spans="1:45" x14ac:dyDescent="0.2">
      <c r="A190" s="131" t="s">
        <v>4742</v>
      </c>
      <c r="B190" s="131">
        <v>97</v>
      </c>
      <c r="C190" s="307">
        <v>45</v>
      </c>
      <c r="D190" s="145">
        <v>58</v>
      </c>
      <c r="E190" s="145">
        <v>30</v>
      </c>
      <c r="F190" s="131">
        <v>11</v>
      </c>
      <c r="G190" s="307">
        <v>80</v>
      </c>
      <c r="H190" s="145">
        <v>34</v>
      </c>
      <c r="I190" s="145">
        <v>95</v>
      </c>
      <c r="J190" s="131">
        <v>202</v>
      </c>
      <c r="K190" s="307">
        <v>50</v>
      </c>
      <c r="L190" s="145">
        <v>5216</v>
      </c>
      <c r="M190" s="145">
        <v>20</v>
      </c>
      <c r="N190" s="145">
        <v>408</v>
      </c>
      <c r="O190" s="145">
        <v>10</v>
      </c>
      <c r="P190" s="131">
        <v>6659</v>
      </c>
      <c r="Q190" s="307"/>
      <c r="R190" s="145"/>
      <c r="S190" s="307"/>
      <c r="T190" s="131">
        <v>154</v>
      </c>
      <c r="U190" s="307"/>
      <c r="V190" s="145">
        <v>9</v>
      </c>
      <c r="W190" s="145">
        <v>40</v>
      </c>
      <c r="X190" s="131">
        <v>96</v>
      </c>
      <c r="Y190" s="307"/>
      <c r="Z190" s="145">
        <v>9</v>
      </c>
      <c r="AA190" s="307">
        <v>60</v>
      </c>
      <c r="AB190" s="131">
        <v>90</v>
      </c>
      <c r="AC190" s="307"/>
      <c r="AD190" s="145"/>
      <c r="AE190" s="145"/>
      <c r="AF190" s="131">
        <v>699</v>
      </c>
      <c r="AG190" s="307">
        <v>85</v>
      </c>
      <c r="AH190" s="131">
        <v>12915</v>
      </c>
      <c r="AI190" s="307">
        <v>15</v>
      </c>
      <c r="AJ190" s="145">
        <v>1096</v>
      </c>
      <c r="AK190" s="145">
        <v>5</v>
      </c>
      <c r="AL190" s="131"/>
      <c r="AM190" s="307"/>
      <c r="AN190" s="145"/>
      <c r="AO190" s="145"/>
      <c r="AP190" s="131">
        <v>6</v>
      </c>
      <c r="AQ190" s="307">
        <v>20</v>
      </c>
      <c r="AR190" s="145">
        <v>14219</v>
      </c>
      <c r="AS190" s="307">
        <v>90</v>
      </c>
    </row>
    <row r="191" spans="1:45" x14ac:dyDescent="0.2">
      <c r="A191" s="131" t="s">
        <v>4743</v>
      </c>
      <c r="B191" s="131">
        <v>105</v>
      </c>
      <c r="C191" s="307">
        <v>20</v>
      </c>
      <c r="D191" s="145">
        <v>52</v>
      </c>
      <c r="E191" s="145">
        <v>30</v>
      </c>
      <c r="F191" s="131"/>
      <c r="G191" s="307"/>
      <c r="H191" s="145">
        <v>71</v>
      </c>
      <c r="I191" s="145">
        <v>55</v>
      </c>
      <c r="J191" s="131">
        <v>229</v>
      </c>
      <c r="K191" s="307">
        <v>5</v>
      </c>
      <c r="L191" s="145">
        <v>5497</v>
      </c>
      <c r="M191" s="145">
        <v>85</v>
      </c>
      <c r="N191" s="145">
        <v>855</v>
      </c>
      <c r="O191" s="145">
        <v>40</v>
      </c>
      <c r="P191" s="131">
        <v>5737</v>
      </c>
      <c r="Q191" s="307">
        <v>65</v>
      </c>
      <c r="R191" s="145"/>
      <c r="S191" s="307"/>
      <c r="T191" s="131">
        <v>60</v>
      </c>
      <c r="U191" s="307"/>
      <c r="V191" s="145">
        <v>9</v>
      </c>
      <c r="W191" s="145">
        <v>40</v>
      </c>
      <c r="X191" s="131"/>
      <c r="Y191" s="307"/>
      <c r="Z191" s="145">
        <v>9</v>
      </c>
      <c r="AA191" s="307">
        <v>60</v>
      </c>
      <c r="AB191" s="131">
        <v>113</v>
      </c>
      <c r="AC191" s="307">
        <v>50</v>
      </c>
      <c r="AD191" s="145">
        <v>10</v>
      </c>
      <c r="AE191" s="145"/>
      <c r="AF191" s="131">
        <v>650</v>
      </c>
      <c r="AG191" s="307"/>
      <c r="AH191" s="131">
        <v>12059</v>
      </c>
      <c r="AI191" s="307"/>
      <c r="AJ191" s="145">
        <v>1607</v>
      </c>
      <c r="AK191" s="145">
        <v>15</v>
      </c>
      <c r="AL191" s="131"/>
      <c r="AM191" s="307"/>
      <c r="AN191" s="145"/>
      <c r="AO191" s="145"/>
      <c r="AP191" s="131"/>
      <c r="AQ191" s="307"/>
      <c r="AR191" s="145">
        <v>13895</v>
      </c>
      <c r="AS191" s="307">
        <v>20</v>
      </c>
    </row>
    <row r="192" spans="1:45" x14ac:dyDescent="0.2">
      <c r="A192" s="230" t="s">
        <v>4772</v>
      </c>
      <c r="B192" s="230">
        <v>196</v>
      </c>
      <c r="C192" s="364">
        <v>70</v>
      </c>
      <c r="D192" s="309">
        <v>3412</v>
      </c>
      <c r="E192" s="309"/>
      <c r="F192" s="230">
        <v>237</v>
      </c>
      <c r="G192" s="364">
        <v>50</v>
      </c>
      <c r="H192" s="309">
        <v>479</v>
      </c>
      <c r="I192" s="309">
        <v>40</v>
      </c>
      <c r="J192" s="230">
        <v>4325</v>
      </c>
      <c r="K192" s="364">
        <v>60</v>
      </c>
      <c r="L192" s="309">
        <v>6155</v>
      </c>
      <c r="M192" s="309">
        <v>80</v>
      </c>
      <c r="N192" s="309">
        <v>993</v>
      </c>
      <c r="O192" s="309">
        <v>35</v>
      </c>
      <c r="P192" s="230">
        <v>8493</v>
      </c>
      <c r="Q192" s="364">
        <v>65</v>
      </c>
      <c r="R192" s="309"/>
      <c r="S192" s="364"/>
      <c r="T192" s="230">
        <v>154</v>
      </c>
      <c r="U192" s="364"/>
      <c r="V192" s="309">
        <v>7</v>
      </c>
      <c r="W192" s="309">
        <v>5</v>
      </c>
      <c r="X192" s="230">
        <v>96</v>
      </c>
      <c r="Y192" s="364"/>
      <c r="Z192" s="309">
        <v>7</v>
      </c>
      <c r="AA192" s="364">
        <v>20</v>
      </c>
      <c r="AB192" s="230">
        <v>100</v>
      </c>
      <c r="AC192" s="364"/>
      <c r="AD192" s="309">
        <v>12</v>
      </c>
      <c r="AE192" s="309">
        <v>20</v>
      </c>
      <c r="AF192" s="230">
        <v>250</v>
      </c>
      <c r="AG192" s="364"/>
      <c r="AH192" s="230">
        <v>15249</v>
      </c>
      <c r="AI192" s="364">
        <v>45</v>
      </c>
      <c r="AJ192" s="309">
        <v>1801</v>
      </c>
      <c r="AK192" s="309">
        <v>60</v>
      </c>
      <c r="AL192" s="230"/>
      <c r="AM192" s="364"/>
      <c r="AN192" s="309"/>
      <c r="AO192" s="309"/>
      <c r="AP192" s="230"/>
      <c r="AQ192" s="364"/>
      <c r="AR192" s="309">
        <v>21376</v>
      </c>
      <c r="AS192" s="364">
        <v>65</v>
      </c>
    </row>
    <row r="193" spans="1:49" ht="30" customHeight="1" x14ac:dyDescent="0.2">
      <c r="A193" s="794" t="s">
        <v>4773</v>
      </c>
      <c r="B193" s="230">
        <v>1652</v>
      </c>
      <c r="C193" s="364">
        <v>75</v>
      </c>
      <c r="D193" s="309">
        <v>3990</v>
      </c>
      <c r="E193" s="309">
        <v>60</v>
      </c>
      <c r="F193" s="230">
        <v>1323</v>
      </c>
      <c r="G193" s="364">
        <v>5</v>
      </c>
      <c r="H193" s="309">
        <v>2003</v>
      </c>
      <c r="I193" s="309">
        <v>40</v>
      </c>
      <c r="J193" s="230">
        <v>8969</v>
      </c>
      <c r="K193" s="364">
        <v>80</v>
      </c>
      <c r="L193" s="309">
        <v>56163</v>
      </c>
      <c r="M193" s="309">
        <v>95</v>
      </c>
      <c r="N193" s="309">
        <v>10508</v>
      </c>
      <c r="O193" s="309">
        <v>95</v>
      </c>
      <c r="P193" s="230">
        <v>84274</v>
      </c>
      <c r="Q193" s="364">
        <v>50</v>
      </c>
      <c r="R193" s="309"/>
      <c r="S193" s="364"/>
      <c r="T193" s="230">
        <v>1331</v>
      </c>
      <c r="U193" s="364"/>
      <c r="V193" s="309">
        <v>149</v>
      </c>
      <c r="W193" s="309">
        <v>70</v>
      </c>
      <c r="X193" s="230">
        <v>696</v>
      </c>
      <c r="Y193" s="364"/>
      <c r="Z193" s="309">
        <v>120</v>
      </c>
      <c r="AA193" s="364">
        <v>40</v>
      </c>
      <c r="AB193" s="230">
        <v>1875</v>
      </c>
      <c r="AC193" s="364">
        <v>10</v>
      </c>
      <c r="AD193" s="309">
        <v>203</v>
      </c>
      <c r="AE193" s="309">
        <v>95</v>
      </c>
      <c r="AF193" s="230">
        <v>2684</v>
      </c>
      <c r="AG193" s="364">
        <v>85</v>
      </c>
      <c r="AH193" s="230">
        <v>147025</v>
      </c>
      <c r="AI193" s="364">
        <v>15</v>
      </c>
      <c r="AJ193" s="309">
        <v>24574</v>
      </c>
      <c r="AK193" s="309">
        <v>95</v>
      </c>
      <c r="AL193" s="230">
        <v>57</v>
      </c>
      <c r="AM193" s="364"/>
      <c r="AN193" s="309">
        <v>660</v>
      </c>
      <c r="AO193" s="309">
        <v>65</v>
      </c>
      <c r="AP193" s="230">
        <v>1112</v>
      </c>
      <c r="AQ193" s="364">
        <v>10</v>
      </c>
      <c r="AR193" s="309">
        <v>182399</v>
      </c>
      <c r="AS193" s="364">
        <v>65</v>
      </c>
    </row>
    <row r="194" spans="1:49" x14ac:dyDescent="0.2">
      <c r="B194" s="393">
        <f>+SUM(B181:B192)</f>
        <v>1647</v>
      </c>
      <c r="C194" s="393">
        <f t="shared" ref="C194:AS194" si="7">+SUM(C181:C192)</f>
        <v>575</v>
      </c>
      <c r="D194" s="393">
        <f t="shared" si="7"/>
        <v>3987</v>
      </c>
      <c r="E194" s="393">
        <f t="shared" si="7"/>
        <v>360</v>
      </c>
      <c r="F194" s="393">
        <f t="shared" si="7"/>
        <v>1319</v>
      </c>
      <c r="G194" s="393">
        <f t="shared" si="7"/>
        <v>405</v>
      </c>
      <c r="H194" s="393">
        <f t="shared" si="7"/>
        <v>1998</v>
      </c>
      <c r="I194" s="393">
        <f t="shared" si="7"/>
        <v>540</v>
      </c>
      <c r="J194" s="393">
        <f t="shared" si="7"/>
        <v>8964</v>
      </c>
      <c r="K194" s="393">
        <f t="shared" si="7"/>
        <v>580</v>
      </c>
      <c r="L194" s="1137">
        <f t="shared" si="7"/>
        <v>56208</v>
      </c>
      <c r="M194" s="393">
        <f t="shared" si="7"/>
        <v>595</v>
      </c>
      <c r="N194" s="1137">
        <f t="shared" si="7"/>
        <v>10514</v>
      </c>
      <c r="O194" s="393">
        <f t="shared" si="7"/>
        <v>495</v>
      </c>
      <c r="P194" s="1137">
        <f t="shared" si="7"/>
        <v>84268</v>
      </c>
      <c r="Q194" s="393">
        <f t="shared" si="7"/>
        <v>450</v>
      </c>
      <c r="R194" s="393">
        <f t="shared" si="7"/>
        <v>0</v>
      </c>
      <c r="S194" s="393">
        <f t="shared" si="7"/>
        <v>0</v>
      </c>
      <c r="T194" s="393">
        <f t="shared" si="7"/>
        <v>1331</v>
      </c>
      <c r="U194" s="393">
        <f t="shared" si="7"/>
        <v>0</v>
      </c>
      <c r="V194" s="393">
        <f t="shared" si="7"/>
        <v>145</v>
      </c>
      <c r="W194" s="1137">
        <f t="shared" si="7"/>
        <v>490</v>
      </c>
      <c r="X194" s="393">
        <f t="shared" si="7"/>
        <v>696</v>
      </c>
      <c r="Y194" s="393">
        <f t="shared" si="7"/>
        <v>0</v>
      </c>
      <c r="Z194" s="393">
        <f t="shared" si="7"/>
        <v>116</v>
      </c>
      <c r="AA194" s="393">
        <f t="shared" si="7"/>
        <v>440</v>
      </c>
      <c r="AB194" s="393">
        <f t="shared" si="7"/>
        <v>1874</v>
      </c>
      <c r="AC194" s="393">
        <f t="shared" si="7"/>
        <v>110</v>
      </c>
      <c r="AD194" s="393">
        <f t="shared" si="7"/>
        <v>200</v>
      </c>
      <c r="AE194" s="393">
        <f t="shared" si="7"/>
        <v>395</v>
      </c>
      <c r="AF194" s="393">
        <f t="shared" si="7"/>
        <v>2684</v>
      </c>
      <c r="AG194" s="393">
        <f t="shared" si="7"/>
        <v>85</v>
      </c>
      <c r="AH194" s="1137">
        <f t="shared" si="7"/>
        <v>147068</v>
      </c>
      <c r="AI194" s="393">
        <f t="shared" si="7"/>
        <v>650</v>
      </c>
      <c r="AJ194" s="393">
        <f t="shared" si="7"/>
        <v>24580</v>
      </c>
      <c r="AK194" s="393">
        <f t="shared" si="7"/>
        <v>515</v>
      </c>
      <c r="AL194" s="393">
        <f t="shared" si="7"/>
        <v>57</v>
      </c>
      <c r="AM194" s="393">
        <f t="shared" si="7"/>
        <v>0</v>
      </c>
      <c r="AN194" s="393">
        <f t="shared" si="7"/>
        <v>660</v>
      </c>
      <c r="AO194" s="393">
        <f t="shared" si="7"/>
        <v>65</v>
      </c>
      <c r="AP194" s="393">
        <f t="shared" si="7"/>
        <v>1107</v>
      </c>
      <c r="AQ194" s="393">
        <f t="shared" si="7"/>
        <v>510</v>
      </c>
      <c r="AR194" s="393">
        <f t="shared" si="7"/>
        <v>182394</v>
      </c>
      <c r="AS194" s="393">
        <f t="shared" si="7"/>
        <v>565</v>
      </c>
    </row>
    <row r="197" spans="1:49" x14ac:dyDescent="0.2">
      <c r="A197" s="526" t="s">
        <v>1374</v>
      </c>
    </row>
    <row r="198" spans="1:49" ht="33" customHeight="1" x14ac:dyDescent="0.2">
      <c r="A198" s="1272" t="s">
        <v>4774</v>
      </c>
      <c r="B198" s="1272"/>
      <c r="C198" s="1272"/>
      <c r="D198" s="1272"/>
      <c r="E198" s="1272"/>
      <c r="F198" s="1272"/>
      <c r="G198" s="1272"/>
      <c r="H198" s="1272"/>
      <c r="I198" s="1272"/>
      <c r="J198" s="1272"/>
      <c r="K198" s="1272"/>
      <c r="L198" s="1272"/>
      <c r="M198" s="1272"/>
      <c r="N198" s="1272"/>
      <c r="O198" s="1272"/>
      <c r="P198" s="1272"/>
      <c r="Q198" s="1272"/>
      <c r="R198" s="1272"/>
      <c r="S198" s="1272"/>
      <c r="T198" s="1272"/>
      <c r="U198" s="1272"/>
      <c r="V198" s="1272"/>
      <c r="W198" s="1272"/>
      <c r="X198" s="1272"/>
      <c r="Y198" s="1272"/>
      <c r="Z198" s="1272"/>
      <c r="AA198" s="1272"/>
      <c r="AB198" s="1272"/>
      <c r="AC198" s="1272"/>
      <c r="AD198" s="1272"/>
      <c r="AE198" s="1272"/>
      <c r="AF198" s="1272"/>
      <c r="AG198" s="1272"/>
      <c r="AH198" s="1272"/>
      <c r="AI198" s="1272"/>
      <c r="AJ198" s="1272"/>
      <c r="AK198" s="1272"/>
      <c r="AL198" s="1272"/>
      <c r="AM198" s="1272"/>
      <c r="AN198" s="1272"/>
      <c r="AO198" s="1272"/>
      <c r="AP198" s="1272"/>
      <c r="AQ198" s="1272"/>
      <c r="AR198" s="1272"/>
      <c r="AS198" s="1272"/>
      <c r="AT198" s="1272"/>
      <c r="AU198" s="1272"/>
      <c r="AV198" s="1272"/>
      <c r="AW198" s="1272"/>
    </row>
    <row r="199" spans="1:49" ht="30" customHeight="1" x14ac:dyDescent="0.2">
      <c r="A199" s="793" t="s">
        <v>4712</v>
      </c>
      <c r="B199" s="793"/>
      <c r="C199" s="793"/>
      <c r="D199" s="793"/>
      <c r="E199" s="793"/>
      <c r="F199" s="793"/>
      <c r="G199" s="793"/>
      <c r="H199" s="793"/>
      <c r="I199" s="793"/>
      <c r="J199" s="793"/>
      <c r="K199" s="793"/>
      <c r="L199" s="793"/>
      <c r="M199" s="793"/>
      <c r="N199" s="793"/>
      <c r="O199" s="793"/>
      <c r="P199" s="793"/>
      <c r="Q199" s="793"/>
      <c r="R199" s="793"/>
      <c r="S199" s="793"/>
      <c r="T199" s="793"/>
      <c r="U199" s="793"/>
      <c r="V199" s="793"/>
      <c r="W199" s="793"/>
      <c r="X199" s="793"/>
      <c r="Y199" s="793"/>
      <c r="Z199" s="793"/>
      <c r="AA199" s="793"/>
      <c r="AB199" s="793"/>
      <c r="AC199" s="793"/>
      <c r="AD199" s="793"/>
      <c r="AE199" s="793"/>
      <c r="AF199" s="793"/>
      <c r="AG199" s="793"/>
      <c r="AH199" s="793"/>
      <c r="AI199" s="793"/>
      <c r="AJ199" s="793"/>
      <c r="AK199" s="793"/>
      <c r="AL199" s="793"/>
      <c r="AM199" s="793"/>
      <c r="AN199" s="793"/>
      <c r="AO199" s="793"/>
      <c r="AP199" s="793"/>
      <c r="AQ199" s="793"/>
      <c r="AR199" s="793"/>
      <c r="AS199" s="793"/>
      <c r="AT199" s="793"/>
      <c r="AU199" s="793"/>
      <c r="AV199" s="793"/>
      <c r="AW199" s="793"/>
    </row>
    <row r="200" spans="1:49" s="1398" customFormat="1" ht="27" customHeight="1" x14ac:dyDescent="0.15">
      <c r="A200" s="838" t="s">
        <v>4713</v>
      </c>
      <c r="B200" s="1396" t="s">
        <v>4714</v>
      </c>
      <c r="C200" s="1397"/>
      <c r="D200" s="1397"/>
      <c r="E200" s="1397"/>
      <c r="F200" s="1397"/>
      <c r="G200" s="1397"/>
      <c r="H200" s="1397"/>
      <c r="I200" s="1397"/>
      <c r="J200" s="1397"/>
      <c r="K200" s="1397"/>
      <c r="L200" s="1397"/>
      <c r="M200" s="1397"/>
      <c r="N200" s="1397"/>
      <c r="O200" s="1397"/>
      <c r="P200" s="1397"/>
      <c r="Q200" s="1397"/>
      <c r="R200" s="1397"/>
      <c r="S200" s="1397"/>
      <c r="T200" s="1397"/>
      <c r="U200" s="1397"/>
      <c r="V200" s="1397"/>
      <c r="W200" s="1397"/>
      <c r="X200" s="1397"/>
      <c r="Y200" s="1397"/>
      <c r="Z200" s="1365" t="s">
        <v>4715</v>
      </c>
      <c r="AA200" s="1365"/>
      <c r="AB200" s="1365" t="s">
        <v>1730</v>
      </c>
      <c r="AC200" s="1365"/>
      <c r="AD200" s="1365" t="s">
        <v>1386</v>
      </c>
      <c r="AE200" s="1365"/>
      <c r="AF200" s="1365" t="s">
        <v>4716</v>
      </c>
      <c r="AG200" s="1365"/>
      <c r="AH200" s="1365" t="s">
        <v>4717</v>
      </c>
      <c r="AI200" s="1365"/>
      <c r="AJ200" s="1365" t="s">
        <v>4718</v>
      </c>
      <c r="AK200" s="1365"/>
      <c r="AL200" s="1365" t="s">
        <v>4719</v>
      </c>
      <c r="AM200" s="1365"/>
      <c r="AN200" s="1365" t="s">
        <v>4775</v>
      </c>
      <c r="AO200" s="1365"/>
      <c r="AP200" s="1365" t="s">
        <v>4721</v>
      </c>
      <c r="AQ200" s="1365"/>
      <c r="AR200" s="1365" t="s">
        <v>2004</v>
      </c>
      <c r="AS200" s="1365"/>
      <c r="AT200" s="1365" t="s">
        <v>2763</v>
      </c>
      <c r="AU200" s="1365"/>
      <c r="AV200" s="1365" t="s">
        <v>4722</v>
      </c>
      <c r="AW200" s="1365"/>
    </row>
    <row r="201" spans="1:49" ht="32.5" customHeight="1" x14ac:dyDescent="0.2">
      <c r="A201" s="838"/>
      <c r="B201" s="1293" t="s">
        <v>4723</v>
      </c>
      <c r="C201" s="1365"/>
      <c r="D201" s="1365" t="s">
        <v>4724</v>
      </c>
      <c r="E201" s="1365"/>
      <c r="F201" s="1365" t="s">
        <v>4725</v>
      </c>
      <c r="G201" s="1365"/>
      <c r="H201" s="1365" t="s">
        <v>4726</v>
      </c>
      <c r="I201" s="1365"/>
      <c r="J201" s="1365" t="s">
        <v>4727</v>
      </c>
      <c r="K201" s="1365"/>
      <c r="L201" s="1365" t="s">
        <v>4728</v>
      </c>
      <c r="M201" s="1365"/>
      <c r="N201" s="1365" t="s">
        <v>4729</v>
      </c>
      <c r="O201" s="1365"/>
      <c r="P201" s="1293" t="s">
        <v>4776</v>
      </c>
      <c r="Q201" s="1365"/>
      <c r="R201" s="1365" t="s">
        <v>4732</v>
      </c>
      <c r="S201" s="1365"/>
      <c r="T201" s="1399"/>
      <c r="U201" s="1399"/>
      <c r="V201" s="1365" t="s">
        <v>4731</v>
      </c>
      <c r="W201" s="1365"/>
      <c r="X201" s="1365" t="s">
        <v>1170</v>
      </c>
      <c r="Y201" s="1365"/>
      <c r="Z201" s="1365"/>
      <c r="AA201" s="1365"/>
      <c r="AB201" s="1365"/>
      <c r="AC201" s="1365"/>
      <c r="AD201" s="1365"/>
      <c r="AE201" s="1365"/>
      <c r="AF201" s="1365"/>
      <c r="AG201" s="1365"/>
      <c r="AH201" s="1365"/>
      <c r="AI201" s="1365"/>
      <c r="AJ201" s="1365"/>
      <c r="AK201" s="1365"/>
      <c r="AL201" s="1365"/>
      <c r="AM201" s="1365"/>
      <c r="AN201" s="1365"/>
      <c r="AO201" s="1365"/>
      <c r="AP201" s="1365"/>
      <c r="AQ201" s="1365"/>
      <c r="AR201" s="1365"/>
      <c r="AS201" s="1365"/>
      <c r="AT201" s="1365"/>
      <c r="AU201" s="1365"/>
      <c r="AV201" s="1365"/>
      <c r="AW201" s="1365"/>
    </row>
    <row r="202" spans="1:49" x14ac:dyDescent="0.2">
      <c r="A202" s="533" t="s">
        <v>4777</v>
      </c>
      <c r="B202" s="145">
        <v>122</v>
      </c>
      <c r="C202" s="145">
        <v>95</v>
      </c>
      <c r="D202" s="349">
        <v>52868</v>
      </c>
      <c r="E202" s="717">
        <v>90</v>
      </c>
      <c r="F202" s="145">
        <v>67919</v>
      </c>
      <c r="G202" s="145">
        <v>95</v>
      </c>
      <c r="H202" s="349">
        <v>170065</v>
      </c>
      <c r="I202" s="717">
        <v>35</v>
      </c>
      <c r="J202" s="145">
        <v>395259</v>
      </c>
      <c r="K202" s="145">
        <v>65</v>
      </c>
      <c r="L202" s="349"/>
      <c r="M202" s="717"/>
      <c r="N202" s="131">
        <v>39779</v>
      </c>
      <c r="O202" s="307"/>
      <c r="P202" s="350"/>
      <c r="Q202" s="717"/>
      <c r="R202" s="145">
        <v>7614</v>
      </c>
      <c r="S202" s="717">
        <v>35</v>
      </c>
      <c r="T202" s="349"/>
      <c r="U202" s="717"/>
      <c r="V202" s="145">
        <v>141611</v>
      </c>
      <c r="W202" s="145">
        <v>40</v>
      </c>
      <c r="X202" s="349">
        <v>875241</v>
      </c>
      <c r="Y202" s="717">
        <v>55</v>
      </c>
      <c r="Z202" s="145">
        <v>1023</v>
      </c>
      <c r="AA202" s="145"/>
      <c r="AB202" s="349">
        <v>894</v>
      </c>
      <c r="AC202" s="717">
        <v>40</v>
      </c>
      <c r="AD202" s="145"/>
      <c r="AE202" s="145"/>
      <c r="AF202" s="349"/>
      <c r="AG202" s="717"/>
      <c r="AH202" s="145">
        <v>508</v>
      </c>
      <c r="AI202" s="145">
        <v>80</v>
      </c>
      <c r="AJ202" s="349"/>
      <c r="AK202" s="717"/>
      <c r="AL202" s="145">
        <v>499</v>
      </c>
      <c r="AM202" s="145">
        <v>15</v>
      </c>
      <c r="AN202" s="349"/>
      <c r="AO202" s="717"/>
      <c r="AP202" s="145">
        <v>2253</v>
      </c>
      <c r="AQ202" s="145">
        <v>15</v>
      </c>
      <c r="AR202" s="349"/>
      <c r="AS202" s="717"/>
      <c r="AT202" s="145"/>
      <c r="AU202" s="145"/>
      <c r="AV202" s="349">
        <v>880420</v>
      </c>
      <c r="AW202" s="717">
        <v>5</v>
      </c>
    </row>
    <row r="203" spans="1:49" x14ac:dyDescent="0.2">
      <c r="A203" s="533" t="s">
        <v>1517</v>
      </c>
      <c r="B203" s="145">
        <v>502</v>
      </c>
      <c r="C203" s="145">
        <v>85</v>
      </c>
      <c r="D203" s="131">
        <v>16310</v>
      </c>
      <c r="E203" s="307">
        <v>75</v>
      </c>
      <c r="F203" s="145">
        <v>35124</v>
      </c>
      <c r="G203" s="145">
        <v>25</v>
      </c>
      <c r="H203" s="131">
        <v>45717</v>
      </c>
      <c r="I203" s="307">
        <v>35</v>
      </c>
      <c r="J203" s="145">
        <v>65424</v>
      </c>
      <c r="K203" s="145">
        <v>35</v>
      </c>
      <c r="L203" s="131"/>
      <c r="M203" s="307"/>
      <c r="N203" s="131">
        <v>6272</v>
      </c>
      <c r="O203" s="307">
        <v>70</v>
      </c>
      <c r="P203" s="145">
        <v>477</v>
      </c>
      <c r="Q203" s="307">
        <v>40</v>
      </c>
      <c r="R203" s="145"/>
      <c r="S203" s="307"/>
      <c r="T203" s="131"/>
      <c r="U203" s="307"/>
      <c r="V203" s="145"/>
      <c r="W203" s="145"/>
      <c r="X203" s="131">
        <v>169829</v>
      </c>
      <c r="Y203" s="307">
        <v>65</v>
      </c>
      <c r="Z203" s="145">
        <v>837</v>
      </c>
      <c r="AA203" s="145">
        <v>40</v>
      </c>
      <c r="AB203" s="131">
        <v>366</v>
      </c>
      <c r="AC203" s="307">
        <v>50</v>
      </c>
      <c r="AD203" s="145"/>
      <c r="AE203" s="145"/>
      <c r="AF203" s="131">
        <v>5</v>
      </c>
      <c r="AG203" s="307"/>
      <c r="AH203" s="145"/>
      <c r="AI203" s="145"/>
      <c r="AJ203" s="131">
        <v>630</v>
      </c>
      <c r="AK203" s="307">
        <v>50</v>
      </c>
      <c r="AL203" s="145">
        <v>1430</v>
      </c>
      <c r="AM203" s="145">
        <v>85</v>
      </c>
      <c r="AN203" s="131"/>
      <c r="AO203" s="307"/>
      <c r="AP203" s="145"/>
      <c r="AQ203" s="145"/>
      <c r="AR203" s="131">
        <v>6908</v>
      </c>
      <c r="AS203" s="307">
        <v>45</v>
      </c>
      <c r="AT203" s="145">
        <v>312</v>
      </c>
      <c r="AU203" s="145">
        <v>40</v>
      </c>
      <c r="AV203" s="131">
        <v>180320</v>
      </c>
      <c r="AW203" s="307">
        <v>75</v>
      </c>
    </row>
    <row r="204" spans="1:49" x14ac:dyDescent="0.2">
      <c r="A204" s="533" t="s">
        <v>4033</v>
      </c>
      <c r="B204" s="145"/>
      <c r="C204" s="145"/>
      <c r="D204" s="131">
        <v>109036</v>
      </c>
      <c r="E204" s="307">
        <v>60</v>
      </c>
      <c r="F204" s="145">
        <v>85624</v>
      </c>
      <c r="G204" s="145">
        <v>20</v>
      </c>
      <c r="H204" s="131">
        <v>64599</v>
      </c>
      <c r="I204" s="307">
        <v>60</v>
      </c>
      <c r="J204" s="145">
        <v>102987</v>
      </c>
      <c r="K204" s="145">
        <v>75</v>
      </c>
      <c r="L204" s="131">
        <v>1</v>
      </c>
      <c r="M204" s="307">
        <v>30</v>
      </c>
      <c r="N204" s="131">
        <v>14752</v>
      </c>
      <c r="O204" s="307">
        <v>50</v>
      </c>
      <c r="P204" s="145">
        <v>33386</v>
      </c>
      <c r="Q204" s="307">
        <v>25</v>
      </c>
      <c r="R204" s="145"/>
      <c r="S204" s="307"/>
      <c r="T204" s="131"/>
      <c r="U204" s="307"/>
      <c r="V204" s="145"/>
      <c r="W204" s="145"/>
      <c r="X204" s="131">
        <v>408226</v>
      </c>
      <c r="Y204" s="307">
        <v>25</v>
      </c>
      <c r="Z204" s="145">
        <v>654</v>
      </c>
      <c r="AA204" s="145">
        <v>60</v>
      </c>
      <c r="AB204" s="131">
        <v>935</v>
      </c>
      <c r="AC204" s="307">
        <v>80</v>
      </c>
      <c r="AD204" s="145"/>
      <c r="AE204" s="145"/>
      <c r="AF204" s="131">
        <v>50</v>
      </c>
      <c r="AG204" s="307"/>
      <c r="AH204" s="145">
        <v>120</v>
      </c>
      <c r="AI204" s="145">
        <v>30</v>
      </c>
      <c r="AJ204" s="131"/>
      <c r="AK204" s="307"/>
      <c r="AL204" s="145"/>
      <c r="AM204" s="145"/>
      <c r="AN204" s="131"/>
      <c r="AO204" s="307"/>
      <c r="AP204" s="145"/>
      <c r="AQ204" s="145"/>
      <c r="AR204" s="131">
        <v>1723</v>
      </c>
      <c r="AS204" s="307">
        <v>30</v>
      </c>
      <c r="AT204" s="145">
        <v>21</v>
      </c>
      <c r="AU204" s="145">
        <v>65</v>
      </c>
      <c r="AV204" s="131">
        <v>411731</v>
      </c>
      <c r="AW204" s="307">
        <v>90</v>
      </c>
    </row>
    <row r="205" spans="1:49" x14ac:dyDescent="0.2">
      <c r="A205" s="533" t="s">
        <v>1519</v>
      </c>
      <c r="B205" s="145">
        <v>321</v>
      </c>
      <c r="C205" s="145">
        <v>30</v>
      </c>
      <c r="D205" s="131">
        <v>16738</v>
      </c>
      <c r="E205" s="307">
        <v>35</v>
      </c>
      <c r="F205" s="145">
        <v>23071</v>
      </c>
      <c r="G205" s="145">
        <v>55</v>
      </c>
      <c r="H205" s="131">
        <v>31507</v>
      </c>
      <c r="I205" s="307">
        <v>35</v>
      </c>
      <c r="J205" s="145">
        <v>77474</v>
      </c>
      <c r="K205" s="145">
        <v>65</v>
      </c>
      <c r="L205" s="131">
        <v>17002</v>
      </c>
      <c r="M205" s="307">
        <v>70</v>
      </c>
      <c r="N205" s="131">
        <v>6187</v>
      </c>
      <c r="O205" s="307">
        <v>55</v>
      </c>
      <c r="P205" s="145"/>
      <c r="Q205" s="307"/>
      <c r="R205" s="145">
        <v>84</v>
      </c>
      <c r="S205" s="307">
        <v>40</v>
      </c>
      <c r="T205" s="131"/>
      <c r="U205" s="307"/>
      <c r="V205" s="145"/>
      <c r="W205" s="145"/>
      <c r="X205" s="131">
        <v>172387</v>
      </c>
      <c r="Y205" s="307">
        <v>85</v>
      </c>
      <c r="Z205" s="145"/>
      <c r="AA205" s="145"/>
      <c r="AB205" s="131"/>
      <c r="AC205" s="307"/>
      <c r="AD205" s="145">
        <v>218</v>
      </c>
      <c r="AE205" s="145"/>
      <c r="AF205" s="131"/>
      <c r="AG205" s="307"/>
      <c r="AH205" s="145"/>
      <c r="AI205" s="145"/>
      <c r="AJ205" s="131"/>
      <c r="AK205" s="307"/>
      <c r="AL205" s="145"/>
      <c r="AM205" s="145"/>
      <c r="AN205" s="131"/>
      <c r="AO205" s="307"/>
      <c r="AP205" s="145"/>
      <c r="AQ205" s="145"/>
      <c r="AR205" s="131">
        <v>37</v>
      </c>
      <c r="AS205" s="307">
        <v>50</v>
      </c>
      <c r="AT205" s="145"/>
      <c r="AU205" s="145"/>
      <c r="AV205" s="131">
        <v>172643</v>
      </c>
      <c r="AW205" s="307">
        <v>35</v>
      </c>
    </row>
    <row r="206" spans="1:49" x14ac:dyDescent="0.2">
      <c r="A206" s="533" t="s">
        <v>4553</v>
      </c>
      <c r="B206" s="145">
        <v>1</v>
      </c>
      <c r="C206" s="145"/>
      <c r="D206" s="131">
        <v>594</v>
      </c>
      <c r="E206" s="307">
        <v>60</v>
      </c>
      <c r="F206" s="145">
        <v>831</v>
      </c>
      <c r="G206" s="145">
        <v>65</v>
      </c>
      <c r="H206" s="131">
        <v>5768</v>
      </c>
      <c r="I206" s="307">
        <v>20</v>
      </c>
      <c r="J206" s="145">
        <v>3410</v>
      </c>
      <c r="K206" s="145">
        <v>10</v>
      </c>
      <c r="L206" s="131">
        <v>31</v>
      </c>
      <c r="M206" s="307">
        <v>55</v>
      </c>
      <c r="N206" s="131">
        <v>27</v>
      </c>
      <c r="O206" s="307"/>
      <c r="P206" s="145">
        <v>286</v>
      </c>
      <c r="Q206" s="307"/>
      <c r="R206" s="145"/>
      <c r="S206" s="307"/>
      <c r="T206" s="131"/>
      <c r="U206" s="307"/>
      <c r="V206" s="145"/>
      <c r="W206" s="145"/>
      <c r="X206" s="131">
        <v>10950</v>
      </c>
      <c r="Y206" s="307">
        <v>10</v>
      </c>
      <c r="Z206" s="145"/>
      <c r="AA206" s="145"/>
      <c r="AB206" s="131"/>
      <c r="AC206" s="307"/>
      <c r="AD206" s="145"/>
      <c r="AE206" s="145"/>
      <c r="AF206" s="131"/>
      <c r="AG206" s="307"/>
      <c r="AH206" s="145"/>
      <c r="AI206" s="145"/>
      <c r="AJ206" s="131"/>
      <c r="AK206" s="307"/>
      <c r="AL206" s="145"/>
      <c r="AM206" s="145"/>
      <c r="AN206" s="131"/>
      <c r="AO206" s="307"/>
      <c r="AP206" s="145"/>
      <c r="AQ206" s="145"/>
      <c r="AR206" s="131">
        <v>63</v>
      </c>
      <c r="AS206" s="307">
        <v>15</v>
      </c>
      <c r="AT206" s="145"/>
      <c r="AU206" s="145"/>
      <c r="AV206" s="131">
        <v>11013</v>
      </c>
      <c r="AW206" s="307">
        <v>25</v>
      </c>
    </row>
    <row r="207" spans="1:49" x14ac:dyDescent="0.2">
      <c r="A207" s="533" t="s">
        <v>1526</v>
      </c>
      <c r="B207" s="145"/>
      <c r="C207" s="145"/>
      <c r="D207" s="131">
        <v>7665</v>
      </c>
      <c r="E207" s="307">
        <v>20</v>
      </c>
      <c r="F207" s="145">
        <v>7653</v>
      </c>
      <c r="G207" s="145">
        <v>60</v>
      </c>
      <c r="H207" s="131">
        <v>24102</v>
      </c>
      <c r="I207" s="307">
        <v>80</v>
      </c>
      <c r="J207" s="145">
        <v>19622</v>
      </c>
      <c r="K207" s="145">
        <v>60</v>
      </c>
      <c r="L207" s="131"/>
      <c r="M207" s="307"/>
      <c r="N207" s="131"/>
      <c r="O207" s="307"/>
      <c r="P207" s="145"/>
      <c r="Q207" s="307"/>
      <c r="R207" s="145"/>
      <c r="S207" s="307"/>
      <c r="T207" s="131"/>
      <c r="U207" s="307"/>
      <c r="V207" s="145"/>
      <c r="W207" s="145"/>
      <c r="X207" s="131">
        <v>58778</v>
      </c>
      <c r="Y207" s="307">
        <v>95</v>
      </c>
      <c r="Z207" s="145">
        <v>329</v>
      </c>
      <c r="AA207" s="145">
        <v>35</v>
      </c>
      <c r="AB207" s="131">
        <v>803</v>
      </c>
      <c r="AC207" s="307">
        <v>55</v>
      </c>
      <c r="AD207" s="145"/>
      <c r="AE207" s="145"/>
      <c r="AF207" s="131">
        <v>113</v>
      </c>
      <c r="AG207" s="307">
        <v>50</v>
      </c>
      <c r="AH207" s="145"/>
      <c r="AI207" s="145"/>
      <c r="AJ207" s="131"/>
      <c r="AK207" s="307"/>
      <c r="AL207" s="145">
        <v>148</v>
      </c>
      <c r="AM207" s="145">
        <v>10</v>
      </c>
      <c r="AN207" s="131"/>
      <c r="AO207" s="307"/>
      <c r="AP207" s="145"/>
      <c r="AQ207" s="145"/>
      <c r="AR207" s="131">
        <v>12</v>
      </c>
      <c r="AS207" s="307"/>
      <c r="AT207" s="145"/>
      <c r="AU207" s="145"/>
      <c r="AV207" s="131">
        <v>60185</v>
      </c>
      <c r="AW207" s="307">
        <v>45</v>
      </c>
    </row>
    <row r="208" spans="1:49" x14ac:dyDescent="0.2">
      <c r="A208" s="533" t="s">
        <v>1373</v>
      </c>
      <c r="B208" s="145"/>
      <c r="C208" s="145"/>
      <c r="D208" s="131">
        <v>8948</v>
      </c>
      <c r="E208" s="307">
        <v>80</v>
      </c>
      <c r="F208" s="145">
        <v>5313</v>
      </c>
      <c r="G208" s="145">
        <v>65</v>
      </c>
      <c r="H208" s="131">
        <v>3484</v>
      </c>
      <c r="I208" s="307">
        <v>80</v>
      </c>
      <c r="J208" s="145">
        <v>5172</v>
      </c>
      <c r="K208" s="145">
        <v>60</v>
      </c>
      <c r="L208" s="131"/>
      <c r="M208" s="307"/>
      <c r="N208" s="131">
        <v>408</v>
      </c>
      <c r="O208" s="307">
        <v>35</v>
      </c>
      <c r="P208" s="145"/>
      <c r="Q208" s="307"/>
      <c r="R208" s="145"/>
      <c r="S208" s="307"/>
      <c r="T208" s="131"/>
      <c r="U208" s="307"/>
      <c r="V208" s="145"/>
      <c r="W208" s="145"/>
      <c r="X208" s="131">
        <v>23325</v>
      </c>
      <c r="Y208" s="307">
        <v>20</v>
      </c>
      <c r="Z208" s="145">
        <v>446</v>
      </c>
      <c r="AA208" s="145">
        <v>20</v>
      </c>
      <c r="AB208" s="131"/>
      <c r="AC208" s="307"/>
      <c r="AD208" s="145"/>
      <c r="AE208" s="145"/>
      <c r="AF208" s="131">
        <v>44</v>
      </c>
      <c r="AG208" s="307"/>
      <c r="AH208" s="145"/>
      <c r="AI208" s="145"/>
      <c r="AJ208" s="131"/>
      <c r="AK208" s="307"/>
      <c r="AL208" s="145"/>
      <c r="AM208" s="145"/>
      <c r="AN208" s="131"/>
      <c r="AO208" s="307"/>
      <c r="AP208" s="145"/>
      <c r="AQ208" s="145"/>
      <c r="AR208" s="131">
        <v>114</v>
      </c>
      <c r="AS208" s="307">
        <v>10</v>
      </c>
      <c r="AT208" s="145">
        <v>3739</v>
      </c>
      <c r="AU208" s="145">
        <v>50</v>
      </c>
      <c r="AV208" s="131">
        <v>27669</v>
      </c>
      <c r="AW208" s="307"/>
    </row>
    <row r="209" spans="1:49" x14ac:dyDescent="0.2">
      <c r="A209" s="535" t="s">
        <v>1527</v>
      </c>
      <c r="B209" s="309">
        <v>206</v>
      </c>
      <c r="C209" s="309">
        <v>60</v>
      </c>
      <c r="D209" s="230">
        <v>13968</v>
      </c>
      <c r="E209" s="364">
        <v>15</v>
      </c>
      <c r="F209" s="309">
        <v>5127</v>
      </c>
      <c r="G209" s="309">
        <v>85</v>
      </c>
      <c r="H209" s="230">
        <v>4855</v>
      </c>
      <c r="I209" s="364">
        <v>80</v>
      </c>
      <c r="J209" s="309">
        <v>11380</v>
      </c>
      <c r="K209" s="309">
        <v>55</v>
      </c>
      <c r="L209" s="230"/>
      <c r="M209" s="364"/>
      <c r="N209" s="230">
        <v>1672</v>
      </c>
      <c r="O209" s="364">
        <v>35</v>
      </c>
      <c r="P209" s="309"/>
      <c r="Q209" s="364"/>
      <c r="R209" s="309"/>
      <c r="S209" s="364"/>
      <c r="T209" s="230"/>
      <c r="U209" s="364"/>
      <c r="V209" s="309"/>
      <c r="W209" s="309"/>
      <c r="X209" s="230">
        <v>36523</v>
      </c>
      <c r="Y209" s="364">
        <v>15</v>
      </c>
      <c r="Z209" s="309">
        <v>1171</v>
      </c>
      <c r="AA209" s="309">
        <v>30</v>
      </c>
      <c r="AB209" s="230">
        <v>40</v>
      </c>
      <c r="AC209" s="364">
        <v>90</v>
      </c>
      <c r="AD209" s="309"/>
      <c r="AE209" s="309"/>
      <c r="AF209" s="230"/>
      <c r="AG209" s="364"/>
      <c r="AH209" s="309"/>
      <c r="AI209" s="309"/>
      <c r="AJ209" s="230">
        <v>246</v>
      </c>
      <c r="AK209" s="364"/>
      <c r="AL209" s="309">
        <v>279</v>
      </c>
      <c r="AM209" s="309">
        <v>25</v>
      </c>
      <c r="AN209" s="230">
        <v>15</v>
      </c>
      <c r="AO209" s="364">
        <v>90</v>
      </c>
      <c r="AP209" s="309"/>
      <c r="AQ209" s="309"/>
      <c r="AR209" s="230">
        <v>35</v>
      </c>
      <c r="AS209" s="364">
        <v>80</v>
      </c>
      <c r="AT209" s="309">
        <v>1</v>
      </c>
      <c r="AU209" s="309">
        <v>50</v>
      </c>
      <c r="AV209" s="230">
        <v>38314</v>
      </c>
      <c r="AW209" s="364">
        <v>10</v>
      </c>
    </row>
    <row r="210" spans="1:49" x14ac:dyDescent="0.2">
      <c r="A210" s="785" t="s">
        <v>4745</v>
      </c>
      <c r="B210" s="309">
        <v>1154</v>
      </c>
      <c r="C210" s="309">
        <v>70</v>
      </c>
      <c r="D210" s="230">
        <v>226131</v>
      </c>
      <c r="E210" s="364">
        <v>35</v>
      </c>
      <c r="F210" s="309">
        <v>230666</v>
      </c>
      <c r="G210" s="309">
        <v>70</v>
      </c>
      <c r="H210" s="230">
        <v>350101</v>
      </c>
      <c r="I210" s="364">
        <v>25</v>
      </c>
      <c r="J210" s="309">
        <v>680735</v>
      </c>
      <c r="K210" s="309">
        <v>25</v>
      </c>
      <c r="L210" s="230">
        <v>17035</v>
      </c>
      <c r="M210" s="364">
        <v>55</v>
      </c>
      <c r="N210" s="230">
        <v>69099</v>
      </c>
      <c r="O210" s="364">
        <v>45</v>
      </c>
      <c r="P210" s="309">
        <v>34149</v>
      </c>
      <c r="Q210" s="309">
        <v>65</v>
      </c>
      <c r="R210" s="309">
        <v>7698</v>
      </c>
      <c r="S210" s="309">
        <v>75</v>
      </c>
      <c r="T210" s="230"/>
      <c r="U210" s="364"/>
      <c r="V210" s="309">
        <v>141611</v>
      </c>
      <c r="W210" s="309">
        <v>40</v>
      </c>
      <c r="X210" s="230">
        <v>1755262</v>
      </c>
      <c r="Y210" s="364">
        <v>70</v>
      </c>
      <c r="Z210" s="309">
        <v>4461</v>
      </c>
      <c r="AA210" s="309">
        <v>85</v>
      </c>
      <c r="AB210" s="230">
        <v>3041</v>
      </c>
      <c r="AC210" s="364">
        <v>15</v>
      </c>
      <c r="AD210" s="309">
        <v>218</v>
      </c>
      <c r="AE210" s="309"/>
      <c r="AF210" s="230">
        <v>212</v>
      </c>
      <c r="AG210" s="364"/>
      <c r="AH210" s="309">
        <v>629</v>
      </c>
      <c r="AI210" s="309">
        <v>10</v>
      </c>
      <c r="AJ210" s="230">
        <v>876</v>
      </c>
      <c r="AK210" s="364">
        <v>80</v>
      </c>
      <c r="AL210" s="309">
        <v>2357</v>
      </c>
      <c r="AM210" s="309">
        <v>35</v>
      </c>
      <c r="AN210" s="230">
        <v>15</v>
      </c>
      <c r="AO210" s="364">
        <v>90</v>
      </c>
      <c r="AP210" s="309">
        <v>2253</v>
      </c>
      <c r="AQ210" s="309">
        <v>15</v>
      </c>
      <c r="AR210" s="230">
        <v>8894</v>
      </c>
      <c r="AS210" s="364">
        <v>30</v>
      </c>
      <c r="AT210" s="309">
        <v>4075</v>
      </c>
      <c r="AU210" s="309">
        <v>5</v>
      </c>
      <c r="AV210" s="230">
        <v>1782297</v>
      </c>
      <c r="AW210" s="364">
        <v>85</v>
      </c>
    </row>
    <row r="211" spans="1:49" x14ac:dyDescent="0.2">
      <c r="B211" s="393">
        <f>+SUM(B202:B209)</f>
        <v>1152</v>
      </c>
      <c r="C211" s="393">
        <f t="shared" ref="C211:AW211" si="8">+SUM(C202:C209)</f>
        <v>270</v>
      </c>
      <c r="D211" s="393">
        <f t="shared" si="8"/>
        <v>226127</v>
      </c>
      <c r="E211" s="393">
        <f t="shared" si="8"/>
        <v>435</v>
      </c>
      <c r="F211" s="393">
        <f t="shared" si="8"/>
        <v>230662</v>
      </c>
      <c r="G211" s="393">
        <f t="shared" si="8"/>
        <v>470</v>
      </c>
      <c r="H211" s="393">
        <f t="shared" si="8"/>
        <v>350097</v>
      </c>
      <c r="I211" s="393">
        <f t="shared" si="8"/>
        <v>425</v>
      </c>
      <c r="J211" s="1137">
        <f t="shared" si="8"/>
        <v>680728</v>
      </c>
      <c r="K211" s="393">
        <f t="shared" si="8"/>
        <v>425</v>
      </c>
      <c r="L211" s="393">
        <f t="shared" si="8"/>
        <v>17034</v>
      </c>
      <c r="M211" s="393">
        <f t="shared" si="8"/>
        <v>155</v>
      </c>
      <c r="N211" s="393">
        <f t="shared" si="8"/>
        <v>69097</v>
      </c>
      <c r="O211" s="393">
        <f t="shared" si="8"/>
        <v>245</v>
      </c>
      <c r="P211" s="393">
        <f t="shared" si="8"/>
        <v>34149</v>
      </c>
      <c r="Q211" s="393">
        <f t="shared" si="8"/>
        <v>65</v>
      </c>
      <c r="R211" s="393">
        <f t="shared" si="8"/>
        <v>7698</v>
      </c>
      <c r="S211" s="393">
        <f t="shared" si="8"/>
        <v>75</v>
      </c>
      <c r="T211" s="393">
        <f t="shared" si="8"/>
        <v>0</v>
      </c>
      <c r="U211" s="393">
        <f t="shared" si="8"/>
        <v>0</v>
      </c>
      <c r="V211" s="393">
        <f t="shared" si="8"/>
        <v>141611</v>
      </c>
      <c r="W211" s="393">
        <f t="shared" si="8"/>
        <v>40</v>
      </c>
      <c r="X211" s="393">
        <f t="shared" si="8"/>
        <v>1755259</v>
      </c>
      <c r="Y211" s="393">
        <f t="shared" si="8"/>
        <v>370</v>
      </c>
      <c r="Z211" s="393">
        <f t="shared" si="8"/>
        <v>4460</v>
      </c>
      <c r="AA211" s="393">
        <f t="shared" si="8"/>
        <v>185</v>
      </c>
      <c r="AB211" s="393">
        <f t="shared" si="8"/>
        <v>3038</v>
      </c>
      <c r="AC211" s="393">
        <f t="shared" si="8"/>
        <v>315</v>
      </c>
      <c r="AD211" s="393">
        <f t="shared" si="8"/>
        <v>218</v>
      </c>
      <c r="AE211" s="393">
        <f t="shared" si="8"/>
        <v>0</v>
      </c>
      <c r="AF211" s="393">
        <f t="shared" si="8"/>
        <v>212</v>
      </c>
      <c r="AG211" s="1137">
        <f t="shared" si="8"/>
        <v>50</v>
      </c>
      <c r="AH211" s="393">
        <f t="shared" si="8"/>
        <v>628</v>
      </c>
      <c r="AI211" s="393">
        <f t="shared" si="8"/>
        <v>110</v>
      </c>
      <c r="AJ211" s="393">
        <f t="shared" si="8"/>
        <v>876</v>
      </c>
      <c r="AK211" s="1137">
        <f t="shared" si="8"/>
        <v>50</v>
      </c>
      <c r="AL211" s="393">
        <f t="shared" si="8"/>
        <v>2356</v>
      </c>
      <c r="AM211" s="393">
        <f t="shared" si="8"/>
        <v>135</v>
      </c>
      <c r="AN211" s="393">
        <f t="shared" si="8"/>
        <v>15</v>
      </c>
      <c r="AO211" s="393">
        <f t="shared" si="8"/>
        <v>90</v>
      </c>
      <c r="AP211" s="393">
        <f t="shared" si="8"/>
        <v>2253</v>
      </c>
      <c r="AQ211" s="393">
        <f t="shared" si="8"/>
        <v>15</v>
      </c>
      <c r="AR211" s="393">
        <f t="shared" si="8"/>
        <v>8892</v>
      </c>
      <c r="AS211" s="393">
        <f t="shared" si="8"/>
        <v>230</v>
      </c>
      <c r="AT211" s="393">
        <f t="shared" si="8"/>
        <v>4073</v>
      </c>
      <c r="AU211" s="393">
        <f t="shared" si="8"/>
        <v>205</v>
      </c>
      <c r="AV211" s="393">
        <f t="shared" si="8"/>
        <v>1782295</v>
      </c>
      <c r="AW211" s="393">
        <f t="shared" si="8"/>
        <v>285</v>
      </c>
    </row>
    <row r="214" spans="1:49" x14ac:dyDescent="0.2">
      <c r="A214" s="526" t="s">
        <v>1934</v>
      </c>
    </row>
    <row r="215" spans="1:49" ht="34.25" customHeight="1" x14ac:dyDescent="0.2">
      <c r="A215" s="1319" t="s">
        <v>4748</v>
      </c>
      <c r="B215" s="1320"/>
      <c r="C215" s="1320"/>
      <c r="D215" s="1320"/>
      <c r="E215" s="1320"/>
      <c r="F215" s="1320"/>
      <c r="G215" s="1320"/>
      <c r="H215" s="1320"/>
      <c r="I215" s="1320"/>
      <c r="J215" s="1320"/>
      <c r="K215" s="1320"/>
      <c r="L215" s="1320"/>
      <c r="M215" s="1320"/>
      <c r="N215" s="1320"/>
      <c r="O215" s="1320"/>
      <c r="P215" s="1320"/>
      <c r="Q215" s="1320"/>
      <c r="R215" s="1320"/>
      <c r="S215" s="1320"/>
      <c r="T215" s="1320"/>
      <c r="U215" s="1320"/>
      <c r="V215" s="1320"/>
      <c r="W215" s="1320"/>
      <c r="X215" s="1320"/>
      <c r="Y215" s="1320"/>
      <c r="Z215" s="1320"/>
      <c r="AA215" s="1320"/>
      <c r="AB215" s="1320"/>
      <c r="AC215" s="1320"/>
      <c r="AD215" s="1320"/>
      <c r="AE215" s="1320"/>
      <c r="AF215" s="1320"/>
      <c r="AG215" s="1320"/>
      <c r="AH215" s="1320"/>
      <c r="AI215" s="1320"/>
      <c r="AJ215" s="1320"/>
      <c r="AK215" s="1320"/>
      <c r="AL215" s="1320"/>
      <c r="AM215" s="1320"/>
      <c r="AN215" s="1320"/>
      <c r="AO215" s="1320"/>
      <c r="AP215" s="1320"/>
      <c r="AQ215" s="1320"/>
      <c r="AR215" s="1320"/>
      <c r="AS215" s="1320"/>
      <c r="AT215" s="1320"/>
      <c r="AU215" s="1321"/>
    </row>
    <row r="216" spans="1:49" s="1398" customFormat="1" ht="30.5" customHeight="1" x14ac:dyDescent="0.15">
      <c r="A216" s="967" t="s">
        <v>4713</v>
      </c>
      <c r="B216" s="838" t="s">
        <v>4749</v>
      </c>
      <c r="C216" s="838"/>
      <c r="D216" s="838"/>
      <c r="E216" s="838"/>
      <c r="F216" s="838"/>
      <c r="G216" s="838"/>
      <c r="H216" s="838"/>
      <c r="I216" s="838"/>
      <c r="J216" s="838"/>
      <c r="K216" s="838"/>
      <c r="L216" s="485" t="s">
        <v>4750</v>
      </c>
      <c r="M216" s="712"/>
      <c r="N216" s="712"/>
      <c r="O216" s="712"/>
      <c r="P216" s="712"/>
      <c r="Q216" s="712"/>
      <c r="R216" s="712"/>
      <c r="S216" s="712"/>
      <c r="T216" s="712"/>
      <c r="U216" s="712"/>
      <c r="V216" s="712"/>
      <c r="W216" s="712"/>
      <c r="X216" s="712"/>
      <c r="Y216" s="712"/>
      <c r="Z216" s="712"/>
      <c r="AA216" s="712"/>
      <c r="AB216" s="712"/>
      <c r="AC216" s="712"/>
      <c r="AD216" s="712"/>
      <c r="AE216" s="712"/>
      <c r="AF216" s="712"/>
      <c r="AG216" s="712"/>
      <c r="AH216" s="712"/>
      <c r="AI216" s="712"/>
      <c r="AJ216" s="712"/>
      <c r="AK216" s="712"/>
      <c r="AL216" s="712"/>
      <c r="AM216" s="486"/>
      <c r="AN216" s="838" t="s">
        <v>4751</v>
      </c>
      <c r="AO216" s="838"/>
      <c r="AP216" s="838"/>
      <c r="AQ216" s="838"/>
      <c r="AR216" s="967" t="s">
        <v>4752</v>
      </c>
      <c r="AS216" s="967"/>
      <c r="AT216" s="967" t="s">
        <v>4753</v>
      </c>
      <c r="AU216" s="967"/>
    </row>
    <row r="217" spans="1:49" ht="27" customHeight="1" x14ac:dyDescent="0.2">
      <c r="A217" s="967"/>
      <c r="B217" s="1344" t="s">
        <v>4754</v>
      </c>
      <c r="C217" s="1344"/>
      <c r="D217" s="1344" t="s">
        <v>4778</v>
      </c>
      <c r="E217" s="1344"/>
      <c r="F217" s="1344" t="s">
        <v>4756</v>
      </c>
      <c r="G217" s="1344"/>
      <c r="H217" s="1344" t="s">
        <v>4559</v>
      </c>
      <c r="I217" s="1344"/>
      <c r="J217" s="1344" t="s">
        <v>1170</v>
      </c>
      <c r="K217" s="1344"/>
      <c r="L217" s="1344" t="s">
        <v>4757</v>
      </c>
      <c r="M217" s="1344"/>
      <c r="N217" s="1344"/>
      <c r="O217" s="1344"/>
      <c r="P217" s="1344" t="s">
        <v>4758</v>
      </c>
      <c r="Q217" s="1344"/>
      <c r="R217" s="1344"/>
      <c r="S217" s="1344"/>
      <c r="T217" s="1344" t="s">
        <v>4759</v>
      </c>
      <c r="U217" s="1344"/>
      <c r="V217" s="1344"/>
      <c r="W217" s="1344"/>
      <c r="X217" s="1344" t="s">
        <v>4760</v>
      </c>
      <c r="Y217" s="1344"/>
      <c r="Z217" s="1344"/>
      <c r="AA217" s="1344"/>
      <c r="AB217" s="1344" t="s">
        <v>4761</v>
      </c>
      <c r="AC217" s="1344"/>
      <c r="AD217" s="1344"/>
      <c r="AE217" s="1344"/>
      <c r="AF217" s="1344" t="s">
        <v>4779</v>
      </c>
      <c r="AG217" s="1344"/>
      <c r="AH217" s="1344" t="s">
        <v>4780</v>
      </c>
      <c r="AI217" s="1344"/>
      <c r="AJ217" s="1350" t="s">
        <v>4763</v>
      </c>
      <c r="AK217" s="1406"/>
      <c r="AL217" s="1406"/>
      <c r="AM217" s="1351"/>
      <c r="AN217" s="1344" t="s">
        <v>4781</v>
      </c>
      <c r="AO217" s="1344"/>
      <c r="AP217" s="1344" t="s">
        <v>4782</v>
      </c>
      <c r="AQ217" s="1344"/>
      <c r="AR217" s="967"/>
      <c r="AS217" s="967"/>
      <c r="AT217" s="967"/>
      <c r="AU217" s="967"/>
    </row>
    <row r="218" spans="1:49" ht="16.75" customHeight="1" x14ac:dyDescent="0.2">
      <c r="A218" s="967"/>
      <c r="B218" s="1344"/>
      <c r="C218" s="1344"/>
      <c r="D218" s="1344"/>
      <c r="E218" s="1344"/>
      <c r="F218" s="1344"/>
      <c r="G218" s="1344"/>
      <c r="H218" s="1344"/>
      <c r="I218" s="1344"/>
      <c r="J218" s="1344"/>
      <c r="K218" s="1344"/>
      <c r="L218" s="1404" t="s">
        <v>4766</v>
      </c>
      <c r="M218" s="1404"/>
      <c r="N218" s="1404" t="s">
        <v>4767</v>
      </c>
      <c r="O218" s="1404"/>
      <c r="P218" s="1404" t="s">
        <v>4766</v>
      </c>
      <c r="Q218" s="1404"/>
      <c r="R218" s="1405" t="s">
        <v>4767</v>
      </c>
      <c r="S218" s="1405"/>
      <c r="T218" s="1404" t="s">
        <v>4766</v>
      </c>
      <c r="U218" s="1404"/>
      <c r="V218" s="1404" t="s">
        <v>4767</v>
      </c>
      <c r="W218" s="1404"/>
      <c r="X218" s="1404" t="s">
        <v>4766</v>
      </c>
      <c r="Y218" s="1404"/>
      <c r="Z218" s="1404" t="s">
        <v>4767</v>
      </c>
      <c r="AA218" s="1404"/>
      <c r="AB218" s="1404" t="s">
        <v>4766</v>
      </c>
      <c r="AC218" s="1404"/>
      <c r="AD218" s="1404" t="s">
        <v>4767</v>
      </c>
      <c r="AE218" s="1404"/>
      <c r="AF218" s="1344"/>
      <c r="AG218" s="1344"/>
      <c r="AH218" s="1344"/>
      <c r="AI218" s="1344"/>
      <c r="AJ218" s="1404" t="s">
        <v>4766</v>
      </c>
      <c r="AK218" s="1404"/>
      <c r="AL218" s="1404" t="s">
        <v>4767</v>
      </c>
      <c r="AM218" s="1404"/>
      <c r="AN218" s="1344"/>
      <c r="AO218" s="1344"/>
      <c r="AP218" s="1344"/>
      <c r="AQ218" s="1344"/>
      <c r="AR218" s="967"/>
      <c r="AS218" s="967"/>
      <c r="AT218" s="967"/>
      <c r="AU218" s="967"/>
    </row>
    <row r="219" spans="1:49" x14ac:dyDescent="0.2">
      <c r="A219" s="533" t="s">
        <v>4777</v>
      </c>
      <c r="B219" s="145">
        <v>300</v>
      </c>
      <c r="C219" s="145"/>
      <c r="D219" s="349"/>
      <c r="E219" s="717"/>
      <c r="F219" s="145"/>
      <c r="G219" s="145"/>
      <c r="H219" s="349">
        <v>40</v>
      </c>
      <c r="I219" s="717"/>
      <c r="J219" s="145">
        <v>340</v>
      </c>
      <c r="K219" s="145"/>
      <c r="L219" s="349">
        <v>10680</v>
      </c>
      <c r="M219" s="717">
        <v>60</v>
      </c>
      <c r="N219" s="131">
        <v>1982</v>
      </c>
      <c r="O219" s="307"/>
      <c r="P219" s="350">
        <v>9077</v>
      </c>
      <c r="Q219" s="717">
        <v>80</v>
      </c>
      <c r="R219" s="145">
        <v>1711</v>
      </c>
      <c r="S219" s="1407"/>
      <c r="T219" s="145"/>
      <c r="U219" s="145"/>
      <c r="V219" s="349"/>
      <c r="W219" s="717"/>
      <c r="X219" s="145"/>
      <c r="Y219" s="145"/>
      <c r="Z219" s="349"/>
      <c r="AA219" s="717"/>
      <c r="AB219" s="145">
        <v>325</v>
      </c>
      <c r="AC219" s="145">
        <v>10</v>
      </c>
      <c r="AD219" s="349">
        <v>61</v>
      </c>
      <c r="AE219" s="717"/>
      <c r="AF219" s="145"/>
      <c r="AG219" s="145"/>
      <c r="AH219" s="349"/>
      <c r="AI219" s="717"/>
      <c r="AJ219" s="145">
        <v>20083</v>
      </c>
      <c r="AK219" s="145">
        <v>50</v>
      </c>
      <c r="AL219" s="349">
        <v>3754</v>
      </c>
      <c r="AM219" s="717">
        <v>95</v>
      </c>
      <c r="AN219" s="145"/>
      <c r="AO219" s="145"/>
      <c r="AP219" s="349"/>
      <c r="AQ219" s="717"/>
      <c r="AR219" s="145"/>
      <c r="AS219" s="145"/>
      <c r="AT219" s="349">
        <v>24178</v>
      </c>
      <c r="AU219" s="717">
        <v>45</v>
      </c>
    </row>
    <row r="220" spans="1:49" x14ac:dyDescent="0.2">
      <c r="A220" s="533" t="s">
        <v>1517</v>
      </c>
      <c r="B220" s="145">
        <v>199</v>
      </c>
      <c r="C220" s="145">
        <v>80</v>
      </c>
      <c r="D220" s="131">
        <v>105</v>
      </c>
      <c r="E220" s="307"/>
      <c r="F220" s="145">
        <v>300</v>
      </c>
      <c r="G220" s="145">
        <v>15</v>
      </c>
      <c r="H220" s="131">
        <v>734</v>
      </c>
      <c r="I220" s="307">
        <v>30</v>
      </c>
      <c r="J220" s="145">
        <v>1339</v>
      </c>
      <c r="K220" s="145">
        <v>25</v>
      </c>
      <c r="L220" s="131">
        <v>6143</v>
      </c>
      <c r="M220" s="307">
        <v>45</v>
      </c>
      <c r="N220" s="131">
        <v>1280</v>
      </c>
      <c r="O220" s="307">
        <v>65</v>
      </c>
      <c r="P220" s="145">
        <v>17670</v>
      </c>
      <c r="Q220" s="307">
        <v>5</v>
      </c>
      <c r="R220" s="145">
        <v>3743</v>
      </c>
      <c r="S220" s="1407"/>
      <c r="T220" s="145"/>
      <c r="U220" s="145"/>
      <c r="V220" s="131"/>
      <c r="W220" s="307"/>
      <c r="X220" s="145"/>
      <c r="Y220" s="145"/>
      <c r="Z220" s="131"/>
      <c r="AA220" s="307"/>
      <c r="AB220" s="145">
        <v>350</v>
      </c>
      <c r="AC220" s="145"/>
      <c r="AD220" s="131">
        <v>75</v>
      </c>
      <c r="AE220" s="307"/>
      <c r="AF220" s="145"/>
      <c r="AG220" s="145"/>
      <c r="AH220" s="131"/>
      <c r="AI220" s="307"/>
      <c r="AJ220" s="145">
        <v>24163</v>
      </c>
      <c r="AK220" s="145">
        <v>50</v>
      </c>
      <c r="AL220" s="131">
        <v>5098</v>
      </c>
      <c r="AM220" s="307">
        <v>90</v>
      </c>
      <c r="AN220" s="145"/>
      <c r="AO220" s="145"/>
      <c r="AP220" s="131">
        <v>660</v>
      </c>
      <c r="AQ220" s="307"/>
      <c r="AR220" s="145"/>
      <c r="AS220" s="145"/>
      <c r="AT220" s="131">
        <v>31262</v>
      </c>
      <c r="AU220" s="307">
        <v>30</v>
      </c>
    </row>
    <row r="221" spans="1:49" x14ac:dyDescent="0.2">
      <c r="A221" s="533" t="s">
        <v>4033</v>
      </c>
      <c r="B221" s="145">
        <v>300</v>
      </c>
      <c r="C221" s="145">
        <v>55</v>
      </c>
      <c r="D221" s="131">
        <v>3290</v>
      </c>
      <c r="E221" s="307"/>
      <c r="F221" s="145">
        <v>1012</v>
      </c>
      <c r="G221" s="145">
        <v>10</v>
      </c>
      <c r="H221" s="131">
        <v>514</v>
      </c>
      <c r="I221" s="307">
        <v>60</v>
      </c>
      <c r="J221" s="145">
        <v>5117</v>
      </c>
      <c r="K221" s="145">
        <v>25</v>
      </c>
      <c r="L221" s="131">
        <v>11730</v>
      </c>
      <c r="M221" s="307">
        <v>70</v>
      </c>
      <c r="N221" s="131">
        <v>2293</v>
      </c>
      <c r="O221" s="307">
        <v>55</v>
      </c>
      <c r="P221" s="145">
        <v>24229</v>
      </c>
      <c r="Q221" s="307">
        <v>50</v>
      </c>
      <c r="R221" s="145">
        <v>4783</v>
      </c>
      <c r="S221" s="1407"/>
      <c r="T221" s="145">
        <v>611</v>
      </c>
      <c r="U221" s="145"/>
      <c r="V221" s="131">
        <v>118</v>
      </c>
      <c r="W221" s="307">
        <v>90</v>
      </c>
      <c r="X221" s="145">
        <v>576</v>
      </c>
      <c r="Y221" s="145"/>
      <c r="Z221" s="131">
        <v>120</v>
      </c>
      <c r="AA221" s="307">
        <v>40</v>
      </c>
      <c r="AB221" s="145">
        <v>300</v>
      </c>
      <c r="AC221" s="145"/>
      <c r="AD221" s="131">
        <v>47</v>
      </c>
      <c r="AE221" s="307">
        <v>50</v>
      </c>
      <c r="AF221" s="145"/>
      <c r="AG221" s="145"/>
      <c r="AH221" s="131">
        <v>1500</v>
      </c>
      <c r="AI221" s="307"/>
      <c r="AJ221" s="145">
        <v>38947</v>
      </c>
      <c r="AK221" s="145">
        <v>20</v>
      </c>
      <c r="AL221" s="131">
        <v>7363</v>
      </c>
      <c r="AM221" s="307">
        <v>45</v>
      </c>
      <c r="AN221" s="145"/>
      <c r="AO221" s="145"/>
      <c r="AP221" s="131"/>
      <c r="AQ221" s="307"/>
      <c r="AR221" s="145"/>
      <c r="AS221" s="145"/>
      <c r="AT221" s="131">
        <v>51427</v>
      </c>
      <c r="AU221" s="307">
        <v>90</v>
      </c>
    </row>
    <row r="222" spans="1:49" x14ac:dyDescent="0.2">
      <c r="A222" s="533" t="s">
        <v>1519</v>
      </c>
      <c r="B222" s="145">
        <v>155</v>
      </c>
      <c r="C222" s="145">
        <v>60</v>
      </c>
      <c r="D222" s="131">
        <v>121</v>
      </c>
      <c r="E222" s="307"/>
      <c r="F222" s="145"/>
      <c r="G222" s="145"/>
      <c r="H222" s="131"/>
      <c r="I222" s="307"/>
      <c r="J222" s="145">
        <v>276</v>
      </c>
      <c r="K222" s="145">
        <v>60</v>
      </c>
      <c r="L222" s="131">
        <v>7407</v>
      </c>
      <c r="M222" s="307">
        <v>75</v>
      </c>
      <c r="N222" s="131">
        <v>1500</v>
      </c>
      <c r="O222" s="307">
        <v>35</v>
      </c>
      <c r="P222" s="145">
        <v>2417</v>
      </c>
      <c r="Q222" s="307">
        <v>15</v>
      </c>
      <c r="R222" s="145">
        <v>525</v>
      </c>
      <c r="S222" s="1407"/>
      <c r="T222" s="145"/>
      <c r="U222" s="145"/>
      <c r="V222" s="131"/>
      <c r="W222" s="307"/>
      <c r="X222" s="145"/>
      <c r="Y222" s="145"/>
      <c r="Z222" s="131"/>
      <c r="AA222" s="307"/>
      <c r="AB222" s="145"/>
      <c r="AC222" s="145"/>
      <c r="AD222" s="131"/>
      <c r="AE222" s="307"/>
      <c r="AF222" s="145"/>
      <c r="AG222" s="145"/>
      <c r="AH222" s="131"/>
      <c r="AI222" s="307"/>
      <c r="AJ222" s="145">
        <v>9824</v>
      </c>
      <c r="AK222" s="145">
        <v>90</v>
      </c>
      <c r="AL222" s="131">
        <v>2025</v>
      </c>
      <c r="AM222" s="307">
        <v>45</v>
      </c>
      <c r="AN222" s="145"/>
      <c r="AO222" s="145"/>
      <c r="AP222" s="131"/>
      <c r="AQ222" s="307"/>
      <c r="AR222" s="145">
        <v>540</v>
      </c>
      <c r="AS222" s="145">
        <v>85</v>
      </c>
      <c r="AT222" s="131">
        <v>12667</v>
      </c>
      <c r="AU222" s="307">
        <v>80</v>
      </c>
    </row>
    <row r="223" spans="1:49" x14ac:dyDescent="0.2">
      <c r="A223" s="533" t="s">
        <v>4553</v>
      </c>
      <c r="B223" s="145">
        <v>84</v>
      </c>
      <c r="C223" s="145">
        <v>80</v>
      </c>
      <c r="D223" s="131">
        <v>293</v>
      </c>
      <c r="E223" s="307"/>
      <c r="F223" s="145"/>
      <c r="G223" s="145"/>
      <c r="H223" s="131"/>
      <c r="I223" s="307"/>
      <c r="J223" s="145">
        <v>377</v>
      </c>
      <c r="K223" s="145">
        <v>80</v>
      </c>
      <c r="L223" s="131">
        <v>2856</v>
      </c>
      <c r="M223" s="307">
        <v>45</v>
      </c>
      <c r="N223" s="131">
        <v>246</v>
      </c>
      <c r="O223" s="307">
        <v>70</v>
      </c>
      <c r="P223" s="145">
        <v>5522</v>
      </c>
      <c r="Q223" s="307">
        <v>35</v>
      </c>
      <c r="R223" s="145">
        <v>454</v>
      </c>
      <c r="S223" s="1407"/>
      <c r="T223" s="145"/>
      <c r="U223" s="145"/>
      <c r="V223" s="131"/>
      <c r="W223" s="307"/>
      <c r="X223" s="145"/>
      <c r="Y223" s="145"/>
      <c r="Z223" s="131"/>
      <c r="AA223" s="307"/>
      <c r="AB223" s="145"/>
      <c r="AC223" s="145"/>
      <c r="AD223" s="131"/>
      <c r="AE223" s="307"/>
      <c r="AF223" s="145"/>
      <c r="AG223" s="145"/>
      <c r="AH223" s="131"/>
      <c r="AI223" s="307"/>
      <c r="AJ223" s="145">
        <v>8378</v>
      </c>
      <c r="AK223" s="145">
        <v>80</v>
      </c>
      <c r="AL223" s="131">
        <v>700</v>
      </c>
      <c r="AM223" s="307">
        <v>70</v>
      </c>
      <c r="AN223" s="145">
        <v>57</v>
      </c>
      <c r="AO223" s="145"/>
      <c r="AP223" s="131"/>
      <c r="AQ223" s="307"/>
      <c r="AR223" s="145"/>
      <c r="AS223" s="145"/>
      <c r="AT223" s="131">
        <v>9514</v>
      </c>
      <c r="AU223" s="307">
        <v>30</v>
      </c>
    </row>
    <row r="224" spans="1:49" x14ac:dyDescent="0.2">
      <c r="A224" s="533" t="s">
        <v>1526</v>
      </c>
      <c r="B224" s="145">
        <v>288</v>
      </c>
      <c r="C224" s="145"/>
      <c r="D224" s="131"/>
      <c r="E224" s="307"/>
      <c r="F224" s="145"/>
      <c r="G224" s="145"/>
      <c r="H224" s="131">
        <v>655</v>
      </c>
      <c r="I224" s="307">
        <v>50</v>
      </c>
      <c r="J224" s="145">
        <v>943</v>
      </c>
      <c r="K224" s="145">
        <v>50</v>
      </c>
      <c r="L224" s="131">
        <v>5656</v>
      </c>
      <c r="M224" s="307">
        <v>10</v>
      </c>
      <c r="N224" s="131">
        <v>2040</v>
      </c>
      <c r="O224" s="307">
        <v>45</v>
      </c>
      <c r="P224" s="145">
        <v>8534</v>
      </c>
      <c r="Q224" s="307">
        <v>95</v>
      </c>
      <c r="R224" s="145">
        <v>221</v>
      </c>
      <c r="S224" s="1407"/>
      <c r="T224" s="145"/>
      <c r="U224" s="145"/>
      <c r="V224" s="131"/>
      <c r="W224" s="307"/>
      <c r="X224" s="145"/>
      <c r="Y224" s="145"/>
      <c r="Z224" s="131"/>
      <c r="AA224" s="307"/>
      <c r="AB224" s="145">
        <v>540</v>
      </c>
      <c r="AC224" s="145"/>
      <c r="AD224" s="131"/>
      <c r="AE224" s="307"/>
      <c r="AF224" s="145">
        <v>1184</v>
      </c>
      <c r="AG224" s="145">
        <v>85</v>
      </c>
      <c r="AH224" s="131"/>
      <c r="AI224" s="307"/>
      <c r="AJ224" s="145">
        <v>15915</v>
      </c>
      <c r="AK224" s="145">
        <v>90</v>
      </c>
      <c r="AL224" s="131">
        <v>2262</v>
      </c>
      <c r="AM224" s="307">
        <v>25</v>
      </c>
      <c r="AN224" s="145"/>
      <c r="AO224" s="145"/>
      <c r="AP224" s="131"/>
      <c r="AQ224" s="307"/>
      <c r="AR224" s="145"/>
      <c r="AS224" s="145"/>
      <c r="AT224" s="131">
        <v>19121</v>
      </c>
      <c r="AU224" s="307">
        <v>65</v>
      </c>
    </row>
    <row r="225" spans="1:47" x14ac:dyDescent="0.2">
      <c r="A225" s="533" t="s">
        <v>1373</v>
      </c>
      <c r="B225" s="145">
        <v>204</v>
      </c>
      <c r="C225" s="145"/>
      <c r="D225" s="131">
        <v>21</v>
      </c>
      <c r="E225" s="307">
        <v>60</v>
      </c>
      <c r="F225" s="145"/>
      <c r="G225" s="145"/>
      <c r="H225" s="131"/>
      <c r="I225" s="307"/>
      <c r="J225" s="145">
        <v>225</v>
      </c>
      <c r="K225" s="145">
        <v>60</v>
      </c>
      <c r="L225" s="131">
        <v>6896</v>
      </c>
      <c r="M225" s="307"/>
      <c r="N225" s="131">
        <v>289</v>
      </c>
      <c r="O225" s="307">
        <v>20</v>
      </c>
      <c r="P225" s="145">
        <v>8849</v>
      </c>
      <c r="Q225" s="307">
        <v>45</v>
      </c>
      <c r="R225" s="145">
        <v>372</v>
      </c>
      <c r="S225" s="1407"/>
      <c r="T225" s="145">
        <v>720</v>
      </c>
      <c r="U225" s="145"/>
      <c r="V225" s="131">
        <v>30</v>
      </c>
      <c r="W225" s="307">
        <v>80</v>
      </c>
      <c r="X225" s="145"/>
      <c r="Y225" s="145"/>
      <c r="Z225" s="131"/>
      <c r="AA225" s="307"/>
      <c r="AB225" s="145">
        <v>480</v>
      </c>
      <c r="AC225" s="145"/>
      <c r="AD225" s="131">
        <v>20</v>
      </c>
      <c r="AE225" s="307">
        <v>45</v>
      </c>
      <c r="AF225" s="145"/>
      <c r="AG225" s="145"/>
      <c r="AH225" s="131"/>
      <c r="AI225" s="307"/>
      <c r="AJ225" s="145">
        <v>16945</v>
      </c>
      <c r="AK225" s="145">
        <v>45</v>
      </c>
      <c r="AL225" s="131">
        <v>712</v>
      </c>
      <c r="AM225" s="307">
        <v>90</v>
      </c>
      <c r="AN225" s="145"/>
      <c r="AO225" s="145"/>
      <c r="AP225" s="131"/>
      <c r="AQ225" s="307"/>
      <c r="AR225" s="145">
        <v>494</v>
      </c>
      <c r="AS225" s="145">
        <v>20</v>
      </c>
      <c r="AT225" s="131">
        <v>18378</v>
      </c>
      <c r="AU225" s="307">
        <v>15</v>
      </c>
    </row>
    <row r="226" spans="1:47" x14ac:dyDescent="0.2">
      <c r="A226" s="535" t="s">
        <v>1527</v>
      </c>
      <c r="B226" s="309">
        <v>120</v>
      </c>
      <c r="C226" s="309"/>
      <c r="D226" s="230">
        <v>160</v>
      </c>
      <c r="E226" s="364"/>
      <c r="F226" s="309">
        <v>10</v>
      </c>
      <c r="G226" s="309">
        <v>80</v>
      </c>
      <c r="H226" s="230">
        <v>59</v>
      </c>
      <c r="I226" s="364"/>
      <c r="J226" s="309">
        <v>349</v>
      </c>
      <c r="K226" s="309">
        <v>80</v>
      </c>
      <c r="L226" s="230">
        <v>4792</v>
      </c>
      <c r="M226" s="364">
        <v>90</v>
      </c>
      <c r="N226" s="230">
        <v>876</v>
      </c>
      <c r="O226" s="364">
        <v>5</v>
      </c>
      <c r="P226" s="309">
        <v>7973</v>
      </c>
      <c r="Q226" s="364"/>
      <c r="R226" s="309">
        <v>1780</v>
      </c>
      <c r="S226" s="1408"/>
      <c r="T226" s="309"/>
      <c r="U226" s="309"/>
      <c r="V226" s="230"/>
      <c r="W226" s="364"/>
      <c r="X226" s="309"/>
      <c r="Y226" s="309"/>
      <c r="Z226" s="230"/>
      <c r="AA226" s="364"/>
      <c r="AB226" s="309"/>
      <c r="AC226" s="309"/>
      <c r="AD226" s="230"/>
      <c r="AE226" s="364"/>
      <c r="AF226" s="309"/>
      <c r="AG226" s="309"/>
      <c r="AH226" s="230"/>
      <c r="AI226" s="364"/>
      <c r="AJ226" s="309">
        <v>12765</v>
      </c>
      <c r="AK226" s="309">
        <v>90</v>
      </c>
      <c r="AL226" s="230">
        <v>2656</v>
      </c>
      <c r="AM226" s="364">
        <v>35</v>
      </c>
      <c r="AN226" s="309"/>
      <c r="AO226" s="309"/>
      <c r="AP226" s="230"/>
      <c r="AQ226" s="364"/>
      <c r="AR226" s="309">
        <v>77</v>
      </c>
      <c r="AS226" s="309">
        <v>5</v>
      </c>
      <c r="AT226" s="230">
        <v>15849</v>
      </c>
      <c r="AU226" s="364">
        <v>10</v>
      </c>
    </row>
    <row r="227" spans="1:47" x14ac:dyDescent="0.2">
      <c r="A227" s="794" t="s">
        <v>4773</v>
      </c>
      <c r="B227" s="309">
        <v>1652</v>
      </c>
      <c r="C227" s="309">
        <v>75</v>
      </c>
      <c r="D227" s="230">
        <v>3990</v>
      </c>
      <c r="E227" s="364">
        <v>60</v>
      </c>
      <c r="F227" s="309">
        <v>1323</v>
      </c>
      <c r="G227" s="309">
        <v>5</v>
      </c>
      <c r="H227" s="230">
        <v>2003</v>
      </c>
      <c r="I227" s="364">
        <v>40</v>
      </c>
      <c r="J227" s="309">
        <v>8969</v>
      </c>
      <c r="K227" s="309">
        <v>80</v>
      </c>
      <c r="L227" s="230">
        <v>56163</v>
      </c>
      <c r="M227" s="364">
        <v>95</v>
      </c>
      <c r="N227" s="230">
        <v>10508</v>
      </c>
      <c r="O227" s="364">
        <v>95</v>
      </c>
      <c r="P227" s="309">
        <v>84274</v>
      </c>
      <c r="Q227" s="309">
        <v>25</v>
      </c>
      <c r="R227" s="309">
        <v>13591</v>
      </c>
      <c r="S227" s="309"/>
      <c r="T227" s="309">
        <v>1331</v>
      </c>
      <c r="U227" s="309"/>
      <c r="V227" s="230">
        <v>149</v>
      </c>
      <c r="W227" s="364">
        <v>70</v>
      </c>
      <c r="X227" s="309">
        <v>576</v>
      </c>
      <c r="Y227" s="309"/>
      <c r="Z227" s="230">
        <v>120</v>
      </c>
      <c r="AA227" s="364">
        <v>40</v>
      </c>
      <c r="AB227" s="309">
        <v>1995</v>
      </c>
      <c r="AC227" s="309">
        <v>10</v>
      </c>
      <c r="AD227" s="230">
        <v>203</v>
      </c>
      <c r="AE227" s="364">
        <v>95</v>
      </c>
      <c r="AF227" s="309">
        <v>1184</v>
      </c>
      <c r="AG227" s="309">
        <v>85</v>
      </c>
      <c r="AH227" s="230">
        <v>1500</v>
      </c>
      <c r="AI227" s="364"/>
      <c r="AJ227" s="309">
        <v>147025</v>
      </c>
      <c r="AK227" s="309">
        <v>15</v>
      </c>
      <c r="AL227" s="230">
        <v>24574</v>
      </c>
      <c r="AM227" s="364">
        <v>95</v>
      </c>
      <c r="AN227" s="309">
        <v>57</v>
      </c>
      <c r="AO227" s="309"/>
      <c r="AP227" s="230">
        <v>660</v>
      </c>
      <c r="AQ227" s="364"/>
      <c r="AR227" s="309">
        <v>1112</v>
      </c>
      <c r="AS227" s="309">
        <v>10</v>
      </c>
      <c r="AT227" s="230">
        <v>182399</v>
      </c>
      <c r="AU227" s="364">
        <v>65</v>
      </c>
    </row>
    <row r="228" spans="1:47" x14ac:dyDescent="0.2">
      <c r="B228" s="393">
        <f>+SUM(B219:B226)</f>
        <v>1650</v>
      </c>
      <c r="C228" s="393">
        <f t="shared" ref="C228:AU228" si="9">+SUM(C219:C226)</f>
        <v>275</v>
      </c>
      <c r="D228" s="393">
        <f t="shared" si="9"/>
        <v>3990</v>
      </c>
      <c r="E228" s="393">
        <f t="shared" si="9"/>
        <v>60</v>
      </c>
      <c r="F228" s="393">
        <f t="shared" si="9"/>
        <v>1322</v>
      </c>
      <c r="G228" s="393">
        <f t="shared" si="9"/>
        <v>105</v>
      </c>
      <c r="H228" s="393">
        <f t="shared" si="9"/>
        <v>2002</v>
      </c>
      <c r="I228" s="393">
        <f t="shared" si="9"/>
        <v>140</v>
      </c>
      <c r="J228" s="393">
        <f t="shared" si="9"/>
        <v>8966</v>
      </c>
      <c r="K228" s="393">
        <f t="shared" si="9"/>
        <v>380</v>
      </c>
      <c r="L228" s="393">
        <f t="shared" si="9"/>
        <v>56160</v>
      </c>
      <c r="M228" s="393">
        <f t="shared" si="9"/>
        <v>395</v>
      </c>
      <c r="N228" s="393">
        <f t="shared" si="9"/>
        <v>10506</v>
      </c>
      <c r="O228" s="393">
        <f t="shared" si="9"/>
        <v>295</v>
      </c>
      <c r="P228" s="393">
        <f t="shared" si="9"/>
        <v>84271</v>
      </c>
      <c r="Q228" s="393">
        <f t="shared" si="9"/>
        <v>325</v>
      </c>
      <c r="R228" s="393">
        <f t="shared" si="9"/>
        <v>13589</v>
      </c>
      <c r="S228" s="393">
        <f t="shared" si="9"/>
        <v>0</v>
      </c>
      <c r="T228" s="393">
        <f t="shared" si="9"/>
        <v>1331</v>
      </c>
      <c r="U228" s="393">
        <f t="shared" si="9"/>
        <v>0</v>
      </c>
      <c r="V228" s="393">
        <f t="shared" si="9"/>
        <v>148</v>
      </c>
      <c r="W228" s="393">
        <f t="shared" si="9"/>
        <v>170</v>
      </c>
      <c r="X228" s="393">
        <f t="shared" si="9"/>
        <v>576</v>
      </c>
      <c r="Y228" s="393">
        <f t="shared" si="9"/>
        <v>0</v>
      </c>
      <c r="Z228" s="393">
        <f t="shared" si="9"/>
        <v>120</v>
      </c>
      <c r="AA228" s="393">
        <f t="shared" si="9"/>
        <v>40</v>
      </c>
      <c r="AB228" s="393">
        <f t="shared" si="9"/>
        <v>1995</v>
      </c>
      <c r="AC228" s="393">
        <f t="shared" si="9"/>
        <v>10</v>
      </c>
      <c r="AD228" s="393">
        <f t="shared" si="9"/>
        <v>203</v>
      </c>
      <c r="AE228" s="393">
        <f t="shared" si="9"/>
        <v>95</v>
      </c>
      <c r="AF228" s="393">
        <f t="shared" si="9"/>
        <v>1184</v>
      </c>
      <c r="AG228" s="393">
        <f t="shared" si="9"/>
        <v>85</v>
      </c>
      <c r="AH228" s="393">
        <f t="shared" si="9"/>
        <v>1500</v>
      </c>
      <c r="AI228" s="393">
        <f t="shared" si="9"/>
        <v>0</v>
      </c>
      <c r="AJ228" s="393">
        <f t="shared" si="9"/>
        <v>147020</v>
      </c>
      <c r="AK228" s="393">
        <f t="shared" si="9"/>
        <v>515</v>
      </c>
      <c r="AL228" s="393">
        <f t="shared" si="9"/>
        <v>24570</v>
      </c>
      <c r="AM228" s="393">
        <f t="shared" si="9"/>
        <v>495</v>
      </c>
      <c r="AN228" s="393">
        <f t="shared" si="9"/>
        <v>57</v>
      </c>
      <c r="AO228" s="393">
        <f t="shared" si="9"/>
        <v>0</v>
      </c>
      <c r="AP228" s="393">
        <f t="shared" si="9"/>
        <v>660</v>
      </c>
      <c r="AQ228" s="393">
        <f t="shared" si="9"/>
        <v>0</v>
      </c>
      <c r="AR228" s="393">
        <f t="shared" si="9"/>
        <v>1111</v>
      </c>
      <c r="AS228" s="393">
        <f t="shared" si="9"/>
        <v>110</v>
      </c>
      <c r="AT228" s="393">
        <f t="shared" si="9"/>
        <v>182396</v>
      </c>
      <c r="AU228" s="393">
        <f t="shared" si="9"/>
        <v>365</v>
      </c>
    </row>
    <row r="231" spans="1:47" x14ac:dyDescent="0.2">
      <c r="A231" s="526" t="s">
        <v>1957</v>
      </c>
    </row>
    <row r="232" spans="1:47" ht="34.25" customHeight="1" x14ac:dyDescent="0.2">
      <c r="A232" s="1319" t="s">
        <v>4783</v>
      </c>
      <c r="B232" s="1320"/>
      <c r="C232" s="1320"/>
      <c r="D232" s="1320"/>
      <c r="E232" s="1320"/>
      <c r="F232" s="1320"/>
      <c r="G232" s="1320"/>
      <c r="H232" s="1320"/>
      <c r="I232" s="1320"/>
      <c r="J232" s="1320"/>
      <c r="K232" s="1320"/>
      <c r="L232" s="1320"/>
      <c r="M232" s="1320"/>
      <c r="N232" s="1320"/>
      <c r="O232" s="1320"/>
      <c r="P232" s="1320"/>
      <c r="Q232" s="1320"/>
      <c r="R232" s="1320"/>
      <c r="S232" s="1320"/>
      <c r="T232" s="1320"/>
      <c r="U232" s="1320"/>
      <c r="V232" s="1320"/>
      <c r="W232" s="1320"/>
      <c r="X232" s="1320"/>
      <c r="Y232" s="1320"/>
      <c r="Z232" s="1320"/>
      <c r="AA232" s="1320"/>
      <c r="AB232" s="1320"/>
      <c r="AC232" s="1320"/>
      <c r="AD232" s="1320"/>
      <c r="AE232" s="1320"/>
      <c r="AF232" s="1320"/>
      <c r="AG232" s="1320"/>
      <c r="AH232" s="1320"/>
      <c r="AI232" s="1320"/>
      <c r="AJ232" s="1320"/>
      <c r="AK232" s="1320"/>
      <c r="AL232" s="1320"/>
      <c r="AM232" s="1320"/>
      <c r="AN232" s="1320"/>
      <c r="AO232" s="1320"/>
      <c r="AP232" s="1320"/>
      <c r="AQ232" s="1320"/>
      <c r="AR232" s="1320"/>
      <c r="AS232" s="1321"/>
    </row>
    <row r="233" spans="1:47" ht="22.75" customHeight="1" x14ac:dyDescent="0.2">
      <c r="A233" s="616" t="s">
        <v>4784</v>
      </c>
      <c r="B233" s="617"/>
      <c r="C233" s="617"/>
      <c r="D233" s="617"/>
      <c r="E233" s="617"/>
      <c r="F233" s="617"/>
      <c r="G233" s="617"/>
      <c r="H233" s="617"/>
      <c r="I233" s="617"/>
      <c r="J233" s="617"/>
      <c r="K233" s="617"/>
      <c r="L233" s="617"/>
      <c r="M233" s="617"/>
      <c r="N233" s="617"/>
      <c r="O233" s="617"/>
      <c r="P233" s="617"/>
      <c r="Q233" s="617"/>
      <c r="R233" s="617"/>
      <c r="S233" s="617"/>
      <c r="T233" s="617"/>
      <c r="U233" s="617"/>
      <c r="V233" s="617"/>
      <c r="W233" s="617"/>
      <c r="X233" s="617"/>
      <c r="Y233" s="617"/>
      <c r="Z233" s="617"/>
      <c r="AA233" s="617"/>
      <c r="AB233" s="617"/>
      <c r="AC233" s="617"/>
      <c r="AD233" s="617"/>
      <c r="AE233" s="617"/>
      <c r="AF233" s="617"/>
      <c r="AG233" s="617"/>
      <c r="AH233" s="617"/>
      <c r="AI233" s="617"/>
      <c r="AJ233" s="617"/>
      <c r="AK233" s="617"/>
      <c r="AL233" s="617"/>
      <c r="AM233" s="617"/>
      <c r="AN233" s="617"/>
      <c r="AO233" s="617"/>
      <c r="AP233" s="617"/>
      <c r="AQ233" s="617"/>
      <c r="AR233" s="617"/>
      <c r="AS233" s="618"/>
    </row>
    <row r="234" spans="1:47" s="1343" customFormat="1" ht="27" customHeight="1" x14ac:dyDescent="0.15">
      <c r="A234" s="967" t="s">
        <v>4713</v>
      </c>
      <c r="B234" s="609" t="s">
        <v>3393</v>
      </c>
      <c r="C234" s="967"/>
      <c r="D234" s="967"/>
      <c r="E234" s="967"/>
      <c r="F234" s="967"/>
      <c r="G234" s="967"/>
      <c r="H234" s="967"/>
      <c r="I234" s="967"/>
      <c r="J234" s="967"/>
      <c r="K234" s="967"/>
      <c r="L234" s="967"/>
      <c r="M234" s="967"/>
      <c r="N234" s="967" t="s">
        <v>4785</v>
      </c>
      <c r="O234" s="967"/>
      <c r="P234" s="608" t="s">
        <v>4786</v>
      </c>
      <c r="Q234" s="778"/>
      <c r="R234" s="778"/>
      <c r="S234" s="778"/>
      <c r="T234" s="778"/>
      <c r="U234" s="778"/>
      <c r="V234" s="778"/>
      <c r="W234" s="778"/>
      <c r="X234" s="778"/>
      <c r="Y234" s="778"/>
      <c r="Z234" s="778"/>
      <c r="AA234" s="778"/>
      <c r="AB234" s="778"/>
      <c r="AC234" s="778"/>
      <c r="AD234" s="778"/>
      <c r="AE234" s="778"/>
      <c r="AF234" s="778"/>
      <c r="AG234" s="778"/>
      <c r="AH234" s="778"/>
      <c r="AI234" s="778"/>
      <c r="AJ234" s="778"/>
      <c r="AK234" s="778"/>
      <c r="AL234" s="778"/>
      <c r="AM234" s="778"/>
      <c r="AN234" s="778"/>
      <c r="AO234" s="609"/>
      <c r="AP234" s="967" t="s">
        <v>4787</v>
      </c>
      <c r="AQ234" s="967"/>
      <c r="AR234" s="967"/>
      <c r="AS234" s="967"/>
    </row>
    <row r="235" spans="1:47" s="1343" customFormat="1" ht="28.25" customHeight="1" x14ac:dyDescent="0.15">
      <c r="A235" s="967"/>
      <c r="B235" s="609" t="s">
        <v>4183</v>
      </c>
      <c r="C235" s="967"/>
      <c r="D235" s="967"/>
      <c r="E235" s="967"/>
      <c r="F235" s="967"/>
      <c r="G235" s="967"/>
      <c r="H235" s="967" t="s">
        <v>4184</v>
      </c>
      <c r="I235" s="967"/>
      <c r="J235" s="967"/>
      <c r="K235" s="967"/>
      <c r="L235" s="967"/>
      <c r="M235" s="967"/>
      <c r="N235" s="1365" t="s">
        <v>4185</v>
      </c>
      <c r="O235" s="1365" t="s">
        <v>4788</v>
      </c>
      <c r="P235" s="967" t="s">
        <v>4789</v>
      </c>
      <c r="Q235" s="967"/>
      <c r="R235" s="967"/>
      <c r="S235" s="967"/>
      <c r="T235" s="967"/>
      <c r="U235" s="967"/>
      <c r="V235" s="967"/>
      <c r="W235" s="967"/>
      <c r="X235" s="967"/>
      <c r="Y235" s="967"/>
      <c r="Z235" s="967"/>
      <c r="AA235" s="967"/>
      <c r="AB235" s="967"/>
      <c r="AC235" s="967"/>
      <c r="AD235" s="967"/>
      <c r="AE235" s="967"/>
      <c r="AF235" s="967" t="s">
        <v>4790</v>
      </c>
      <c r="AG235" s="608" t="s">
        <v>4791</v>
      </c>
      <c r="AH235" s="778"/>
      <c r="AI235" s="778"/>
      <c r="AJ235" s="778"/>
      <c r="AK235" s="778"/>
      <c r="AL235" s="778"/>
      <c r="AM235" s="778"/>
      <c r="AN235" s="778"/>
      <c r="AO235" s="609"/>
      <c r="AP235" s="967" t="s">
        <v>4185</v>
      </c>
      <c r="AQ235" s="967"/>
      <c r="AR235" s="967" t="s">
        <v>4788</v>
      </c>
      <c r="AS235" s="967"/>
    </row>
    <row r="236" spans="1:47" s="1343" customFormat="1" ht="14.5" customHeight="1" x14ac:dyDescent="0.15">
      <c r="A236" s="967"/>
      <c r="B236" s="609" t="s">
        <v>4792</v>
      </c>
      <c r="C236" s="967"/>
      <c r="D236" s="967"/>
      <c r="E236" s="967" t="s">
        <v>4793</v>
      </c>
      <c r="F236" s="967"/>
      <c r="G236" s="967"/>
      <c r="H236" s="967" t="s">
        <v>4792</v>
      </c>
      <c r="I236" s="967"/>
      <c r="J236" s="967"/>
      <c r="K236" s="967" t="s">
        <v>4793</v>
      </c>
      <c r="L236" s="967"/>
      <c r="M236" s="967"/>
      <c r="N236" s="1365"/>
      <c r="O236" s="1365"/>
      <c r="P236" s="967" t="s">
        <v>4794</v>
      </c>
      <c r="Q236" s="967"/>
      <c r="R236" s="967" t="s">
        <v>4795</v>
      </c>
      <c r="S236" s="967"/>
      <c r="T236" s="967" t="s">
        <v>4796</v>
      </c>
      <c r="U236" s="967"/>
      <c r="V236" s="1409" t="s">
        <v>4797</v>
      </c>
      <c r="W236" s="1409"/>
      <c r="X236" s="1409" t="s">
        <v>4798</v>
      </c>
      <c r="Y236" s="1409"/>
      <c r="Z236" s="967" t="s">
        <v>4728</v>
      </c>
      <c r="AA236" s="967"/>
      <c r="AB236" s="967" t="s">
        <v>4799</v>
      </c>
      <c r="AC236" s="967"/>
      <c r="AD236" s="967" t="s">
        <v>1170</v>
      </c>
      <c r="AE236" s="967"/>
      <c r="AF236" s="967"/>
      <c r="AG236" s="967" t="s">
        <v>4800</v>
      </c>
      <c r="AH236" s="967"/>
      <c r="AI236" s="967" t="s">
        <v>4801</v>
      </c>
      <c r="AJ236" s="967"/>
      <c r="AK236" s="967" t="s">
        <v>4802</v>
      </c>
      <c r="AL236" s="967"/>
      <c r="AM236" s="1410" t="s">
        <v>4070</v>
      </c>
      <c r="AN236" s="967" t="s">
        <v>1170</v>
      </c>
      <c r="AO236" s="967"/>
      <c r="AP236" s="967"/>
      <c r="AQ236" s="967"/>
      <c r="AR236" s="967"/>
      <c r="AS236" s="967"/>
    </row>
    <row r="237" spans="1:47" s="1362" customFormat="1" ht="13.75" customHeight="1" x14ac:dyDescent="0.15">
      <c r="A237" s="967"/>
      <c r="B237" s="1293" t="s">
        <v>4803</v>
      </c>
      <c r="C237" s="1365" t="s">
        <v>3406</v>
      </c>
      <c r="D237" s="1365"/>
      <c r="E237" s="1365" t="s">
        <v>4803</v>
      </c>
      <c r="F237" s="1365" t="s">
        <v>3406</v>
      </c>
      <c r="G237" s="1365"/>
      <c r="H237" s="1365" t="s">
        <v>4803</v>
      </c>
      <c r="I237" s="1365" t="s">
        <v>3406</v>
      </c>
      <c r="J237" s="1365"/>
      <c r="K237" s="1365" t="s">
        <v>4803</v>
      </c>
      <c r="L237" s="1365" t="s">
        <v>3406</v>
      </c>
      <c r="M237" s="1365"/>
      <c r="N237" s="1365"/>
      <c r="O237" s="1365"/>
      <c r="P237" s="967"/>
      <c r="Q237" s="967"/>
      <c r="R237" s="967"/>
      <c r="S237" s="967"/>
      <c r="T237" s="967"/>
      <c r="U237" s="967"/>
      <c r="V237" s="1409"/>
      <c r="W237" s="1409"/>
      <c r="X237" s="1409"/>
      <c r="Y237" s="1409"/>
      <c r="Z237" s="967"/>
      <c r="AA237" s="967"/>
      <c r="AB237" s="967"/>
      <c r="AC237" s="967"/>
      <c r="AD237" s="967"/>
      <c r="AE237" s="967"/>
      <c r="AF237" s="967"/>
      <c r="AG237" s="967"/>
      <c r="AH237" s="967"/>
      <c r="AI237" s="967"/>
      <c r="AJ237" s="967"/>
      <c r="AK237" s="967"/>
      <c r="AL237" s="967"/>
      <c r="AM237" s="1411"/>
      <c r="AN237" s="967"/>
      <c r="AO237" s="967"/>
      <c r="AP237" s="967"/>
      <c r="AQ237" s="967"/>
      <c r="AR237" s="967"/>
      <c r="AS237" s="967"/>
    </row>
    <row r="238" spans="1:47" s="1362" customFormat="1" ht="14" x14ac:dyDescent="0.15">
      <c r="A238" s="967"/>
      <c r="B238" s="1293"/>
      <c r="C238" s="1365"/>
      <c r="D238" s="1365"/>
      <c r="E238" s="1365"/>
      <c r="F238" s="1365"/>
      <c r="G238" s="1365"/>
      <c r="H238" s="1365"/>
      <c r="I238" s="1365"/>
      <c r="J238" s="1365"/>
      <c r="K238" s="1365"/>
      <c r="L238" s="1365"/>
      <c r="M238" s="1365"/>
      <c r="N238" s="1290" t="s">
        <v>4804</v>
      </c>
      <c r="O238" s="1290" t="s">
        <v>4804</v>
      </c>
      <c r="P238" s="1290" t="s">
        <v>4805</v>
      </c>
      <c r="Q238" s="1290" t="s">
        <v>4806</v>
      </c>
      <c r="R238" s="1290" t="s">
        <v>4805</v>
      </c>
      <c r="S238" s="1290" t="s">
        <v>4806</v>
      </c>
      <c r="T238" s="1290" t="s">
        <v>4805</v>
      </c>
      <c r="U238" s="1290" t="s">
        <v>4806</v>
      </c>
      <c r="V238" s="1412" t="s">
        <v>4805</v>
      </c>
      <c r="W238" s="1412" t="s">
        <v>4806</v>
      </c>
      <c r="X238" s="1412" t="s">
        <v>4805</v>
      </c>
      <c r="Y238" s="1412" t="s">
        <v>4806</v>
      </c>
      <c r="Z238" s="1290" t="s">
        <v>4805</v>
      </c>
      <c r="AA238" s="1290" t="s">
        <v>4806</v>
      </c>
      <c r="AB238" s="1290" t="s">
        <v>4805</v>
      </c>
      <c r="AC238" s="1290" t="s">
        <v>4806</v>
      </c>
      <c r="AD238" s="1290" t="s">
        <v>4805</v>
      </c>
      <c r="AE238" s="1290" t="s">
        <v>4806</v>
      </c>
      <c r="AF238" s="1290" t="s">
        <v>4605</v>
      </c>
      <c r="AG238" s="1290" t="s">
        <v>4805</v>
      </c>
      <c r="AH238" s="1290" t="s">
        <v>4806</v>
      </c>
      <c r="AI238" s="1290" t="s">
        <v>4805</v>
      </c>
      <c r="AJ238" s="1290" t="s">
        <v>4806</v>
      </c>
      <c r="AK238" s="1290" t="s">
        <v>4805</v>
      </c>
      <c r="AL238" s="1290" t="s">
        <v>4806</v>
      </c>
      <c r="AM238" s="1413" t="s">
        <v>4805</v>
      </c>
      <c r="AN238" s="1290" t="s">
        <v>4805</v>
      </c>
      <c r="AO238" s="1290" t="s">
        <v>4806</v>
      </c>
      <c r="AP238" s="1290" t="s">
        <v>3488</v>
      </c>
      <c r="AQ238" s="1290" t="s">
        <v>3374</v>
      </c>
      <c r="AR238" s="1290" t="s">
        <v>3488</v>
      </c>
      <c r="AS238" s="1290" t="s">
        <v>3374</v>
      </c>
    </row>
    <row r="239" spans="1:47" x14ac:dyDescent="0.2">
      <c r="A239" s="533" t="s">
        <v>4807</v>
      </c>
      <c r="B239" s="716">
        <v>42</v>
      </c>
      <c r="C239" s="145">
        <v>2285</v>
      </c>
      <c r="D239" s="180">
        <v>0.5</v>
      </c>
      <c r="E239" s="716">
        <v>26</v>
      </c>
      <c r="F239" s="350">
        <v>32512</v>
      </c>
      <c r="G239" s="717"/>
      <c r="H239" s="716">
        <v>48</v>
      </c>
      <c r="I239" s="145">
        <v>3301</v>
      </c>
      <c r="J239" s="180">
        <v>0.5</v>
      </c>
      <c r="K239" s="716">
        <v>24</v>
      </c>
      <c r="L239" s="350">
        <v>32432</v>
      </c>
      <c r="M239" s="717"/>
      <c r="N239" s="716">
        <v>151791</v>
      </c>
      <c r="O239" s="145">
        <v>30467</v>
      </c>
      <c r="P239" s="349">
        <v>1274546</v>
      </c>
      <c r="Q239" s="717">
        <v>750</v>
      </c>
      <c r="R239" s="145">
        <v>323200</v>
      </c>
      <c r="S239" s="145">
        <v>500</v>
      </c>
      <c r="T239" s="349">
        <v>145589</v>
      </c>
      <c r="U239" s="717"/>
      <c r="V239" s="145"/>
      <c r="W239" s="145"/>
      <c r="X239" s="349"/>
      <c r="Y239" s="717"/>
      <c r="Z239" s="145">
        <v>128005</v>
      </c>
      <c r="AA239" s="145"/>
      <c r="AB239" s="349">
        <v>4520</v>
      </c>
      <c r="AC239" s="717"/>
      <c r="AD239" s="145">
        <v>1980725</v>
      </c>
      <c r="AE239" s="145">
        <v>750</v>
      </c>
      <c r="AF239" s="716">
        <v>380</v>
      </c>
      <c r="AG239" s="145">
        <v>160240</v>
      </c>
      <c r="AH239" s="145">
        <v>500</v>
      </c>
      <c r="AI239" s="349">
        <v>1637</v>
      </c>
      <c r="AJ239" s="717">
        <v>500</v>
      </c>
      <c r="AK239" s="145">
        <v>1106494</v>
      </c>
      <c r="AL239" s="145"/>
      <c r="AM239" s="349">
        <v>18788</v>
      </c>
      <c r="AN239" s="131">
        <v>1287160</v>
      </c>
      <c r="AO239" s="307"/>
      <c r="AP239" s="349">
        <v>263669</v>
      </c>
      <c r="AQ239" s="717">
        <v>72</v>
      </c>
      <c r="AR239" s="145">
        <v>183340</v>
      </c>
      <c r="AS239" s="307">
        <v>80</v>
      </c>
    </row>
    <row r="240" spans="1:47" x14ac:dyDescent="0.2">
      <c r="A240" s="533" t="s">
        <v>4769</v>
      </c>
      <c r="B240" s="533">
        <v>60</v>
      </c>
      <c r="C240" s="145">
        <v>2719</v>
      </c>
      <c r="D240" s="180"/>
      <c r="E240" s="533">
        <v>30</v>
      </c>
      <c r="F240" s="145">
        <v>34375</v>
      </c>
      <c r="G240" s="307"/>
      <c r="H240" s="533">
        <v>57</v>
      </c>
      <c r="I240" s="145">
        <v>2862</v>
      </c>
      <c r="J240" s="180">
        <v>0.5</v>
      </c>
      <c r="K240" s="533">
        <v>32</v>
      </c>
      <c r="L240" s="145">
        <v>35738</v>
      </c>
      <c r="M240" s="307"/>
      <c r="N240" s="533">
        <v>484056</v>
      </c>
      <c r="O240" s="145">
        <v>53847</v>
      </c>
      <c r="P240" s="131">
        <v>382865</v>
      </c>
      <c r="Q240" s="307">
        <v>500</v>
      </c>
      <c r="R240" s="145">
        <v>228620</v>
      </c>
      <c r="S240" s="145"/>
      <c r="T240" s="131">
        <v>80838</v>
      </c>
      <c r="U240" s="307"/>
      <c r="V240" s="145"/>
      <c r="W240" s="145"/>
      <c r="X240" s="131"/>
      <c r="Y240" s="307"/>
      <c r="Z240" s="145">
        <v>596701</v>
      </c>
      <c r="AA240" s="145"/>
      <c r="AB240" s="131">
        <v>4075</v>
      </c>
      <c r="AC240" s="307">
        <v>500</v>
      </c>
      <c r="AD240" s="145">
        <v>1389773</v>
      </c>
      <c r="AE240" s="145"/>
      <c r="AF240" s="533">
        <v>618</v>
      </c>
      <c r="AG240" s="145">
        <v>295505</v>
      </c>
      <c r="AH240" s="145">
        <v>500</v>
      </c>
      <c r="AI240" s="131">
        <v>1000</v>
      </c>
      <c r="AJ240" s="307"/>
      <c r="AK240" s="145">
        <v>2170452</v>
      </c>
      <c r="AL240" s="145"/>
      <c r="AM240" s="131">
        <v>36528</v>
      </c>
      <c r="AN240" s="131">
        <v>2503485</v>
      </c>
      <c r="AO240" s="307">
        <v>500</v>
      </c>
      <c r="AP240" s="131">
        <v>198274</v>
      </c>
      <c r="AQ240" s="307">
        <v>93</v>
      </c>
      <c r="AR240" s="145">
        <v>444976</v>
      </c>
      <c r="AS240" s="307">
        <v>24</v>
      </c>
    </row>
    <row r="241" spans="1:45" x14ac:dyDescent="0.2">
      <c r="A241" s="533" t="s">
        <v>4770</v>
      </c>
      <c r="B241" s="533">
        <v>66</v>
      </c>
      <c r="C241" s="145">
        <v>4873</v>
      </c>
      <c r="D241" s="180"/>
      <c r="E241" s="533">
        <v>29</v>
      </c>
      <c r="F241" s="145">
        <v>27930</v>
      </c>
      <c r="G241" s="307"/>
      <c r="H241" s="533">
        <v>69</v>
      </c>
      <c r="I241" s="145">
        <v>4395</v>
      </c>
      <c r="J241" s="180">
        <v>0.5</v>
      </c>
      <c r="K241" s="533">
        <v>29</v>
      </c>
      <c r="L241" s="145">
        <v>27930</v>
      </c>
      <c r="M241" s="307"/>
      <c r="N241" s="533">
        <v>183903</v>
      </c>
      <c r="O241" s="145">
        <v>45680</v>
      </c>
      <c r="P241" s="131">
        <v>254457</v>
      </c>
      <c r="Q241" s="307">
        <v>500</v>
      </c>
      <c r="R241" s="145">
        <v>165391</v>
      </c>
      <c r="S241" s="145">
        <v>500</v>
      </c>
      <c r="T241" s="131">
        <v>47364</v>
      </c>
      <c r="U241" s="307">
        <v>250</v>
      </c>
      <c r="V241" s="145"/>
      <c r="W241" s="145"/>
      <c r="X241" s="131"/>
      <c r="Y241" s="307"/>
      <c r="Z241" s="145">
        <v>287553</v>
      </c>
      <c r="AA241" s="145">
        <v>500</v>
      </c>
      <c r="AB241" s="131">
        <v>3781</v>
      </c>
      <c r="AC241" s="307"/>
      <c r="AD241" s="145">
        <v>854949</v>
      </c>
      <c r="AE241" s="145">
        <v>750</v>
      </c>
      <c r="AF241" s="533">
        <v>617</v>
      </c>
      <c r="AG241" s="145">
        <v>479852</v>
      </c>
      <c r="AH241" s="145">
        <v>500</v>
      </c>
      <c r="AI241" s="131">
        <v>16048</v>
      </c>
      <c r="AJ241" s="307">
        <v>750</v>
      </c>
      <c r="AK241" s="145">
        <v>1871561</v>
      </c>
      <c r="AL241" s="145"/>
      <c r="AM241" s="131">
        <v>39106</v>
      </c>
      <c r="AN241" s="131">
        <v>2406568</v>
      </c>
      <c r="AO241" s="307">
        <v>250</v>
      </c>
      <c r="AP241" s="131">
        <v>182238</v>
      </c>
      <c r="AQ241" s="307">
        <v>90</v>
      </c>
      <c r="AR241" s="145">
        <v>428693</v>
      </c>
      <c r="AS241" s="307">
        <v>67</v>
      </c>
    </row>
    <row r="242" spans="1:45" x14ac:dyDescent="0.2">
      <c r="A242" s="533" t="s">
        <v>4771</v>
      </c>
      <c r="B242" s="533">
        <v>56</v>
      </c>
      <c r="C242" s="145">
        <v>3038</v>
      </c>
      <c r="D242" s="180"/>
      <c r="E242" s="533">
        <v>30</v>
      </c>
      <c r="F242" s="145">
        <v>33212</v>
      </c>
      <c r="G242" s="307"/>
      <c r="H242" s="533">
        <v>59</v>
      </c>
      <c r="I242" s="145">
        <v>4045</v>
      </c>
      <c r="J242" s="180">
        <v>0.5</v>
      </c>
      <c r="K242" s="533">
        <v>29</v>
      </c>
      <c r="L242" s="145">
        <v>33172</v>
      </c>
      <c r="M242" s="307"/>
      <c r="N242" s="533">
        <v>161686</v>
      </c>
      <c r="O242" s="145">
        <v>78102</v>
      </c>
      <c r="P242" s="131">
        <v>544149</v>
      </c>
      <c r="Q242" s="307"/>
      <c r="R242" s="145">
        <v>402817</v>
      </c>
      <c r="S242" s="145">
        <v>500</v>
      </c>
      <c r="T242" s="131">
        <v>122197</v>
      </c>
      <c r="U242" s="307"/>
      <c r="V242" s="145"/>
      <c r="W242" s="145"/>
      <c r="X242" s="131"/>
      <c r="Y242" s="307"/>
      <c r="Z242" s="145">
        <v>170588</v>
      </c>
      <c r="AA242" s="145">
        <v>500</v>
      </c>
      <c r="AB242" s="131">
        <v>8079</v>
      </c>
      <c r="AC242" s="307"/>
      <c r="AD242" s="145">
        <v>1394008</v>
      </c>
      <c r="AE242" s="145">
        <v>500</v>
      </c>
      <c r="AF242" s="533">
        <v>256</v>
      </c>
      <c r="AG242" s="145">
        <v>168475</v>
      </c>
      <c r="AH242" s="145"/>
      <c r="AI242" s="131">
        <v>1323</v>
      </c>
      <c r="AJ242" s="307"/>
      <c r="AK242" s="145">
        <v>3840895</v>
      </c>
      <c r="AL242" s="145">
        <v>500</v>
      </c>
      <c r="AM242" s="131">
        <v>172645</v>
      </c>
      <c r="AN242" s="131">
        <v>3683336</v>
      </c>
      <c r="AO242" s="307"/>
      <c r="AP242" s="131">
        <v>416676</v>
      </c>
      <c r="AQ242" s="307">
        <v>19</v>
      </c>
      <c r="AR242" s="145">
        <v>367000</v>
      </c>
      <c r="AS242" s="307">
        <v>80</v>
      </c>
    </row>
    <row r="243" spans="1:45" x14ac:dyDescent="0.2">
      <c r="A243" s="533" t="s">
        <v>4737</v>
      </c>
      <c r="B243" s="533">
        <v>45</v>
      </c>
      <c r="C243" s="145">
        <v>4592</v>
      </c>
      <c r="D243" s="180"/>
      <c r="E243" s="533">
        <v>33</v>
      </c>
      <c r="F243" s="145">
        <v>42079</v>
      </c>
      <c r="G243" s="307"/>
      <c r="H243" s="533">
        <v>40</v>
      </c>
      <c r="I243" s="145">
        <v>2096</v>
      </c>
      <c r="J243" s="180"/>
      <c r="K243" s="533">
        <v>33</v>
      </c>
      <c r="L243" s="145">
        <v>42079</v>
      </c>
      <c r="M243" s="307"/>
      <c r="N243" s="533">
        <v>15145</v>
      </c>
      <c r="O243" s="145">
        <v>28136</v>
      </c>
      <c r="P243" s="131">
        <v>248873</v>
      </c>
      <c r="Q243" s="307">
        <v>500</v>
      </c>
      <c r="R243" s="145">
        <v>331708</v>
      </c>
      <c r="S243" s="145">
        <v>500</v>
      </c>
      <c r="T243" s="131">
        <v>40151</v>
      </c>
      <c r="U243" s="307"/>
      <c r="V243" s="145"/>
      <c r="W243" s="145"/>
      <c r="X243" s="131"/>
      <c r="Y243" s="307"/>
      <c r="Z243" s="145">
        <v>138633</v>
      </c>
      <c r="AA243" s="145">
        <v>500</v>
      </c>
      <c r="AB243" s="131">
        <v>3074</v>
      </c>
      <c r="AC243" s="307"/>
      <c r="AD243" s="145">
        <v>861696</v>
      </c>
      <c r="AE243" s="145">
        <v>500</v>
      </c>
      <c r="AF243" s="533">
        <v>544</v>
      </c>
      <c r="AG243" s="145">
        <v>204033</v>
      </c>
      <c r="AH243" s="145">
        <v>500</v>
      </c>
      <c r="AI243" s="131">
        <v>378</v>
      </c>
      <c r="AJ243" s="307"/>
      <c r="AK243" s="145">
        <v>1343554</v>
      </c>
      <c r="AL243" s="145"/>
      <c r="AM243" s="131">
        <v>45533</v>
      </c>
      <c r="AN243" s="131">
        <v>1593498</v>
      </c>
      <c r="AO243" s="307">
        <v>500</v>
      </c>
      <c r="AP243" s="131">
        <v>203413</v>
      </c>
      <c r="AQ243" s="307">
        <v>98</v>
      </c>
      <c r="AR243" s="145">
        <v>251271</v>
      </c>
      <c r="AS243" s="307">
        <v>27</v>
      </c>
    </row>
    <row r="244" spans="1:45" x14ac:dyDescent="0.2">
      <c r="A244" s="533" t="s">
        <v>4738</v>
      </c>
      <c r="B244" s="533">
        <v>29</v>
      </c>
      <c r="C244" s="145">
        <v>2405</v>
      </c>
      <c r="D244" s="180"/>
      <c r="E244" s="533">
        <v>18</v>
      </c>
      <c r="F244" s="145">
        <v>15809</v>
      </c>
      <c r="G244" s="307"/>
      <c r="H244" s="533">
        <v>35</v>
      </c>
      <c r="I244" s="145">
        <v>3435</v>
      </c>
      <c r="J244" s="180"/>
      <c r="K244" s="533">
        <v>18</v>
      </c>
      <c r="L244" s="145">
        <v>15809</v>
      </c>
      <c r="M244" s="307"/>
      <c r="N244" s="533">
        <v>198573</v>
      </c>
      <c r="O244" s="145">
        <v>21472</v>
      </c>
      <c r="P244" s="131">
        <v>893681</v>
      </c>
      <c r="Q244" s="307">
        <v>500</v>
      </c>
      <c r="R244" s="145">
        <v>440765</v>
      </c>
      <c r="S244" s="145">
        <v>500</v>
      </c>
      <c r="T244" s="131">
        <v>77050</v>
      </c>
      <c r="U244" s="307">
        <v>750</v>
      </c>
      <c r="V244" s="145"/>
      <c r="W244" s="145"/>
      <c r="X244" s="131"/>
      <c r="Y244" s="307"/>
      <c r="Z244" s="145">
        <v>59506</v>
      </c>
      <c r="AA244" s="145"/>
      <c r="AB244" s="131">
        <v>4559</v>
      </c>
      <c r="AC244" s="307"/>
      <c r="AD244" s="145">
        <v>1615662</v>
      </c>
      <c r="AE244" s="145">
        <v>250</v>
      </c>
      <c r="AF244" s="533">
        <v>257</v>
      </c>
      <c r="AG244" s="145">
        <v>95231</v>
      </c>
      <c r="AH244" s="145"/>
      <c r="AI244" s="131">
        <v>50</v>
      </c>
      <c r="AJ244" s="307"/>
      <c r="AK244" s="145">
        <v>1404678</v>
      </c>
      <c r="AL244" s="145"/>
      <c r="AM244" s="131">
        <v>37890</v>
      </c>
      <c r="AN244" s="131">
        <v>1537849</v>
      </c>
      <c r="AO244" s="307"/>
      <c r="AP244" s="131">
        <v>265324</v>
      </c>
      <c r="AQ244" s="307">
        <v>85</v>
      </c>
      <c r="AR244" s="145">
        <v>122776</v>
      </c>
      <c r="AS244" s="307">
        <v>40</v>
      </c>
    </row>
    <row r="245" spans="1:45" x14ac:dyDescent="0.2">
      <c r="A245" s="533" t="s">
        <v>4739</v>
      </c>
      <c r="B245" s="533">
        <v>33</v>
      </c>
      <c r="C245" s="145">
        <v>2515</v>
      </c>
      <c r="D245" s="180"/>
      <c r="E245" s="533">
        <v>5</v>
      </c>
      <c r="F245" s="145">
        <v>4488</v>
      </c>
      <c r="G245" s="307"/>
      <c r="H245" s="533">
        <v>34</v>
      </c>
      <c r="I245" s="145">
        <v>2593</v>
      </c>
      <c r="J245" s="180"/>
      <c r="K245" s="533">
        <v>5</v>
      </c>
      <c r="L245" s="145">
        <v>4488</v>
      </c>
      <c r="M245" s="307"/>
      <c r="N245" s="533">
        <v>64135</v>
      </c>
      <c r="O245" s="145">
        <v>6752</v>
      </c>
      <c r="P245" s="131">
        <v>387801</v>
      </c>
      <c r="Q245" s="307"/>
      <c r="R245" s="145">
        <v>566752</v>
      </c>
      <c r="S245" s="145">
        <v>500</v>
      </c>
      <c r="T245" s="131">
        <v>84085</v>
      </c>
      <c r="U245" s="307"/>
      <c r="V245" s="145"/>
      <c r="W245" s="145"/>
      <c r="X245" s="131"/>
      <c r="Y245" s="307"/>
      <c r="Z245" s="145"/>
      <c r="AA245" s="145"/>
      <c r="AB245" s="131">
        <v>6488</v>
      </c>
      <c r="AC245" s="307"/>
      <c r="AD245" s="145">
        <v>1180894</v>
      </c>
      <c r="AE245" s="145">
        <v>500</v>
      </c>
      <c r="AF245" s="533">
        <v>166</v>
      </c>
      <c r="AG245" s="145">
        <v>45342</v>
      </c>
      <c r="AH245" s="145"/>
      <c r="AI245" s="131">
        <v>685</v>
      </c>
      <c r="AJ245" s="307"/>
      <c r="AK245" s="145">
        <v>746956</v>
      </c>
      <c r="AL245" s="145"/>
      <c r="AM245" s="131">
        <v>10692</v>
      </c>
      <c r="AN245" s="131">
        <v>803675</v>
      </c>
      <c r="AO245" s="307"/>
      <c r="AP245" s="131">
        <v>288998</v>
      </c>
      <c r="AQ245" s="307">
        <v>15</v>
      </c>
      <c r="AR245" s="145">
        <v>75408</v>
      </c>
      <c r="AS245" s="307">
        <v>71</v>
      </c>
    </row>
    <row r="246" spans="1:45" x14ac:dyDescent="0.2">
      <c r="A246" s="533" t="s">
        <v>4740</v>
      </c>
      <c r="B246" s="533">
        <v>48</v>
      </c>
      <c r="C246" s="145">
        <v>1834</v>
      </c>
      <c r="D246" s="180">
        <v>0.5</v>
      </c>
      <c r="E246" s="533">
        <v>6</v>
      </c>
      <c r="F246" s="145">
        <v>640</v>
      </c>
      <c r="G246" s="307"/>
      <c r="H246" s="533">
        <v>50</v>
      </c>
      <c r="I246" s="145">
        <v>2371</v>
      </c>
      <c r="J246" s="180">
        <v>0.5</v>
      </c>
      <c r="K246" s="533">
        <v>7</v>
      </c>
      <c r="L246" s="145">
        <v>898</v>
      </c>
      <c r="M246" s="307"/>
      <c r="N246" s="533">
        <v>84957</v>
      </c>
      <c r="O246" s="145">
        <v>19133</v>
      </c>
      <c r="P246" s="131">
        <v>483578</v>
      </c>
      <c r="Q246" s="307"/>
      <c r="R246" s="145">
        <v>256657</v>
      </c>
      <c r="S246" s="145"/>
      <c r="T246" s="131">
        <v>42951</v>
      </c>
      <c r="U246" s="307"/>
      <c r="V246" s="145"/>
      <c r="W246" s="145"/>
      <c r="X246" s="131"/>
      <c r="Y246" s="307"/>
      <c r="Z246" s="145">
        <v>66315</v>
      </c>
      <c r="AA246" s="145"/>
      <c r="AB246" s="131">
        <v>1653</v>
      </c>
      <c r="AC246" s="307"/>
      <c r="AD246" s="107">
        <v>886562</v>
      </c>
      <c r="AE246" s="107">
        <v>800</v>
      </c>
      <c r="AF246" s="533">
        <v>50</v>
      </c>
      <c r="AG246" s="145">
        <v>42413</v>
      </c>
      <c r="AH246" s="145"/>
      <c r="AI246" s="131"/>
      <c r="AJ246" s="307"/>
      <c r="AK246" s="145">
        <v>1527143</v>
      </c>
      <c r="AL246" s="145"/>
      <c r="AM246" s="131">
        <v>9251</v>
      </c>
      <c r="AN246" s="131">
        <v>1578807</v>
      </c>
      <c r="AO246" s="307"/>
      <c r="AP246" s="131">
        <v>127540</v>
      </c>
      <c r="AQ246" s="307">
        <v>20</v>
      </c>
      <c r="AR246" s="145">
        <v>144949</v>
      </c>
      <c r="AS246" s="307">
        <v>44</v>
      </c>
    </row>
    <row r="247" spans="1:45" x14ac:dyDescent="0.2">
      <c r="A247" s="533" t="s">
        <v>4741</v>
      </c>
      <c r="B247" s="533">
        <v>49</v>
      </c>
      <c r="C247" s="145">
        <v>3410</v>
      </c>
      <c r="D247" s="180"/>
      <c r="E247" s="533">
        <v>14</v>
      </c>
      <c r="F247" s="145">
        <v>11660</v>
      </c>
      <c r="G247" s="307"/>
      <c r="H247" s="533">
        <v>43</v>
      </c>
      <c r="I247" s="145">
        <v>2097</v>
      </c>
      <c r="J247" s="180">
        <v>0.5</v>
      </c>
      <c r="K247" s="533">
        <v>14</v>
      </c>
      <c r="L247" s="145">
        <v>11660</v>
      </c>
      <c r="M247" s="307"/>
      <c r="N247" s="533">
        <v>368464</v>
      </c>
      <c r="O247" s="145">
        <v>21514</v>
      </c>
      <c r="P247" s="131">
        <v>51343</v>
      </c>
      <c r="Q247" s="307">
        <v>500</v>
      </c>
      <c r="R247" s="145">
        <v>77667</v>
      </c>
      <c r="S247" s="145"/>
      <c r="T247" s="131">
        <v>6601</v>
      </c>
      <c r="U247" s="307">
        <v>500</v>
      </c>
      <c r="V247" s="145"/>
      <c r="W247" s="145"/>
      <c r="X247" s="131"/>
      <c r="Y247" s="307"/>
      <c r="Z247" s="145">
        <v>839017</v>
      </c>
      <c r="AA247" s="145"/>
      <c r="AB247" s="131">
        <v>1836</v>
      </c>
      <c r="AC247" s="307"/>
      <c r="AD247" s="107">
        <v>490984</v>
      </c>
      <c r="AE247" s="107">
        <v>250</v>
      </c>
      <c r="AF247" s="533">
        <v>25</v>
      </c>
      <c r="AG247" s="145">
        <v>99911</v>
      </c>
      <c r="AH247" s="145"/>
      <c r="AI247" s="131">
        <v>5</v>
      </c>
      <c r="AJ247" s="307"/>
      <c r="AK247" s="145">
        <v>1618315</v>
      </c>
      <c r="AL247" s="145"/>
      <c r="AM247" s="131">
        <v>10296</v>
      </c>
      <c r="AN247" s="131">
        <v>1728527</v>
      </c>
      <c r="AO247" s="307"/>
      <c r="AP247" s="131">
        <v>58278</v>
      </c>
      <c r="AQ247" s="307">
        <v>54</v>
      </c>
      <c r="AR247" s="145">
        <v>206864</v>
      </c>
      <c r="AS247" s="307">
        <v>79</v>
      </c>
    </row>
    <row r="248" spans="1:45" x14ac:dyDescent="0.2">
      <c r="A248" s="533" t="s">
        <v>4742</v>
      </c>
      <c r="B248" s="533">
        <v>42</v>
      </c>
      <c r="C248" s="145">
        <v>2169</v>
      </c>
      <c r="D248" s="180">
        <v>0.5</v>
      </c>
      <c r="E248" s="533">
        <v>17</v>
      </c>
      <c r="F248" s="145">
        <v>14932</v>
      </c>
      <c r="G248" s="307"/>
      <c r="H248" s="533">
        <v>48</v>
      </c>
      <c r="I248" s="145">
        <v>2057</v>
      </c>
      <c r="J248" s="180">
        <v>0.5</v>
      </c>
      <c r="K248" s="533">
        <v>17</v>
      </c>
      <c r="L248" s="145">
        <v>14932</v>
      </c>
      <c r="M248" s="307"/>
      <c r="N248" s="533">
        <v>386548</v>
      </c>
      <c r="O248" s="145">
        <v>39400</v>
      </c>
      <c r="P248" s="131">
        <v>275635</v>
      </c>
      <c r="Q248" s="307"/>
      <c r="R248" s="145">
        <v>277344</v>
      </c>
      <c r="S248" s="145"/>
      <c r="T248" s="131">
        <v>58871</v>
      </c>
      <c r="U248" s="307">
        <v>500</v>
      </c>
      <c r="V248" s="145"/>
      <c r="W248" s="145"/>
      <c r="X248" s="131"/>
      <c r="Y248" s="307"/>
      <c r="Z248" s="145">
        <v>490954</v>
      </c>
      <c r="AA248" s="145"/>
      <c r="AB248" s="131">
        <v>1574</v>
      </c>
      <c r="AC248" s="307"/>
      <c r="AD248" s="131">
        <v>1137464</v>
      </c>
      <c r="AE248" s="307">
        <v>750</v>
      </c>
      <c r="AF248" s="533">
        <v>30</v>
      </c>
      <c r="AG248" s="145">
        <v>160267</v>
      </c>
      <c r="AH248" s="145">
        <v>500</v>
      </c>
      <c r="AI248" s="131">
        <v>394</v>
      </c>
      <c r="AJ248" s="307"/>
      <c r="AK248" s="145">
        <v>1630826</v>
      </c>
      <c r="AL248" s="145"/>
      <c r="AM248" s="131">
        <v>38369</v>
      </c>
      <c r="AN248" s="131">
        <v>1829856</v>
      </c>
      <c r="AO248" s="307">
        <v>500</v>
      </c>
      <c r="AP248" s="131">
        <v>142700</v>
      </c>
      <c r="AQ248" s="307">
        <v>50</v>
      </c>
      <c r="AR248" s="145">
        <v>263232</v>
      </c>
      <c r="AS248" s="307">
        <v>94</v>
      </c>
    </row>
    <row r="249" spans="1:45" x14ac:dyDescent="0.2">
      <c r="A249" s="533" t="s">
        <v>4743</v>
      </c>
      <c r="B249" s="533">
        <v>43</v>
      </c>
      <c r="C249" s="145">
        <v>1948</v>
      </c>
      <c r="D249" s="180">
        <v>0.5</v>
      </c>
      <c r="E249" s="533">
        <v>21</v>
      </c>
      <c r="F249" s="145">
        <v>16219</v>
      </c>
      <c r="G249" s="307"/>
      <c r="H249" s="533">
        <v>42</v>
      </c>
      <c r="I249" s="145">
        <v>2265</v>
      </c>
      <c r="J249" s="180">
        <v>0.5</v>
      </c>
      <c r="K249" s="533">
        <v>21</v>
      </c>
      <c r="L249" s="145">
        <v>16219</v>
      </c>
      <c r="M249" s="307"/>
      <c r="N249" s="533">
        <v>87710</v>
      </c>
      <c r="O249" s="145">
        <v>33477</v>
      </c>
      <c r="P249" s="131">
        <v>171216</v>
      </c>
      <c r="Q249" s="307"/>
      <c r="R249" s="145">
        <v>190810</v>
      </c>
      <c r="S249" s="145"/>
      <c r="T249" s="131">
        <v>30766</v>
      </c>
      <c r="U249" s="307">
        <v>500</v>
      </c>
      <c r="V249" s="145"/>
      <c r="W249" s="145"/>
      <c r="X249" s="131"/>
      <c r="Y249" s="307"/>
      <c r="Z249" s="145">
        <v>91589</v>
      </c>
      <c r="AA249" s="145">
        <v>500</v>
      </c>
      <c r="AB249" s="131">
        <v>1165</v>
      </c>
      <c r="AC249" s="307"/>
      <c r="AD249" s="131">
        <v>528764</v>
      </c>
      <c r="AE249" s="307">
        <v>500</v>
      </c>
      <c r="AF249" s="533">
        <v>212</v>
      </c>
      <c r="AG249" s="145">
        <v>197842</v>
      </c>
      <c r="AH249" s="145"/>
      <c r="AI249" s="131">
        <v>1432</v>
      </c>
      <c r="AJ249" s="307"/>
      <c r="AK249" s="145">
        <v>1175335</v>
      </c>
      <c r="AL249" s="145"/>
      <c r="AM249" s="131">
        <v>20830</v>
      </c>
      <c r="AN249" s="131">
        <v>1395439</v>
      </c>
      <c r="AO249" s="307"/>
      <c r="AP249" s="131">
        <v>126240</v>
      </c>
      <c r="AQ249" s="307">
        <v>5</v>
      </c>
      <c r="AR249" s="145">
        <v>241563</v>
      </c>
      <c r="AS249" s="307">
        <v>30</v>
      </c>
    </row>
    <row r="250" spans="1:45" x14ac:dyDescent="0.2">
      <c r="A250" s="535" t="s">
        <v>4772</v>
      </c>
      <c r="B250" s="535">
        <v>42</v>
      </c>
      <c r="C250" s="309">
        <v>1615</v>
      </c>
      <c r="D250" s="310"/>
      <c r="E250" s="535">
        <v>21</v>
      </c>
      <c r="F250" s="309">
        <v>14814</v>
      </c>
      <c r="G250" s="364"/>
      <c r="H250" s="535">
        <v>37</v>
      </c>
      <c r="I250" s="309">
        <v>1308</v>
      </c>
      <c r="J250" s="310"/>
      <c r="K250" s="535">
        <v>21</v>
      </c>
      <c r="L250" s="309">
        <v>14604</v>
      </c>
      <c r="M250" s="364"/>
      <c r="N250" s="535">
        <v>242145</v>
      </c>
      <c r="O250" s="309">
        <v>33350</v>
      </c>
      <c r="P250" s="230">
        <v>133645</v>
      </c>
      <c r="Q250" s="364"/>
      <c r="R250" s="309">
        <v>257357</v>
      </c>
      <c r="S250" s="309"/>
      <c r="T250" s="230">
        <v>44981</v>
      </c>
      <c r="U250" s="364">
        <v>500</v>
      </c>
      <c r="V250" s="309"/>
      <c r="W250" s="309"/>
      <c r="X250" s="230"/>
      <c r="Y250" s="364"/>
      <c r="Z250" s="309">
        <v>216383</v>
      </c>
      <c r="AA250" s="309"/>
      <c r="AB250" s="230">
        <v>3461</v>
      </c>
      <c r="AC250" s="364"/>
      <c r="AD250" s="230">
        <v>715732</v>
      </c>
      <c r="AE250" s="364">
        <v>500</v>
      </c>
      <c r="AF250" s="535">
        <v>545</v>
      </c>
      <c r="AG250" s="309">
        <v>191311</v>
      </c>
      <c r="AH250" s="309">
        <v>500</v>
      </c>
      <c r="AI250" s="230">
        <v>247</v>
      </c>
      <c r="AJ250" s="364"/>
      <c r="AK250" s="309">
        <v>1307981</v>
      </c>
      <c r="AL250" s="309">
        <v>500</v>
      </c>
      <c r="AM250" s="230">
        <v>42183</v>
      </c>
      <c r="AN250" s="230">
        <v>1541723</v>
      </c>
      <c r="AO250" s="364"/>
      <c r="AP250" s="230">
        <v>177473</v>
      </c>
      <c r="AQ250" s="364">
        <v>60</v>
      </c>
      <c r="AR250" s="309">
        <v>231916</v>
      </c>
      <c r="AS250" s="364">
        <v>30</v>
      </c>
    </row>
    <row r="251" spans="1:45" x14ac:dyDescent="0.2">
      <c r="A251" s="785" t="s">
        <v>4773</v>
      </c>
      <c r="B251" s="535">
        <v>555</v>
      </c>
      <c r="C251" s="309">
        <v>33405</v>
      </c>
      <c r="D251" s="310"/>
      <c r="E251" s="535">
        <v>250</v>
      </c>
      <c r="F251" s="309">
        <v>248670</v>
      </c>
      <c r="G251" s="364"/>
      <c r="H251" s="535">
        <v>562</v>
      </c>
      <c r="I251" s="309">
        <v>33829</v>
      </c>
      <c r="J251" s="310"/>
      <c r="K251" s="535">
        <v>250</v>
      </c>
      <c r="L251" s="309">
        <v>249961</v>
      </c>
      <c r="M251" s="364"/>
      <c r="N251" s="309">
        <v>2492103</v>
      </c>
      <c r="O251" s="309">
        <v>411330</v>
      </c>
      <c r="P251" s="230">
        <v>5101792</v>
      </c>
      <c r="Q251" s="364">
        <v>250</v>
      </c>
      <c r="R251" s="309">
        <v>3519091</v>
      </c>
      <c r="S251" s="309"/>
      <c r="T251" s="230">
        <v>781446</v>
      </c>
      <c r="U251" s="364"/>
      <c r="V251" s="309"/>
      <c r="W251" s="309"/>
      <c r="X251" s="230"/>
      <c r="Y251" s="364"/>
      <c r="Z251" s="309">
        <v>2585246</v>
      </c>
      <c r="AA251" s="309"/>
      <c r="AB251" s="230">
        <v>44765</v>
      </c>
      <c r="AC251" s="364">
        <v>500</v>
      </c>
      <c r="AD251" s="309">
        <v>13037219</v>
      </c>
      <c r="AE251" s="309">
        <v>550</v>
      </c>
      <c r="AF251" s="535">
        <v>3706</v>
      </c>
      <c r="AG251" s="309">
        <v>2137010</v>
      </c>
      <c r="AH251" s="309">
        <v>500</v>
      </c>
      <c r="AI251" s="230">
        <v>23200</v>
      </c>
      <c r="AJ251" s="364">
        <v>250</v>
      </c>
      <c r="AK251" s="309">
        <v>19244191</v>
      </c>
      <c r="AL251" s="309"/>
      <c r="AM251" s="230">
        <v>485441</v>
      </c>
      <c r="AN251" s="230">
        <v>21889842</v>
      </c>
      <c r="AO251" s="364">
        <v>750</v>
      </c>
      <c r="AP251" s="230">
        <v>2440559</v>
      </c>
      <c r="AQ251" s="364">
        <v>65</v>
      </c>
      <c r="AR251" s="309">
        <v>2961994</v>
      </c>
      <c r="AS251" s="364">
        <v>66</v>
      </c>
    </row>
    <row r="252" spans="1:45" x14ac:dyDescent="0.2">
      <c r="B252" s="393">
        <f>+SUM(B239:B250)</f>
        <v>555</v>
      </c>
      <c r="C252" s="393">
        <f t="shared" ref="C252:AS252" si="10">+SUM(C239:C250)</f>
        <v>33403</v>
      </c>
      <c r="D252" s="1078">
        <f t="shared" si="10"/>
        <v>2</v>
      </c>
      <c r="E252" s="393">
        <f t="shared" si="10"/>
        <v>250</v>
      </c>
      <c r="F252" s="393">
        <f t="shared" si="10"/>
        <v>248670</v>
      </c>
      <c r="G252" s="393">
        <f t="shared" si="10"/>
        <v>0</v>
      </c>
      <c r="H252" s="393">
        <f t="shared" si="10"/>
        <v>562</v>
      </c>
      <c r="I252" s="393">
        <f t="shared" si="10"/>
        <v>32825</v>
      </c>
      <c r="J252" s="1078">
        <f t="shared" si="10"/>
        <v>4</v>
      </c>
      <c r="K252" s="393">
        <f t="shared" si="10"/>
        <v>250</v>
      </c>
      <c r="L252" s="393">
        <f t="shared" si="10"/>
        <v>249961</v>
      </c>
      <c r="M252" s="393">
        <f t="shared" si="10"/>
        <v>0</v>
      </c>
      <c r="N252" s="1137">
        <f t="shared" si="10"/>
        <v>2429113</v>
      </c>
      <c r="O252" s="393">
        <f t="shared" si="10"/>
        <v>411330</v>
      </c>
      <c r="P252" s="393">
        <f t="shared" si="10"/>
        <v>5101789</v>
      </c>
      <c r="Q252" s="393">
        <f t="shared" si="10"/>
        <v>3250</v>
      </c>
      <c r="R252" s="393">
        <f t="shared" si="10"/>
        <v>3519088</v>
      </c>
      <c r="S252" s="393">
        <f t="shared" si="10"/>
        <v>3000</v>
      </c>
      <c r="T252" s="1137">
        <f t="shared" si="10"/>
        <v>781444</v>
      </c>
      <c r="U252" s="393">
        <f t="shared" si="10"/>
        <v>3000</v>
      </c>
      <c r="V252" s="393">
        <f t="shared" si="10"/>
        <v>0</v>
      </c>
      <c r="W252" s="393">
        <f t="shared" si="10"/>
        <v>0</v>
      </c>
      <c r="X252" s="393">
        <f t="shared" si="10"/>
        <v>0</v>
      </c>
      <c r="Y252" s="393">
        <f t="shared" si="10"/>
        <v>0</v>
      </c>
      <c r="Z252" s="1137">
        <f t="shared" si="10"/>
        <v>3085244</v>
      </c>
      <c r="AA252" s="393">
        <f t="shared" si="10"/>
        <v>2000</v>
      </c>
      <c r="AB252" s="1137">
        <f t="shared" si="10"/>
        <v>44265</v>
      </c>
      <c r="AC252" s="393">
        <f t="shared" si="10"/>
        <v>500</v>
      </c>
      <c r="AD252" s="393">
        <f t="shared" si="10"/>
        <v>13037213</v>
      </c>
      <c r="AE252" s="393">
        <f t="shared" si="10"/>
        <v>6050</v>
      </c>
      <c r="AF252" s="1137">
        <f t="shared" si="10"/>
        <v>3700</v>
      </c>
      <c r="AG252" s="1137">
        <f t="shared" si="10"/>
        <v>2140422</v>
      </c>
      <c r="AH252" s="393">
        <f t="shared" si="10"/>
        <v>3000</v>
      </c>
      <c r="AI252" s="393">
        <f t="shared" si="10"/>
        <v>23199</v>
      </c>
      <c r="AJ252" s="393">
        <f t="shared" si="10"/>
        <v>1250</v>
      </c>
      <c r="AK252" s="393">
        <f t="shared" si="10"/>
        <v>19744190</v>
      </c>
      <c r="AL252" s="393">
        <f t="shared" si="10"/>
        <v>1000</v>
      </c>
      <c r="AM252" s="1137">
        <f t="shared" si="10"/>
        <v>482111</v>
      </c>
      <c r="AN252" s="1137">
        <f t="shared" si="10"/>
        <v>21889923</v>
      </c>
      <c r="AO252" s="393">
        <f t="shared" si="10"/>
        <v>1750</v>
      </c>
      <c r="AP252" s="1137">
        <f t="shared" si="10"/>
        <v>2450823</v>
      </c>
      <c r="AQ252" s="393">
        <f t="shared" si="10"/>
        <v>661</v>
      </c>
      <c r="AR252" s="393">
        <f t="shared" si="10"/>
        <v>2961988</v>
      </c>
      <c r="AS252" s="393">
        <f t="shared" si="10"/>
        <v>666</v>
      </c>
    </row>
    <row r="255" spans="1:45" x14ac:dyDescent="0.2">
      <c r="A255" s="526" t="s">
        <v>1988</v>
      </c>
    </row>
    <row r="256" spans="1:45" ht="33.5" customHeight="1" x14ac:dyDescent="0.2">
      <c r="A256" s="1319" t="s">
        <v>4808</v>
      </c>
      <c r="B256" s="1320"/>
      <c r="C256" s="1320"/>
      <c r="D256" s="1320"/>
      <c r="E256" s="1320"/>
      <c r="F256" s="1320"/>
      <c r="G256" s="1320"/>
      <c r="H256" s="1320"/>
      <c r="I256" s="1320"/>
      <c r="J256" s="1320"/>
      <c r="K256" s="1320"/>
      <c r="L256" s="1320"/>
      <c r="M256" s="1320"/>
      <c r="N256" s="1320"/>
      <c r="O256" s="1320"/>
      <c r="P256" s="1320"/>
      <c r="Q256" s="1320"/>
      <c r="R256" s="1320"/>
      <c r="S256" s="1320"/>
      <c r="T256" s="1320"/>
      <c r="U256" s="1320"/>
      <c r="V256" s="1320"/>
      <c r="W256" s="1320"/>
      <c r="X256" s="1320"/>
      <c r="Y256" s="1320"/>
      <c r="Z256" s="1320"/>
      <c r="AA256" s="1320"/>
      <c r="AB256" s="1320"/>
      <c r="AC256" s="1320"/>
      <c r="AD256" s="1320"/>
      <c r="AE256" s="1320"/>
      <c r="AF256" s="1320"/>
      <c r="AG256" s="1320"/>
      <c r="AH256" s="1320"/>
      <c r="AI256" s="1320"/>
      <c r="AJ256" s="1320"/>
      <c r="AK256" s="1320"/>
      <c r="AL256" s="1320"/>
      <c r="AM256" s="1320"/>
      <c r="AN256" s="1320"/>
      <c r="AO256" s="1320"/>
      <c r="AP256" s="1320"/>
      <c r="AQ256" s="1320"/>
      <c r="AR256" s="1321"/>
    </row>
    <row r="257" spans="1:44" ht="22.75" customHeight="1" x14ac:dyDescent="0.2">
      <c r="A257" s="616" t="s">
        <v>4784</v>
      </c>
      <c r="B257" s="617"/>
      <c r="C257" s="617"/>
      <c r="D257" s="617"/>
      <c r="E257" s="617"/>
      <c r="F257" s="617"/>
      <c r="G257" s="617"/>
      <c r="H257" s="617"/>
      <c r="I257" s="617"/>
      <c r="J257" s="617"/>
      <c r="K257" s="617"/>
      <c r="L257" s="617"/>
      <c r="M257" s="617"/>
      <c r="N257" s="617"/>
      <c r="O257" s="617"/>
      <c r="P257" s="617"/>
      <c r="Q257" s="617"/>
      <c r="R257" s="617"/>
      <c r="S257" s="617"/>
      <c r="T257" s="617"/>
      <c r="U257" s="617"/>
      <c r="V257" s="617"/>
      <c r="W257" s="617"/>
      <c r="X257" s="617"/>
      <c r="Y257" s="617"/>
      <c r="Z257" s="617"/>
      <c r="AA257" s="617"/>
      <c r="AB257" s="617"/>
      <c r="AC257" s="617"/>
      <c r="AD257" s="617"/>
      <c r="AE257" s="617"/>
      <c r="AF257" s="617"/>
      <c r="AG257" s="617"/>
      <c r="AH257" s="617"/>
      <c r="AI257" s="617"/>
      <c r="AJ257" s="617"/>
      <c r="AK257" s="617"/>
      <c r="AL257" s="617"/>
      <c r="AM257" s="617"/>
      <c r="AN257" s="617"/>
      <c r="AO257" s="617"/>
      <c r="AP257" s="617"/>
      <c r="AQ257" s="617"/>
      <c r="AR257" s="618"/>
    </row>
    <row r="258" spans="1:44" ht="25.75" customHeight="1" x14ac:dyDescent="0.2">
      <c r="A258" s="967" t="s">
        <v>4713</v>
      </c>
      <c r="B258" s="609" t="s">
        <v>3393</v>
      </c>
      <c r="C258" s="967"/>
      <c r="D258" s="967"/>
      <c r="E258" s="967"/>
      <c r="F258" s="967"/>
      <c r="G258" s="967"/>
      <c r="H258" s="967"/>
      <c r="I258" s="967"/>
      <c r="J258" s="967"/>
      <c r="K258" s="967"/>
      <c r="L258" s="967"/>
      <c r="M258" s="967"/>
      <c r="N258" s="967" t="s">
        <v>4785</v>
      </c>
      <c r="O258" s="967"/>
      <c r="P258" s="608" t="s">
        <v>4786</v>
      </c>
      <c r="Q258" s="778"/>
      <c r="R258" s="778"/>
      <c r="S258" s="778"/>
      <c r="T258" s="778"/>
      <c r="U258" s="778"/>
      <c r="V258" s="778"/>
      <c r="W258" s="778"/>
      <c r="X258" s="778"/>
      <c r="Y258" s="778"/>
      <c r="Z258" s="778"/>
      <c r="AA258" s="778"/>
      <c r="AB258" s="778"/>
      <c r="AC258" s="778"/>
      <c r="AD258" s="778"/>
      <c r="AE258" s="778"/>
      <c r="AF258" s="778"/>
      <c r="AG258" s="778"/>
      <c r="AH258" s="778"/>
      <c r="AI258" s="778"/>
      <c r="AJ258" s="778"/>
      <c r="AK258" s="778"/>
      <c r="AL258" s="778"/>
      <c r="AM258" s="778"/>
      <c r="AN258" s="609"/>
      <c r="AO258" s="967" t="s">
        <v>4787</v>
      </c>
      <c r="AP258" s="967"/>
      <c r="AQ258" s="967"/>
      <c r="AR258" s="967"/>
    </row>
    <row r="259" spans="1:44" ht="21" customHeight="1" x14ac:dyDescent="0.2">
      <c r="A259" s="967"/>
      <c r="B259" s="609" t="s">
        <v>4183</v>
      </c>
      <c r="C259" s="967"/>
      <c r="D259" s="967"/>
      <c r="E259" s="967"/>
      <c r="F259" s="967"/>
      <c r="G259" s="967"/>
      <c r="H259" s="967" t="s">
        <v>4184</v>
      </c>
      <c r="I259" s="967"/>
      <c r="J259" s="967"/>
      <c r="K259" s="967"/>
      <c r="L259" s="967"/>
      <c r="M259" s="967"/>
      <c r="N259" s="967" t="s">
        <v>4185</v>
      </c>
      <c r="O259" s="967" t="s">
        <v>4788</v>
      </c>
      <c r="P259" s="967" t="s">
        <v>4789</v>
      </c>
      <c r="Q259" s="967"/>
      <c r="R259" s="967"/>
      <c r="S259" s="967"/>
      <c r="T259" s="967"/>
      <c r="U259" s="967"/>
      <c r="V259" s="967"/>
      <c r="W259" s="967"/>
      <c r="X259" s="967"/>
      <c r="Y259" s="967"/>
      <c r="Z259" s="967"/>
      <c r="AA259" s="967"/>
      <c r="AB259" s="967"/>
      <c r="AC259" s="967"/>
      <c r="AD259" s="967"/>
      <c r="AE259" s="967"/>
      <c r="AF259" s="967" t="s">
        <v>4790</v>
      </c>
      <c r="AG259" s="608" t="s">
        <v>4791</v>
      </c>
      <c r="AH259" s="778"/>
      <c r="AI259" s="778"/>
      <c r="AJ259" s="778"/>
      <c r="AK259" s="778"/>
      <c r="AL259" s="778"/>
      <c r="AM259" s="778"/>
      <c r="AN259" s="609"/>
      <c r="AO259" s="967" t="s">
        <v>4185</v>
      </c>
      <c r="AP259" s="967"/>
      <c r="AQ259" s="967" t="s">
        <v>4788</v>
      </c>
      <c r="AR259" s="967"/>
    </row>
    <row r="260" spans="1:44" s="1416" customFormat="1" ht="25.75" customHeight="1" x14ac:dyDescent="0.15">
      <c r="A260" s="967"/>
      <c r="B260" s="1351" t="s">
        <v>4792</v>
      </c>
      <c r="C260" s="1344"/>
      <c r="D260" s="1344"/>
      <c r="E260" s="1344" t="s">
        <v>4793</v>
      </c>
      <c r="F260" s="1344"/>
      <c r="G260" s="1344"/>
      <c r="H260" s="1344" t="s">
        <v>4792</v>
      </c>
      <c r="I260" s="1344"/>
      <c r="J260" s="1344"/>
      <c r="K260" s="1344" t="s">
        <v>4793</v>
      </c>
      <c r="L260" s="1344"/>
      <c r="M260" s="1344"/>
      <c r="N260" s="967"/>
      <c r="O260" s="967"/>
      <c r="P260" s="1344" t="s">
        <v>4794</v>
      </c>
      <c r="Q260" s="1344"/>
      <c r="R260" s="1344" t="s">
        <v>4795</v>
      </c>
      <c r="S260" s="1344"/>
      <c r="T260" s="1344" t="s">
        <v>4796</v>
      </c>
      <c r="U260" s="1344"/>
      <c r="V260" s="1414" t="s">
        <v>4797</v>
      </c>
      <c r="W260" s="1414"/>
      <c r="X260" s="1414" t="s">
        <v>4798</v>
      </c>
      <c r="Y260" s="1414"/>
      <c r="Z260" s="1344" t="s">
        <v>4728</v>
      </c>
      <c r="AA260" s="1344"/>
      <c r="AB260" s="1344" t="s">
        <v>4799</v>
      </c>
      <c r="AC260" s="1344"/>
      <c r="AD260" s="1344" t="s">
        <v>1170</v>
      </c>
      <c r="AE260" s="1344"/>
      <c r="AF260" s="967"/>
      <c r="AG260" s="1344" t="s">
        <v>4809</v>
      </c>
      <c r="AH260" s="1344"/>
      <c r="AI260" s="1344" t="s">
        <v>4801</v>
      </c>
      <c r="AJ260" s="1344"/>
      <c r="AK260" s="1415" t="s">
        <v>4802</v>
      </c>
      <c r="AL260" s="1415" t="s">
        <v>4070</v>
      </c>
      <c r="AM260" s="1351" t="s">
        <v>1170</v>
      </c>
      <c r="AN260" s="1344"/>
      <c r="AO260" s="967"/>
      <c r="AP260" s="967"/>
      <c r="AQ260" s="967"/>
      <c r="AR260" s="967"/>
    </row>
    <row r="261" spans="1:44" s="1416" customFormat="1" ht="25.75" customHeight="1" x14ac:dyDescent="0.15">
      <c r="A261" s="967"/>
      <c r="B261" s="1293" t="s">
        <v>4803</v>
      </c>
      <c r="C261" s="1365" t="s">
        <v>3406</v>
      </c>
      <c r="D261" s="1365"/>
      <c r="E261" s="1365" t="s">
        <v>4803</v>
      </c>
      <c r="F261" s="1365" t="s">
        <v>3406</v>
      </c>
      <c r="G261" s="1365"/>
      <c r="H261" s="1365" t="s">
        <v>4803</v>
      </c>
      <c r="I261" s="1365" t="s">
        <v>3406</v>
      </c>
      <c r="J261" s="1365"/>
      <c r="K261" s="1365" t="s">
        <v>4803</v>
      </c>
      <c r="L261" s="1365" t="s">
        <v>3406</v>
      </c>
      <c r="M261" s="1365"/>
      <c r="N261" s="967"/>
      <c r="O261" s="967"/>
      <c r="P261" s="1344"/>
      <c r="Q261" s="1344"/>
      <c r="R261" s="1344"/>
      <c r="S261" s="1344"/>
      <c r="T261" s="1344"/>
      <c r="U261" s="1344"/>
      <c r="V261" s="1414"/>
      <c r="W261" s="1414"/>
      <c r="X261" s="1414"/>
      <c r="Y261" s="1414"/>
      <c r="Z261" s="1344"/>
      <c r="AA261" s="1344"/>
      <c r="AB261" s="1344"/>
      <c r="AC261" s="1344"/>
      <c r="AD261" s="1344"/>
      <c r="AE261" s="1344"/>
      <c r="AF261" s="967"/>
      <c r="AG261" s="1344"/>
      <c r="AH261" s="1344"/>
      <c r="AI261" s="1344"/>
      <c r="AJ261" s="1344"/>
      <c r="AK261" s="1417"/>
      <c r="AL261" s="1417"/>
      <c r="AM261" s="1351"/>
      <c r="AN261" s="1344"/>
      <c r="AO261" s="967"/>
      <c r="AP261" s="967"/>
      <c r="AQ261" s="967"/>
      <c r="AR261" s="967"/>
    </row>
    <row r="262" spans="1:44" x14ac:dyDescent="0.2">
      <c r="A262" s="967"/>
      <c r="B262" s="1293"/>
      <c r="C262" s="1365"/>
      <c r="D262" s="1365"/>
      <c r="E262" s="1365"/>
      <c r="F262" s="1365"/>
      <c r="G262" s="1365"/>
      <c r="H262" s="1365"/>
      <c r="I262" s="1365"/>
      <c r="J262" s="1365"/>
      <c r="K262" s="1365"/>
      <c r="L262" s="1365"/>
      <c r="M262" s="1365"/>
      <c r="N262" s="1290" t="s">
        <v>4804</v>
      </c>
      <c r="O262" s="1290" t="s">
        <v>4804</v>
      </c>
      <c r="P262" s="1290" t="s">
        <v>4805</v>
      </c>
      <c r="Q262" s="1290" t="s">
        <v>4806</v>
      </c>
      <c r="R262" s="1290" t="s">
        <v>4805</v>
      </c>
      <c r="S262" s="1290" t="s">
        <v>4806</v>
      </c>
      <c r="T262" s="1290" t="s">
        <v>4805</v>
      </c>
      <c r="U262" s="1290" t="s">
        <v>4806</v>
      </c>
      <c r="V262" s="1412" t="s">
        <v>4805</v>
      </c>
      <c r="W262" s="1412" t="s">
        <v>4806</v>
      </c>
      <c r="X262" s="1412" t="s">
        <v>4805</v>
      </c>
      <c r="Y262" s="1412" t="s">
        <v>4806</v>
      </c>
      <c r="Z262" s="1290" t="s">
        <v>4805</v>
      </c>
      <c r="AA262" s="1290" t="s">
        <v>4806</v>
      </c>
      <c r="AB262" s="1290" t="s">
        <v>4805</v>
      </c>
      <c r="AC262" s="1290" t="s">
        <v>4806</v>
      </c>
      <c r="AD262" s="1290" t="s">
        <v>4805</v>
      </c>
      <c r="AE262" s="1290" t="s">
        <v>4806</v>
      </c>
      <c r="AF262" s="1290" t="s">
        <v>4605</v>
      </c>
      <c r="AG262" s="1290" t="s">
        <v>4805</v>
      </c>
      <c r="AH262" s="1290" t="s">
        <v>4806</v>
      </c>
      <c r="AI262" s="1290" t="s">
        <v>4805</v>
      </c>
      <c r="AJ262" s="1290" t="s">
        <v>4806</v>
      </c>
      <c r="AK262" s="1290" t="s">
        <v>4805</v>
      </c>
      <c r="AL262" s="1290" t="s">
        <v>4805</v>
      </c>
      <c r="AM262" s="1361" t="s">
        <v>4805</v>
      </c>
      <c r="AN262" s="1290" t="s">
        <v>4806</v>
      </c>
      <c r="AO262" s="1290" t="s">
        <v>3488</v>
      </c>
      <c r="AP262" s="1290" t="s">
        <v>3374</v>
      </c>
      <c r="AQ262" s="1290" t="s">
        <v>3488</v>
      </c>
      <c r="AR262" s="1290" t="s">
        <v>3374</v>
      </c>
    </row>
    <row r="263" spans="1:44" x14ac:dyDescent="0.2">
      <c r="A263" s="533" t="s">
        <v>4810</v>
      </c>
      <c r="B263" s="716"/>
      <c r="C263" s="145"/>
      <c r="D263" s="180"/>
      <c r="E263" s="716"/>
      <c r="F263" s="350"/>
      <c r="G263" s="717"/>
      <c r="H263" s="716"/>
      <c r="I263" s="145"/>
      <c r="J263" s="145"/>
      <c r="K263" s="716"/>
      <c r="L263" s="350"/>
      <c r="M263" s="717"/>
      <c r="N263" s="716"/>
      <c r="O263" s="145"/>
      <c r="P263" s="349"/>
      <c r="Q263" s="717"/>
      <c r="R263" s="145"/>
      <c r="S263" s="145"/>
      <c r="T263" s="349"/>
      <c r="U263" s="717"/>
      <c r="V263" s="145"/>
      <c r="W263" s="145"/>
      <c r="X263" s="349"/>
      <c r="Y263" s="717"/>
      <c r="Z263" s="145"/>
      <c r="AA263" s="145"/>
      <c r="AB263" s="349"/>
      <c r="AC263" s="717"/>
      <c r="AD263" s="145"/>
      <c r="AE263" s="145"/>
      <c r="AF263" s="716"/>
      <c r="AG263" s="145"/>
      <c r="AH263" s="145"/>
      <c r="AI263" s="349"/>
      <c r="AJ263" s="717"/>
      <c r="AK263" s="145"/>
      <c r="AL263" s="716"/>
      <c r="AM263" s="349"/>
      <c r="AN263" s="717"/>
      <c r="AO263" s="349"/>
      <c r="AP263" s="717"/>
      <c r="AQ263" s="145"/>
      <c r="AR263" s="307"/>
    </row>
    <row r="264" spans="1:44" x14ac:dyDescent="0.2">
      <c r="A264" s="533" t="s">
        <v>1517</v>
      </c>
      <c r="B264" s="533">
        <v>34</v>
      </c>
      <c r="C264" s="145">
        <v>2064</v>
      </c>
      <c r="D264" s="180">
        <v>0.5</v>
      </c>
      <c r="E264" s="533">
        <v>49</v>
      </c>
      <c r="F264" s="145">
        <v>16247</v>
      </c>
      <c r="G264" s="307"/>
      <c r="H264" s="533">
        <v>36</v>
      </c>
      <c r="I264" s="145">
        <v>2937</v>
      </c>
      <c r="J264" s="145"/>
      <c r="K264" s="533">
        <v>50</v>
      </c>
      <c r="L264" s="145">
        <v>16504</v>
      </c>
      <c r="M264" s="307"/>
      <c r="N264" s="533">
        <v>1441329</v>
      </c>
      <c r="O264" s="145">
        <v>59195</v>
      </c>
      <c r="P264" s="131">
        <v>387136</v>
      </c>
      <c r="Q264" s="307">
        <v>500</v>
      </c>
      <c r="R264" s="145">
        <v>277717</v>
      </c>
      <c r="S264" s="145"/>
      <c r="T264" s="131">
        <v>150067</v>
      </c>
      <c r="U264" s="307"/>
      <c r="V264" s="145"/>
      <c r="W264" s="145"/>
      <c r="X264" s="131"/>
      <c r="Y264" s="307"/>
      <c r="Z264" s="145">
        <v>1405106</v>
      </c>
      <c r="AA264" s="145"/>
      <c r="AB264" s="131">
        <v>12444</v>
      </c>
      <c r="AC264" s="307">
        <v>500</v>
      </c>
      <c r="AD264" s="145">
        <v>2415523</v>
      </c>
      <c r="AE264" s="145">
        <v>500</v>
      </c>
      <c r="AF264" s="533"/>
      <c r="AG264" s="145">
        <v>367958</v>
      </c>
      <c r="AH264" s="145"/>
      <c r="AI264" s="131">
        <v>2835</v>
      </c>
      <c r="AJ264" s="307">
        <v>250</v>
      </c>
      <c r="AK264" s="145">
        <v>570596</v>
      </c>
      <c r="AL264" s="533">
        <v>3787</v>
      </c>
      <c r="AM264" s="131">
        <v>945176</v>
      </c>
      <c r="AN264" s="307">
        <v>250</v>
      </c>
      <c r="AO264" s="131">
        <v>421775</v>
      </c>
      <c r="AP264" s="307">
        <v>65</v>
      </c>
      <c r="AQ264" s="145">
        <v>251887</v>
      </c>
      <c r="AR264" s="307">
        <v>7</v>
      </c>
    </row>
    <row r="265" spans="1:44" x14ac:dyDescent="0.2">
      <c r="A265" s="533" t="s">
        <v>4033</v>
      </c>
      <c r="B265" s="533">
        <v>40</v>
      </c>
      <c r="C265" s="145">
        <v>6127</v>
      </c>
      <c r="D265" s="180"/>
      <c r="E265" s="533">
        <v>127</v>
      </c>
      <c r="F265" s="145">
        <v>198855</v>
      </c>
      <c r="G265" s="307"/>
      <c r="H265" s="533">
        <v>39</v>
      </c>
      <c r="I265" s="145">
        <v>5957</v>
      </c>
      <c r="J265" s="145"/>
      <c r="K265" s="533">
        <v>127</v>
      </c>
      <c r="L265" s="145">
        <v>198855</v>
      </c>
      <c r="M265" s="307"/>
      <c r="N265" s="533">
        <v>322014</v>
      </c>
      <c r="O265" s="145">
        <v>144741</v>
      </c>
      <c r="P265" s="131">
        <v>2929624</v>
      </c>
      <c r="Q265" s="307"/>
      <c r="R265" s="145">
        <v>2180732</v>
      </c>
      <c r="S265" s="145"/>
      <c r="T265" s="131">
        <v>428120</v>
      </c>
      <c r="U265" s="307"/>
      <c r="V265" s="145"/>
      <c r="W265" s="145"/>
      <c r="X265" s="131"/>
      <c r="Y265" s="307"/>
      <c r="Z265" s="145">
        <v>27</v>
      </c>
      <c r="AA265" s="145"/>
      <c r="AB265" s="131">
        <v>19670</v>
      </c>
      <c r="AC265" s="307"/>
      <c r="AD265" s="145">
        <v>5934125</v>
      </c>
      <c r="AE265" s="145"/>
      <c r="AF265" s="533">
        <v>3048</v>
      </c>
      <c r="AG265" s="145">
        <v>908119</v>
      </c>
      <c r="AH265" s="145"/>
      <c r="AI265" s="131">
        <v>20290</v>
      </c>
      <c r="AJ265" s="307"/>
      <c r="AK265" s="145">
        <v>6300036</v>
      </c>
      <c r="AL265" s="533">
        <v>164418</v>
      </c>
      <c r="AM265" s="131">
        <v>7392863</v>
      </c>
      <c r="AN265" s="307"/>
      <c r="AO265" s="131">
        <v>1069822</v>
      </c>
      <c r="AP265" s="307"/>
      <c r="AQ265" s="145">
        <v>1028937</v>
      </c>
      <c r="AR265" s="307"/>
    </row>
    <row r="266" spans="1:44" x14ac:dyDescent="0.2">
      <c r="A266" s="533" t="s">
        <v>1519</v>
      </c>
      <c r="B266" s="533">
        <v>283</v>
      </c>
      <c r="C266" s="145">
        <v>7201</v>
      </c>
      <c r="D266" s="180"/>
      <c r="E266" s="533"/>
      <c r="F266" s="145"/>
      <c r="G266" s="307"/>
      <c r="H266" s="533">
        <v>281</v>
      </c>
      <c r="I266" s="145">
        <v>7102</v>
      </c>
      <c r="J266" s="145"/>
      <c r="K266" s="533"/>
      <c r="L266" s="145"/>
      <c r="M266" s="307"/>
      <c r="N266" s="533">
        <v>40253</v>
      </c>
      <c r="O266" s="145">
        <v>135153</v>
      </c>
      <c r="P266" s="131">
        <v>80011</v>
      </c>
      <c r="Q266" s="307">
        <v>500</v>
      </c>
      <c r="R266" s="145">
        <v>477519</v>
      </c>
      <c r="S266" s="145">
        <v>500</v>
      </c>
      <c r="T266" s="131">
        <v>116555</v>
      </c>
      <c r="U266" s="307">
        <v>250</v>
      </c>
      <c r="V266" s="145"/>
      <c r="W266" s="145"/>
      <c r="X266" s="131"/>
      <c r="Y266" s="307"/>
      <c r="Z266" s="145">
        <v>692750</v>
      </c>
      <c r="AA266" s="145"/>
      <c r="AB266" s="131">
        <v>9857</v>
      </c>
      <c r="AC266" s="307">
        <v>500</v>
      </c>
      <c r="AD266" s="145">
        <v>1669409</v>
      </c>
      <c r="AE266" s="145">
        <v>250</v>
      </c>
      <c r="AF266" s="533"/>
      <c r="AG266" s="145">
        <v>200464</v>
      </c>
      <c r="AH266" s="145"/>
      <c r="AI266" s="131"/>
      <c r="AJ266" s="307"/>
      <c r="AK266" s="145">
        <v>6685579</v>
      </c>
      <c r="AL266" s="533">
        <v>79704</v>
      </c>
      <c r="AM266" s="131">
        <v>6965747</v>
      </c>
      <c r="AN266" s="307"/>
      <c r="AO266" s="131">
        <v>408384</v>
      </c>
      <c r="AP266" s="307">
        <v>35</v>
      </c>
      <c r="AQ266" s="145">
        <v>1285520</v>
      </c>
      <c r="AR266" s="307">
        <v>76</v>
      </c>
    </row>
    <row r="267" spans="1:44" x14ac:dyDescent="0.2">
      <c r="A267" s="533" t="s">
        <v>4553</v>
      </c>
      <c r="B267" s="533"/>
      <c r="C267" s="145"/>
      <c r="D267" s="180"/>
      <c r="E267" s="533"/>
      <c r="F267" s="145"/>
      <c r="G267" s="307"/>
      <c r="H267" s="533"/>
      <c r="I267" s="145"/>
      <c r="J267" s="145"/>
      <c r="K267" s="533"/>
      <c r="L267" s="145"/>
      <c r="M267" s="307"/>
      <c r="N267" s="533">
        <v>2134</v>
      </c>
      <c r="O267" s="145"/>
      <c r="P267" s="131">
        <v>71604</v>
      </c>
      <c r="Q267" s="307"/>
      <c r="R267" s="145">
        <v>13671</v>
      </c>
      <c r="S267" s="145"/>
      <c r="T267" s="131">
        <v>4451</v>
      </c>
      <c r="U267" s="307">
        <v>500</v>
      </c>
      <c r="V267" s="145"/>
      <c r="W267" s="145"/>
      <c r="X267" s="131"/>
      <c r="Y267" s="307"/>
      <c r="Z267" s="145">
        <v>4124</v>
      </c>
      <c r="AA267" s="145"/>
      <c r="AB267" s="131">
        <v>27</v>
      </c>
      <c r="AC267" s="307"/>
      <c r="AD267" s="145">
        <v>112693</v>
      </c>
      <c r="AE267" s="145">
        <v>800</v>
      </c>
      <c r="AF267" s="533"/>
      <c r="AG267" s="145"/>
      <c r="AH267" s="145"/>
      <c r="AI267" s="131"/>
      <c r="AJ267" s="307"/>
      <c r="AK267" s="145"/>
      <c r="AL267" s="533"/>
      <c r="AM267" s="131"/>
      <c r="AN267" s="307"/>
      <c r="AO267" s="131">
        <v>136699</v>
      </c>
      <c r="AP267" s="307">
        <v>30</v>
      </c>
      <c r="AQ267" s="145"/>
      <c r="AR267" s="307"/>
    </row>
    <row r="268" spans="1:44" x14ac:dyDescent="0.2">
      <c r="A268" s="533" t="s">
        <v>1526</v>
      </c>
      <c r="B268" s="533">
        <v>150</v>
      </c>
      <c r="C268" s="145">
        <v>15150</v>
      </c>
      <c r="D268" s="180"/>
      <c r="E268" s="533"/>
      <c r="F268" s="145"/>
      <c r="G268" s="307"/>
      <c r="H268" s="533">
        <v>151</v>
      </c>
      <c r="I268" s="145">
        <v>14328</v>
      </c>
      <c r="J268" s="145"/>
      <c r="K268" s="533"/>
      <c r="L268" s="145"/>
      <c r="M268" s="307"/>
      <c r="N268" s="533">
        <v>50103</v>
      </c>
      <c r="O268" s="145">
        <v>21061</v>
      </c>
      <c r="P268" s="131">
        <v>621711</v>
      </c>
      <c r="Q268" s="307">
        <v>750</v>
      </c>
      <c r="R268" s="145">
        <v>152493</v>
      </c>
      <c r="S268" s="145"/>
      <c r="T268" s="131">
        <v>31798</v>
      </c>
      <c r="U268" s="307"/>
      <c r="V268" s="145"/>
      <c r="W268" s="145"/>
      <c r="X268" s="131"/>
      <c r="Y268" s="307"/>
      <c r="Z268" s="145"/>
      <c r="AA268" s="145"/>
      <c r="AB268" s="131"/>
      <c r="AC268" s="307"/>
      <c r="AD268" s="145">
        <v>893081</v>
      </c>
      <c r="AE268" s="145">
        <v>259</v>
      </c>
      <c r="AF268" s="533">
        <v>658</v>
      </c>
      <c r="AG268" s="145">
        <v>585242</v>
      </c>
      <c r="AH268" s="145"/>
      <c r="AI268" s="131">
        <v>50</v>
      </c>
      <c r="AJ268" s="307"/>
      <c r="AK268" s="145">
        <v>4616329</v>
      </c>
      <c r="AL268" s="533"/>
      <c r="AM268" s="131">
        <v>5201621</v>
      </c>
      <c r="AN268" s="307"/>
      <c r="AO268" s="131">
        <v>111502</v>
      </c>
      <c r="AP268" s="307"/>
      <c r="AQ268" s="145">
        <v>237100</v>
      </c>
      <c r="AR268" s="307">
        <v>47</v>
      </c>
    </row>
    <row r="269" spans="1:44" x14ac:dyDescent="0.2">
      <c r="A269" s="533" t="s">
        <v>1373</v>
      </c>
      <c r="B269" s="533">
        <v>24</v>
      </c>
      <c r="C269" s="145">
        <v>1491</v>
      </c>
      <c r="D269" s="180">
        <v>0.5</v>
      </c>
      <c r="E269" s="533">
        <v>12</v>
      </c>
      <c r="F269" s="145">
        <v>20276</v>
      </c>
      <c r="G269" s="307"/>
      <c r="H269" s="533">
        <v>25</v>
      </c>
      <c r="I269" s="145">
        <v>1958</v>
      </c>
      <c r="J269" s="145"/>
      <c r="K269" s="533">
        <v>12</v>
      </c>
      <c r="L269" s="145">
        <v>20276</v>
      </c>
      <c r="M269" s="307"/>
      <c r="N269" s="533">
        <v>11722</v>
      </c>
      <c r="O269" s="145">
        <v>1076</v>
      </c>
      <c r="P269" s="131">
        <v>895129</v>
      </c>
      <c r="Q269" s="307">
        <v>500</v>
      </c>
      <c r="R269" s="145">
        <v>178856</v>
      </c>
      <c r="S269" s="145">
        <v>500</v>
      </c>
      <c r="T269" s="131">
        <v>26568</v>
      </c>
      <c r="U269" s="307">
        <v>250</v>
      </c>
      <c r="V269" s="145"/>
      <c r="W269" s="145"/>
      <c r="X269" s="131"/>
      <c r="Y269" s="307"/>
      <c r="Z269" s="145"/>
      <c r="AA269" s="145"/>
      <c r="AB269" s="131">
        <v>544</v>
      </c>
      <c r="AC269" s="307">
        <v>500</v>
      </c>
      <c r="AD269" s="145">
        <v>1118436</v>
      </c>
      <c r="AE269" s="145">
        <v>750</v>
      </c>
      <c r="AF269" s="533"/>
      <c r="AG269" s="145">
        <v>9050</v>
      </c>
      <c r="AH269" s="145"/>
      <c r="AI269" s="131">
        <v>25</v>
      </c>
      <c r="AJ269" s="307"/>
      <c r="AK269" s="145">
        <v>5685</v>
      </c>
      <c r="AL269" s="533">
        <v>2128</v>
      </c>
      <c r="AM269" s="131">
        <v>16888</v>
      </c>
      <c r="AN269" s="307"/>
      <c r="AO269" s="131">
        <v>77682</v>
      </c>
      <c r="AP269" s="307"/>
      <c r="AQ269" s="145">
        <v>7797</v>
      </c>
      <c r="AR269" s="307"/>
    </row>
    <row r="270" spans="1:44" x14ac:dyDescent="0.2">
      <c r="A270" s="535" t="s">
        <v>1527</v>
      </c>
      <c r="B270" s="535">
        <v>24</v>
      </c>
      <c r="C270" s="309">
        <v>1371</v>
      </c>
      <c r="D270" s="310"/>
      <c r="E270" s="535">
        <v>62</v>
      </c>
      <c r="F270" s="309">
        <v>13292</v>
      </c>
      <c r="G270" s="364"/>
      <c r="H270" s="535">
        <v>30</v>
      </c>
      <c r="I270" s="309">
        <v>1547</v>
      </c>
      <c r="J270" s="309"/>
      <c r="K270" s="535">
        <v>61</v>
      </c>
      <c r="L270" s="309">
        <v>14326</v>
      </c>
      <c r="M270" s="364"/>
      <c r="N270" s="535">
        <v>561548</v>
      </c>
      <c r="O270" s="309">
        <v>50104</v>
      </c>
      <c r="P270" s="230">
        <v>116575</v>
      </c>
      <c r="Q270" s="364"/>
      <c r="R270" s="309">
        <v>238102</v>
      </c>
      <c r="S270" s="309"/>
      <c r="T270" s="230">
        <v>23886</v>
      </c>
      <c r="U270" s="364"/>
      <c r="V270" s="309"/>
      <c r="W270" s="309"/>
      <c r="X270" s="230"/>
      <c r="Y270" s="364"/>
      <c r="Z270" s="309">
        <v>483239</v>
      </c>
      <c r="AA270" s="309"/>
      <c r="AB270" s="230">
        <v>2222</v>
      </c>
      <c r="AC270" s="364"/>
      <c r="AD270" s="309">
        <v>893950</v>
      </c>
      <c r="AE270" s="309"/>
      <c r="AF270" s="535"/>
      <c r="AG270" s="309">
        <v>66177</v>
      </c>
      <c r="AH270" s="309">
        <v>500</v>
      </c>
      <c r="AI270" s="230"/>
      <c r="AJ270" s="364"/>
      <c r="AK270" s="309">
        <v>1065966</v>
      </c>
      <c r="AL270" s="535">
        <v>235404</v>
      </c>
      <c r="AM270" s="230">
        <v>1367547</v>
      </c>
      <c r="AN270" s="364">
        <v>500</v>
      </c>
      <c r="AO270" s="230">
        <v>214694</v>
      </c>
      <c r="AP270" s="364">
        <v>35</v>
      </c>
      <c r="AQ270" s="309">
        <v>150752</v>
      </c>
      <c r="AR270" s="364">
        <v>36</v>
      </c>
    </row>
    <row r="271" spans="1:44" x14ac:dyDescent="0.2">
      <c r="A271" s="785" t="s">
        <v>4773</v>
      </c>
      <c r="B271" s="535">
        <v>555</v>
      </c>
      <c r="C271" s="309">
        <v>33405</v>
      </c>
      <c r="D271" s="310"/>
      <c r="E271" s="535">
        <v>250</v>
      </c>
      <c r="F271" s="309">
        <v>248670</v>
      </c>
      <c r="G271" s="364"/>
      <c r="H271" s="535">
        <v>562</v>
      </c>
      <c r="I271" s="309">
        <v>33829</v>
      </c>
      <c r="J271" s="309"/>
      <c r="K271" s="535">
        <v>250</v>
      </c>
      <c r="L271" s="309">
        <v>249961</v>
      </c>
      <c r="M271" s="364"/>
      <c r="N271" s="535">
        <v>2429103</v>
      </c>
      <c r="O271" s="309">
        <v>411330</v>
      </c>
      <c r="P271" s="230">
        <v>5101792</v>
      </c>
      <c r="Q271" s="364">
        <v>250</v>
      </c>
      <c r="R271" s="309">
        <v>3519091</v>
      </c>
      <c r="S271" s="309"/>
      <c r="T271" s="230">
        <v>781446</v>
      </c>
      <c r="U271" s="364"/>
      <c r="V271" s="309"/>
      <c r="W271" s="309"/>
      <c r="X271" s="230"/>
      <c r="Y271" s="364"/>
      <c r="Z271" s="309">
        <v>2585246</v>
      </c>
      <c r="AA271" s="309"/>
      <c r="AB271" s="230">
        <v>44765</v>
      </c>
      <c r="AC271" s="364">
        <v>500</v>
      </c>
      <c r="AD271" s="309">
        <v>13037219</v>
      </c>
      <c r="AE271" s="309">
        <v>550</v>
      </c>
      <c r="AF271" s="535">
        <v>3706</v>
      </c>
      <c r="AG271" s="309">
        <v>2137010</v>
      </c>
      <c r="AH271" s="309">
        <v>500</v>
      </c>
      <c r="AI271" s="230">
        <v>23200</v>
      </c>
      <c r="AJ271" s="364">
        <v>250</v>
      </c>
      <c r="AK271" s="309">
        <v>19244191</v>
      </c>
      <c r="AL271" s="535">
        <v>485441</v>
      </c>
      <c r="AM271" s="309">
        <v>21889842</v>
      </c>
      <c r="AN271" s="309">
        <v>750</v>
      </c>
      <c r="AO271" s="230">
        <v>2440559</v>
      </c>
      <c r="AP271" s="364">
        <v>65</v>
      </c>
      <c r="AQ271" s="309">
        <v>2961994</v>
      </c>
      <c r="AR271" s="364">
        <v>66</v>
      </c>
    </row>
    <row r="272" spans="1:44" x14ac:dyDescent="0.2">
      <c r="A272" s="794"/>
      <c r="B272" s="435">
        <f>+SUM(B263:B270)</f>
        <v>555</v>
      </c>
      <c r="C272" s="435">
        <f t="shared" ref="C272:AR272" si="11">+SUM(C263:C270)</f>
        <v>33404</v>
      </c>
      <c r="D272" s="1176">
        <f t="shared" si="11"/>
        <v>1</v>
      </c>
      <c r="E272" s="435">
        <f t="shared" si="11"/>
        <v>250</v>
      </c>
      <c r="F272" s="435">
        <f t="shared" si="11"/>
        <v>248670</v>
      </c>
      <c r="G272" s="435">
        <f t="shared" si="11"/>
        <v>0</v>
      </c>
      <c r="H272" s="435">
        <f t="shared" si="11"/>
        <v>562</v>
      </c>
      <c r="I272" s="435">
        <f t="shared" si="11"/>
        <v>33829</v>
      </c>
      <c r="J272" s="435">
        <f t="shared" si="11"/>
        <v>0</v>
      </c>
      <c r="K272" s="435">
        <f t="shared" si="11"/>
        <v>250</v>
      </c>
      <c r="L272" s="435">
        <f t="shared" si="11"/>
        <v>249961</v>
      </c>
      <c r="M272" s="435">
        <f t="shared" si="11"/>
        <v>0</v>
      </c>
      <c r="N272" s="435">
        <f t="shared" si="11"/>
        <v>2429103</v>
      </c>
      <c r="O272" s="435">
        <f t="shared" si="11"/>
        <v>411330</v>
      </c>
      <c r="P272" s="435">
        <f t="shared" si="11"/>
        <v>5101790</v>
      </c>
      <c r="Q272" s="435">
        <f t="shared" si="11"/>
        <v>2250</v>
      </c>
      <c r="R272" s="435">
        <f t="shared" si="11"/>
        <v>3519090</v>
      </c>
      <c r="S272" s="435">
        <f t="shared" si="11"/>
        <v>1000</v>
      </c>
      <c r="T272" s="435">
        <f t="shared" si="11"/>
        <v>781445</v>
      </c>
      <c r="U272" s="435">
        <f t="shared" si="11"/>
        <v>1000</v>
      </c>
      <c r="V272" s="435">
        <f t="shared" si="11"/>
        <v>0</v>
      </c>
      <c r="W272" s="435">
        <f t="shared" si="11"/>
        <v>0</v>
      </c>
      <c r="X272" s="435">
        <f t="shared" si="11"/>
        <v>0</v>
      </c>
      <c r="Y272" s="435">
        <f t="shared" si="11"/>
        <v>0</v>
      </c>
      <c r="Z272" s="435">
        <f t="shared" si="11"/>
        <v>2585246</v>
      </c>
      <c r="AA272" s="435">
        <f t="shared" si="11"/>
        <v>0</v>
      </c>
      <c r="AB272" s="435">
        <f t="shared" si="11"/>
        <v>44764</v>
      </c>
      <c r="AC272" s="435">
        <f t="shared" si="11"/>
        <v>1500</v>
      </c>
      <c r="AD272" s="435">
        <f t="shared" si="11"/>
        <v>13037217</v>
      </c>
      <c r="AE272" s="1175">
        <f t="shared" si="11"/>
        <v>2559</v>
      </c>
      <c r="AF272" s="435">
        <f t="shared" si="11"/>
        <v>3706</v>
      </c>
      <c r="AG272" s="435">
        <f t="shared" si="11"/>
        <v>2137010</v>
      </c>
      <c r="AH272" s="435">
        <f t="shared" si="11"/>
        <v>500</v>
      </c>
      <c r="AI272" s="435">
        <f t="shared" si="11"/>
        <v>23200</v>
      </c>
      <c r="AJ272" s="435">
        <f t="shared" si="11"/>
        <v>250</v>
      </c>
      <c r="AK272" s="435">
        <f t="shared" si="11"/>
        <v>19244191</v>
      </c>
      <c r="AL272" s="435">
        <f t="shared" si="11"/>
        <v>485441</v>
      </c>
      <c r="AM272" s="435">
        <f t="shared" si="11"/>
        <v>21889842</v>
      </c>
      <c r="AN272" s="435">
        <f t="shared" si="11"/>
        <v>750</v>
      </c>
      <c r="AO272" s="435">
        <f t="shared" si="11"/>
        <v>2440558</v>
      </c>
      <c r="AP272" s="435">
        <f t="shared" si="11"/>
        <v>165</v>
      </c>
      <c r="AQ272" s="435">
        <f t="shared" si="11"/>
        <v>2961993</v>
      </c>
      <c r="AR272" s="435">
        <f t="shared" si="11"/>
        <v>166</v>
      </c>
    </row>
    <row r="273" spans="1:44" ht="22.25" customHeight="1" x14ac:dyDescent="0.2">
      <c r="A273" s="1279" t="s">
        <v>4811</v>
      </c>
      <c r="B273" s="1280"/>
      <c r="C273" s="1280"/>
      <c r="D273" s="1280"/>
      <c r="E273" s="1280"/>
      <c r="F273" s="1280"/>
      <c r="G273" s="1280"/>
      <c r="H273" s="1280"/>
      <c r="I273" s="1280"/>
      <c r="J273" s="1280"/>
      <c r="K273" s="1280"/>
      <c r="L273" s="1280"/>
      <c r="M273" s="1280"/>
      <c r="N273" s="1280"/>
      <c r="O273" s="1280"/>
      <c r="P273" s="1280"/>
      <c r="Q273" s="1280"/>
      <c r="R273" s="1280"/>
      <c r="S273" s="1280"/>
      <c r="T273" s="1280"/>
      <c r="U273" s="1280"/>
      <c r="V273" s="1280"/>
      <c r="W273" s="1280"/>
      <c r="X273" s="1280"/>
      <c r="Y273" s="1280"/>
      <c r="Z273" s="1280"/>
      <c r="AA273" s="1280"/>
      <c r="AB273" s="1280"/>
      <c r="AC273" s="1280"/>
      <c r="AD273" s="1280"/>
      <c r="AE273" s="1280"/>
      <c r="AF273" s="1280"/>
      <c r="AG273" s="1280"/>
      <c r="AH273" s="1280"/>
      <c r="AI273" s="1280"/>
      <c r="AJ273" s="1280"/>
      <c r="AK273" s="1280"/>
      <c r="AL273" s="1280"/>
      <c r="AM273" s="1280"/>
      <c r="AN273" s="1280"/>
      <c r="AO273" s="1280"/>
      <c r="AP273" s="1280"/>
      <c r="AQ273" s="1280"/>
      <c r="AR273" s="1281"/>
    </row>
  </sheetData>
  <mergeCells count="266">
    <mergeCell ref="K261:K262"/>
    <mergeCell ref="L261:M262"/>
    <mergeCell ref="A273:AR273"/>
    <mergeCell ref="B261:B262"/>
    <mergeCell ref="C261:D262"/>
    <mergeCell ref="E261:E262"/>
    <mergeCell ref="F261:G262"/>
    <mergeCell ref="H261:H262"/>
    <mergeCell ref="I261:J262"/>
    <mergeCell ref="AD260:AE261"/>
    <mergeCell ref="AG260:AH261"/>
    <mergeCell ref="AI260:AJ261"/>
    <mergeCell ref="AK260:AK261"/>
    <mergeCell ref="AL260:AL261"/>
    <mergeCell ref="AM260:AN261"/>
    <mergeCell ref="AG259:AN259"/>
    <mergeCell ref="AO259:AP261"/>
    <mergeCell ref="AQ259:AR261"/>
    <mergeCell ref="B260:D260"/>
    <mergeCell ref="E260:G260"/>
    <mergeCell ref="H260:J260"/>
    <mergeCell ref="K260:M260"/>
    <mergeCell ref="P260:Q261"/>
    <mergeCell ref="R260:S261"/>
    <mergeCell ref="T260:U261"/>
    <mergeCell ref="B259:G259"/>
    <mergeCell ref="H259:M259"/>
    <mergeCell ref="N259:N261"/>
    <mergeCell ref="O259:O261"/>
    <mergeCell ref="P259:AE259"/>
    <mergeCell ref="AF259:AF261"/>
    <mergeCell ref="V260:W261"/>
    <mergeCell ref="X260:Y261"/>
    <mergeCell ref="Z260:AA261"/>
    <mergeCell ref="AB260:AC261"/>
    <mergeCell ref="I237:J238"/>
    <mergeCell ref="K237:K238"/>
    <mergeCell ref="L237:M238"/>
    <mergeCell ref="A256:AR256"/>
    <mergeCell ref="A257:AR257"/>
    <mergeCell ref="A258:A262"/>
    <mergeCell ref="B258:M258"/>
    <mergeCell ref="N258:O258"/>
    <mergeCell ref="P258:AN258"/>
    <mergeCell ref="AO258:AR258"/>
    <mergeCell ref="AG236:AH237"/>
    <mergeCell ref="AI236:AJ237"/>
    <mergeCell ref="AK236:AL237"/>
    <mergeCell ref="AM236:AM237"/>
    <mergeCell ref="AN236:AO237"/>
    <mergeCell ref="B237:B238"/>
    <mergeCell ref="C237:D238"/>
    <mergeCell ref="E237:E238"/>
    <mergeCell ref="F237:G238"/>
    <mergeCell ref="H237:H238"/>
    <mergeCell ref="AP235:AQ237"/>
    <mergeCell ref="AR235:AS237"/>
    <mergeCell ref="B236:D236"/>
    <mergeCell ref="E236:G236"/>
    <mergeCell ref="H236:J236"/>
    <mergeCell ref="K236:M236"/>
    <mergeCell ref="P236:Q237"/>
    <mergeCell ref="R236:S237"/>
    <mergeCell ref="T236:U237"/>
    <mergeCell ref="V236:W237"/>
    <mergeCell ref="H235:M235"/>
    <mergeCell ref="N235:N237"/>
    <mergeCell ref="O235:O237"/>
    <mergeCell ref="P235:AE235"/>
    <mergeCell ref="AF235:AF237"/>
    <mergeCell ref="AG235:AO235"/>
    <mergeCell ref="X236:Y237"/>
    <mergeCell ref="Z236:AA237"/>
    <mergeCell ref="AB236:AC237"/>
    <mergeCell ref="AD236:AE237"/>
    <mergeCell ref="AJ218:AK218"/>
    <mergeCell ref="AL218:AM218"/>
    <mergeCell ref="A232:AS232"/>
    <mergeCell ref="A233:AS233"/>
    <mergeCell ref="A234:A238"/>
    <mergeCell ref="B234:M234"/>
    <mergeCell ref="N234:O234"/>
    <mergeCell ref="P234:AO234"/>
    <mergeCell ref="AP234:AS234"/>
    <mergeCell ref="B235:G235"/>
    <mergeCell ref="AJ217:AM217"/>
    <mergeCell ref="AN217:AO218"/>
    <mergeCell ref="AP217:AQ218"/>
    <mergeCell ref="L218:M218"/>
    <mergeCell ref="N218:O218"/>
    <mergeCell ref="P218:Q218"/>
    <mergeCell ref="R218:S218"/>
    <mergeCell ref="T218:U218"/>
    <mergeCell ref="V218:W218"/>
    <mergeCell ref="X218:Y218"/>
    <mergeCell ref="P217:S217"/>
    <mergeCell ref="T217:W217"/>
    <mergeCell ref="X217:AA217"/>
    <mergeCell ref="AB217:AE217"/>
    <mergeCell ref="AF217:AG218"/>
    <mergeCell ref="AH217:AI218"/>
    <mergeCell ref="Z218:AA218"/>
    <mergeCell ref="AB218:AC218"/>
    <mergeCell ref="AD218:AE218"/>
    <mergeCell ref="B217:C218"/>
    <mergeCell ref="D217:E218"/>
    <mergeCell ref="F217:G218"/>
    <mergeCell ref="H217:I218"/>
    <mergeCell ref="J217:K218"/>
    <mergeCell ref="L217:O217"/>
    <mergeCell ref="T201:U201"/>
    <mergeCell ref="V201:W201"/>
    <mergeCell ref="X201:Y201"/>
    <mergeCell ref="A215:AU215"/>
    <mergeCell ref="A216:A218"/>
    <mergeCell ref="B216:K216"/>
    <mergeCell ref="L216:AM216"/>
    <mergeCell ref="AN216:AQ216"/>
    <mergeCell ref="AR216:AS218"/>
    <mergeCell ref="AT216:AU218"/>
    <mergeCell ref="AV200:AW201"/>
    <mergeCell ref="B201:C201"/>
    <mergeCell ref="D201:E201"/>
    <mergeCell ref="F201:G201"/>
    <mergeCell ref="H201:I201"/>
    <mergeCell ref="J201:K201"/>
    <mergeCell ref="L201:M201"/>
    <mergeCell ref="N201:O201"/>
    <mergeCell ref="P201:Q201"/>
    <mergeCell ref="R201:S201"/>
    <mergeCell ref="AJ200:AK201"/>
    <mergeCell ref="AL200:AM201"/>
    <mergeCell ref="AN200:AO201"/>
    <mergeCell ref="AP200:AQ201"/>
    <mergeCell ref="AR200:AS201"/>
    <mergeCell ref="AT200:AU201"/>
    <mergeCell ref="AJ180:AK180"/>
    <mergeCell ref="A198:AW198"/>
    <mergeCell ref="A199:AW199"/>
    <mergeCell ref="A200:A201"/>
    <mergeCell ref="B200:Y200"/>
    <mergeCell ref="Z200:AA201"/>
    <mergeCell ref="AB200:AC201"/>
    <mergeCell ref="AD200:AE201"/>
    <mergeCell ref="AF200:AG201"/>
    <mergeCell ref="AH200:AI201"/>
    <mergeCell ref="V180:W180"/>
    <mergeCell ref="X180:Y180"/>
    <mergeCell ref="Z180:AA180"/>
    <mergeCell ref="AB180:AC180"/>
    <mergeCell ref="AD180:AE180"/>
    <mergeCell ref="AH180:AI180"/>
    <mergeCell ref="AB179:AE179"/>
    <mergeCell ref="AF179:AG180"/>
    <mergeCell ref="AH179:AK179"/>
    <mergeCell ref="AL179:AM180"/>
    <mergeCell ref="AN179:AO180"/>
    <mergeCell ref="L180:M180"/>
    <mergeCell ref="N180:O180"/>
    <mergeCell ref="P180:Q180"/>
    <mergeCell ref="R180:S180"/>
    <mergeCell ref="T180:U180"/>
    <mergeCell ref="AR178:AS180"/>
    <mergeCell ref="B179:C180"/>
    <mergeCell ref="D179:E180"/>
    <mergeCell ref="F179:G180"/>
    <mergeCell ref="H179:I180"/>
    <mergeCell ref="J179:K180"/>
    <mergeCell ref="L179:O179"/>
    <mergeCell ref="P179:S179"/>
    <mergeCell ref="T179:W179"/>
    <mergeCell ref="X179:AA179"/>
    <mergeCell ref="X156:Y156"/>
    <mergeCell ref="AX156:AY156"/>
    <mergeCell ref="A171:AW171"/>
    <mergeCell ref="A172:AW172"/>
    <mergeCell ref="A177:AS177"/>
    <mergeCell ref="A178:A180"/>
    <mergeCell ref="B178:K178"/>
    <mergeCell ref="L178:AK178"/>
    <mergeCell ref="AL178:AO178"/>
    <mergeCell ref="AP178:AQ180"/>
    <mergeCell ref="L156:M156"/>
    <mergeCell ref="N156:O156"/>
    <mergeCell ref="P156:Q156"/>
    <mergeCell ref="R156:S156"/>
    <mergeCell ref="T156:U156"/>
    <mergeCell ref="V156:W156"/>
    <mergeCell ref="AN155:AO156"/>
    <mergeCell ref="AP155:AQ156"/>
    <mergeCell ref="AR155:AS156"/>
    <mergeCell ref="AT155:AU156"/>
    <mergeCell ref="AV155:AW156"/>
    <mergeCell ref="B156:C156"/>
    <mergeCell ref="D156:E156"/>
    <mergeCell ref="F156:G156"/>
    <mergeCell ref="H156:I156"/>
    <mergeCell ref="J156:K156"/>
    <mergeCell ref="A154:AW154"/>
    <mergeCell ref="A155:A156"/>
    <mergeCell ref="B155:Y155"/>
    <mergeCell ref="Z155:AA156"/>
    <mergeCell ref="AB155:AC156"/>
    <mergeCell ref="AD155:AE156"/>
    <mergeCell ref="AF155:AG156"/>
    <mergeCell ref="AH155:AI156"/>
    <mergeCell ref="AJ155:AK156"/>
    <mergeCell ref="AL155:AM156"/>
    <mergeCell ref="A122:C122"/>
    <mergeCell ref="A123:E123"/>
    <mergeCell ref="A128:C128"/>
    <mergeCell ref="A132:C132"/>
    <mergeCell ref="A138:C138"/>
    <mergeCell ref="A153:AW153"/>
    <mergeCell ref="A107:G107"/>
    <mergeCell ref="B108:C108"/>
    <mergeCell ref="D108:E108"/>
    <mergeCell ref="F108:G108"/>
    <mergeCell ref="A120:E120"/>
    <mergeCell ref="A121:C121"/>
    <mergeCell ref="T82:V82"/>
    <mergeCell ref="W82:Y82"/>
    <mergeCell ref="Z82:AB82"/>
    <mergeCell ref="AC82:AE82"/>
    <mergeCell ref="AF82:AH82"/>
    <mergeCell ref="AI82:AK82"/>
    <mergeCell ref="B82:D82"/>
    <mergeCell ref="E82:G82"/>
    <mergeCell ref="H82:J82"/>
    <mergeCell ref="K82:M82"/>
    <mergeCell ref="N82:P82"/>
    <mergeCell ref="Q82:S82"/>
    <mergeCell ref="A70:C71"/>
    <mergeCell ref="A73:O73"/>
    <mergeCell ref="A78:AK78"/>
    <mergeCell ref="A79:AK79"/>
    <mergeCell ref="A80:AK80"/>
    <mergeCell ref="A81:A82"/>
    <mergeCell ref="B81:J81"/>
    <mergeCell ref="K81:S81"/>
    <mergeCell ref="T81:AB81"/>
    <mergeCell ref="AC81:AK81"/>
    <mergeCell ref="A53:O53"/>
    <mergeCell ref="A55:O55"/>
    <mergeCell ref="A56:O56"/>
    <mergeCell ref="B57:C57"/>
    <mergeCell ref="D57:F57"/>
    <mergeCell ref="G57:I57"/>
    <mergeCell ref="J57:L57"/>
    <mergeCell ref="M57:O57"/>
    <mergeCell ref="A35:O35"/>
    <mergeCell ref="A36:O36"/>
    <mergeCell ref="A38:O38"/>
    <mergeCell ref="A39:O39"/>
    <mergeCell ref="B40:C40"/>
    <mergeCell ref="D40:F40"/>
    <mergeCell ref="G40:I40"/>
    <mergeCell ref="J40:L40"/>
    <mergeCell ref="M40:O40"/>
    <mergeCell ref="A20:O20"/>
    <mergeCell ref="A21:O21"/>
    <mergeCell ref="B22:C22"/>
    <mergeCell ref="D22:F22"/>
    <mergeCell ref="G22:I22"/>
    <mergeCell ref="J22:L22"/>
    <mergeCell ref="M22:O22"/>
  </mergeCells>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XFD325"/>
  <sheetViews>
    <sheetView topLeftCell="A86" workbookViewId="0">
      <selection activeCell="B1" sqref="B1"/>
    </sheetView>
  </sheetViews>
  <sheetFormatPr baseColWidth="10" defaultRowHeight="15" x14ac:dyDescent="0.2"/>
  <cols>
    <col min="1" max="1" width="47.1640625" style="107" customWidth="1"/>
    <col min="2" max="2" width="12.5" style="107" customWidth="1"/>
    <col min="3" max="4" width="10.1640625" style="107" customWidth="1"/>
    <col min="5" max="5" width="10.83203125" style="107"/>
    <col min="6" max="7" width="10.1640625" style="107" customWidth="1"/>
    <col min="8" max="8" width="10.83203125" style="107"/>
    <col min="9" max="9" width="8.1640625" style="107" customWidth="1"/>
    <col min="10" max="10" width="10.1640625" style="107" customWidth="1"/>
    <col min="11" max="11" width="10.83203125" style="107"/>
    <col min="12" max="12" width="8.33203125" style="107" customWidth="1"/>
    <col min="13" max="13" width="5.83203125" style="107" customWidth="1"/>
    <col min="14" max="14" width="10.83203125" style="107"/>
    <col min="15" max="15" width="10.83203125" style="107" customWidth="1"/>
    <col min="16" max="16" width="9.83203125" style="107" customWidth="1"/>
    <col min="17" max="17" width="10.83203125" style="107"/>
    <col min="18" max="18" width="9.33203125" style="107" customWidth="1"/>
    <col min="19" max="19" width="5.83203125" style="107" customWidth="1"/>
    <col min="20" max="20" width="10.83203125" style="107"/>
    <col min="21" max="21" width="5.83203125" style="107" customWidth="1"/>
    <col min="22" max="22" width="9.1640625" style="107" customWidth="1"/>
    <col min="23" max="23" width="10.83203125" style="107"/>
    <col min="24" max="24" width="10.1640625" style="107" customWidth="1"/>
    <col min="25" max="25" width="5.83203125" style="107" customWidth="1"/>
    <col min="26" max="26" width="10.83203125" style="107"/>
    <col min="27" max="27" width="6.5" style="107" customWidth="1"/>
    <col min="28" max="28" width="11.1640625" style="107" customWidth="1"/>
    <col min="29" max="29" width="10.83203125" style="107"/>
    <col min="30" max="30" width="9.5" style="107" customWidth="1"/>
    <col min="31" max="31" width="6.83203125" style="107" customWidth="1"/>
    <col min="32" max="32" width="10.83203125" style="107"/>
    <col min="33" max="33" width="5.83203125" style="107" customWidth="1"/>
    <col min="34" max="34" width="9.1640625" style="107" bestFit="1" customWidth="1"/>
    <col min="35" max="35" width="11.5" style="107" customWidth="1"/>
    <col min="36" max="36" width="7.6640625" style="107" bestFit="1" customWidth="1"/>
    <col min="37" max="37" width="5.6640625" style="107" customWidth="1"/>
    <col min="38" max="38" width="10.83203125" style="107"/>
    <col min="39" max="39" width="5.5" style="107" customWidth="1"/>
    <col min="40" max="40" width="7.6640625" style="107" bestFit="1" customWidth="1"/>
    <col min="41" max="41" width="10.83203125" style="107"/>
    <col min="42" max="42" width="7.6640625" style="107" bestFit="1" customWidth="1"/>
    <col min="43" max="43" width="5.5" style="107" customWidth="1"/>
    <col min="44" max="44" width="10.83203125" style="107"/>
    <col min="45" max="45" width="6" style="107" customWidth="1"/>
    <col min="46" max="46" width="10.33203125" style="107" bestFit="1" customWidth="1"/>
    <col min="47" max="47" width="10.83203125" style="107"/>
    <col min="48" max="48" width="9.1640625" style="107" bestFit="1" customWidth="1"/>
    <col min="49" max="49" width="6" style="107" customWidth="1"/>
    <col min="50" max="50" width="10.83203125" style="107"/>
    <col min="51" max="51" width="6" style="107" customWidth="1"/>
    <col min="52" max="52" width="10.33203125" style="107" bestFit="1" customWidth="1"/>
    <col min="53" max="53" width="10.83203125" style="107"/>
    <col min="54" max="54" width="9.6640625" style="107" customWidth="1"/>
    <col min="55" max="55" width="6" style="107" customWidth="1"/>
    <col min="56" max="56" width="10.83203125" style="107"/>
    <col min="57" max="57" width="6" style="107" customWidth="1"/>
    <col min="58" max="58" width="8.6640625" style="107" customWidth="1"/>
    <col min="59" max="59" width="10.83203125" style="107"/>
    <col min="60" max="60" width="6" style="107" customWidth="1"/>
    <col min="61" max="61" width="9.1640625" style="107" bestFit="1" customWidth="1"/>
    <col min="62" max="62" width="10.83203125" style="107"/>
    <col min="63" max="64" width="6" style="107" customWidth="1"/>
    <col min="65" max="65" width="10.83203125" style="107"/>
    <col min="66" max="67" width="6" style="107" customWidth="1"/>
    <col min="68" max="68" width="10.83203125" style="107"/>
    <col min="69" max="70" width="6" style="107" customWidth="1"/>
    <col min="71" max="71" width="10.83203125" style="107"/>
    <col min="72" max="73" width="6" style="107" customWidth="1"/>
    <col min="74" max="74" width="10.83203125" style="107"/>
    <col min="75" max="76" width="6" style="107" customWidth="1"/>
    <col min="77" max="77" width="10.83203125" style="107"/>
    <col min="78" max="79" width="6" style="107" customWidth="1"/>
    <col min="80" max="80" width="10.83203125" style="107"/>
    <col min="81" max="82" width="6" style="107" customWidth="1"/>
    <col min="83" max="83" width="10.83203125" style="107"/>
    <col min="84" max="85" width="6" style="107" customWidth="1"/>
    <col min="86" max="86" width="10.83203125" style="107"/>
    <col min="87" max="88" width="6" style="107" customWidth="1"/>
    <col min="89" max="89" width="10.83203125" style="107"/>
    <col min="90" max="91" width="6" style="107" customWidth="1"/>
    <col min="92" max="92" width="10.83203125" style="107"/>
    <col min="93" max="94" width="6.1640625" style="107" customWidth="1"/>
    <col min="95" max="95" width="10.83203125" style="107"/>
    <col min="96" max="97" width="6.1640625" style="107" customWidth="1"/>
    <col min="98" max="16384" width="10.83203125" style="107"/>
  </cols>
  <sheetData>
    <row r="1" spans="1:4" x14ac:dyDescent="0.2">
      <c r="A1" s="972" t="s">
        <v>4812</v>
      </c>
    </row>
    <row r="3" spans="1:4" x14ac:dyDescent="0.2">
      <c r="A3" s="526" t="s">
        <v>1111</v>
      </c>
    </row>
    <row r="4" spans="1:4" ht="29.5" customHeight="1" x14ac:dyDescent="0.2">
      <c r="A4" s="1287" t="s">
        <v>4813</v>
      </c>
      <c r="B4" s="1288"/>
      <c r="C4" s="1288"/>
      <c r="D4" s="1289"/>
    </row>
    <row r="5" spans="1:4" x14ac:dyDescent="0.2">
      <c r="A5" s="131" t="s">
        <v>4814</v>
      </c>
      <c r="B5" s="145">
        <v>6887414</v>
      </c>
      <c r="C5" s="145">
        <v>1</v>
      </c>
      <c r="D5" s="133"/>
    </row>
    <row r="6" spans="1:4" x14ac:dyDescent="0.2">
      <c r="A6" s="131" t="s">
        <v>4815</v>
      </c>
      <c r="B6" s="145">
        <v>4795266</v>
      </c>
      <c r="C6" s="145">
        <v>32</v>
      </c>
      <c r="D6" s="133">
        <v>0.25</v>
      </c>
    </row>
    <row r="7" spans="1:4" ht="16" thickBot="1" x14ac:dyDescent="0.25">
      <c r="A7" s="131" t="s">
        <v>4816</v>
      </c>
      <c r="B7" s="595">
        <v>11682680</v>
      </c>
      <c r="C7" s="595">
        <v>33</v>
      </c>
      <c r="D7" s="1079">
        <v>0.25</v>
      </c>
    </row>
    <row r="8" spans="1:4" ht="30" x14ac:dyDescent="0.2">
      <c r="A8" s="864" t="s">
        <v>4817</v>
      </c>
      <c r="B8" s="145">
        <v>1682680</v>
      </c>
      <c r="C8" s="145">
        <v>33</v>
      </c>
      <c r="D8" s="133">
        <v>0.25</v>
      </c>
    </row>
    <row r="9" spans="1:4" x14ac:dyDescent="0.2">
      <c r="A9" s="131" t="s">
        <v>4818</v>
      </c>
      <c r="B9" s="145">
        <v>300951</v>
      </c>
      <c r="C9" s="145">
        <v>32</v>
      </c>
      <c r="D9" s="133"/>
    </row>
    <row r="10" spans="1:4" x14ac:dyDescent="0.2">
      <c r="A10" s="131" t="s">
        <v>4819</v>
      </c>
      <c r="B10" s="145">
        <v>337971</v>
      </c>
      <c r="C10" s="145">
        <v>91</v>
      </c>
      <c r="D10" s="133"/>
    </row>
    <row r="11" spans="1:4" ht="16" thickBot="1" x14ac:dyDescent="0.25">
      <c r="A11" s="622" t="s">
        <v>4820</v>
      </c>
      <c r="B11" s="595">
        <v>638923</v>
      </c>
      <c r="C11" s="595">
        <v>23</v>
      </c>
      <c r="D11" s="1079"/>
    </row>
    <row r="12" spans="1:4" x14ac:dyDescent="0.2">
      <c r="A12" s="230" t="s">
        <v>4821</v>
      </c>
      <c r="B12" s="309">
        <v>11043756</v>
      </c>
      <c r="C12" s="309">
        <v>42</v>
      </c>
      <c r="D12" s="231">
        <v>0.25</v>
      </c>
    </row>
    <row r="16" spans="1:4" x14ac:dyDescent="0.2">
      <c r="A16" s="526" t="s">
        <v>1171</v>
      </c>
    </row>
    <row r="17" spans="1:10" ht="25.75" customHeight="1" x14ac:dyDescent="0.2">
      <c r="A17" s="1272" t="s">
        <v>4822</v>
      </c>
      <c r="B17" s="1272"/>
      <c r="C17" s="1272"/>
      <c r="D17" s="1272"/>
      <c r="E17" s="1272"/>
      <c r="F17" s="1272"/>
      <c r="G17" s="1272"/>
      <c r="H17" s="1272"/>
      <c r="I17" s="1272"/>
      <c r="J17" s="1272"/>
    </row>
    <row r="18" spans="1:10" ht="28.75" customHeight="1" x14ac:dyDescent="0.2">
      <c r="A18" s="1290" t="s">
        <v>3254</v>
      </c>
      <c r="B18" s="1274" t="s">
        <v>4823</v>
      </c>
      <c r="C18" s="1276"/>
      <c r="D18" s="1275"/>
      <c r="E18" s="1276" t="s">
        <v>4824</v>
      </c>
      <c r="F18" s="1276"/>
      <c r="G18" s="1276"/>
      <c r="H18" s="1274" t="s">
        <v>1357</v>
      </c>
      <c r="I18" s="1276"/>
      <c r="J18" s="1276"/>
    </row>
    <row r="19" spans="1:10" x14ac:dyDescent="0.2">
      <c r="A19" s="533" t="s">
        <v>4825</v>
      </c>
      <c r="B19" s="349">
        <v>3098913</v>
      </c>
      <c r="C19" s="350">
        <v>45</v>
      </c>
      <c r="D19" s="352"/>
      <c r="E19" s="349">
        <v>4169237</v>
      </c>
      <c r="F19" s="350">
        <v>5</v>
      </c>
      <c r="G19" s="352"/>
      <c r="H19" s="349">
        <v>7268150</v>
      </c>
      <c r="I19" s="350">
        <v>50</v>
      </c>
      <c r="J19" s="352"/>
    </row>
    <row r="20" spans="1:10" x14ac:dyDescent="0.2">
      <c r="A20" s="533" t="s">
        <v>1517</v>
      </c>
      <c r="B20" s="131">
        <v>263874</v>
      </c>
      <c r="C20" s="145">
        <v>15</v>
      </c>
      <c r="D20" s="133"/>
      <c r="E20" s="131">
        <v>347088</v>
      </c>
      <c r="F20" s="145">
        <v>15</v>
      </c>
      <c r="G20" s="133"/>
      <c r="H20" s="131">
        <v>610962</v>
      </c>
      <c r="I20" s="145">
        <v>30</v>
      </c>
      <c r="J20" s="133"/>
    </row>
    <row r="21" spans="1:10" x14ac:dyDescent="0.2">
      <c r="A21" s="533" t="s">
        <v>4033</v>
      </c>
      <c r="B21" s="131">
        <v>906308</v>
      </c>
      <c r="C21" s="145">
        <v>75</v>
      </c>
      <c r="D21" s="133"/>
      <c r="E21" s="131">
        <v>1749735</v>
      </c>
      <c r="F21" s="145">
        <v>50</v>
      </c>
      <c r="G21" s="133"/>
      <c r="H21" s="131">
        <v>2656044</v>
      </c>
      <c r="I21" s="145">
        <v>25</v>
      </c>
      <c r="J21" s="133"/>
    </row>
    <row r="22" spans="1:10" x14ac:dyDescent="0.2">
      <c r="A22" s="533" t="s">
        <v>1519</v>
      </c>
      <c r="B22" s="131">
        <v>327076</v>
      </c>
      <c r="C22" s="145">
        <v>60</v>
      </c>
      <c r="D22" s="133"/>
      <c r="E22" s="131">
        <v>452744</v>
      </c>
      <c r="F22" s="145">
        <v>85</v>
      </c>
      <c r="G22" s="133"/>
      <c r="H22" s="131">
        <v>779821</v>
      </c>
      <c r="I22" s="145">
        <v>45</v>
      </c>
      <c r="J22" s="133"/>
    </row>
    <row r="23" spans="1:10" x14ac:dyDescent="0.2">
      <c r="A23" s="533" t="s">
        <v>4553</v>
      </c>
      <c r="B23" s="131">
        <v>4676</v>
      </c>
      <c r="C23" s="145">
        <v>30</v>
      </c>
      <c r="D23" s="133"/>
      <c r="E23" s="131">
        <v>4919</v>
      </c>
      <c r="F23" s="145">
        <v>15</v>
      </c>
      <c r="G23" s="133"/>
      <c r="H23" s="131">
        <v>9595</v>
      </c>
      <c r="I23" s="145">
        <v>45</v>
      </c>
      <c r="J23" s="133"/>
    </row>
    <row r="24" spans="1:10" x14ac:dyDescent="0.2">
      <c r="A24" s="533" t="s">
        <v>4826</v>
      </c>
      <c r="B24" s="131">
        <v>50990</v>
      </c>
      <c r="C24" s="145">
        <v>90</v>
      </c>
      <c r="D24" s="133"/>
      <c r="E24" s="131">
        <v>62018</v>
      </c>
      <c r="F24" s="145"/>
      <c r="G24" s="133"/>
      <c r="H24" s="131">
        <v>113008</v>
      </c>
      <c r="I24" s="145">
        <v>90</v>
      </c>
      <c r="J24" s="133"/>
    </row>
    <row r="25" spans="1:10" x14ac:dyDescent="0.2">
      <c r="A25" s="533" t="s">
        <v>4827</v>
      </c>
      <c r="B25" s="131">
        <v>44171</v>
      </c>
      <c r="C25" s="145">
        <v>75</v>
      </c>
      <c r="D25" s="133"/>
      <c r="E25" s="131">
        <v>25916</v>
      </c>
      <c r="F25" s="145">
        <v>10</v>
      </c>
      <c r="G25" s="133"/>
      <c r="H25" s="131">
        <v>70087</v>
      </c>
      <c r="I25" s="145">
        <v>85</v>
      </c>
      <c r="J25" s="133"/>
    </row>
    <row r="26" spans="1:10" x14ac:dyDescent="0.2">
      <c r="A26" s="533" t="s">
        <v>1527</v>
      </c>
      <c r="B26" s="131">
        <v>74723</v>
      </c>
      <c r="C26" s="145">
        <v>35</v>
      </c>
      <c r="D26" s="133"/>
      <c r="E26" s="131">
        <v>66025</v>
      </c>
      <c r="F26" s="145"/>
      <c r="G26" s="133"/>
      <c r="H26" s="131">
        <v>140748</v>
      </c>
      <c r="I26" s="145">
        <v>35</v>
      </c>
      <c r="J26" s="133"/>
    </row>
    <row r="27" spans="1:10" x14ac:dyDescent="0.2">
      <c r="A27" s="533" t="s">
        <v>4828</v>
      </c>
      <c r="B27" s="131">
        <v>24531</v>
      </c>
      <c r="C27" s="145">
        <v>7</v>
      </c>
      <c r="D27" s="133">
        <v>0.25</v>
      </c>
      <c r="E27" s="131">
        <v>9730</v>
      </c>
      <c r="F27" s="145">
        <v>21</v>
      </c>
      <c r="G27" s="133">
        <v>0.5</v>
      </c>
      <c r="H27" s="131">
        <v>34261</v>
      </c>
      <c r="I27" s="145">
        <v>28</v>
      </c>
      <c r="J27" s="133">
        <v>0.75</v>
      </c>
    </row>
    <row r="28" spans="1:10" x14ac:dyDescent="0.2">
      <c r="A28" s="785" t="s">
        <v>4829</v>
      </c>
      <c r="B28" s="240">
        <v>4795266</v>
      </c>
      <c r="C28" s="318">
        <v>32</v>
      </c>
      <c r="D28" s="241">
        <v>0.25</v>
      </c>
      <c r="E28" s="240">
        <v>6887414</v>
      </c>
      <c r="F28" s="318">
        <v>1</v>
      </c>
      <c r="G28" s="241">
        <v>0.5</v>
      </c>
      <c r="H28" s="240">
        <v>11682680</v>
      </c>
      <c r="I28" s="318">
        <v>33</v>
      </c>
      <c r="J28" s="241">
        <v>0.75</v>
      </c>
    </row>
    <row r="29" spans="1:10" x14ac:dyDescent="0.2">
      <c r="B29" s="1418">
        <f>+SUM(B19:B27)</f>
        <v>4795262</v>
      </c>
      <c r="C29" s="1418">
        <f t="shared" ref="C29:J29" si="0">+SUM(C19:C27)</f>
        <v>432</v>
      </c>
      <c r="D29" s="1419">
        <f t="shared" si="0"/>
        <v>0.25</v>
      </c>
      <c r="E29" s="1418">
        <f t="shared" si="0"/>
        <v>6887412</v>
      </c>
      <c r="F29" s="1418">
        <f t="shared" si="0"/>
        <v>201</v>
      </c>
      <c r="G29" s="1419">
        <f t="shared" si="0"/>
        <v>0.5</v>
      </c>
      <c r="H29" s="1418">
        <f t="shared" si="0"/>
        <v>11682676</v>
      </c>
      <c r="I29" s="1418">
        <f t="shared" si="0"/>
        <v>433</v>
      </c>
      <c r="J29" s="1419">
        <f t="shared" si="0"/>
        <v>0.75</v>
      </c>
    </row>
    <row r="32" spans="1:10" x14ac:dyDescent="0.2">
      <c r="A32" s="526" t="s">
        <v>1182</v>
      </c>
    </row>
    <row r="33" spans="1:10" ht="22.25" customHeight="1" x14ac:dyDescent="0.2">
      <c r="A33" s="1272" t="s">
        <v>4830</v>
      </c>
      <c r="B33" s="1272"/>
      <c r="C33" s="1272"/>
      <c r="D33" s="1272"/>
      <c r="E33" s="1272"/>
      <c r="F33" s="1272"/>
      <c r="G33" s="1272"/>
      <c r="H33" s="1272"/>
      <c r="I33" s="1272"/>
      <c r="J33" s="1272"/>
    </row>
    <row r="34" spans="1:10" ht="31.25" customHeight="1" x14ac:dyDescent="0.2">
      <c r="A34" s="1290" t="s">
        <v>3254</v>
      </c>
      <c r="B34" s="1274" t="s">
        <v>4823</v>
      </c>
      <c r="C34" s="1276"/>
      <c r="D34" s="1275"/>
      <c r="E34" s="1276" t="s">
        <v>4824</v>
      </c>
      <c r="F34" s="1276"/>
      <c r="G34" s="1276"/>
      <c r="H34" s="1274" t="s">
        <v>1357</v>
      </c>
      <c r="I34" s="1276"/>
      <c r="J34" s="1276"/>
    </row>
    <row r="35" spans="1:10" x14ac:dyDescent="0.2">
      <c r="A35" s="533" t="s">
        <v>4825</v>
      </c>
      <c r="B35" s="349">
        <v>80568</v>
      </c>
      <c r="C35" s="350">
        <v>70</v>
      </c>
      <c r="D35" s="352"/>
      <c r="E35" s="349">
        <v>81760</v>
      </c>
      <c r="F35" s="350">
        <v>30</v>
      </c>
      <c r="G35" s="352"/>
      <c r="H35" s="349">
        <v>162329</v>
      </c>
      <c r="I35" s="350"/>
      <c r="J35" s="352"/>
    </row>
    <row r="36" spans="1:10" x14ac:dyDescent="0.2">
      <c r="A36" s="533" t="s">
        <v>1517</v>
      </c>
      <c r="B36" s="131">
        <v>31202</v>
      </c>
      <c r="C36" s="145">
        <v>35</v>
      </c>
      <c r="D36" s="133"/>
      <c r="E36" s="131">
        <v>33260</v>
      </c>
      <c r="F36" s="145">
        <v>25</v>
      </c>
      <c r="G36" s="133"/>
      <c r="H36" s="131">
        <v>64462</v>
      </c>
      <c r="I36" s="145">
        <v>60</v>
      </c>
      <c r="J36" s="133"/>
    </row>
    <row r="37" spans="1:10" x14ac:dyDescent="0.2">
      <c r="A37" s="533" t="s">
        <v>4033</v>
      </c>
      <c r="B37" s="131">
        <v>80117</v>
      </c>
      <c r="C37" s="145">
        <v>35</v>
      </c>
      <c r="D37" s="133"/>
      <c r="E37" s="131">
        <v>111287</v>
      </c>
      <c r="F37" s="145">
        <v>60</v>
      </c>
      <c r="G37" s="133"/>
      <c r="H37" s="131">
        <v>191404</v>
      </c>
      <c r="I37" s="145">
        <v>95</v>
      </c>
      <c r="J37" s="133"/>
    </row>
    <row r="38" spans="1:10" x14ac:dyDescent="0.2">
      <c r="A38" s="533" t="s">
        <v>1519</v>
      </c>
      <c r="B38" s="131">
        <v>26977</v>
      </c>
      <c r="C38" s="145">
        <v>75</v>
      </c>
      <c r="D38" s="133"/>
      <c r="E38" s="131">
        <v>29428</v>
      </c>
      <c r="F38" s="145">
        <v>25</v>
      </c>
      <c r="G38" s="133"/>
      <c r="H38" s="131">
        <v>56406</v>
      </c>
      <c r="I38" s="145"/>
      <c r="J38" s="133"/>
    </row>
    <row r="39" spans="1:10" x14ac:dyDescent="0.2">
      <c r="A39" s="533" t="s">
        <v>4553</v>
      </c>
      <c r="B39" s="131">
        <v>9780</v>
      </c>
      <c r="C39" s="145">
        <v>55</v>
      </c>
      <c r="D39" s="133"/>
      <c r="E39" s="131">
        <v>11209</v>
      </c>
      <c r="F39" s="145">
        <v>65</v>
      </c>
      <c r="G39" s="133"/>
      <c r="H39" s="131">
        <v>20990</v>
      </c>
      <c r="I39" s="145">
        <v>20</v>
      </c>
      <c r="J39" s="133"/>
    </row>
    <row r="40" spans="1:10" x14ac:dyDescent="0.2">
      <c r="A40" s="533" t="s">
        <v>4826</v>
      </c>
      <c r="B40" s="131">
        <v>28714</v>
      </c>
      <c r="C40" s="145">
        <v>20</v>
      </c>
      <c r="D40" s="133"/>
      <c r="E40" s="131">
        <v>23911</v>
      </c>
      <c r="F40" s="145">
        <v>20</v>
      </c>
      <c r="G40" s="133"/>
      <c r="H40" s="131">
        <v>52625</v>
      </c>
      <c r="I40" s="145">
        <v>40</v>
      </c>
      <c r="J40" s="133"/>
    </row>
    <row r="41" spans="1:10" x14ac:dyDescent="0.2">
      <c r="A41" s="533" t="s">
        <v>4827</v>
      </c>
      <c r="B41" s="131">
        <v>20247</v>
      </c>
      <c r="C41" s="145"/>
      <c r="D41" s="133"/>
      <c r="E41" s="131">
        <v>19748</v>
      </c>
      <c r="F41" s="145">
        <v>60</v>
      </c>
      <c r="G41" s="133"/>
      <c r="H41" s="131">
        <v>39995</v>
      </c>
      <c r="I41" s="145">
        <v>60</v>
      </c>
      <c r="J41" s="133"/>
    </row>
    <row r="42" spans="1:10" x14ac:dyDescent="0.2">
      <c r="A42" s="533" t="s">
        <v>1527</v>
      </c>
      <c r="B42" s="131">
        <v>19519</v>
      </c>
      <c r="C42" s="145">
        <v>75</v>
      </c>
      <c r="D42" s="133"/>
      <c r="E42" s="131">
        <v>20058</v>
      </c>
      <c r="F42" s="145"/>
      <c r="G42" s="133"/>
      <c r="H42" s="131">
        <v>39577</v>
      </c>
      <c r="I42" s="145">
        <v>75</v>
      </c>
      <c r="J42" s="133"/>
    </row>
    <row r="43" spans="1:10" x14ac:dyDescent="0.2">
      <c r="A43" s="533" t="s">
        <v>4828</v>
      </c>
      <c r="B43" s="131">
        <v>3823</v>
      </c>
      <c r="C43" s="145">
        <v>67</v>
      </c>
      <c r="D43" s="133"/>
      <c r="E43" s="131">
        <v>7308</v>
      </c>
      <c r="F43" s="145">
        <v>6</v>
      </c>
      <c r="G43" s="133"/>
      <c r="H43" s="131">
        <v>11131</v>
      </c>
      <c r="I43" s="145">
        <v>73</v>
      </c>
      <c r="J43" s="133"/>
    </row>
    <row r="44" spans="1:10" x14ac:dyDescent="0.2">
      <c r="A44" s="785" t="s">
        <v>4829</v>
      </c>
      <c r="B44" s="240">
        <v>300951</v>
      </c>
      <c r="C44" s="318">
        <v>32</v>
      </c>
      <c r="D44" s="241"/>
      <c r="E44" s="240">
        <v>337971</v>
      </c>
      <c r="F44" s="318">
        <v>91</v>
      </c>
      <c r="G44" s="241"/>
      <c r="H44" s="240">
        <v>638923</v>
      </c>
      <c r="I44" s="318">
        <v>23</v>
      </c>
      <c r="J44" s="241"/>
    </row>
    <row r="45" spans="1:10" x14ac:dyDescent="0.2">
      <c r="B45" s="1418">
        <f>+SUM(B35:B43)</f>
        <v>300947</v>
      </c>
      <c r="C45" s="1418">
        <f t="shared" ref="C45:J45" si="1">+SUM(C35:C43)</f>
        <v>432</v>
      </c>
      <c r="D45" s="1419">
        <f t="shared" si="1"/>
        <v>0</v>
      </c>
      <c r="E45" s="1418">
        <f t="shared" si="1"/>
        <v>337969</v>
      </c>
      <c r="F45" s="1418">
        <f t="shared" si="1"/>
        <v>291</v>
      </c>
      <c r="G45" s="1419">
        <f t="shared" si="1"/>
        <v>0</v>
      </c>
      <c r="H45" s="1418">
        <f t="shared" si="1"/>
        <v>638919</v>
      </c>
      <c r="I45" s="1418">
        <f t="shared" si="1"/>
        <v>423</v>
      </c>
      <c r="J45" s="1419">
        <f t="shared" si="1"/>
        <v>0</v>
      </c>
    </row>
    <row r="48" spans="1:10" x14ac:dyDescent="0.2">
      <c r="A48" s="526" t="s">
        <v>1226</v>
      </c>
    </row>
    <row r="49" spans="1:10" ht="16" x14ac:dyDescent="0.2">
      <c r="A49" s="1272" t="s">
        <v>4831</v>
      </c>
      <c r="B49" s="1272"/>
      <c r="C49" s="1272"/>
      <c r="D49" s="1272"/>
      <c r="E49" s="1272"/>
      <c r="F49" s="1272"/>
      <c r="G49" s="1272"/>
      <c r="H49" s="1272"/>
      <c r="I49" s="1272"/>
      <c r="J49" s="1272"/>
    </row>
    <row r="50" spans="1:10" x14ac:dyDescent="0.2">
      <c r="A50" s="1290" t="s">
        <v>3254</v>
      </c>
      <c r="B50" s="1274" t="s">
        <v>4823</v>
      </c>
      <c r="C50" s="1276"/>
      <c r="D50" s="1275"/>
      <c r="E50" s="1276" t="s">
        <v>4824</v>
      </c>
      <c r="F50" s="1276"/>
      <c r="G50" s="1276"/>
      <c r="H50" s="1274" t="s">
        <v>1357</v>
      </c>
      <c r="I50" s="1276"/>
      <c r="J50" s="1276"/>
    </row>
    <row r="51" spans="1:10" x14ac:dyDescent="0.2">
      <c r="A51" s="533" t="s">
        <v>4825</v>
      </c>
      <c r="B51" s="349">
        <v>3018344</v>
      </c>
      <c r="C51" s="350">
        <v>75</v>
      </c>
      <c r="D51" s="352"/>
      <c r="E51" s="349">
        <v>4087476</v>
      </c>
      <c r="F51" s="350">
        <v>75</v>
      </c>
      <c r="G51" s="352"/>
      <c r="H51" s="349">
        <v>7105821</v>
      </c>
      <c r="I51" s="350">
        <v>50</v>
      </c>
      <c r="J51" s="352"/>
    </row>
    <row r="52" spans="1:10" x14ac:dyDescent="0.2">
      <c r="A52" s="533" t="s">
        <v>1517</v>
      </c>
      <c r="B52" s="131">
        <v>232671</v>
      </c>
      <c r="C52" s="145">
        <v>80</v>
      </c>
      <c r="D52" s="133"/>
      <c r="E52" s="131">
        <v>313827</v>
      </c>
      <c r="F52" s="145">
        <v>90</v>
      </c>
      <c r="G52" s="133"/>
      <c r="H52" s="131">
        <v>546499</v>
      </c>
      <c r="I52" s="145">
        <v>70</v>
      </c>
      <c r="J52" s="133"/>
    </row>
    <row r="53" spans="1:10" x14ac:dyDescent="0.2">
      <c r="A53" s="533" t="s">
        <v>4033</v>
      </c>
      <c r="B53" s="131">
        <v>826191</v>
      </c>
      <c r="C53" s="145">
        <v>40</v>
      </c>
      <c r="D53" s="133"/>
      <c r="E53" s="131">
        <v>1638447</v>
      </c>
      <c r="F53" s="145">
        <v>90</v>
      </c>
      <c r="G53" s="133"/>
      <c r="H53" s="131">
        <v>2464639</v>
      </c>
      <c r="I53" s="145">
        <v>30</v>
      </c>
      <c r="J53" s="133"/>
    </row>
    <row r="54" spans="1:10" x14ac:dyDescent="0.2">
      <c r="A54" s="533" t="s">
        <v>1519</v>
      </c>
      <c r="B54" s="131">
        <v>300098</v>
      </c>
      <c r="C54" s="145">
        <v>85</v>
      </c>
      <c r="D54" s="133"/>
      <c r="E54" s="131">
        <v>423316</v>
      </c>
      <c r="F54" s="145">
        <v>60</v>
      </c>
      <c r="G54" s="133"/>
      <c r="H54" s="131">
        <v>723415</v>
      </c>
      <c r="I54" s="145">
        <v>45</v>
      </c>
      <c r="J54" s="133"/>
    </row>
    <row r="55" spans="1:10" x14ac:dyDescent="0.2">
      <c r="A55" s="533" t="s">
        <v>4832</v>
      </c>
      <c r="B55" s="131"/>
      <c r="C55" s="145"/>
      <c r="D55" s="133"/>
      <c r="E55" s="131"/>
      <c r="F55" s="145"/>
      <c r="G55" s="133"/>
      <c r="H55" s="131"/>
      <c r="I55" s="145"/>
      <c r="J55" s="133"/>
    </row>
    <row r="56" spans="1:10" x14ac:dyDescent="0.2">
      <c r="A56" s="533" t="s">
        <v>4826</v>
      </c>
      <c r="B56" s="131">
        <v>22276</v>
      </c>
      <c r="C56" s="145">
        <v>70</v>
      </c>
      <c r="D56" s="133"/>
      <c r="E56" s="131">
        <v>38106</v>
      </c>
      <c r="F56" s="145">
        <v>80</v>
      </c>
      <c r="G56" s="133"/>
      <c r="H56" s="131">
        <v>60383</v>
      </c>
      <c r="I56" s="145">
        <v>50</v>
      </c>
      <c r="J56" s="133"/>
    </row>
    <row r="57" spans="1:10" x14ac:dyDescent="0.2">
      <c r="A57" s="533" t="s">
        <v>4827</v>
      </c>
      <c r="B57" s="131">
        <v>23924</v>
      </c>
      <c r="C57" s="145">
        <v>75</v>
      </c>
      <c r="D57" s="133"/>
      <c r="E57" s="131">
        <v>6167</v>
      </c>
      <c r="F57" s="145">
        <v>50</v>
      </c>
      <c r="G57" s="133"/>
      <c r="H57" s="131">
        <v>30092</v>
      </c>
      <c r="I57" s="145">
        <v>25</v>
      </c>
      <c r="J57" s="133"/>
    </row>
    <row r="58" spans="1:10" x14ac:dyDescent="0.2">
      <c r="A58" s="533" t="s">
        <v>1527</v>
      </c>
      <c r="B58" s="131">
        <v>55203</v>
      </c>
      <c r="C58" s="145">
        <v>60</v>
      </c>
      <c r="D58" s="133"/>
      <c r="E58" s="131">
        <v>45967</v>
      </c>
      <c r="F58" s="145"/>
      <c r="G58" s="133"/>
      <c r="H58" s="131">
        <v>101170</v>
      </c>
      <c r="I58" s="145">
        <v>60</v>
      </c>
      <c r="J58" s="133"/>
    </row>
    <row r="59" spans="1:10" x14ac:dyDescent="0.2">
      <c r="A59" s="533" t="s">
        <v>4828</v>
      </c>
      <c r="B59" s="131">
        <v>20707</v>
      </c>
      <c r="C59" s="145">
        <v>40</v>
      </c>
      <c r="D59" s="133">
        <v>0.25</v>
      </c>
      <c r="E59" s="131">
        <v>2422</v>
      </c>
      <c r="F59" s="145">
        <v>15</v>
      </c>
      <c r="G59" s="133">
        <v>0.5</v>
      </c>
      <c r="H59" s="131">
        <v>23129</v>
      </c>
      <c r="I59" s="145">
        <v>55</v>
      </c>
      <c r="J59" s="133">
        <v>0.75</v>
      </c>
    </row>
    <row r="60" spans="1:10" x14ac:dyDescent="0.2">
      <c r="A60" s="1068" t="s">
        <v>4833</v>
      </c>
      <c r="B60" s="240">
        <v>4499419</v>
      </c>
      <c r="C60" s="318">
        <v>25</v>
      </c>
      <c r="D60" s="241">
        <v>0.25</v>
      </c>
      <c r="E60" s="240">
        <v>6555732</v>
      </c>
      <c r="F60" s="318">
        <v>60</v>
      </c>
      <c r="G60" s="241">
        <v>0.5</v>
      </c>
      <c r="H60" s="240">
        <v>11055151</v>
      </c>
      <c r="I60" s="318">
        <v>85</v>
      </c>
      <c r="J60" s="241">
        <v>0.75</v>
      </c>
    </row>
    <row r="61" spans="1:10" x14ac:dyDescent="0.2">
      <c r="A61" s="1068"/>
      <c r="B61" s="1418">
        <f>+SUM(B51:B59)</f>
        <v>4499414</v>
      </c>
      <c r="C61" s="1418">
        <f t="shared" ref="C61:J61" si="2">+SUM(C51:C59)</f>
        <v>525</v>
      </c>
      <c r="D61" s="1419">
        <f t="shared" si="2"/>
        <v>0.25</v>
      </c>
      <c r="E61" s="1418">
        <f t="shared" si="2"/>
        <v>6555728</v>
      </c>
      <c r="F61" s="1418">
        <f t="shared" si="2"/>
        <v>460</v>
      </c>
      <c r="G61" s="1419">
        <f t="shared" si="2"/>
        <v>0.5</v>
      </c>
      <c r="H61" s="1418">
        <f t="shared" si="2"/>
        <v>11055148</v>
      </c>
      <c r="I61" s="1418">
        <f t="shared" si="2"/>
        <v>385</v>
      </c>
      <c r="J61" s="1419">
        <f t="shared" si="2"/>
        <v>0.75</v>
      </c>
    </row>
    <row r="62" spans="1:10" x14ac:dyDescent="0.2">
      <c r="A62" s="1068" t="s">
        <v>4834</v>
      </c>
      <c r="B62" s="230">
        <v>5104</v>
      </c>
      <c r="C62" s="309">
        <v>25</v>
      </c>
      <c r="D62" s="364"/>
      <c r="E62" s="230">
        <v>6290</v>
      </c>
      <c r="F62" s="309">
        <v>50</v>
      </c>
      <c r="G62" s="364"/>
      <c r="H62" s="230">
        <v>11394</v>
      </c>
      <c r="I62" s="309">
        <v>75</v>
      </c>
      <c r="J62" s="364"/>
    </row>
    <row r="63" spans="1:10" x14ac:dyDescent="0.2">
      <c r="A63" s="785" t="s">
        <v>4829</v>
      </c>
      <c r="B63" s="240">
        <v>4494315</v>
      </c>
      <c r="C63" s="318"/>
      <c r="D63" s="241">
        <v>0.25</v>
      </c>
      <c r="E63" s="240">
        <v>6549442</v>
      </c>
      <c r="F63" s="318">
        <v>10</v>
      </c>
      <c r="G63" s="241">
        <v>0.5</v>
      </c>
      <c r="H63" s="240">
        <v>11043757</v>
      </c>
      <c r="I63" s="318">
        <v>10</v>
      </c>
      <c r="J63" s="241">
        <v>0.75</v>
      </c>
    </row>
    <row r="64" spans="1:10" x14ac:dyDescent="0.2">
      <c r="B64" s="1418">
        <f>+B60-B62</f>
        <v>4494315</v>
      </c>
      <c r="C64" s="1418">
        <f t="shared" ref="C64:J64" si="3">+C60-C62</f>
        <v>0</v>
      </c>
      <c r="D64" s="1419">
        <f t="shared" si="3"/>
        <v>0.25</v>
      </c>
      <c r="E64" s="1418">
        <f t="shared" si="3"/>
        <v>6549442</v>
      </c>
      <c r="F64" s="1418">
        <f t="shared" si="3"/>
        <v>10</v>
      </c>
      <c r="G64" s="1419">
        <f t="shared" si="3"/>
        <v>0.5</v>
      </c>
      <c r="H64" s="1418">
        <f t="shared" si="3"/>
        <v>11043757</v>
      </c>
      <c r="I64" s="1418">
        <f t="shared" si="3"/>
        <v>10</v>
      </c>
      <c r="J64" s="1419">
        <f t="shared" si="3"/>
        <v>0.75</v>
      </c>
    </row>
    <row r="67" spans="1:10" x14ac:dyDescent="0.2">
      <c r="A67" s="526" t="s">
        <v>1272</v>
      </c>
    </row>
    <row r="68" spans="1:10" ht="28.75" customHeight="1" x14ac:dyDescent="0.2">
      <c r="A68" s="1272" t="s">
        <v>4835</v>
      </c>
      <c r="B68" s="1272"/>
      <c r="C68" s="1272"/>
      <c r="D68" s="1272"/>
      <c r="E68" s="1272"/>
      <c r="F68" s="1272"/>
      <c r="G68" s="1272"/>
      <c r="H68" s="1272"/>
      <c r="I68" s="1272"/>
      <c r="J68" s="1272"/>
    </row>
    <row r="69" spans="1:10" s="1369" customFormat="1" ht="32.5" customHeight="1" x14ac:dyDescent="0.15">
      <c r="A69" s="1273" t="s">
        <v>3254</v>
      </c>
      <c r="B69" s="1274" t="s">
        <v>3598</v>
      </c>
      <c r="C69" s="1276"/>
      <c r="D69" s="1275"/>
      <c r="E69" s="1276" t="s">
        <v>1882</v>
      </c>
      <c r="F69" s="1276"/>
      <c r="G69" s="1276"/>
      <c r="H69" s="1274" t="s">
        <v>3784</v>
      </c>
      <c r="I69" s="1276"/>
      <c r="J69" s="1276"/>
    </row>
    <row r="70" spans="1:10" x14ac:dyDescent="0.2">
      <c r="A70" s="533" t="s">
        <v>4836</v>
      </c>
      <c r="B70" s="349">
        <v>10269</v>
      </c>
      <c r="C70" s="350">
        <v>5</v>
      </c>
      <c r="D70" s="352"/>
      <c r="E70" s="349">
        <v>5342</v>
      </c>
      <c r="F70" s="350">
        <v>60</v>
      </c>
      <c r="G70" s="352"/>
      <c r="H70" s="349">
        <v>4926</v>
      </c>
      <c r="I70" s="350">
        <v>45</v>
      </c>
      <c r="J70" s="352"/>
    </row>
    <row r="71" spans="1:10" x14ac:dyDescent="0.2">
      <c r="A71" s="533" t="s">
        <v>3668</v>
      </c>
      <c r="B71" s="131">
        <v>5167118</v>
      </c>
      <c r="C71" s="145">
        <v>30</v>
      </c>
      <c r="D71" s="133"/>
      <c r="E71" s="131">
        <v>83975</v>
      </c>
      <c r="F71" s="145">
        <v>50</v>
      </c>
      <c r="G71" s="133"/>
      <c r="H71" s="131">
        <v>5083142</v>
      </c>
      <c r="I71" s="145">
        <v>80</v>
      </c>
      <c r="J71" s="133"/>
    </row>
    <row r="72" spans="1:10" x14ac:dyDescent="0.2">
      <c r="A72" s="533" t="s">
        <v>1517</v>
      </c>
      <c r="B72" s="131">
        <v>400144</v>
      </c>
      <c r="C72" s="145">
        <v>90</v>
      </c>
      <c r="D72" s="133"/>
      <c r="E72" s="131">
        <v>36504</v>
      </c>
      <c r="F72" s="145">
        <v>15</v>
      </c>
      <c r="G72" s="133"/>
      <c r="H72" s="131">
        <v>363640</v>
      </c>
      <c r="I72" s="145">
        <v>75</v>
      </c>
      <c r="J72" s="133"/>
    </row>
    <row r="73" spans="1:10" x14ac:dyDescent="0.2">
      <c r="A73" s="533" t="s">
        <v>4033</v>
      </c>
      <c r="B73" s="131">
        <v>1395115</v>
      </c>
      <c r="C73" s="145">
        <v>60</v>
      </c>
      <c r="D73" s="133"/>
      <c r="E73" s="131">
        <v>128117</v>
      </c>
      <c r="F73" s="145">
        <v>90</v>
      </c>
      <c r="G73" s="133"/>
      <c r="H73" s="131">
        <v>1266997</v>
      </c>
      <c r="I73" s="145">
        <v>70</v>
      </c>
      <c r="J73" s="133"/>
    </row>
    <row r="74" spans="1:10" x14ac:dyDescent="0.2">
      <c r="A74" s="533" t="s">
        <v>1519</v>
      </c>
      <c r="B74" s="131">
        <v>511369</v>
      </c>
      <c r="C74" s="145">
        <v>15</v>
      </c>
      <c r="D74" s="133"/>
      <c r="E74" s="131">
        <v>32751</v>
      </c>
      <c r="F74" s="145">
        <v>95</v>
      </c>
      <c r="G74" s="133"/>
      <c r="H74" s="131">
        <v>478617</v>
      </c>
      <c r="I74" s="145">
        <v>20</v>
      </c>
      <c r="J74" s="133"/>
    </row>
    <row r="75" spans="1:10" x14ac:dyDescent="0.2">
      <c r="A75" s="533" t="s">
        <v>4553</v>
      </c>
      <c r="B75" s="131">
        <v>21873</v>
      </c>
      <c r="C75" s="145">
        <v>60</v>
      </c>
      <c r="D75" s="133"/>
      <c r="E75" s="131">
        <v>12798</v>
      </c>
      <c r="F75" s="145">
        <v>45</v>
      </c>
      <c r="G75" s="133"/>
      <c r="H75" s="131">
        <v>9075</v>
      </c>
      <c r="I75" s="145">
        <v>15</v>
      </c>
      <c r="J75" s="133"/>
    </row>
    <row r="76" spans="1:10" x14ac:dyDescent="0.2">
      <c r="A76" s="533" t="s">
        <v>4837</v>
      </c>
      <c r="B76" s="131">
        <v>14947</v>
      </c>
      <c r="C76" s="145">
        <v>5</v>
      </c>
      <c r="D76" s="133"/>
      <c r="E76" s="131">
        <v>8904</v>
      </c>
      <c r="F76" s="145">
        <v>82</v>
      </c>
      <c r="G76" s="133">
        <v>0.5</v>
      </c>
      <c r="H76" s="131">
        <v>6042</v>
      </c>
      <c r="I76" s="145">
        <v>22</v>
      </c>
      <c r="J76" s="133">
        <v>0.5</v>
      </c>
    </row>
    <row r="77" spans="1:10" x14ac:dyDescent="0.2">
      <c r="A77" s="533" t="s">
        <v>4826</v>
      </c>
      <c r="B77" s="131">
        <v>82405</v>
      </c>
      <c r="C77" s="145">
        <v>75</v>
      </c>
      <c r="D77" s="133"/>
      <c r="E77" s="131">
        <v>28776</v>
      </c>
      <c r="F77" s="145">
        <v>40</v>
      </c>
      <c r="G77" s="133"/>
      <c r="H77" s="131">
        <v>53629</v>
      </c>
      <c r="I77" s="145">
        <v>35</v>
      </c>
      <c r="J77" s="133"/>
    </row>
    <row r="78" spans="1:10" x14ac:dyDescent="0.2">
      <c r="A78" s="533" t="s">
        <v>4827</v>
      </c>
      <c r="B78" s="131">
        <v>38125</v>
      </c>
      <c r="C78" s="145">
        <v>15</v>
      </c>
      <c r="D78" s="133"/>
      <c r="E78" s="131">
        <v>21030</v>
      </c>
      <c r="F78" s="145">
        <v>75</v>
      </c>
      <c r="G78" s="133"/>
      <c r="H78" s="131">
        <v>17094</v>
      </c>
      <c r="I78" s="145">
        <v>40</v>
      </c>
      <c r="J78" s="133"/>
    </row>
    <row r="79" spans="1:10" x14ac:dyDescent="0.2">
      <c r="A79" s="533" t="s">
        <v>1527</v>
      </c>
      <c r="B79" s="131">
        <v>84230</v>
      </c>
      <c r="C79" s="145">
        <v>75</v>
      </c>
      <c r="D79" s="133"/>
      <c r="E79" s="131">
        <v>25971</v>
      </c>
      <c r="F79" s="145">
        <v>40</v>
      </c>
      <c r="G79" s="133"/>
      <c r="H79" s="131">
        <v>58259</v>
      </c>
      <c r="I79" s="145">
        <v>35</v>
      </c>
      <c r="J79" s="133"/>
    </row>
    <row r="80" spans="1:10" x14ac:dyDescent="0.2">
      <c r="A80" s="785" t="s">
        <v>3987</v>
      </c>
      <c r="B80" s="240">
        <v>7725599</v>
      </c>
      <c r="C80" s="318">
        <v>30</v>
      </c>
      <c r="D80" s="241"/>
      <c r="E80" s="240">
        <v>384173</v>
      </c>
      <c r="F80" s="318">
        <v>92</v>
      </c>
      <c r="G80" s="241">
        <v>0.5</v>
      </c>
      <c r="H80" s="240">
        <v>7341425</v>
      </c>
      <c r="I80" s="318">
        <v>37</v>
      </c>
      <c r="J80" s="241">
        <v>0.5</v>
      </c>
    </row>
    <row r="81" spans="1:12" x14ac:dyDescent="0.2">
      <c r="B81" s="1418">
        <f>+SUM(B70:B79)</f>
        <v>7725595</v>
      </c>
      <c r="C81" s="1418">
        <f t="shared" ref="C81:J81" si="4">+SUM(C70:C79)</f>
        <v>430</v>
      </c>
      <c r="D81" s="1419">
        <f t="shared" si="4"/>
        <v>0</v>
      </c>
      <c r="E81" s="1418">
        <f t="shared" si="4"/>
        <v>384168</v>
      </c>
      <c r="F81" s="1418">
        <f t="shared" si="4"/>
        <v>592</v>
      </c>
      <c r="G81" s="1419">
        <f t="shared" si="4"/>
        <v>0.5</v>
      </c>
      <c r="H81" s="1418">
        <f t="shared" si="4"/>
        <v>7341421</v>
      </c>
      <c r="I81" s="1418">
        <f t="shared" si="4"/>
        <v>437</v>
      </c>
      <c r="J81" s="1419">
        <f t="shared" si="4"/>
        <v>0.5</v>
      </c>
    </row>
    <row r="84" spans="1:12" x14ac:dyDescent="0.2">
      <c r="A84" s="526" t="s">
        <v>1342</v>
      </c>
    </row>
    <row r="85" spans="1:12" ht="28.25" customHeight="1" x14ac:dyDescent="0.2">
      <c r="A85" s="1319" t="s">
        <v>4838</v>
      </c>
      <c r="B85" s="1320"/>
      <c r="C85" s="1320"/>
      <c r="D85" s="1320"/>
      <c r="E85" s="1320"/>
      <c r="F85" s="1320"/>
      <c r="G85" s="1320"/>
      <c r="H85" s="1320"/>
      <c r="I85" s="1320"/>
      <c r="J85" s="1320"/>
      <c r="K85" s="1320"/>
      <c r="L85" s="1321"/>
    </row>
    <row r="86" spans="1:12" x14ac:dyDescent="0.2">
      <c r="A86" s="716"/>
      <c r="B86" s="842"/>
      <c r="C86" s="842"/>
      <c r="D86" s="838" t="s">
        <v>1880</v>
      </c>
      <c r="E86" s="838"/>
      <c r="F86" s="838"/>
      <c r="G86" s="838"/>
      <c r="H86" s="838"/>
      <c r="I86" s="838"/>
      <c r="J86" s="838"/>
      <c r="K86" s="838"/>
      <c r="L86" s="838"/>
    </row>
    <row r="87" spans="1:12" x14ac:dyDescent="0.2">
      <c r="A87" s="533"/>
      <c r="B87" s="846"/>
      <c r="C87" s="846"/>
      <c r="D87" s="1267">
        <v>1887</v>
      </c>
      <c r="E87" s="1267"/>
      <c r="F87" s="1267"/>
      <c r="G87" s="1267">
        <v>1888</v>
      </c>
      <c r="H87" s="1267"/>
      <c r="I87" s="1267"/>
      <c r="J87" s="1267">
        <v>1889</v>
      </c>
      <c r="K87" s="1267"/>
      <c r="L87" s="1267"/>
    </row>
    <row r="88" spans="1:12" x14ac:dyDescent="0.2">
      <c r="A88" s="533"/>
      <c r="B88" s="846"/>
      <c r="C88" s="846"/>
      <c r="D88" s="1420" t="s">
        <v>4839</v>
      </c>
      <c r="E88" s="1421" t="s">
        <v>4840</v>
      </c>
      <c r="F88" s="1421"/>
      <c r="G88" s="1420" t="s">
        <v>4839</v>
      </c>
      <c r="H88" s="1421" t="s">
        <v>4840</v>
      </c>
      <c r="I88" s="1421"/>
      <c r="J88" s="1420" t="s">
        <v>4839</v>
      </c>
      <c r="K88" s="1421" t="s">
        <v>4840</v>
      </c>
      <c r="L88" s="1421"/>
    </row>
    <row r="89" spans="1:12" x14ac:dyDescent="0.2">
      <c r="A89" s="533" t="s">
        <v>4056</v>
      </c>
      <c r="B89" s="533" t="s">
        <v>4841</v>
      </c>
      <c r="C89" s="1422" t="s">
        <v>4792</v>
      </c>
      <c r="D89" s="716">
        <v>411</v>
      </c>
      <c r="E89" s="145">
        <v>30834</v>
      </c>
      <c r="F89" s="145"/>
      <c r="G89" s="716">
        <v>581</v>
      </c>
      <c r="H89" s="145">
        <v>29608</v>
      </c>
      <c r="I89" s="145"/>
      <c r="J89" s="716">
        <v>933</v>
      </c>
      <c r="K89" s="145">
        <v>41920</v>
      </c>
      <c r="L89" s="307"/>
    </row>
    <row r="90" spans="1:12" x14ac:dyDescent="0.2">
      <c r="A90" s="533"/>
      <c r="B90" s="533" t="s">
        <v>4842</v>
      </c>
      <c r="C90" s="1422" t="s">
        <v>4793</v>
      </c>
      <c r="D90" s="533">
        <v>547</v>
      </c>
      <c r="E90" s="145">
        <v>703502</v>
      </c>
      <c r="F90" s="145"/>
      <c r="G90" s="533">
        <v>551</v>
      </c>
      <c r="H90" s="145">
        <v>673204</v>
      </c>
      <c r="I90" s="145"/>
      <c r="J90" s="533">
        <v>589</v>
      </c>
      <c r="K90" s="145">
        <v>772930</v>
      </c>
      <c r="L90" s="307"/>
    </row>
    <row r="91" spans="1:12" x14ac:dyDescent="0.2">
      <c r="A91" s="533"/>
      <c r="B91" s="533"/>
      <c r="C91" s="1422" t="s">
        <v>4843</v>
      </c>
      <c r="D91" s="808">
        <v>958</v>
      </c>
      <c r="E91" s="318">
        <v>734336</v>
      </c>
      <c r="F91" s="318"/>
      <c r="G91" s="808">
        <v>1132</v>
      </c>
      <c r="H91" s="318">
        <v>702812</v>
      </c>
      <c r="I91" s="318"/>
      <c r="J91" s="808">
        <v>1522</v>
      </c>
      <c r="K91" s="318">
        <v>814850</v>
      </c>
      <c r="L91" s="513"/>
    </row>
    <row r="92" spans="1:12" x14ac:dyDescent="0.2">
      <c r="A92" s="533"/>
      <c r="B92" s="533"/>
      <c r="C92" s="1422"/>
      <c r="D92" s="1423">
        <f>+SUM(D89:D90)</f>
        <v>958</v>
      </c>
      <c r="E92" s="1423">
        <f t="shared" ref="E92:L92" si="5">+SUM(E89:E90)</f>
        <v>734336</v>
      </c>
      <c r="F92" s="1423">
        <f t="shared" si="5"/>
        <v>0</v>
      </c>
      <c r="G92" s="1423">
        <f t="shared" si="5"/>
        <v>1132</v>
      </c>
      <c r="H92" s="1423">
        <f t="shared" si="5"/>
        <v>702812</v>
      </c>
      <c r="I92" s="1423">
        <f t="shared" si="5"/>
        <v>0</v>
      </c>
      <c r="J92" s="1423">
        <f t="shared" si="5"/>
        <v>1522</v>
      </c>
      <c r="K92" s="1423">
        <f t="shared" si="5"/>
        <v>814850</v>
      </c>
      <c r="L92" s="1423">
        <f t="shared" si="5"/>
        <v>0</v>
      </c>
    </row>
    <row r="93" spans="1:12" x14ac:dyDescent="0.2">
      <c r="A93" s="533" t="s">
        <v>4844</v>
      </c>
      <c r="B93" s="533" t="s">
        <v>4845</v>
      </c>
      <c r="C93" s="1422" t="s">
        <v>4792</v>
      </c>
      <c r="D93" s="533">
        <v>393</v>
      </c>
      <c r="E93" s="145">
        <v>27598</v>
      </c>
      <c r="F93" s="145"/>
      <c r="G93" s="533">
        <v>517</v>
      </c>
      <c r="H93" s="145">
        <v>27688</v>
      </c>
      <c r="I93" s="145"/>
      <c r="J93" s="533">
        <v>924</v>
      </c>
      <c r="K93" s="145">
        <v>39746</v>
      </c>
      <c r="L93" s="307"/>
    </row>
    <row r="94" spans="1:12" x14ac:dyDescent="0.2">
      <c r="A94" s="533"/>
      <c r="B94" s="533" t="s">
        <v>4846</v>
      </c>
      <c r="C94" s="1422" t="s">
        <v>4793</v>
      </c>
      <c r="D94" s="533">
        <v>549</v>
      </c>
      <c r="E94" s="145">
        <v>703263</v>
      </c>
      <c r="F94" s="145"/>
      <c r="G94" s="533">
        <v>497</v>
      </c>
      <c r="H94" s="145">
        <v>679133</v>
      </c>
      <c r="I94" s="145"/>
      <c r="J94" s="533">
        <v>583</v>
      </c>
      <c r="K94" s="145">
        <v>771679</v>
      </c>
      <c r="L94" s="307"/>
    </row>
    <row r="95" spans="1:12" x14ac:dyDescent="0.2">
      <c r="A95" s="533"/>
      <c r="B95" s="533"/>
      <c r="C95" s="1422" t="s">
        <v>4843</v>
      </c>
      <c r="D95" s="808">
        <v>942</v>
      </c>
      <c r="E95" s="318">
        <v>730861</v>
      </c>
      <c r="F95" s="318"/>
      <c r="G95" s="808">
        <v>1014</v>
      </c>
      <c r="H95" s="318">
        <v>706821</v>
      </c>
      <c r="I95" s="318"/>
      <c r="J95" s="808">
        <v>1507</v>
      </c>
      <c r="K95" s="318">
        <v>811425</v>
      </c>
      <c r="L95" s="513"/>
    </row>
    <row r="96" spans="1:12" x14ac:dyDescent="0.2">
      <c r="A96" s="533"/>
      <c r="B96" s="533"/>
      <c r="C96" s="1422"/>
      <c r="D96" s="1423">
        <f>+SUM(D93:D94)</f>
        <v>942</v>
      </c>
      <c r="E96" s="1423">
        <f t="shared" ref="E96:L96" si="6">+SUM(E93:E94)</f>
        <v>730861</v>
      </c>
      <c r="F96" s="1423">
        <f t="shared" si="6"/>
        <v>0</v>
      </c>
      <c r="G96" s="1423">
        <f t="shared" si="6"/>
        <v>1014</v>
      </c>
      <c r="H96" s="1423">
        <f t="shared" si="6"/>
        <v>706821</v>
      </c>
      <c r="I96" s="1423">
        <f t="shared" si="6"/>
        <v>0</v>
      </c>
      <c r="J96" s="1423">
        <f t="shared" si="6"/>
        <v>1507</v>
      </c>
      <c r="K96" s="1423">
        <f t="shared" si="6"/>
        <v>811425</v>
      </c>
      <c r="L96" s="1423">
        <f t="shared" si="6"/>
        <v>0</v>
      </c>
    </row>
    <row r="97" spans="1:12" x14ac:dyDescent="0.2">
      <c r="A97" s="716"/>
      <c r="B97" s="842"/>
      <c r="C97" s="716"/>
      <c r="D97" s="1424" t="s">
        <v>4847</v>
      </c>
      <c r="E97" s="1425"/>
      <c r="F97" s="1426"/>
      <c r="G97" s="1427" t="s">
        <v>4847</v>
      </c>
      <c r="H97" s="1428"/>
      <c r="I97" s="1429"/>
      <c r="J97" s="1427" t="s">
        <v>4847</v>
      </c>
      <c r="K97" s="1428"/>
      <c r="L97" s="1429"/>
    </row>
    <row r="98" spans="1:12" x14ac:dyDescent="0.2">
      <c r="A98" s="533" t="s">
        <v>3394</v>
      </c>
      <c r="B98" s="846"/>
      <c r="C98" s="1430" t="s">
        <v>4848</v>
      </c>
      <c r="D98" s="353">
        <v>555301</v>
      </c>
      <c r="E98" s="354"/>
      <c r="F98" s="604"/>
      <c r="G98" s="353">
        <v>2065110</v>
      </c>
      <c r="H98" s="354"/>
      <c r="I98" s="604"/>
      <c r="J98" s="353">
        <v>2729317</v>
      </c>
      <c r="K98" s="354"/>
      <c r="L98" s="604"/>
    </row>
    <row r="99" spans="1:12" x14ac:dyDescent="0.2">
      <c r="A99" s="533" t="s">
        <v>4849</v>
      </c>
      <c r="B99" s="846"/>
      <c r="C99" s="1430" t="s">
        <v>4850</v>
      </c>
      <c r="D99" s="494">
        <v>999686</v>
      </c>
      <c r="E99" s="495"/>
      <c r="F99" s="550"/>
      <c r="G99" s="494">
        <v>1102363</v>
      </c>
      <c r="H99" s="495"/>
      <c r="I99" s="550"/>
      <c r="J99" s="494">
        <v>1005137</v>
      </c>
      <c r="K99" s="495"/>
      <c r="L99" s="550"/>
    </row>
    <row r="100" spans="1:12" x14ac:dyDescent="0.2">
      <c r="A100" s="533"/>
      <c r="B100" s="846"/>
      <c r="C100" s="1430" t="s">
        <v>4843</v>
      </c>
      <c r="D100" s="616">
        <v>1554987</v>
      </c>
      <c r="E100" s="617"/>
      <c r="F100" s="618"/>
      <c r="G100" s="616">
        <v>3167473</v>
      </c>
      <c r="H100" s="617"/>
      <c r="I100" s="618"/>
      <c r="J100" s="616">
        <v>3734454</v>
      </c>
      <c r="K100" s="617"/>
      <c r="L100" s="618"/>
    </row>
    <row r="101" spans="1:12" x14ac:dyDescent="0.2">
      <c r="A101" s="533"/>
      <c r="B101" s="850"/>
      <c r="C101" s="1422"/>
      <c r="D101" s="1431">
        <f>+D98+D99</f>
        <v>1554987</v>
      </c>
      <c r="E101" s="1432"/>
      <c r="F101" s="1433"/>
      <c r="G101" s="1431">
        <f>+G98+G99</f>
        <v>3167473</v>
      </c>
      <c r="H101" s="1432"/>
      <c r="I101" s="1433"/>
      <c r="J101" s="1431">
        <f>+J98+J99</f>
        <v>3734454</v>
      </c>
      <c r="K101" s="1432"/>
      <c r="L101" s="1433"/>
    </row>
    <row r="102" spans="1:12" ht="20.5" customHeight="1" x14ac:dyDescent="0.2">
      <c r="A102" s="716"/>
      <c r="B102" s="716"/>
      <c r="C102" s="716"/>
      <c r="D102" s="1434" t="s">
        <v>4851</v>
      </c>
      <c r="E102" s="1435"/>
      <c r="F102" s="1436" t="s">
        <v>4071</v>
      </c>
      <c r="G102" s="1434" t="s">
        <v>4851</v>
      </c>
      <c r="H102" s="1435"/>
      <c r="I102" s="1437" t="s">
        <v>4071</v>
      </c>
      <c r="J102" s="1434" t="s">
        <v>4851</v>
      </c>
      <c r="K102" s="1435"/>
      <c r="L102" s="1437" t="s">
        <v>4071</v>
      </c>
    </row>
    <row r="103" spans="1:12" x14ac:dyDescent="0.2">
      <c r="A103" s="533"/>
      <c r="B103" s="533"/>
      <c r="C103" s="533"/>
      <c r="D103" s="349"/>
      <c r="E103" s="350"/>
      <c r="F103" s="350"/>
      <c r="G103" s="349"/>
      <c r="H103" s="350">
        <v>124011</v>
      </c>
      <c r="I103" s="717">
        <v>700</v>
      </c>
      <c r="J103" s="145" t="s">
        <v>2111</v>
      </c>
      <c r="K103" s="145">
        <v>56155</v>
      </c>
      <c r="L103" s="307">
        <v>500</v>
      </c>
    </row>
    <row r="104" spans="1:12" x14ac:dyDescent="0.2">
      <c r="A104" s="533" t="s">
        <v>3576</v>
      </c>
      <c r="B104" s="1438" t="s">
        <v>4062</v>
      </c>
      <c r="C104" s="1439" t="s">
        <v>4565</v>
      </c>
      <c r="D104" s="131"/>
      <c r="E104" s="145">
        <v>2000723</v>
      </c>
      <c r="F104" s="145">
        <v>58</v>
      </c>
      <c r="G104" s="131"/>
      <c r="H104" s="145">
        <v>2466107</v>
      </c>
      <c r="I104" s="307">
        <v>699</v>
      </c>
      <c r="J104" s="145"/>
      <c r="K104" s="145">
        <v>4050299</v>
      </c>
      <c r="L104" s="307">
        <v>121</v>
      </c>
    </row>
    <row r="105" spans="1:12" x14ac:dyDescent="0.2">
      <c r="A105" s="533"/>
      <c r="B105" s="533"/>
      <c r="C105" s="1439" t="s">
        <v>4852</v>
      </c>
      <c r="D105" s="131"/>
      <c r="E105" s="145">
        <v>2839129</v>
      </c>
      <c r="F105" s="145">
        <v>100</v>
      </c>
      <c r="G105" s="131"/>
      <c r="H105" s="145">
        <v>3627010</v>
      </c>
      <c r="I105" s="307">
        <v>300</v>
      </c>
      <c r="J105" s="145"/>
      <c r="K105" s="145">
        <v>4918102</v>
      </c>
      <c r="L105" s="307">
        <v>750</v>
      </c>
    </row>
    <row r="106" spans="1:12" x14ac:dyDescent="0.2">
      <c r="A106" s="533"/>
      <c r="B106" s="533"/>
      <c r="C106" s="1439" t="s">
        <v>4853</v>
      </c>
      <c r="D106" s="131"/>
      <c r="E106" s="145">
        <v>1166876</v>
      </c>
      <c r="F106" s="145">
        <v>250</v>
      </c>
      <c r="G106" s="131"/>
      <c r="H106" s="145">
        <v>1622687</v>
      </c>
      <c r="I106" s="307">
        <v>500</v>
      </c>
      <c r="J106" s="145"/>
      <c r="K106" s="145">
        <v>2057442</v>
      </c>
      <c r="L106" s="307"/>
    </row>
    <row r="107" spans="1:12" x14ac:dyDescent="0.2">
      <c r="A107" s="533"/>
      <c r="B107" s="533"/>
      <c r="C107" s="1439" t="s">
        <v>4854</v>
      </c>
      <c r="D107" s="131"/>
      <c r="E107" s="145">
        <v>4775632</v>
      </c>
      <c r="F107" s="145">
        <v>300</v>
      </c>
      <c r="G107" s="131"/>
      <c r="H107" s="145">
        <v>7211544</v>
      </c>
      <c r="I107" s="307">
        <v>743</v>
      </c>
      <c r="J107" s="145"/>
      <c r="K107" s="145">
        <v>9888327</v>
      </c>
      <c r="L107" s="307">
        <v>200</v>
      </c>
    </row>
    <row r="108" spans="1:12" x14ac:dyDescent="0.2">
      <c r="A108" s="533"/>
      <c r="B108" s="533"/>
      <c r="C108" s="1439" t="s">
        <v>4855</v>
      </c>
      <c r="D108" s="131"/>
      <c r="E108" s="145">
        <v>1755031</v>
      </c>
      <c r="F108" s="145">
        <v>250</v>
      </c>
      <c r="G108" s="131"/>
      <c r="H108" s="145">
        <v>2351856</v>
      </c>
      <c r="I108" s="307">
        <v>278</v>
      </c>
      <c r="J108" s="145"/>
      <c r="K108" s="145">
        <v>2774167</v>
      </c>
      <c r="L108" s="307"/>
    </row>
    <row r="109" spans="1:12" x14ac:dyDescent="0.2">
      <c r="A109" s="533"/>
      <c r="B109" s="533"/>
      <c r="C109" s="1439" t="s">
        <v>4856</v>
      </c>
      <c r="D109" s="131"/>
      <c r="E109" s="145">
        <v>1648446</v>
      </c>
      <c r="F109" s="145">
        <v>850</v>
      </c>
      <c r="G109" s="131"/>
      <c r="H109" s="145">
        <v>2026925</v>
      </c>
      <c r="I109" s="307">
        <v>248</v>
      </c>
      <c r="J109" s="145"/>
      <c r="K109" s="145">
        <v>2618216</v>
      </c>
      <c r="L109" s="307">
        <v>275</v>
      </c>
    </row>
    <row r="110" spans="1:12" x14ac:dyDescent="0.2">
      <c r="A110" s="533"/>
      <c r="B110" s="533"/>
      <c r="C110" s="1439" t="s">
        <v>4857</v>
      </c>
      <c r="D110" s="131"/>
      <c r="E110" s="145">
        <v>484863</v>
      </c>
      <c r="F110" s="145">
        <v>530</v>
      </c>
      <c r="G110" s="131"/>
      <c r="H110" s="145">
        <v>614780</v>
      </c>
      <c r="I110" s="307">
        <v>342</v>
      </c>
      <c r="J110" s="145"/>
      <c r="K110" s="145">
        <v>1133929</v>
      </c>
      <c r="L110" s="307">
        <v>824</v>
      </c>
    </row>
    <row r="111" spans="1:12" x14ac:dyDescent="0.2">
      <c r="A111" s="533"/>
      <c r="B111" s="533"/>
      <c r="C111" s="1439" t="s">
        <v>4858</v>
      </c>
      <c r="D111" s="131"/>
      <c r="E111" s="145">
        <v>1228141</v>
      </c>
      <c r="F111" s="145">
        <v>983</v>
      </c>
      <c r="G111" s="131"/>
      <c r="H111" s="145">
        <v>1644961</v>
      </c>
      <c r="I111" s="307">
        <v>455</v>
      </c>
      <c r="J111" s="145"/>
      <c r="K111" s="145">
        <v>1853824</v>
      </c>
      <c r="L111" s="307">
        <v>375</v>
      </c>
    </row>
    <row r="112" spans="1:12" x14ac:dyDescent="0.2">
      <c r="A112" s="533"/>
      <c r="B112" s="533"/>
      <c r="C112" s="1439" t="s">
        <v>4859</v>
      </c>
      <c r="D112" s="131"/>
      <c r="E112" s="145">
        <v>1205410</v>
      </c>
      <c r="F112" s="145">
        <v>950</v>
      </c>
      <c r="G112" s="131"/>
      <c r="H112" s="145">
        <v>1538235</v>
      </c>
      <c r="I112" s="307">
        <v>415</v>
      </c>
      <c r="J112" s="145"/>
      <c r="K112" s="145">
        <v>1662574</v>
      </c>
      <c r="L112" s="307">
        <v>400</v>
      </c>
    </row>
    <row r="113" spans="1:12" x14ac:dyDescent="0.2">
      <c r="A113" s="533"/>
      <c r="B113" s="533"/>
      <c r="C113" s="1439" t="s">
        <v>4860</v>
      </c>
      <c r="D113" s="131"/>
      <c r="E113" s="145">
        <v>2113217</v>
      </c>
      <c r="F113" s="145">
        <v>353</v>
      </c>
      <c r="G113" s="131"/>
      <c r="H113" s="145">
        <v>2678164</v>
      </c>
      <c r="I113" s="307">
        <v>714</v>
      </c>
      <c r="J113" s="145"/>
      <c r="K113" s="145">
        <v>2603284</v>
      </c>
      <c r="L113" s="307">
        <v>929</v>
      </c>
    </row>
    <row r="114" spans="1:12" x14ac:dyDescent="0.2">
      <c r="A114" s="533"/>
      <c r="B114" s="533"/>
      <c r="C114" s="1439" t="s">
        <v>4861</v>
      </c>
      <c r="D114" s="131"/>
      <c r="E114" s="145">
        <v>65956</v>
      </c>
      <c r="F114" s="145">
        <v>636</v>
      </c>
      <c r="G114" s="131"/>
      <c r="H114" s="145">
        <v>174000</v>
      </c>
      <c r="I114" s="307">
        <v>486</v>
      </c>
      <c r="J114" s="145"/>
      <c r="K114" s="145">
        <v>265690</v>
      </c>
      <c r="L114" s="307">
        <v>644</v>
      </c>
    </row>
    <row r="115" spans="1:12" x14ac:dyDescent="0.2">
      <c r="A115" s="533"/>
      <c r="B115" s="533"/>
      <c r="C115" s="1439" t="s">
        <v>4862</v>
      </c>
      <c r="D115" s="131"/>
      <c r="E115" s="145">
        <v>193106</v>
      </c>
      <c r="F115" s="145">
        <v>61</v>
      </c>
      <c r="G115" s="131"/>
      <c r="H115" s="145">
        <v>235446</v>
      </c>
      <c r="I115" s="307">
        <v>294</v>
      </c>
      <c r="J115" s="145"/>
      <c r="K115" s="145">
        <v>505751</v>
      </c>
      <c r="L115" s="307">
        <v>123</v>
      </c>
    </row>
    <row r="116" spans="1:12" x14ac:dyDescent="0.2">
      <c r="A116" s="533"/>
      <c r="B116" s="533"/>
      <c r="C116" s="1439" t="s">
        <v>4863</v>
      </c>
      <c r="D116" s="131"/>
      <c r="E116" s="145">
        <v>227235</v>
      </c>
      <c r="F116" s="145">
        <v>169</v>
      </c>
      <c r="G116" s="131"/>
      <c r="H116" s="145">
        <v>288141</v>
      </c>
      <c r="I116" s="307">
        <v>149</v>
      </c>
      <c r="J116" s="145"/>
      <c r="K116" s="145">
        <v>309600</v>
      </c>
      <c r="L116" s="307">
        <v>147</v>
      </c>
    </row>
    <row r="117" spans="1:12" x14ac:dyDescent="0.2">
      <c r="A117" s="533"/>
      <c r="B117" s="533"/>
      <c r="C117" s="1439" t="s">
        <v>4864</v>
      </c>
      <c r="D117" s="131"/>
      <c r="E117" s="145">
        <v>372225</v>
      </c>
      <c r="F117" s="145"/>
      <c r="G117" s="131"/>
      <c r="H117" s="145">
        <v>506697</v>
      </c>
      <c r="I117" s="307">
        <v>140</v>
      </c>
      <c r="J117" s="145"/>
      <c r="K117" s="145">
        <v>595993</v>
      </c>
      <c r="L117" s="307">
        <v>190</v>
      </c>
    </row>
    <row r="118" spans="1:12" x14ac:dyDescent="0.2">
      <c r="A118" s="533"/>
      <c r="B118" s="533"/>
      <c r="C118" s="1439" t="s">
        <v>4865</v>
      </c>
      <c r="D118" s="131"/>
      <c r="E118" s="145">
        <v>234850</v>
      </c>
      <c r="F118" s="145">
        <v>517</v>
      </c>
      <c r="G118" s="131"/>
      <c r="H118" s="145">
        <v>293400</v>
      </c>
      <c r="I118" s="307">
        <v>43</v>
      </c>
      <c r="J118" s="145"/>
      <c r="K118" s="145">
        <v>268524</v>
      </c>
      <c r="L118" s="307">
        <v>170</v>
      </c>
    </row>
    <row r="119" spans="1:12" x14ac:dyDescent="0.2">
      <c r="A119" s="533"/>
      <c r="B119" s="533"/>
      <c r="C119" s="1439" t="s">
        <v>4866</v>
      </c>
      <c r="D119" s="131"/>
      <c r="E119" s="145">
        <v>1164800</v>
      </c>
      <c r="F119" s="145">
        <v>450</v>
      </c>
      <c r="G119" s="131"/>
      <c r="H119" s="145">
        <v>988790</v>
      </c>
      <c r="I119" s="307"/>
      <c r="J119" s="145"/>
      <c r="K119" s="145">
        <v>1346239</v>
      </c>
      <c r="L119" s="307"/>
    </row>
    <row r="120" spans="1:12" x14ac:dyDescent="0.2">
      <c r="A120" s="533"/>
      <c r="B120" s="533"/>
      <c r="C120" s="1422" t="s">
        <v>4867</v>
      </c>
      <c r="D120" s="240"/>
      <c r="E120" s="318">
        <v>21475646</v>
      </c>
      <c r="F120" s="318">
        <v>607</v>
      </c>
      <c r="G120" s="240"/>
      <c r="H120" s="318">
        <v>28392760</v>
      </c>
      <c r="I120" s="513">
        <v>506</v>
      </c>
      <c r="J120" s="318"/>
      <c r="K120" s="318">
        <v>36908121</v>
      </c>
      <c r="L120" s="513">
        <v>648</v>
      </c>
    </row>
    <row r="121" spans="1:12" x14ac:dyDescent="0.2">
      <c r="A121" s="533"/>
      <c r="B121" s="533"/>
      <c r="C121" s="1422"/>
      <c r="D121" s="240"/>
      <c r="E121" s="1440">
        <f t="shared" ref="E121:L121" si="7">+SUM(E103:E119)</f>
        <v>21475640</v>
      </c>
      <c r="F121" s="1441">
        <f t="shared" si="7"/>
        <v>6457</v>
      </c>
      <c r="G121" s="240"/>
      <c r="H121" s="1440">
        <f t="shared" si="7"/>
        <v>28392754</v>
      </c>
      <c r="I121" s="1440">
        <f t="shared" si="7"/>
        <v>6506</v>
      </c>
      <c r="J121" s="240"/>
      <c r="K121" s="1440">
        <f t="shared" si="7"/>
        <v>36908116</v>
      </c>
      <c r="L121" s="1440">
        <f t="shared" si="7"/>
        <v>5648</v>
      </c>
    </row>
    <row r="122" spans="1:12" x14ac:dyDescent="0.2">
      <c r="A122" s="842"/>
      <c r="B122" s="716"/>
      <c r="C122" s="1442" t="s">
        <v>4868</v>
      </c>
      <c r="D122" s="1434" t="s">
        <v>4851</v>
      </c>
      <c r="E122" s="1435"/>
      <c r="F122" s="1437" t="s">
        <v>4071</v>
      </c>
      <c r="G122" s="1443" t="s">
        <v>4851</v>
      </c>
      <c r="H122" s="1435"/>
      <c r="I122" s="1436" t="s">
        <v>4071</v>
      </c>
      <c r="J122" s="1434" t="s">
        <v>4851</v>
      </c>
      <c r="K122" s="1435"/>
      <c r="L122" s="1437" t="s">
        <v>4071</v>
      </c>
    </row>
    <row r="123" spans="1:12" x14ac:dyDescent="0.2">
      <c r="A123" s="846"/>
      <c r="B123" s="1438" t="s">
        <v>4869</v>
      </c>
      <c r="C123" s="1439" t="s">
        <v>4870</v>
      </c>
      <c r="D123" s="131"/>
      <c r="E123" s="145">
        <v>9056864</v>
      </c>
      <c r="F123" s="307">
        <v>500</v>
      </c>
      <c r="G123" s="145"/>
      <c r="H123" s="145">
        <v>8650477</v>
      </c>
      <c r="I123" s="145">
        <v>500</v>
      </c>
      <c r="J123" s="131"/>
      <c r="K123" s="145">
        <v>6035847</v>
      </c>
      <c r="L123" s="307"/>
    </row>
    <row r="124" spans="1:12" x14ac:dyDescent="0.2">
      <c r="A124" s="846"/>
      <c r="B124" s="533"/>
      <c r="C124" s="1439" t="s">
        <v>4871</v>
      </c>
      <c r="D124" s="131"/>
      <c r="E124" s="145">
        <v>381144</v>
      </c>
      <c r="F124" s="307"/>
      <c r="G124" s="145"/>
      <c r="H124" s="145">
        <v>508397</v>
      </c>
      <c r="I124" s="145">
        <v>500</v>
      </c>
      <c r="J124" s="131"/>
      <c r="K124" s="145">
        <v>718565</v>
      </c>
      <c r="L124" s="307"/>
    </row>
    <row r="125" spans="1:12" x14ac:dyDescent="0.2">
      <c r="A125" s="846"/>
      <c r="B125" s="533"/>
      <c r="C125" s="1439" t="s">
        <v>4872</v>
      </c>
      <c r="D125" s="131"/>
      <c r="E125" s="145">
        <v>37736764</v>
      </c>
      <c r="F125" s="307"/>
      <c r="G125" s="145"/>
      <c r="H125" s="145">
        <v>41806305</v>
      </c>
      <c r="I125" s="145">
        <v>800</v>
      </c>
      <c r="J125" s="131"/>
      <c r="K125" s="145">
        <v>37371042</v>
      </c>
      <c r="L125" s="307"/>
    </row>
    <row r="126" spans="1:12" x14ac:dyDescent="0.2">
      <c r="A126" s="846"/>
      <c r="B126" s="533"/>
      <c r="C126" s="1444" t="s">
        <v>4191</v>
      </c>
      <c r="D126" s="230"/>
      <c r="E126" s="309">
        <v>494303</v>
      </c>
      <c r="F126" s="364"/>
      <c r="G126" s="309"/>
      <c r="H126" s="309">
        <v>2121557</v>
      </c>
      <c r="I126" s="309"/>
      <c r="J126" s="230"/>
      <c r="K126" s="309">
        <v>1747093</v>
      </c>
      <c r="L126" s="364"/>
    </row>
    <row r="127" spans="1:12" x14ac:dyDescent="0.2">
      <c r="A127" s="846"/>
      <c r="B127" s="533"/>
      <c r="C127" s="1438" t="s">
        <v>4867</v>
      </c>
      <c r="D127" s="230"/>
      <c r="E127" s="309">
        <v>47669075</v>
      </c>
      <c r="F127" s="364">
        <v>500</v>
      </c>
      <c r="G127" s="309"/>
      <c r="H127" s="309">
        <v>53086737</v>
      </c>
      <c r="I127" s="309">
        <v>800</v>
      </c>
      <c r="J127" s="230"/>
      <c r="K127" s="309">
        <v>45872547</v>
      </c>
      <c r="L127" s="364"/>
    </row>
    <row r="128" spans="1:12" x14ac:dyDescent="0.2">
      <c r="A128" s="846"/>
      <c r="B128" s="533"/>
      <c r="C128" s="1438"/>
      <c r="D128" s="230"/>
      <c r="E128" s="1445">
        <f t="shared" ref="E128:L128" si="8">+SUM(E123:E126)</f>
        <v>47669075</v>
      </c>
      <c r="F128" s="1445">
        <f t="shared" si="8"/>
        <v>500</v>
      </c>
      <c r="G128" s="230"/>
      <c r="H128" s="1445">
        <f t="shared" si="8"/>
        <v>53086736</v>
      </c>
      <c r="I128" s="1445">
        <f t="shared" si="8"/>
        <v>1800</v>
      </c>
      <c r="J128" s="230"/>
      <c r="K128" s="1445">
        <f t="shared" si="8"/>
        <v>45872547</v>
      </c>
      <c r="L128" s="1445">
        <f t="shared" si="8"/>
        <v>0</v>
      </c>
    </row>
    <row r="129" spans="1:12" ht="25" x14ac:dyDescent="0.2">
      <c r="A129" s="850"/>
      <c r="B129" s="535"/>
      <c r="C129" s="1446" t="s">
        <v>4187</v>
      </c>
      <c r="D129" s="240" t="s">
        <v>4873</v>
      </c>
      <c r="E129" s="318">
        <v>15823</v>
      </c>
      <c r="F129" s="513"/>
      <c r="G129" s="240" t="s">
        <v>4873</v>
      </c>
      <c r="H129" s="318">
        <v>19180</v>
      </c>
      <c r="I129" s="318"/>
      <c r="J129" s="240" t="s">
        <v>4873</v>
      </c>
      <c r="K129" s="318">
        <v>9849</v>
      </c>
      <c r="L129" s="513"/>
    </row>
    <row r="130" spans="1:12" x14ac:dyDescent="0.2">
      <c r="A130" s="716"/>
      <c r="B130" s="716"/>
      <c r="C130" s="842"/>
      <c r="D130" s="1420" t="s">
        <v>2508</v>
      </c>
      <c r="E130" s="1421" t="s">
        <v>3374</v>
      </c>
      <c r="F130" s="1421"/>
      <c r="G130" s="1420" t="s">
        <v>2508</v>
      </c>
      <c r="H130" s="1421" t="s">
        <v>3374</v>
      </c>
      <c r="I130" s="1421"/>
      <c r="J130" s="1420" t="s">
        <v>2508</v>
      </c>
      <c r="K130" s="1421" t="s">
        <v>3374</v>
      </c>
      <c r="L130" s="1421"/>
    </row>
    <row r="131" spans="1:12" x14ac:dyDescent="0.2">
      <c r="A131" s="533" t="s">
        <v>4787</v>
      </c>
      <c r="B131" s="1438" t="s">
        <v>4185</v>
      </c>
      <c r="C131" s="846"/>
      <c r="D131" s="145">
        <v>8714143</v>
      </c>
      <c r="E131" s="145">
        <v>71</v>
      </c>
      <c r="F131" s="307"/>
      <c r="G131" s="145">
        <v>10657521</v>
      </c>
      <c r="H131" s="145">
        <v>12</v>
      </c>
      <c r="I131" s="180">
        <v>0.5</v>
      </c>
      <c r="J131" s="131">
        <v>11811997</v>
      </c>
      <c r="K131" s="145">
        <v>6</v>
      </c>
      <c r="L131" s="133">
        <v>0.5</v>
      </c>
    </row>
    <row r="132" spans="1:12" x14ac:dyDescent="0.2">
      <c r="A132" s="535"/>
      <c r="B132" s="1447" t="s">
        <v>4788</v>
      </c>
      <c r="C132" s="850"/>
      <c r="D132" s="309">
        <v>14128162</v>
      </c>
      <c r="E132" s="145">
        <v>18</v>
      </c>
      <c r="F132" s="307"/>
      <c r="G132" s="309">
        <v>17607368</v>
      </c>
      <c r="H132" s="309">
        <v>68</v>
      </c>
      <c r="I132" s="309"/>
      <c r="J132" s="230">
        <v>16241147</v>
      </c>
      <c r="K132" s="309">
        <v>53</v>
      </c>
      <c r="L132" s="364"/>
    </row>
    <row r="133" spans="1:12" ht="22.25" customHeight="1" x14ac:dyDescent="0.2">
      <c r="A133" s="1279" t="s">
        <v>4874</v>
      </c>
      <c r="B133" s="1280"/>
      <c r="C133" s="1280"/>
      <c r="D133" s="1280"/>
      <c r="E133" s="1280"/>
      <c r="F133" s="1280"/>
      <c r="G133" s="1280"/>
      <c r="H133" s="1280"/>
      <c r="I133" s="1280"/>
      <c r="J133" s="1280"/>
      <c r="K133" s="1280"/>
      <c r="L133" s="1281"/>
    </row>
    <row r="137" spans="1:12" x14ac:dyDescent="0.2">
      <c r="A137" s="526" t="s">
        <v>1358</v>
      </c>
    </row>
    <row r="138" spans="1:12" ht="21.5" customHeight="1" x14ac:dyDescent="0.2">
      <c r="A138" s="1287" t="s">
        <v>3597</v>
      </c>
      <c r="B138" s="1288"/>
      <c r="C138" s="1289"/>
    </row>
    <row r="139" spans="1:12" x14ac:dyDescent="0.2">
      <c r="A139" s="131" t="s">
        <v>4875</v>
      </c>
      <c r="B139" s="145">
        <v>3148033</v>
      </c>
      <c r="C139" s="307">
        <v>15</v>
      </c>
    </row>
    <row r="140" spans="1:12" x14ac:dyDescent="0.2">
      <c r="A140" s="131" t="s">
        <v>4876</v>
      </c>
      <c r="B140" s="145">
        <v>3000000</v>
      </c>
      <c r="C140" s="307"/>
    </row>
    <row r="141" spans="1:12" x14ac:dyDescent="0.2">
      <c r="A141" s="131" t="s">
        <v>4877</v>
      </c>
      <c r="B141" s="145">
        <v>148033</v>
      </c>
      <c r="C141" s="307">
        <v>15</v>
      </c>
    </row>
    <row r="142" spans="1:12" ht="30" x14ac:dyDescent="0.2">
      <c r="A142" s="1448" t="s">
        <v>4878</v>
      </c>
      <c r="B142" s="309">
        <v>33157</v>
      </c>
      <c r="C142" s="364">
        <v>95</v>
      </c>
    </row>
    <row r="143" spans="1:12" x14ac:dyDescent="0.2">
      <c r="A143" s="1449"/>
    </row>
    <row r="144" spans="1:12" x14ac:dyDescent="0.2">
      <c r="A144" s="1449"/>
    </row>
    <row r="145" spans="1:10" x14ac:dyDescent="0.2">
      <c r="A145" s="1449"/>
    </row>
    <row r="146" spans="1:10" x14ac:dyDescent="0.2">
      <c r="A146" s="526" t="s">
        <v>1374</v>
      </c>
    </row>
    <row r="147" spans="1:10" ht="24.5" customHeight="1" x14ac:dyDescent="0.2">
      <c r="A147" s="1287" t="s">
        <v>4879</v>
      </c>
      <c r="B147" s="1288"/>
      <c r="C147" s="1288"/>
      <c r="D147" s="1288"/>
      <c r="E147" s="1288"/>
      <c r="F147" s="1288"/>
      <c r="G147" s="1288"/>
      <c r="H147" s="1288"/>
      <c r="I147" s="1288"/>
      <c r="J147" s="1289"/>
    </row>
    <row r="148" spans="1:10" ht="23.5" customHeight="1" x14ac:dyDescent="0.2">
      <c r="A148" s="808"/>
      <c r="B148" s="1365" t="s">
        <v>4880</v>
      </c>
      <c r="C148" s="1365"/>
      <c r="D148" s="1365"/>
      <c r="E148" s="1365" t="s">
        <v>4881</v>
      </c>
      <c r="F148" s="1365"/>
      <c r="G148" s="1365"/>
      <c r="H148" s="1365" t="s">
        <v>4882</v>
      </c>
      <c r="I148" s="1365"/>
      <c r="J148" s="1365"/>
    </row>
    <row r="149" spans="1:10" x14ac:dyDescent="0.2">
      <c r="A149" s="131">
        <v>1887</v>
      </c>
      <c r="B149" s="145">
        <v>1241543</v>
      </c>
      <c r="C149" s="145">
        <v>40</v>
      </c>
      <c r="D149" s="145"/>
      <c r="E149" s="349">
        <v>209253</v>
      </c>
      <c r="F149" s="350">
        <v>82</v>
      </c>
      <c r="G149" s="352">
        <v>0.5</v>
      </c>
      <c r="H149" s="145">
        <v>1032289</v>
      </c>
      <c r="I149" s="145">
        <v>57</v>
      </c>
      <c r="J149" s="352">
        <v>0.5</v>
      </c>
    </row>
    <row r="150" spans="1:10" x14ac:dyDescent="0.2">
      <c r="A150" s="131">
        <v>1888</v>
      </c>
      <c r="B150" s="145">
        <v>1164673</v>
      </c>
      <c r="C150" s="145">
        <v>40</v>
      </c>
      <c r="D150" s="145"/>
      <c r="E150" s="131">
        <v>187382</v>
      </c>
      <c r="F150" s="145">
        <v>30</v>
      </c>
      <c r="G150" s="133"/>
      <c r="H150" s="145">
        <v>977291</v>
      </c>
      <c r="I150" s="145">
        <v>10</v>
      </c>
      <c r="J150" s="133"/>
    </row>
    <row r="151" spans="1:10" x14ac:dyDescent="0.2">
      <c r="A151" s="230">
        <v>1889</v>
      </c>
      <c r="B151" s="309">
        <v>1336103</v>
      </c>
      <c r="C151" s="309">
        <v>40</v>
      </c>
      <c r="D151" s="309"/>
      <c r="E151" s="230">
        <v>251550</v>
      </c>
      <c r="F151" s="309">
        <v>62</v>
      </c>
      <c r="G151" s="231">
        <v>0.5</v>
      </c>
      <c r="H151" s="309">
        <v>1084552</v>
      </c>
      <c r="I151" s="309">
        <v>77</v>
      </c>
      <c r="J151" s="231">
        <v>0.5</v>
      </c>
    </row>
    <row r="152" spans="1:10" ht="22.25" customHeight="1" x14ac:dyDescent="0.2">
      <c r="A152" s="1287" t="s">
        <v>4883</v>
      </c>
      <c r="B152" s="1288"/>
      <c r="C152" s="1288"/>
      <c r="D152" s="1288"/>
      <c r="E152" s="1288"/>
      <c r="F152" s="1288"/>
      <c r="G152" s="1288"/>
      <c r="H152" s="1288"/>
      <c r="I152" s="1288"/>
      <c r="J152" s="1289"/>
    </row>
    <row r="153" spans="1:10" ht="22.25" customHeight="1" x14ac:dyDescent="0.2">
      <c r="A153" s="808"/>
      <c r="B153" s="1365" t="s">
        <v>4880</v>
      </c>
      <c r="C153" s="1365"/>
      <c r="D153" s="1365"/>
      <c r="E153" s="1365" t="s">
        <v>4881</v>
      </c>
      <c r="F153" s="1365"/>
      <c r="G153" s="1365"/>
      <c r="H153" s="1365" t="s">
        <v>4882</v>
      </c>
      <c r="I153" s="1365"/>
      <c r="J153" s="1365"/>
    </row>
    <row r="154" spans="1:10" x14ac:dyDescent="0.2">
      <c r="A154" s="131">
        <v>1887</v>
      </c>
      <c r="B154" s="145">
        <v>374331</v>
      </c>
      <c r="C154" s="145">
        <v>35</v>
      </c>
      <c r="D154" s="145"/>
      <c r="E154" s="349">
        <v>153948</v>
      </c>
      <c r="F154" s="350">
        <v>90</v>
      </c>
      <c r="G154" s="717"/>
      <c r="H154" s="145">
        <v>220382</v>
      </c>
      <c r="I154" s="145">
        <v>45</v>
      </c>
      <c r="J154" s="307"/>
    </row>
    <row r="155" spans="1:10" x14ac:dyDescent="0.2">
      <c r="A155" s="131">
        <v>1888</v>
      </c>
      <c r="B155" s="145">
        <v>367485</v>
      </c>
      <c r="C155" s="145"/>
      <c r="D155" s="145"/>
      <c r="E155" s="131">
        <v>222267</v>
      </c>
      <c r="F155" s="145">
        <v>40</v>
      </c>
      <c r="G155" s="307"/>
      <c r="H155" s="145">
        <v>145217</v>
      </c>
      <c r="I155" s="145">
        <v>60</v>
      </c>
      <c r="J155" s="307"/>
    </row>
    <row r="156" spans="1:10" x14ac:dyDescent="0.2">
      <c r="A156" s="230">
        <v>1889</v>
      </c>
      <c r="B156" s="309">
        <v>391518</v>
      </c>
      <c r="C156" s="309"/>
      <c r="D156" s="309"/>
      <c r="E156" s="230">
        <v>238696</v>
      </c>
      <c r="F156" s="309">
        <v>40</v>
      </c>
      <c r="G156" s="364"/>
      <c r="H156" s="309">
        <v>152821</v>
      </c>
      <c r="I156" s="309">
        <v>60</v>
      </c>
      <c r="J156" s="364"/>
    </row>
    <row r="160" spans="1:10" x14ac:dyDescent="0.2">
      <c r="A160" s="526" t="s">
        <v>1934</v>
      </c>
    </row>
    <row r="161" spans="1:7" ht="30.5" customHeight="1" x14ac:dyDescent="0.2">
      <c r="A161" s="1282" t="s">
        <v>4884</v>
      </c>
      <c r="B161" s="1283"/>
      <c r="C161" s="1283"/>
      <c r="D161" s="1283"/>
      <c r="E161" s="1283"/>
      <c r="F161" s="1283"/>
      <c r="G161" s="1284"/>
    </row>
    <row r="162" spans="1:7" x14ac:dyDescent="0.2">
      <c r="A162" s="480" t="s">
        <v>4885</v>
      </c>
      <c r="B162" s="481"/>
      <c r="C162" s="481"/>
      <c r="D162" s="481"/>
      <c r="E162" s="145">
        <v>2400000</v>
      </c>
      <c r="F162" s="145"/>
      <c r="G162" s="307"/>
    </row>
    <row r="163" spans="1:7" ht="16" thickBot="1" x14ac:dyDescent="0.25">
      <c r="A163" s="131" t="s">
        <v>4886</v>
      </c>
      <c r="B163" s="145">
        <v>1022074</v>
      </c>
      <c r="C163" s="145">
        <v>15</v>
      </c>
      <c r="D163" s="145"/>
      <c r="E163" s="187"/>
      <c r="F163" s="187"/>
      <c r="G163" s="444"/>
    </row>
    <row r="164" spans="1:7" ht="16" thickBot="1" x14ac:dyDescent="0.25">
      <c r="A164" s="131" t="s">
        <v>4887</v>
      </c>
      <c r="B164" s="187">
        <v>1053631</v>
      </c>
      <c r="C164" s="187">
        <v>50</v>
      </c>
      <c r="D164" s="187"/>
      <c r="E164" s="187">
        <v>2075705</v>
      </c>
      <c r="F164" s="187">
        <v>45</v>
      </c>
      <c r="G164" s="444"/>
    </row>
    <row r="165" spans="1:7" ht="16" thickBot="1" x14ac:dyDescent="0.25">
      <c r="A165" s="131"/>
      <c r="B165" s="145"/>
      <c r="C165" s="145"/>
      <c r="D165" s="145"/>
      <c r="E165" s="866">
        <f>+B163+B164</f>
        <v>2075705</v>
      </c>
      <c r="F165" s="1103">
        <f t="shared" ref="F165:G165" si="9">+C163+C164</f>
        <v>65</v>
      </c>
      <c r="G165" s="866">
        <f t="shared" si="9"/>
        <v>0</v>
      </c>
    </row>
    <row r="166" spans="1:7" ht="16" thickBot="1" x14ac:dyDescent="0.25">
      <c r="A166" s="489" t="s">
        <v>4888</v>
      </c>
      <c r="B166" s="493"/>
      <c r="C166" s="493"/>
      <c r="D166" s="493"/>
      <c r="E166" s="448">
        <v>324294</v>
      </c>
      <c r="F166" s="448">
        <v>45</v>
      </c>
      <c r="G166" s="449"/>
    </row>
    <row r="167" spans="1:7" x14ac:dyDescent="0.2">
      <c r="A167" s="131" t="s">
        <v>4889</v>
      </c>
      <c r="B167" s="145"/>
      <c r="C167" s="145"/>
      <c r="D167" s="145"/>
      <c r="E167" s="145">
        <v>1866100</v>
      </c>
      <c r="F167" s="145"/>
      <c r="G167" s="307"/>
    </row>
    <row r="168" spans="1:7" ht="30" x14ac:dyDescent="0.2">
      <c r="A168" s="539" t="s">
        <v>4890</v>
      </c>
      <c r="B168" s="145">
        <v>1086905</v>
      </c>
      <c r="C168" s="145">
        <v>28</v>
      </c>
      <c r="D168" s="145"/>
      <c r="E168" s="145"/>
      <c r="F168" s="145"/>
      <c r="G168" s="307"/>
    </row>
    <row r="169" spans="1:7" ht="16" thickBot="1" x14ac:dyDescent="0.25">
      <c r="A169" s="131" t="s">
        <v>4891</v>
      </c>
      <c r="B169" s="187">
        <v>1040619</v>
      </c>
      <c r="C169" s="187">
        <v>69</v>
      </c>
      <c r="D169" s="187"/>
      <c r="E169" s="187">
        <v>2127524</v>
      </c>
      <c r="F169" s="187">
        <v>97</v>
      </c>
      <c r="G169" s="444"/>
    </row>
    <row r="170" spans="1:7" ht="16" thickBot="1" x14ac:dyDescent="0.25">
      <c r="A170" s="131"/>
      <c r="B170" s="145"/>
      <c r="C170" s="145"/>
      <c r="D170" s="145"/>
      <c r="E170" s="1093">
        <f>+SUM(B168:B169)</f>
        <v>2127524</v>
      </c>
      <c r="F170" s="1093">
        <f t="shared" ref="F170:G170" si="10">+SUM(C168:C169)</f>
        <v>97</v>
      </c>
      <c r="G170" s="1093">
        <f t="shared" si="10"/>
        <v>0</v>
      </c>
    </row>
    <row r="171" spans="1:7" x14ac:dyDescent="0.2">
      <c r="A171" s="790" t="s">
        <v>4892</v>
      </c>
      <c r="B171" s="791"/>
      <c r="C171" s="791"/>
      <c r="D171" s="791"/>
      <c r="E171" s="701">
        <v>261424</v>
      </c>
      <c r="F171" s="701">
        <v>97</v>
      </c>
      <c r="G171" s="702"/>
    </row>
    <row r="175" spans="1:7" x14ac:dyDescent="0.2">
      <c r="A175" s="526" t="s">
        <v>1957</v>
      </c>
    </row>
    <row r="176" spans="1:7" ht="31.25" customHeight="1" x14ac:dyDescent="0.2">
      <c r="A176" s="1287" t="s">
        <v>4893</v>
      </c>
      <c r="B176" s="1288"/>
      <c r="C176" s="1289"/>
    </row>
    <row r="177" spans="1:7" x14ac:dyDescent="0.2">
      <c r="A177" s="131" t="s">
        <v>4894</v>
      </c>
      <c r="B177" s="145">
        <v>341959</v>
      </c>
      <c r="C177" s="307">
        <v>55</v>
      </c>
    </row>
    <row r="178" spans="1:7" x14ac:dyDescent="0.2">
      <c r="A178" s="131" t="s">
        <v>4895</v>
      </c>
      <c r="B178" s="145">
        <v>395559</v>
      </c>
      <c r="C178" s="307">
        <v>55</v>
      </c>
    </row>
    <row r="179" spans="1:7" ht="16" thickBot="1" x14ac:dyDescent="0.25">
      <c r="A179" s="622" t="s">
        <v>4896</v>
      </c>
      <c r="B179" s="595">
        <v>737519</v>
      </c>
      <c r="C179" s="596">
        <v>10</v>
      </c>
    </row>
    <row r="180" spans="1:7" x14ac:dyDescent="0.2">
      <c r="A180" s="622"/>
      <c r="B180" s="1093">
        <f>+SUM(B177:B178)</f>
        <v>737518</v>
      </c>
      <c r="C180" s="1093">
        <f>+SUM(C177:C178)</f>
        <v>110</v>
      </c>
    </row>
    <row r="181" spans="1:7" x14ac:dyDescent="0.2">
      <c r="A181" s="131" t="s">
        <v>4897</v>
      </c>
      <c r="B181" s="145">
        <v>2000000</v>
      </c>
      <c r="C181" s="307"/>
    </row>
    <row r="182" spans="1:7" x14ac:dyDescent="0.2">
      <c r="A182" s="794" t="s">
        <v>4898</v>
      </c>
      <c r="B182" s="318">
        <v>1262480</v>
      </c>
      <c r="C182" s="513">
        <v>90</v>
      </c>
    </row>
    <row r="186" spans="1:7" x14ac:dyDescent="0.2">
      <c r="A186" s="526" t="s">
        <v>1988</v>
      </c>
    </row>
    <row r="187" spans="1:7" ht="39" customHeight="1" x14ac:dyDescent="0.2">
      <c r="A187" s="1287" t="s">
        <v>4899</v>
      </c>
      <c r="B187" s="1288"/>
      <c r="C187" s="1288"/>
      <c r="D187" s="1288"/>
      <c r="E187" s="1288"/>
      <c r="F187" s="1288"/>
      <c r="G187" s="1289"/>
    </row>
    <row r="188" spans="1:7" x14ac:dyDescent="0.2">
      <c r="A188" s="131" t="s">
        <v>4900</v>
      </c>
      <c r="B188" s="145"/>
      <c r="C188" s="145"/>
      <c r="D188" s="145"/>
      <c r="E188" s="145">
        <v>25375705</v>
      </c>
      <c r="F188" s="145">
        <v>73</v>
      </c>
      <c r="G188" s="133">
        <v>0.25</v>
      </c>
    </row>
    <row r="189" spans="1:7" x14ac:dyDescent="0.2">
      <c r="A189" s="131" t="s">
        <v>4901</v>
      </c>
      <c r="B189" s="145"/>
      <c r="C189" s="145"/>
      <c r="D189" s="145"/>
      <c r="E189" s="145"/>
      <c r="F189" s="145"/>
      <c r="G189" s="133"/>
    </row>
    <row r="190" spans="1:7" x14ac:dyDescent="0.2">
      <c r="A190" s="131" t="s">
        <v>4902</v>
      </c>
      <c r="B190" s="145">
        <v>2575950</v>
      </c>
      <c r="C190" s="145"/>
      <c r="D190" s="145"/>
      <c r="E190" s="145"/>
      <c r="F190" s="145"/>
      <c r="G190" s="133"/>
    </row>
    <row r="191" spans="1:7" ht="31" thickBot="1" x14ac:dyDescent="0.25">
      <c r="A191" s="539" t="s">
        <v>4903</v>
      </c>
      <c r="B191" s="187">
        <v>3400000</v>
      </c>
      <c r="C191" s="187"/>
      <c r="D191" s="187"/>
      <c r="E191" s="187">
        <v>5975950</v>
      </c>
      <c r="F191" s="187"/>
      <c r="G191" s="189"/>
    </row>
    <row r="192" spans="1:7" x14ac:dyDescent="0.2">
      <c r="A192" s="131" t="s">
        <v>4904</v>
      </c>
      <c r="B192" s="145"/>
      <c r="C192" s="145"/>
      <c r="D192" s="145"/>
      <c r="E192" s="145">
        <v>19399755</v>
      </c>
      <c r="F192" s="145">
        <v>73</v>
      </c>
      <c r="G192" s="133">
        <v>0.25</v>
      </c>
    </row>
    <row r="193" spans="1:7" x14ac:dyDescent="0.2">
      <c r="A193" s="131"/>
      <c r="B193" s="145"/>
      <c r="C193" s="145"/>
      <c r="D193" s="145"/>
      <c r="E193" s="1093">
        <f>+E188-(B190+B191)</f>
        <v>19399755</v>
      </c>
      <c r="F193" s="1093">
        <f t="shared" ref="F193:G193" si="11">+F188-(C190+C191)</f>
        <v>73</v>
      </c>
      <c r="G193" s="1107">
        <f t="shared" si="11"/>
        <v>0.25</v>
      </c>
    </row>
    <row r="194" spans="1:7" x14ac:dyDescent="0.2">
      <c r="A194" s="131" t="s">
        <v>4905</v>
      </c>
      <c r="B194" s="145"/>
      <c r="C194" s="145"/>
      <c r="D194" s="145"/>
      <c r="E194" s="145">
        <v>20280000</v>
      </c>
      <c r="F194" s="145"/>
      <c r="G194" s="133"/>
    </row>
    <row r="195" spans="1:7" ht="16" thickBot="1" x14ac:dyDescent="0.25">
      <c r="A195" s="489" t="s">
        <v>4906</v>
      </c>
      <c r="B195" s="493"/>
      <c r="C195" s="493"/>
      <c r="D195" s="493"/>
      <c r="E195" s="595">
        <v>1490244</v>
      </c>
      <c r="F195" s="595">
        <v>26</v>
      </c>
      <c r="G195" s="1079">
        <v>0.75</v>
      </c>
    </row>
    <row r="196" spans="1:7" x14ac:dyDescent="0.2">
      <c r="A196" s="131" t="s">
        <v>4907</v>
      </c>
      <c r="B196" s="145"/>
      <c r="C196" s="145"/>
      <c r="D196" s="145"/>
      <c r="E196" s="145">
        <v>14014543</v>
      </c>
      <c r="F196" s="145">
        <v>93</v>
      </c>
      <c r="G196" s="133">
        <v>0.5</v>
      </c>
    </row>
    <row r="197" spans="1:7" x14ac:dyDescent="0.2">
      <c r="A197" s="131" t="s">
        <v>4908</v>
      </c>
      <c r="B197" s="145"/>
      <c r="C197" s="145"/>
      <c r="D197" s="145"/>
      <c r="E197" s="145"/>
      <c r="F197" s="145"/>
      <c r="G197" s="133"/>
    </row>
    <row r="198" spans="1:7" x14ac:dyDescent="0.2">
      <c r="A198" s="131" t="s">
        <v>4909</v>
      </c>
      <c r="B198" s="145">
        <v>1536450</v>
      </c>
      <c r="C198" s="145"/>
      <c r="D198" s="145"/>
      <c r="E198" s="145"/>
      <c r="F198" s="145"/>
      <c r="G198" s="133"/>
    </row>
    <row r="199" spans="1:7" ht="16" thickBot="1" x14ac:dyDescent="0.25">
      <c r="A199" s="131" t="s">
        <v>4910</v>
      </c>
      <c r="B199" s="187">
        <v>700000</v>
      </c>
      <c r="C199" s="187"/>
      <c r="D199" s="187"/>
      <c r="E199" s="187">
        <v>2236450</v>
      </c>
      <c r="F199" s="187"/>
      <c r="G199" s="189"/>
    </row>
    <row r="200" spans="1:7" x14ac:dyDescent="0.2">
      <c r="A200" s="131" t="s">
        <v>4911</v>
      </c>
      <c r="B200" s="145"/>
      <c r="C200" s="145"/>
      <c r="D200" s="145"/>
      <c r="E200" s="145">
        <v>11778093</v>
      </c>
      <c r="F200" s="145">
        <v>93</v>
      </c>
      <c r="G200" s="133">
        <v>0.5</v>
      </c>
    </row>
    <row r="201" spans="1:7" x14ac:dyDescent="0.2">
      <c r="A201" s="131"/>
      <c r="B201" s="145"/>
      <c r="C201" s="145"/>
      <c r="D201" s="145"/>
      <c r="E201" s="1093">
        <f>+E196-(B198+B199)</f>
        <v>11778093</v>
      </c>
      <c r="F201" s="1093">
        <f t="shared" ref="F201:G201" si="12">+F196-(C198+C199)</f>
        <v>93</v>
      </c>
      <c r="G201" s="1107">
        <f t="shared" si="12"/>
        <v>0.5</v>
      </c>
    </row>
    <row r="202" spans="1:7" x14ac:dyDescent="0.2">
      <c r="A202" s="131" t="s">
        <v>4912</v>
      </c>
      <c r="B202" s="145"/>
      <c r="C202" s="145"/>
      <c r="D202" s="145"/>
      <c r="E202" s="145">
        <v>23556187</v>
      </c>
      <c r="F202" s="145"/>
      <c r="G202" s="133"/>
    </row>
    <row r="203" spans="1:7" x14ac:dyDescent="0.2">
      <c r="A203" s="131" t="s">
        <v>4913</v>
      </c>
      <c r="B203" s="145"/>
      <c r="C203" s="145"/>
      <c r="D203" s="145"/>
      <c r="E203" s="145">
        <v>19540700</v>
      </c>
      <c r="F203" s="145"/>
      <c r="G203" s="133"/>
    </row>
    <row r="204" spans="1:7" x14ac:dyDescent="0.2">
      <c r="A204" s="790" t="s">
        <v>4914</v>
      </c>
      <c r="B204" s="791"/>
      <c r="C204" s="791"/>
      <c r="D204" s="791"/>
      <c r="E204" s="318">
        <v>4015487</v>
      </c>
      <c r="F204" s="318"/>
      <c r="G204" s="241"/>
    </row>
    <row r="208" spans="1:7" x14ac:dyDescent="0.2">
      <c r="A208" s="526" t="s">
        <v>1993</v>
      </c>
    </row>
    <row r="209" spans="1:10" ht="40.25" customHeight="1" x14ac:dyDescent="0.2">
      <c r="A209" s="1272" t="s">
        <v>4915</v>
      </c>
      <c r="B209" s="1272"/>
      <c r="C209" s="1272"/>
      <c r="D209" s="1272"/>
      <c r="E209" s="1272"/>
      <c r="F209" s="1272"/>
      <c r="G209" s="1272"/>
      <c r="H209" s="1272"/>
      <c r="I209" s="1272"/>
      <c r="J209" s="1272"/>
    </row>
    <row r="210" spans="1:10" ht="43.25" customHeight="1" x14ac:dyDescent="0.2">
      <c r="A210" s="751" t="s">
        <v>1881</v>
      </c>
      <c r="B210" s="1293" t="s">
        <v>4916</v>
      </c>
      <c r="C210" s="1365"/>
      <c r="D210" s="1291"/>
      <c r="E210" s="1365" t="s">
        <v>4917</v>
      </c>
      <c r="F210" s="1365"/>
      <c r="G210" s="1365"/>
      <c r="H210" s="1293" t="s">
        <v>4918</v>
      </c>
      <c r="I210" s="1365"/>
      <c r="J210" s="1365"/>
    </row>
    <row r="211" spans="1:10" x14ac:dyDescent="0.2">
      <c r="A211" s="533" t="s">
        <v>4004</v>
      </c>
      <c r="B211" s="145">
        <v>11682680</v>
      </c>
      <c r="C211" s="145">
        <v>33</v>
      </c>
      <c r="D211" s="180">
        <v>0.25</v>
      </c>
      <c r="E211" s="349">
        <v>7725599</v>
      </c>
      <c r="F211" s="350">
        <v>30</v>
      </c>
      <c r="G211" s="352"/>
      <c r="H211" s="145">
        <v>10000000</v>
      </c>
      <c r="I211" s="145"/>
      <c r="J211" s="133"/>
    </row>
    <row r="212" spans="1:10" x14ac:dyDescent="0.2">
      <c r="A212" s="533" t="s">
        <v>4005</v>
      </c>
      <c r="B212" s="145">
        <v>3327392</v>
      </c>
      <c r="C212" s="145">
        <v>70</v>
      </c>
      <c r="D212" s="180"/>
      <c r="E212" s="131">
        <v>1727621</v>
      </c>
      <c r="F212" s="145">
        <v>40</v>
      </c>
      <c r="G212" s="133"/>
      <c r="H212" s="145">
        <v>3700000</v>
      </c>
      <c r="I212" s="145"/>
      <c r="J212" s="133"/>
    </row>
    <row r="213" spans="1:10" x14ac:dyDescent="0.2">
      <c r="A213" s="533" t="s">
        <v>4919</v>
      </c>
      <c r="B213" s="145">
        <v>2075705</v>
      </c>
      <c r="C213" s="145">
        <v>55</v>
      </c>
      <c r="D213" s="180"/>
      <c r="E213" s="131">
        <v>1086905</v>
      </c>
      <c r="F213" s="145">
        <v>28</v>
      </c>
      <c r="G213" s="133"/>
      <c r="H213" s="145">
        <v>1866100</v>
      </c>
      <c r="I213" s="145"/>
      <c r="J213" s="133"/>
    </row>
    <row r="214" spans="1:10" x14ac:dyDescent="0.2">
      <c r="A214" s="533" t="s">
        <v>4920</v>
      </c>
      <c r="B214" s="145">
        <v>737519</v>
      </c>
      <c r="C214" s="145">
        <v>10</v>
      </c>
      <c r="D214" s="180"/>
      <c r="E214" s="131">
        <v>328376</v>
      </c>
      <c r="F214" s="145">
        <v>45</v>
      </c>
      <c r="G214" s="133"/>
      <c r="H214" s="145">
        <v>624000</v>
      </c>
      <c r="I214" s="145"/>
      <c r="J214" s="133"/>
    </row>
    <row r="215" spans="1:10" x14ac:dyDescent="0.2">
      <c r="A215" s="533" t="s">
        <v>4921</v>
      </c>
      <c r="B215" s="145">
        <v>391790</v>
      </c>
      <c r="C215" s="145"/>
      <c r="D215" s="180"/>
      <c r="E215" s="131">
        <v>225500</v>
      </c>
      <c r="F215" s="145"/>
      <c r="G215" s="133"/>
      <c r="H215" s="145">
        <v>580000</v>
      </c>
      <c r="I215" s="145"/>
      <c r="J215" s="133"/>
    </row>
    <row r="216" spans="1:10" x14ac:dyDescent="0.2">
      <c r="A216" s="533" t="s">
        <v>4922</v>
      </c>
      <c r="B216" s="145">
        <v>155000</v>
      </c>
      <c r="C216" s="145"/>
      <c r="D216" s="180"/>
      <c r="E216" s="131">
        <v>155000</v>
      </c>
      <c r="F216" s="145"/>
      <c r="G216" s="133"/>
      <c r="H216" s="145">
        <v>250000</v>
      </c>
      <c r="I216" s="145"/>
      <c r="J216" s="133"/>
    </row>
    <row r="217" spans="1:10" x14ac:dyDescent="0.2">
      <c r="A217" s="533" t="s">
        <v>4923</v>
      </c>
      <c r="B217" s="145">
        <v>130000</v>
      </c>
      <c r="C217" s="145"/>
      <c r="D217" s="180"/>
      <c r="E217" s="131"/>
      <c r="F217" s="145"/>
      <c r="G217" s="133"/>
      <c r="H217" s="145">
        <v>200000</v>
      </c>
      <c r="I217" s="145"/>
      <c r="J217" s="133"/>
    </row>
    <row r="218" spans="1:10" x14ac:dyDescent="0.2">
      <c r="A218" s="533" t="s">
        <v>4924</v>
      </c>
      <c r="B218" s="145">
        <v>151832</v>
      </c>
      <c r="C218" s="145"/>
      <c r="D218" s="180"/>
      <c r="E218" s="1450">
        <v>138383</v>
      </c>
      <c r="F218" s="145"/>
      <c r="G218" s="133"/>
      <c r="H218" s="145">
        <v>200000</v>
      </c>
      <c r="I218" s="145"/>
      <c r="J218" s="133"/>
    </row>
    <row r="219" spans="1:10" x14ac:dyDescent="0.2">
      <c r="A219" s="533" t="s">
        <v>4925</v>
      </c>
      <c r="B219" s="145">
        <v>118322</v>
      </c>
      <c r="C219" s="145">
        <v>35</v>
      </c>
      <c r="D219" s="180"/>
      <c r="E219" s="131">
        <v>74591</v>
      </c>
      <c r="F219" s="145">
        <v>20</v>
      </c>
      <c r="G219" s="133"/>
      <c r="H219" s="145">
        <v>120000</v>
      </c>
      <c r="I219" s="145"/>
      <c r="J219" s="133"/>
    </row>
    <row r="220" spans="1:10" x14ac:dyDescent="0.2">
      <c r="A220" s="533" t="s">
        <v>4926</v>
      </c>
      <c r="B220" s="145">
        <v>52706</v>
      </c>
      <c r="C220" s="145">
        <v>50</v>
      </c>
      <c r="D220" s="180"/>
      <c r="E220" s="131">
        <v>37673</v>
      </c>
      <c r="F220" s="145">
        <v>60</v>
      </c>
      <c r="G220" s="133"/>
      <c r="H220" s="145">
        <v>40000</v>
      </c>
      <c r="I220" s="145"/>
      <c r="J220" s="133"/>
    </row>
    <row r="221" spans="1:10" x14ac:dyDescent="0.2">
      <c r="A221" s="533" t="s">
        <v>4927</v>
      </c>
      <c r="B221" s="145">
        <v>42650</v>
      </c>
      <c r="C221" s="145"/>
      <c r="D221" s="180"/>
      <c r="E221" s="131"/>
      <c r="F221" s="145"/>
      <c r="G221" s="133"/>
      <c r="H221" s="145">
        <v>36000</v>
      </c>
      <c r="I221" s="145"/>
      <c r="J221" s="133"/>
    </row>
    <row r="222" spans="1:10" x14ac:dyDescent="0.2">
      <c r="A222" s="533" t="s">
        <v>4928</v>
      </c>
      <c r="B222" s="145">
        <v>70000</v>
      </c>
      <c r="C222" s="145"/>
      <c r="D222" s="180"/>
      <c r="E222" s="131">
        <v>35000</v>
      </c>
      <c r="F222" s="145"/>
      <c r="G222" s="133"/>
      <c r="H222" s="145">
        <v>70000</v>
      </c>
      <c r="I222" s="145"/>
      <c r="J222" s="133"/>
    </row>
    <row r="223" spans="1:10" x14ac:dyDescent="0.2">
      <c r="A223" s="533" t="s">
        <v>4929</v>
      </c>
      <c r="B223" s="145">
        <v>66500</v>
      </c>
      <c r="C223" s="145"/>
      <c r="D223" s="180"/>
      <c r="E223" s="1450">
        <v>33250</v>
      </c>
      <c r="F223" s="145"/>
      <c r="G223" s="133"/>
      <c r="H223" s="145">
        <v>56000</v>
      </c>
      <c r="I223" s="145"/>
      <c r="J223" s="133"/>
    </row>
    <row r="224" spans="1:10" x14ac:dyDescent="0.2">
      <c r="A224" s="533" t="s">
        <v>4930</v>
      </c>
      <c r="B224" s="145">
        <v>30910</v>
      </c>
      <c r="C224" s="145">
        <v>32</v>
      </c>
      <c r="D224" s="180">
        <v>0.5</v>
      </c>
      <c r="E224" s="131">
        <v>29738</v>
      </c>
      <c r="F224" s="145">
        <v>7</v>
      </c>
      <c r="G224" s="133">
        <v>0.5</v>
      </c>
      <c r="H224" s="145">
        <v>12000</v>
      </c>
      <c r="I224" s="145"/>
      <c r="J224" s="133"/>
    </row>
    <row r="225" spans="1:10" x14ac:dyDescent="0.2">
      <c r="A225" s="533" t="s">
        <v>4931</v>
      </c>
      <c r="B225" s="145"/>
      <c r="C225" s="145"/>
      <c r="D225" s="180"/>
      <c r="E225" s="131"/>
      <c r="F225" s="145"/>
      <c r="G225" s="133"/>
      <c r="H225" s="145">
        <v>12000</v>
      </c>
      <c r="I225" s="145"/>
      <c r="J225" s="133"/>
    </row>
    <row r="226" spans="1:10" x14ac:dyDescent="0.2">
      <c r="A226" s="533" t="s">
        <v>4932</v>
      </c>
      <c r="B226" s="145">
        <v>36000</v>
      </c>
      <c r="C226" s="145"/>
      <c r="D226" s="180"/>
      <c r="E226" s="131">
        <v>43515</v>
      </c>
      <c r="F226" s="145">
        <v>48</v>
      </c>
      <c r="G226" s="133"/>
      <c r="H226" s="145">
        <v>12000</v>
      </c>
      <c r="I226" s="145"/>
      <c r="J226" s="133"/>
    </row>
    <row r="227" spans="1:10" x14ac:dyDescent="0.2">
      <c r="A227" s="533" t="s">
        <v>4933</v>
      </c>
      <c r="B227" s="145">
        <v>219739</v>
      </c>
      <c r="C227" s="145">
        <v>67</v>
      </c>
      <c r="D227" s="180">
        <v>0.5</v>
      </c>
      <c r="E227" s="131">
        <v>429</v>
      </c>
      <c r="F227" s="145">
        <v>65</v>
      </c>
      <c r="G227" s="133"/>
      <c r="H227" s="145">
        <v>10000</v>
      </c>
      <c r="I227" s="145"/>
      <c r="J227" s="133"/>
    </row>
    <row r="228" spans="1:10" x14ac:dyDescent="0.2">
      <c r="A228" s="533" t="s">
        <v>4934</v>
      </c>
      <c r="B228" s="145"/>
      <c r="C228" s="145"/>
      <c r="D228" s="180"/>
      <c r="E228" s="131"/>
      <c r="F228" s="145"/>
      <c r="G228" s="133"/>
      <c r="H228" s="145"/>
      <c r="I228" s="145"/>
      <c r="J228" s="133"/>
    </row>
    <row r="229" spans="1:10" x14ac:dyDescent="0.2">
      <c r="A229" s="533" t="s">
        <v>4935</v>
      </c>
      <c r="B229" s="145">
        <v>1423</v>
      </c>
      <c r="C229" s="145">
        <v>50</v>
      </c>
      <c r="D229" s="180"/>
      <c r="E229" s="131">
        <v>2212</v>
      </c>
      <c r="F229" s="145">
        <v>35</v>
      </c>
      <c r="G229" s="133"/>
      <c r="H229" s="145">
        <v>1600</v>
      </c>
      <c r="I229" s="145"/>
      <c r="J229" s="133"/>
    </row>
    <row r="230" spans="1:10" x14ac:dyDescent="0.2">
      <c r="A230" s="533" t="s">
        <v>4936</v>
      </c>
      <c r="B230" s="145"/>
      <c r="C230" s="145"/>
      <c r="D230" s="180"/>
      <c r="E230" s="131"/>
      <c r="F230" s="145"/>
      <c r="G230" s="133"/>
      <c r="H230" s="145">
        <v>200000</v>
      </c>
      <c r="I230" s="145"/>
      <c r="J230" s="133"/>
    </row>
    <row r="231" spans="1:10" x14ac:dyDescent="0.2">
      <c r="A231" s="533" t="s">
        <v>4937</v>
      </c>
      <c r="B231" s="145">
        <v>2575750</v>
      </c>
      <c r="C231" s="145"/>
      <c r="D231" s="180"/>
      <c r="E231" s="131">
        <v>1536450</v>
      </c>
      <c r="F231" s="145"/>
      <c r="G231" s="133"/>
      <c r="H231" s="145">
        <v>1200000</v>
      </c>
      <c r="I231" s="145"/>
      <c r="J231" s="133"/>
    </row>
    <row r="232" spans="1:10" x14ac:dyDescent="0.2">
      <c r="A232" s="533" t="s">
        <v>4938</v>
      </c>
      <c r="B232" s="145">
        <v>22500</v>
      </c>
      <c r="C232" s="145"/>
      <c r="D232" s="180"/>
      <c r="E232" s="131">
        <v>22500</v>
      </c>
      <c r="F232" s="145"/>
      <c r="G232" s="133"/>
      <c r="H232" s="145">
        <v>45000</v>
      </c>
      <c r="I232" s="145"/>
      <c r="J232" s="133"/>
    </row>
    <row r="233" spans="1:10" ht="30" x14ac:dyDescent="0.2">
      <c r="A233" s="1451" t="s">
        <v>4939</v>
      </c>
      <c r="B233" s="145">
        <v>7999</v>
      </c>
      <c r="C233" s="145">
        <v>80</v>
      </c>
      <c r="D233" s="180"/>
      <c r="E233" s="131">
        <v>3999</v>
      </c>
      <c r="F233" s="145">
        <v>90</v>
      </c>
      <c r="G233" s="133"/>
      <c r="H233" s="145">
        <v>16000</v>
      </c>
      <c r="I233" s="145"/>
      <c r="J233" s="133"/>
    </row>
    <row r="234" spans="1:10" x14ac:dyDescent="0.2">
      <c r="A234" s="533" t="s">
        <v>4940</v>
      </c>
      <c r="B234" s="145"/>
      <c r="C234" s="145"/>
      <c r="D234" s="180"/>
      <c r="E234" s="131"/>
      <c r="F234" s="145"/>
      <c r="G234" s="133"/>
      <c r="H234" s="145">
        <v>200000</v>
      </c>
      <c r="I234" s="145"/>
      <c r="J234" s="133"/>
    </row>
    <row r="235" spans="1:10" x14ac:dyDescent="0.2">
      <c r="A235" s="533" t="s">
        <v>4941</v>
      </c>
      <c r="B235" s="145"/>
      <c r="C235" s="145"/>
      <c r="D235" s="180"/>
      <c r="E235" s="131">
        <v>44206</v>
      </c>
      <c r="F235" s="145">
        <v>80</v>
      </c>
      <c r="G235" s="133"/>
      <c r="H235" s="145">
        <v>60000</v>
      </c>
      <c r="I235" s="145"/>
      <c r="J235" s="133"/>
    </row>
    <row r="236" spans="1:10" x14ac:dyDescent="0.2">
      <c r="A236" s="533" t="s">
        <v>4942</v>
      </c>
      <c r="B236" s="145">
        <v>3479283</v>
      </c>
      <c r="C236" s="145">
        <v>90</v>
      </c>
      <c r="D236" s="180"/>
      <c r="E236" s="1450">
        <v>763591</v>
      </c>
      <c r="F236" s="145">
        <v>45</v>
      </c>
      <c r="G236" s="133"/>
      <c r="H236" s="145">
        <v>20000</v>
      </c>
      <c r="I236" s="145"/>
      <c r="J236" s="133"/>
    </row>
    <row r="237" spans="1:10" x14ac:dyDescent="0.2">
      <c r="A237" s="533" t="s">
        <v>4943</v>
      </c>
      <c r="B237" s="145"/>
      <c r="C237" s="145"/>
      <c r="D237" s="180"/>
      <c r="E237" s="131"/>
      <c r="F237" s="145"/>
      <c r="G237" s="133"/>
      <c r="H237" s="145"/>
      <c r="I237" s="145"/>
      <c r="J237" s="133"/>
    </row>
    <row r="238" spans="1:10" x14ac:dyDescent="0.2">
      <c r="A238" s="785" t="s">
        <v>4944</v>
      </c>
      <c r="B238" s="240">
        <v>25375705</v>
      </c>
      <c r="C238" s="318">
        <v>73</v>
      </c>
      <c r="D238" s="319">
        <v>0.25</v>
      </c>
      <c r="E238" s="240">
        <v>14014543</v>
      </c>
      <c r="F238" s="318">
        <v>93</v>
      </c>
      <c r="G238" s="241">
        <v>0.5</v>
      </c>
      <c r="H238" s="318">
        <v>19540700</v>
      </c>
      <c r="I238" s="318"/>
      <c r="J238" s="241"/>
    </row>
    <row r="239" spans="1:10" x14ac:dyDescent="0.2">
      <c r="B239" s="393">
        <f>+SUM(B211:B237)</f>
        <v>25375700</v>
      </c>
      <c r="C239" s="393">
        <f t="shared" ref="C239:J239" si="13">+SUM(C211:C237)</f>
        <v>572</v>
      </c>
      <c r="D239" s="1078">
        <f t="shared" si="13"/>
        <v>1.25</v>
      </c>
      <c r="E239" s="393">
        <f t="shared" si="13"/>
        <v>14014538</v>
      </c>
      <c r="F239" s="393">
        <f t="shared" si="13"/>
        <v>593</v>
      </c>
      <c r="G239" s="1078">
        <f t="shared" si="13"/>
        <v>0.5</v>
      </c>
      <c r="H239" s="1137">
        <f t="shared" si="13"/>
        <v>19530700</v>
      </c>
      <c r="I239" s="393">
        <f t="shared" si="13"/>
        <v>0</v>
      </c>
      <c r="J239" s="1078">
        <f t="shared" si="13"/>
        <v>0</v>
      </c>
    </row>
    <row r="242" spans="1:16384" x14ac:dyDescent="0.2">
      <c r="A242" s="526" t="s">
        <v>2008</v>
      </c>
    </row>
    <row r="243" spans="1:16384" s="1456" customFormat="1" ht="33" customHeight="1" x14ac:dyDescent="0.2">
      <c r="A243" s="1452" t="s">
        <v>4945</v>
      </c>
      <c r="B243" s="1453"/>
      <c r="C243" s="1453"/>
      <c r="D243" s="1453"/>
      <c r="E243" s="1453"/>
      <c r="F243" s="1453"/>
      <c r="G243" s="1453"/>
      <c r="H243" s="1453"/>
      <c r="I243" s="1453"/>
      <c r="J243" s="1453"/>
      <c r="K243" s="1453"/>
      <c r="L243" s="1453"/>
      <c r="M243" s="1453"/>
      <c r="N243" s="1453"/>
      <c r="O243" s="1453"/>
      <c r="P243" s="1453"/>
      <c r="Q243" s="1453"/>
      <c r="R243" s="1453"/>
      <c r="S243" s="1453"/>
      <c r="T243" s="1453"/>
      <c r="U243" s="1453"/>
      <c r="V243" s="1453"/>
      <c r="W243" s="1453"/>
      <c r="X243" s="1453"/>
      <c r="Y243" s="1453"/>
      <c r="Z243" s="1453"/>
      <c r="AA243" s="1453"/>
      <c r="AB243" s="1453"/>
      <c r="AC243" s="1453"/>
      <c r="AD243" s="1453"/>
      <c r="AE243" s="1453"/>
      <c r="AF243" s="1453"/>
      <c r="AG243" s="1453"/>
      <c r="AH243" s="1453"/>
      <c r="AI243" s="1453"/>
      <c r="AJ243" s="1453"/>
      <c r="AK243" s="1453"/>
      <c r="AL243" s="1453"/>
      <c r="AM243" s="1453"/>
      <c r="AN243" s="1453"/>
      <c r="AO243" s="1453"/>
      <c r="AP243" s="1453"/>
      <c r="AQ243" s="1453"/>
      <c r="AR243" s="1453"/>
      <c r="AS243" s="1453"/>
      <c r="AT243" s="1453"/>
      <c r="AU243" s="1453"/>
      <c r="AV243" s="1453"/>
      <c r="AW243" s="1453"/>
      <c r="AX243" s="1453"/>
      <c r="AY243" s="1453"/>
      <c r="AZ243" s="1453"/>
      <c r="BA243" s="1453"/>
      <c r="BB243" s="1453"/>
      <c r="BC243" s="1453"/>
      <c r="BD243" s="1453"/>
      <c r="BE243" s="1453"/>
      <c r="BF243" s="1453"/>
      <c r="BG243" s="1453"/>
      <c r="BH243" s="1453"/>
      <c r="BI243" s="1453"/>
      <c r="BJ243" s="1453"/>
      <c r="BK243" s="1453"/>
      <c r="BL243" s="1453"/>
      <c r="BM243" s="1453"/>
      <c r="BN243" s="1453"/>
      <c r="BO243" s="1453"/>
      <c r="BP243" s="1453"/>
      <c r="BQ243" s="1453"/>
      <c r="BR243" s="1453"/>
      <c r="BS243" s="1453"/>
      <c r="BT243" s="1453"/>
      <c r="BU243" s="1453"/>
      <c r="BV243" s="1453"/>
      <c r="BW243" s="1453"/>
      <c r="BX243" s="1453"/>
      <c r="BY243" s="1453"/>
      <c r="BZ243" s="1453"/>
      <c r="CA243" s="1453"/>
      <c r="CB243" s="1453"/>
      <c r="CC243" s="1453"/>
      <c r="CD243" s="1453"/>
      <c r="CE243" s="1453"/>
      <c r="CF243" s="1453"/>
      <c r="CG243" s="1453"/>
      <c r="CH243" s="1453"/>
      <c r="CI243" s="1453"/>
      <c r="CJ243" s="1453"/>
      <c r="CK243" s="1453"/>
      <c r="CL243" s="1453"/>
      <c r="CM243" s="1454"/>
      <c r="CN243" s="145"/>
      <c r="CO243" s="145"/>
      <c r="CP243" s="145"/>
      <c r="CQ243" s="145"/>
      <c r="CR243" s="145"/>
      <c r="CS243" s="145"/>
      <c r="CT243" s="145"/>
      <c r="CU243" s="145"/>
      <c r="CV243" s="145"/>
      <c r="CW243" s="145"/>
      <c r="CX243" s="145"/>
      <c r="CY243" s="145"/>
      <c r="CZ243" s="145"/>
      <c r="DA243" s="145"/>
      <c r="DB243" s="145"/>
      <c r="DC243" s="145"/>
      <c r="DD243" s="145"/>
      <c r="DE243" s="145"/>
      <c r="DF243" s="145"/>
      <c r="DG243" s="145"/>
      <c r="DH243" s="145"/>
      <c r="DI243" s="145"/>
      <c r="DJ243" s="145"/>
      <c r="DK243" s="145"/>
      <c r="DL243" s="145"/>
      <c r="DM243" s="145"/>
      <c r="DN243" s="145"/>
      <c r="DO243" s="145"/>
      <c r="DP243" s="145"/>
      <c r="DQ243" s="145"/>
      <c r="DR243" s="145"/>
      <c r="DS243" s="145"/>
      <c r="DT243" s="145"/>
      <c r="DU243" s="145"/>
      <c r="DV243" s="145"/>
      <c r="DW243" s="145"/>
      <c r="DX243" s="145"/>
      <c r="DY243" s="145"/>
      <c r="DZ243" s="145"/>
      <c r="EA243" s="145"/>
      <c r="EB243" s="145"/>
      <c r="EC243" s="145"/>
      <c r="ED243" s="145"/>
      <c r="EE243" s="145"/>
      <c r="EF243" s="145"/>
      <c r="EG243" s="145"/>
      <c r="EH243" s="145"/>
      <c r="EI243" s="1455"/>
      <c r="EJ243" s="1455"/>
      <c r="EK243" s="1455"/>
      <c r="EL243" s="1455"/>
      <c r="EM243" s="1455"/>
      <c r="EN243" s="1455"/>
      <c r="EO243" s="1455"/>
      <c r="EP243" s="1455"/>
      <c r="EQ243" s="1455"/>
      <c r="ER243" s="1455"/>
      <c r="ES243" s="1455"/>
      <c r="ET243" s="1455"/>
      <c r="EU243" s="1455"/>
      <c r="EV243" s="1455"/>
      <c r="EW243" s="1455"/>
      <c r="EX243" s="1455"/>
      <c r="EY243" s="1455"/>
      <c r="EZ243" s="1455"/>
      <c r="FA243" s="1455"/>
      <c r="FB243" s="1455"/>
      <c r="FC243" s="1455"/>
      <c r="FD243" s="1455"/>
      <c r="FE243" s="1455"/>
      <c r="FF243" s="1455"/>
      <c r="FG243" s="1455"/>
      <c r="FH243" s="1455"/>
      <c r="FI243" s="1455"/>
      <c r="FJ243" s="1455"/>
      <c r="FK243" s="1455"/>
      <c r="FL243" s="1455"/>
      <c r="FM243" s="1455"/>
      <c r="FN243" s="1455"/>
      <c r="FO243" s="1455"/>
      <c r="FP243" s="1455"/>
      <c r="FQ243" s="1455"/>
      <c r="FR243" s="1455"/>
      <c r="FS243" s="1455"/>
      <c r="FT243" s="1455"/>
      <c r="FU243" s="1455"/>
      <c r="FV243" s="1455"/>
      <c r="FW243" s="1455"/>
      <c r="FX243" s="1455"/>
      <c r="FY243" s="1455"/>
      <c r="FZ243" s="1455"/>
      <c r="GA243" s="1455"/>
      <c r="GB243" s="1455"/>
      <c r="GC243" s="1455"/>
      <c r="GD243" s="1455"/>
      <c r="GE243" s="1455"/>
      <c r="GF243" s="1455"/>
      <c r="GG243" s="1455"/>
      <c r="GH243" s="1455"/>
      <c r="GI243" s="1455"/>
      <c r="GJ243" s="1455"/>
      <c r="GK243" s="1455"/>
      <c r="GL243" s="1455"/>
      <c r="GM243" s="1455"/>
      <c r="GN243" s="1455"/>
      <c r="GO243" s="1455"/>
      <c r="GP243" s="1455"/>
      <c r="GQ243" s="1455"/>
      <c r="GR243" s="1455"/>
      <c r="GS243" s="1455"/>
      <c r="GT243" s="1455"/>
      <c r="GU243" s="1455"/>
      <c r="GV243" s="1455"/>
      <c r="GW243" s="1455"/>
      <c r="GX243" s="1455"/>
      <c r="GY243" s="1455"/>
      <c r="GZ243" s="1455"/>
      <c r="HA243" s="1455"/>
      <c r="HB243" s="1455"/>
      <c r="HC243" s="1455"/>
      <c r="HD243" s="1455"/>
      <c r="HE243" s="1455"/>
      <c r="HF243" s="1455"/>
      <c r="HG243" s="1455"/>
      <c r="HH243" s="1455"/>
      <c r="HI243" s="1455"/>
      <c r="HJ243" s="1455"/>
      <c r="HK243" s="1455"/>
      <c r="HL243" s="1455"/>
      <c r="HM243" s="1455"/>
      <c r="HN243" s="1455"/>
      <c r="HO243" s="1455"/>
      <c r="HP243" s="1455"/>
      <c r="HQ243" s="1455"/>
      <c r="HR243" s="1455"/>
      <c r="HS243" s="1455"/>
      <c r="HT243" s="1455"/>
      <c r="HU243" s="1455"/>
      <c r="HV243" s="1455"/>
      <c r="HW243" s="1455"/>
      <c r="HX243" s="1455"/>
      <c r="HY243" s="1455"/>
      <c r="HZ243" s="1455"/>
      <c r="IA243" s="1455"/>
      <c r="IB243" s="1455"/>
      <c r="IC243" s="1455"/>
      <c r="ID243" s="1455"/>
      <c r="IE243" s="1455"/>
      <c r="IF243" s="1455"/>
      <c r="IG243" s="1455"/>
      <c r="IH243" s="1455"/>
      <c r="II243" s="1455"/>
      <c r="IJ243" s="1455"/>
      <c r="IK243" s="1455"/>
      <c r="IL243" s="1455"/>
      <c r="IM243" s="1455"/>
      <c r="IN243" s="1455"/>
      <c r="IO243" s="1455"/>
      <c r="IP243" s="1455"/>
      <c r="IQ243" s="1455"/>
      <c r="IR243" s="1455"/>
      <c r="IS243" s="1455"/>
      <c r="IT243" s="1455"/>
      <c r="IU243" s="1455"/>
      <c r="IV243" s="1455"/>
      <c r="IW243" s="1455"/>
      <c r="IX243" s="1455"/>
      <c r="IY243" s="1455"/>
      <c r="IZ243" s="1455"/>
      <c r="JA243" s="1455"/>
      <c r="JB243" s="1455"/>
      <c r="JC243" s="1455"/>
      <c r="JD243" s="1455"/>
      <c r="JE243" s="1455"/>
      <c r="JF243" s="1455"/>
      <c r="JG243" s="1455"/>
      <c r="JH243" s="1455"/>
      <c r="JI243" s="1455"/>
      <c r="JJ243" s="1455"/>
      <c r="JK243" s="1455"/>
      <c r="JL243" s="1455"/>
      <c r="JM243" s="1455"/>
      <c r="JN243" s="1455"/>
      <c r="JO243" s="1455"/>
      <c r="JP243" s="1455"/>
      <c r="JQ243" s="1455"/>
      <c r="JR243" s="1455"/>
      <c r="JS243" s="1455"/>
      <c r="JT243" s="1455"/>
      <c r="JU243" s="1455"/>
      <c r="JV243" s="1455"/>
      <c r="JW243" s="1455"/>
      <c r="JX243" s="1455"/>
      <c r="JY243" s="1455"/>
      <c r="JZ243" s="1455"/>
      <c r="KA243" s="1455"/>
      <c r="KB243" s="1455"/>
      <c r="KC243" s="1455"/>
      <c r="KD243" s="1455"/>
      <c r="KE243" s="1455"/>
      <c r="KF243" s="1455"/>
      <c r="KG243" s="1455"/>
      <c r="KH243" s="1455"/>
      <c r="KI243" s="1455"/>
      <c r="KJ243" s="1455"/>
      <c r="KK243" s="1455"/>
      <c r="KL243" s="1455"/>
      <c r="KM243" s="1455"/>
      <c r="KN243" s="1455"/>
      <c r="KO243" s="1455"/>
      <c r="KP243" s="1455"/>
      <c r="KQ243" s="1455"/>
      <c r="KR243" s="1455"/>
      <c r="KS243" s="1455"/>
      <c r="KT243" s="1455"/>
      <c r="KU243" s="1455"/>
      <c r="KV243" s="1455"/>
      <c r="KW243" s="1455"/>
      <c r="KX243" s="1455"/>
      <c r="KY243" s="1455"/>
      <c r="KZ243" s="1455"/>
      <c r="LA243" s="1455"/>
      <c r="LB243" s="1455"/>
      <c r="LC243" s="1455"/>
      <c r="LD243" s="1455"/>
      <c r="LE243" s="1455"/>
      <c r="LF243" s="1455"/>
      <c r="LG243" s="1455"/>
      <c r="LH243" s="1455"/>
      <c r="LI243" s="1455"/>
      <c r="LJ243" s="1455"/>
      <c r="LK243" s="1455"/>
      <c r="LL243" s="1455"/>
      <c r="LM243" s="1455"/>
      <c r="LN243" s="1455"/>
      <c r="LO243" s="1455"/>
      <c r="LP243" s="1455"/>
      <c r="LQ243" s="1455"/>
      <c r="LR243" s="1455"/>
      <c r="LS243" s="1455"/>
      <c r="LT243" s="1455"/>
      <c r="LU243" s="1455"/>
      <c r="LV243" s="1455"/>
      <c r="LW243" s="1455"/>
      <c r="LX243" s="1455"/>
      <c r="LY243" s="1455"/>
      <c r="LZ243" s="1455"/>
      <c r="MA243" s="1455"/>
      <c r="MB243" s="1455"/>
      <c r="MC243" s="1455"/>
      <c r="MD243" s="1455"/>
      <c r="ME243" s="1455"/>
      <c r="MF243" s="1455"/>
      <c r="MG243" s="1455"/>
      <c r="MH243" s="1455"/>
      <c r="MI243" s="1455"/>
      <c r="MJ243" s="1455"/>
      <c r="MK243" s="1455"/>
      <c r="ML243" s="1455"/>
      <c r="MM243" s="1455"/>
      <c r="MN243" s="1455"/>
      <c r="MO243" s="1455"/>
      <c r="MP243" s="1455"/>
      <c r="MQ243" s="1455"/>
      <c r="MR243" s="1455"/>
      <c r="MS243" s="1455"/>
      <c r="MT243" s="1455"/>
      <c r="MU243" s="1455"/>
      <c r="MV243" s="1455"/>
      <c r="MW243" s="1455"/>
      <c r="MX243" s="1455"/>
      <c r="MY243" s="1455"/>
      <c r="MZ243" s="1455"/>
      <c r="NA243" s="1455"/>
      <c r="NB243" s="1455"/>
      <c r="NC243" s="1455"/>
      <c r="ND243" s="1455"/>
      <c r="NE243" s="1455"/>
      <c r="NF243" s="1455"/>
      <c r="NG243" s="1455"/>
      <c r="NH243" s="1455"/>
      <c r="NI243" s="1455"/>
      <c r="NJ243" s="1455"/>
      <c r="NK243" s="1455"/>
      <c r="NL243" s="1455"/>
      <c r="NM243" s="1455"/>
      <c r="NN243" s="1455"/>
      <c r="NO243" s="1455"/>
      <c r="NP243" s="1455"/>
      <c r="NQ243" s="1455"/>
      <c r="NR243" s="1455"/>
      <c r="NS243" s="1455"/>
      <c r="NT243" s="1455"/>
      <c r="NU243" s="1455"/>
      <c r="NV243" s="1455"/>
      <c r="NW243" s="1455"/>
      <c r="NX243" s="1455"/>
      <c r="NY243" s="1455"/>
      <c r="NZ243" s="1455"/>
      <c r="OA243" s="1455"/>
      <c r="OB243" s="1455"/>
      <c r="OC243" s="1455"/>
      <c r="OD243" s="1455"/>
      <c r="OE243" s="1455"/>
      <c r="OF243" s="1455"/>
      <c r="OG243" s="1455"/>
      <c r="OH243" s="1455"/>
      <c r="OI243" s="1455"/>
      <c r="OJ243" s="1455"/>
      <c r="OK243" s="1455"/>
      <c r="OL243" s="1455"/>
      <c r="OM243" s="1455"/>
      <c r="ON243" s="1455"/>
      <c r="OO243" s="1455"/>
      <c r="OP243" s="1455"/>
      <c r="OQ243" s="1455"/>
      <c r="OR243" s="1455"/>
      <c r="OS243" s="1455"/>
      <c r="OT243" s="1455"/>
      <c r="OU243" s="1455"/>
      <c r="OV243" s="1455"/>
      <c r="OW243" s="1455"/>
      <c r="OX243" s="1455"/>
      <c r="OY243" s="1455"/>
      <c r="OZ243" s="1455"/>
      <c r="PA243" s="1455"/>
      <c r="PB243" s="1455"/>
      <c r="PC243" s="1455"/>
      <c r="PD243" s="1455"/>
      <c r="PE243" s="1455"/>
      <c r="PF243" s="1455"/>
      <c r="PG243" s="1455"/>
      <c r="PH243" s="1455"/>
      <c r="PI243" s="1455"/>
      <c r="PJ243" s="1455"/>
      <c r="PK243" s="1455"/>
      <c r="PL243" s="1455"/>
      <c r="PM243" s="1455"/>
      <c r="PN243" s="1455"/>
      <c r="PO243" s="1455"/>
      <c r="PP243" s="1455"/>
      <c r="PQ243" s="1455"/>
      <c r="PR243" s="1455"/>
      <c r="PS243" s="1455"/>
      <c r="PT243" s="1455"/>
      <c r="PU243" s="1455"/>
      <c r="PV243" s="1455"/>
      <c r="PW243" s="1455"/>
      <c r="PX243" s="1455"/>
      <c r="PY243" s="1455"/>
      <c r="PZ243" s="1455"/>
      <c r="QA243" s="1455"/>
      <c r="QB243" s="1455"/>
      <c r="QC243" s="1455"/>
      <c r="QD243" s="1455"/>
      <c r="QE243" s="1455"/>
      <c r="QF243" s="1455"/>
      <c r="QG243" s="1455"/>
      <c r="QH243" s="1455"/>
      <c r="QI243" s="1455"/>
      <c r="QJ243" s="1455"/>
      <c r="QK243" s="1455"/>
      <c r="QL243" s="1455"/>
      <c r="QM243" s="1455"/>
      <c r="QN243" s="1455"/>
      <c r="QO243" s="1455"/>
      <c r="QP243" s="1455"/>
      <c r="QQ243" s="1455"/>
      <c r="QR243" s="1455"/>
      <c r="QS243" s="1455"/>
      <c r="QT243" s="1455"/>
      <c r="QU243" s="1455"/>
      <c r="QV243" s="1455"/>
      <c r="QW243" s="1455"/>
      <c r="QX243" s="1455"/>
      <c r="QY243" s="1455"/>
      <c r="QZ243" s="1455"/>
      <c r="RA243" s="1455"/>
      <c r="RB243" s="1455"/>
      <c r="RC243" s="1455"/>
      <c r="RD243" s="1455"/>
      <c r="RE243" s="1455"/>
      <c r="RF243" s="1455"/>
      <c r="RG243" s="1455"/>
      <c r="RH243" s="1455"/>
      <c r="RI243" s="1455"/>
      <c r="RJ243" s="1455"/>
      <c r="RK243" s="1455"/>
      <c r="RL243" s="1455"/>
      <c r="RM243" s="1455"/>
      <c r="RN243" s="1455"/>
      <c r="RO243" s="1455"/>
      <c r="RP243" s="1455"/>
      <c r="RQ243" s="1455"/>
      <c r="RR243" s="1455"/>
      <c r="RS243" s="1455"/>
      <c r="RT243" s="1455"/>
      <c r="RU243" s="1455"/>
      <c r="RV243" s="1455"/>
      <c r="RW243" s="1455"/>
      <c r="RX243" s="1455"/>
      <c r="RY243" s="1455"/>
      <c r="RZ243" s="1455"/>
      <c r="SA243" s="1455"/>
      <c r="SB243" s="1455"/>
      <c r="SC243" s="1455"/>
      <c r="SD243" s="1455"/>
      <c r="SE243" s="1455"/>
      <c r="SF243" s="1455"/>
      <c r="SG243" s="1455"/>
      <c r="SH243" s="1455"/>
      <c r="SI243" s="1455"/>
      <c r="SJ243" s="1455"/>
      <c r="SK243" s="1455"/>
      <c r="SL243" s="1455"/>
      <c r="SM243" s="1455"/>
      <c r="SN243" s="1455"/>
      <c r="SO243" s="1455"/>
      <c r="SP243" s="1455"/>
      <c r="SQ243" s="1455"/>
      <c r="SR243" s="1455"/>
      <c r="SS243" s="1455"/>
      <c r="ST243" s="1455"/>
      <c r="SU243" s="1455"/>
      <c r="SV243" s="1455"/>
      <c r="SW243" s="1455"/>
      <c r="SX243" s="1455"/>
      <c r="SY243" s="1455"/>
      <c r="SZ243" s="1455"/>
      <c r="TA243" s="1455"/>
      <c r="TB243" s="1455"/>
      <c r="TC243" s="1455"/>
      <c r="TD243" s="1455"/>
      <c r="TE243" s="1455"/>
      <c r="TF243" s="1455"/>
      <c r="TG243" s="1455"/>
      <c r="TH243" s="1455"/>
      <c r="TI243" s="1455"/>
      <c r="TJ243" s="1455"/>
      <c r="TK243" s="1455"/>
      <c r="TL243" s="1455"/>
      <c r="TM243" s="1455"/>
      <c r="TN243" s="1455"/>
      <c r="TO243" s="1455"/>
      <c r="TP243" s="1455"/>
      <c r="TQ243" s="1455"/>
      <c r="TR243" s="1455"/>
      <c r="TS243" s="1455"/>
      <c r="TT243" s="1455"/>
      <c r="TU243" s="1455"/>
      <c r="TV243" s="1455"/>
      <c r="TW243" s="1455"/>
      <c r="TX243" s="1455"/>
      <c r="TY243" s="1455"/>
      <c r="TZ243" s="1455"/>
      <c r="UA243" s="1455"/>
      <c r="UB243" s="1455"/>
      <c r="UC243" s="1455"/>
      <c r="UD243" s="1455"/>
      <c r="UE243" s="1455"/>
      <c r="UF243" s="1455"/>
      <c r="UG243" s="1455"/>
      <c r="UH243" s="1455"/>
      <c r="UI243" s="1455"/>
      <c r="UJ243" s="1455"/>
      <c r="UK243" s="1455"/>
      <c r="UL243" s="1455"/>
      <c r="UM243" s="1455"/>
      <c r="UN243" s="1455"/>
      <c r="UO243" s="1455"/>
      <c r="UP243" s="1455"/>
      <c r="UQ243" s="1455"/>
      <c r="UR243" s="1455"/>
      <c r="US243" s="1455"/>
      <c r="UT243" s="1455"/>
      <c r="UU243" s="1455"/>
      <c r="UV243" s="1455"/>
      <c r="UW243" s="1455"/>
      <c r="UX243" s="1455"/>
      <c r="UY243" s="1455"/>
      <c r="UZ243" s="1455"/>
      <c r="VA243" s="1455"/>
      <c r="VB243" s="1455"/>
      <c r="VC243" s="1455"/>
      <c r="VD243" s="1455"/>
      <c r="VE243" s="1455"/>
      <c r="VF243" s="1455"/>
      <c r="VG243" s="1455"/>
      <c r="VH243" s="1455"/>
      <c r="VI243" s="1455"/>
      <c r="VJ243" s="1455"/>
      <c r="VK243" s="1455"/>
      <c r="VL243" s="1455"/>
      <c r="VM243" s="1455"/>
      <c r="VN243" s="1455"/>
      <c r="VO243" s="1455"/>
      <c r="VP243" s="1455"/>
      <c r="VQ243" s="1455"/>
      <c r="VR243" s="1455"/>
      <c r="VS243" s="1455"/>
      <c r="VT243" s="1455"/>
      <c r="VU243" s="1455"/>
      <c r="VV243" s="1455"/>
      <c r="VW243" s="1455"/>
      <c r="VX243" s="1455"/>
      <c r="VY243" s="1455"/>
      <c r="VZ243" s="1455"/>
      <c r="WA243" s="1455"/>
      <c r="WB243" s="1455"/>
      <c r="WC243" s="1455"/>
      <c r="WD243" s="1455"/>
      <c r="WE243" s="1455"/>
      <c r="WF243" s="1455"/>
      <c r="WG243" s="1455"/>
      <c r="WH243" s="1455"/>
      <c r="WI243" s="1455"/>
      <c r="WJ243" s="1455"/>
      <c r="WK243" s="1455"/>
      <c r="WL243" s="1455"/>
      <c r="WM243" s="1455"/>
      <c r="WN243" s="1455"/>
      <c r="WO243" s="1455"/>
      <c r="WP243" s="1455"/>
      <c r="WQ243" s="1455"/>
      <c r="WR243" s="1455"/>
      <c r="WS243" s="1455"/>
      <c r="WT243" s="1455"/>
      <c r="WU243" s="1455"/>
      <c r="WV243" s="1455"/>
      <c r="WW243" s="1455"/>
      <c r="WX243" s="1455"/>
      <c r="WY243" s="1455"/>
      <c r="WZ243" s="1455"/>
      <c r="XA243" s="1455"/>
      <c r="XB243" s="1455"/>
      <c r="XC243" s="1455"/>
      <c r="XD243" s="1455"/>
      <c r="XE243" s="1455"/>
      <c r="XF243" s="1455"/>
      <c r="XG243" s="1455"/>
      <c r="XH243" s="1455"/>
      <c r="XI243" s="1455"/>
      <c r="XJ243" s="1455"/>
      <c r="XK243" s="1455"/>
      <c r="XL243" s="1455"/>
      <c r="XM243" s="1455"/>
      <c r="XN243" s="1455"/>
      <c r="XO243" s="1455"/>
      <c r="XP243" s="1455"/>
      <c r="XQ243" s="1455"/>
      <c r="XR243" s="1455"/>
      <c r="XS243" s="1455"/>
      <c r="XT243" s="1455"/>
      <c r="XU243" s="1455"/>
      <c r="XV243" s="1455"/>
      <c r="XW243" s="1455"/>
      <c r="XX243" s="1455"/>
      <c r="XY243" s="1455"/>
      <c r="XZ243" s="1455"/>
      <c r="YA243" s="1455"/>
      <c r="YB243" s="1455"/>
      <c r="YC243" s="1455"/>
      <c r="YD243" s="1455"/>
      <c r="YE243" s="1455"/>
      <c r="YF243" s="1455"/>
      <c r="YG243" s="1455"/>
      <c r="YH243" s="1455"/>
      <c r="YI243" s="1455"/>
      <c r="YJ243" s="1455"/>
      <c r="YK243" s="1455"/>
      <c r="YL243" s="1455"/>
      <c r="YM243" s="1455"/>
      <c r="YN243" s="1455"/>
      <c r="YO243" s="1455"/>
      <c r="YP243" s="1455"/>
      <c r="YQ243" s="1455"/>
      <c r="YR243" s="1455"/>
      <c r="YS243" s="1455"/>
      <c r="YT243" s="1455"/>
      <c r="YU243" s="1455"/>
      <c r="YV243" s="1455"/>
      <c r="YW243" s="1455"/>
      <c r="YX243" s="1455"/>
      <c r="YY243" s="1455"/>
      <c r="YZ243" s="1455"/>
      <c r="ZA243" s="1455"/>
      <c r="ZB243" s="1455"/>
      <c r="ZC243" s="1455"/>
      <c r="ZD243" s="1455"/>
      <c r="ZE243" s="1455"/>
      <c r="ZF243" s="1455"/>
      <c r="ZG243" s="1455"/>
      <c r="ZH243" s="1455"/>
      <c r="ZI243" s="1455"/>
      <c r="ZJ243" s="1455"/>
      <c r="ZK243" s="1455"/>
      <c r="ZL243" s="1455"/>
      <c r="ZM243" s="1455"/>
      <c r="ZN243" s="1455"/>
      <c r="ZO243" s="1455"/>
      <c r="ZP243" s="1455"/>
      <c r="ZQ243" s="1455"/>
      <c r="ZR243" s="1455"/>
      <c r="ZS243" s="1455"/>
      <c r="ZT243" s="1455"/>
      <c r="ZU243" s="1455"/>
      <c r="ZV243" s="1455"/>
      <c r="ZW243" s="1455"/>
      <c r="ZX243" s="1455"/>
      <c r="ZY243" s="1455"/>
      <c r="ZZ243" s="1455"/>
      <c r="AAA243" s="1455"/>
      <c r="AAB243" s="1455"/>
      <c r="AAC243" s="1455"/>
      <c r="AAD243" s="1455"/>
      <c r="AAE243" s="1455"/>
      <c r="AAF243" s="1455"/>
      <c r="AAG243" s="1455"/>
      <c r="AAH243" s="1455"/>
      <c r="AAI243" s="1455"/>
      <c r="AAJ243" s="1455"/>
      <c r="AAK243" s="1455"/>
      <c r="AAL243" s="1455"/>
      <c r="AAM243" s="1455"/>
      <c r="AAN243" s="1455"/>
      <c r="AAO243" s="1455"/>
      <c r="AAP243" s="1455"/>
      <c r="AAQ243" s="1455"/>
      <c r="AAR243" s="1455"/>
      <c r="AAS243" s="1455"/>
      <c r="AAT243" s="1455"/>
      <c r="AAU243" s="1455"/>
      <c r="AAV243" s="1455"/>
      <c r="AAW243" s="1455"/>
      <c r="AAX243" s="1455"/>
      <c r="AAY243" s="1455"/>
      <c r="AAZ243" s="1455"/>
      <c r="ABA243" s="1455"/>
      <c r="ABB243" s="1455"/>
      <c r="ABC243" s="1455"/>
      <c r="ABD243" s="1455"/>
      <c r="ABE243" s="1455"/>
      <c r="ABF243" s="1455"/>
      <c r="ABG243" s="1455"/>
      <c r="ABH243" s="1455"/>
      <c r="ABI243" s="1455"/>
      <c r="ABJ243" s="1455"/>
      <c r="ABK243" s="1455"/>
      <c r="ABL243" s="1455"/>
      <c r="ABM243" s="1455"/>
      <c r="ABN243" s="1455"/>
      <c r="ABO243" s="1455"/>
      <c r="ABP243" s="1455"/>
      <c r="ABQ243" s="1455"/>
      <c r="ABR243" s="1455"/>
      <c r="ABS243" s="1455"/>
      <c r="ABT243" s="1455"/>
      <c r="ABU243" s="1455"/>
      <c r="ABV243" s="1455"/>
      <c r="ABW243" s="1455"/>
      <c r="ABX243" s="1455"/>
      <c r="ABY243" s="1455"/>
      <c r="ABZ243" s="1455"/>
      <c r="ACA243" s="1455"/>
      <c r="ACB243" s="1455"/>
      <c r="ACC243" s="1455"/>
      <c r="ACD243" s="1455"/>
      <c r="ACE243" s="1455"/>
      <c r="ACF243" s="1455"/>
      <c r="ACG243" s="1455"/>
      <c r="ACH243" s="1455"/>
      <c r="ACI243" s="1455"/>
      <c r="ACJ243" s="1455"/>
      <c r="ACK243" s="1455"/>
      <c r="ACL243" s="1455"/>
      <c r="ACM243" s="1455"/>
      <c r="ACN243" s="1455"/>
      <c r="ACO243" s="1455"/>
      <c r="ACP243" s="1455"/>
      <c r="ACQ243" s="1455"/>
      <c r="ACR243" s="1455"/>
      <c r="ACS243" s="1455"/>
      <c r="ACT243" s="1455"/>
      <c r="ACU243" s="1455"/>
      <c r="ACV243" s="1455"/>
      <c r="ACW243" s="1455"/>
      <c r="ACX243" s="1455"/>
      <c r="ACY243" s="1455"/>
      <c r="ACZ243" s="1455"/>
      <c r="ADA243" s="1455"/>
      <c r="ADB243" s="1455"/>
      <c r="ADC243" s="1455"/>
      <c r="ADD243" s="1455"/>
      <c r="ADE243" s="1455"/>
      <c r="ADF243" s="1455"/>
      <c r="ADG243" s="1455"/>
      <c r="ADH243" s="1455"/>
      <c r="ADI243" s="1455"/>
      <c r="ADJ243" s="1455"/>
      <c r="ADK243" s="1455"/>
      <c r="ADL243" s="1455"/>
      <c r="ADM243" s="1455"/>
      <c r="ADN243" s="1455"/>
      <c r="ADO243" s="1455"/>
      <c r="ADP243" s="1455"/>
      <c r="ADQ243" s="1455"/>
      <c r="ADR243" s="1455"/>
      <c r="ADS243" s="1455"/>
      <c r="ADT243" s="1455"/>
      <c r="ADU243" s="1455"/>
      <c r="ADV243" s="1455"/>
      <c r="ADW243" s="1455"/>
      <c r="ADX243" s="1455"/>
      <c r="ADY243" s="1455"/>
      <c r="ADZ243" s="1455"/>
      <c r="AEA243" s="1455"/>
      <c r="AEB243" s="1455"/>
      <c r="AEC243" s="1455"/>
      <c r="AED243" s="1455"/>
      <c r="AEE243" s="1455"/>
      <c r="AEF243" s="1455"/>
      <c r="AEG243" s="1455"/>
      <c r="AEH243" s="1455"/>
      <c r="AEI243" s="1455"/>
      <c r="AEJ243" s="1455"/>
      <c r="AEK243" s="1455"/>
      <c r="AEL243" s="1455"/>
      <c r="AEM243" s="1455"/>
      <c r="AEN243" s="1455"/>
      <c r="AEO243" s="1455"/>
      <c r="AEP243" s="1455"/>
      <c r="AEQ243" s="1455"/>
      <c r="AER243" s="1455"/>
      <c r="AES243" s="1455"/>
      <c r="AET243" s="1455"/>
      <c r="AEU243" s="1455"/>
      <c r="AEV243" s="1455"/>
      <c r="AEW243" s="1455"/>
      <c r="AEX243" s="1455"/>
      <c r="AEY243" s="1455"/>
      <c r="AEZ243" s="1455"/>
      <c r="AFA243" s="1455"/>
      <c r="AFB243" s="1455"/>
      <c r="AFC243" s="1455"/>
      <c r="AFD243" s="1455"/>
      <c r="AFE243" s="1455"/>
      <c r="AFF243" s="1455"/>
      <c r="AFG243" s="1455"/>
      <c r="AFH243" s="1455"/>
      <c r="AFI243" s="1455"/>
      <c r="AFJ243" s="1455"/>
      <c r="AFK243" s="1455"/>
      <c r="AFL243" s="1455"/>
      <c r="AFM243" s="1455"/>
      <c r="AFN243" s="1455"/>
      <c r="AFO243" s="1455"/>
      <c r="AFP243" s="1455"/>
      <c r="AFQ243" s="1455"/>
      <c r="AFR243" s="1455"/>
      <c r="AFS243" s="1455"/>
      <c r="AFT243" s="1455"/>
      <c r="AFU243" s="1455"/>
      <c r="AFV243" s="1455"/>
      <c r="AFW243" s="1455"/>
      <c r="AFX243" s="1455"/>
      <c r="AFY243" s="1455"/>
      <c r="AFZ243" s="1455"/>
      <c r="AGA243" s="1455"/>
      <c r="AGB243" s="1455"/>
      <c r="AGC243" s="1455"/>
      <c r="AGD243" s="1455"/>
      <c r="AGE243" s="1455"/>
      <c r="AGF243" s="1455"/>
      <c r="AGG243" s="1455"/>
      <c r="AGH243" s="1455"/>
      <c r="AGI243" s="1455"/>
      <c r="AGJ243" s="1455"/>
      <c r="AGK243" s="1455"/>
      <c r="AGL243" s="1455"/>
      <c r="AGM243" s="1455"/>
      <c r="AGN243" s="1455"/>
      <c r="AGO243" s="1455"/>
      <c r="AGP243" s="1455"/>
      <c r="AGQ243" s="1455"/>
      <c r="AGR243" s="1455"/>
      <c r="AGS243" s="1455"/>
      <c r="AGT243" s="1455"/>
      <c r="AGU243" s="1455"/>
      <c r="AGV243" s="1455"/>
      <c r="AGW243" s="1455"/>
      <c r="AGX243" s="1455"/>
      <c r="AGY243" s="1455"/>
      <c r="AGZ243" s="1455"/>
      <c r="AHA243" s="1455"/>
      <c r="AHB243" s="1455"/>
      <c r="AHC243" s="1455"/>
      <c r="AHD243" s="1455"/>
      <c r="AHE243" s="1455"/>
      <c r="AHF243" s="1455"/>
      <c r="AHG243" s="1455"/>
      <c r="AHH243" s="1455"/>
      <c r="AHI243" s="1455"/>
      <c r="AHJ243" s="1455"/>
      <c r="AHK243" s="1455"/>
      <c r="AHL243" s="1455"/>
      <c r="AHM243" s="1455"/>
      <c r="AHN243" s="1455"/>
      <c r="AHO243" s="1455"/>
      <c r="AHP243" s="1455"/>
      <c r="AHQ243" s="1455"/>
      <c r="AHR243" s="1455"/>
      <c r="AHS243" s="1455"/>
      <c r="AHT243" s="1455"/>
      <c r="AHU243" s="1455"/>
      <c r="AHV243" s="1455"/>
      <c r="AHW243" s="1455"/>
      <c r="AHX243" s="1455"/>
      <c r="AHY243" s="1455"/>
      <c r="AHZ243" s="1455"/>
      <c r="AIA243" s="1455"/>
      <c r="AIB243" s="1455"/>
      <c r="AIC243" s="1455"/>
      <c r="AID243" s="1455"/>
      <c r="AIE243" s="1455"/>
      <c r="AIF243" s="1455"/>
      <c r="AIG243" s="1455"/>
      <c r="AIH243" s="1455"/>
      <c r="AII243" s="1455"/>
      <c r="AIJ243" s="1455"/>
      <c r="AIK243" s="1455"/>
      <c r="AIL243" s="1455"/>
      <c r="AIM243" s="1455"/>
      <c r="AIN243" s="1455"/>
      <c r="AIO243" s="1455"/>
      <c r="AIP243" s="1455"/>
      <c r="AIQ243" s="1455"/>
      <c r="AIR243" s="1455"/>
      <c r="AIS243" s="1455"/>
      <c r="AIT243" s="1455"/>
      <c r="AIU243" s="1455"/>
      <c r="AIV243" s="1455"/>
      <c r="AIW243" s="1455"/>
      <c r="AIX243" s="1455"/>
      <c r="AIY243" s="1455"/>
      <c r="AIZ243" s="1455"/>
      <c r="AJA243" s="1455"/>
      <c r="AJB243" s="1455"/>
      <c r="AJC243" s="1455"/>
      <c r="AJD243" s="1455"/>
      <c r="AJE243" s="1455"/>
      <c r="AJF243" s="1455"/>
      <c r="AJG243" s="1455"/>
      <c r="AJH243" s="1455"/>
      <c r="AJI243" s="1455"/>
      <c r="AJJ243" s="1455"/>
      <c r="AJK243" s="1455"/>
      <c r="AJL243" s="1455"/>
      <c r="AJM243" s="1455"/>
      <c r="AJN243" s="1455"/>
      <c r="AJO243" s="1455"/>
      <c r="AJP243" s="1455"/>
      <c r="AJQ243" s="1455"/>
      <c r="AJR243" s="1455"/>
      <c r="AJS243" s="1455"/>
      <c r="AJT243" s="1455"/>
      <c r="AJU243" s="1455"/>
      <c r="AJV243" s="1455"/>
      <c r="AJW243" s="1455"/>
      <c r="AJX243" s="1455"/>
      <c r="AJY243" s="1455"/>
      <c r="AJZ243" s="1455"/>
      <c r="AKA243" s="1455"/>
      <c r="AKB243" s="1455"/>
      <c r="AKC243" s="1455"/>
      <c r="AKD243" s="1455"/>
      <c r="AKE243" s="1455"/>
      <c r="AKF243" s="1455"/>
      <c r="AKG243" s="1455"/>
      <c r="AKH243" s="1455"/>
      <c r="AKI243" s="1455"/>
      <c r="AKJ243" s="1455"/>
      <c r="AKK243" s="1455"/>
      <c r="AKL243" s="1455"/>
      <c r="AKM243" s="1455"/>
      <c r="AKN243" s="1455"/>
      <c r="AKO243" s="1455"/>
      <c r="AKP243" s="1455"/>
      <c r="AKQ243" s="1455"/>
      <c r="AKR243" s="1455"/>
      <c r="AKS243" s="1455"/>
      <c r="AKT243" s="1455"/>
      <c r="AKU243" s="1455"/>
      <c r="AKV243" s="1455"/>
      <c r="AKW243" s="1455"/>
      <c r="AKX243" s="1455"/>
      <c r="AKY243" s="1455"/>
      <c r="AKZ243" s="1455"/>
      <c r="ALA243" s="1455"/>
      <c r="ALB243" s="1455"/>
      <c r="ALC243" s="1455"/>
      <c r="ALD243" s="1455"/>
      <c r="ALE243" s="1455"/>
      <c r="ALF243" s="1455"/>
      <c r="ALG243" s="1455"/>
      <c r="ALH243" s="1455"/>
      <c r="ALI243" s="1455"/>
      <c r="ALJ243" s="1455"/>
      <c r="ALK243" s="1455"/>
      <c r="ALL243" s="1455"/>
      <c r="ALM243" s="1455"/>
      <c r="ALN243" s="1455"/>
      <c r="ALO243" s="1455"/>
      <c r="ALP243" s="1455"/>
      <c r="ALQ243" s="1455"/>
      <c r="ALR243" s="1455"/>
      <c r="ALS243" s="1455"/>
      <c r="ALT243" s="1455"/>
      <c r="ALU243" s="1455"/>
      <c r="ALV243" s="1455"/>
      <c r="ALW243" s="1455"/>
      <c r="ALX243" s="1455"/>
      <c r="ALY243" s="1455"/>
      <c r="ALZ243" s="1455"/>
      <c r="AMA243" s="1455"/>
      <c r="AMB243" s="1455"/>
      <c r="AMC243" s="1455"/>
      <c r="AMD243" s="1455"/>
      <c r="AME243" s="1455"/>
      <c r="AMF243" s="1455"/>
      <c r="AMG243" s="1455"/>
      <c r="AMH243" s="1455"/>
      <c r="AMI243" s="1455"/>
      <c r="AMJ243" s="1455"/>
      <c r="AMK243" s="1455"/>
      <c r="AML243" s="1455"/>
      <c r="AMM243" s="1455"/>
      <c r="AMN243" s="1455"/>
      <c r="AMO243" s="1455"/>
      <c r="AMP243" s="1455"/>
      <c r="AMQ243" s="1455"/>
      <c r="AMR243" s="1455"/>
      <c r="AMS243" s="1455"/>
      <c r="AMT243" s="1455"/>
      <c r="AMU243" s="1455"/>
      <c r="AMV243" s="1455"/>
      <c r="AMW243" s="1455"/>
      <c r="AMX243" s="1455"/>
      <c r="AMY243" s="1455"/>
      <c r="AMZ243" s="1455"/>
      <c r="ANA243" s="1455"/>
      <c r="ANB243" s="1455"/>
      <c r="ANC243" s="1455"/>
      <c r="AND243" s="1455"/>
      <c r="ANE243" s="1455"/>
      <c r="ANF243" s="1455"/>
      <c r="ANG243" s="1455"/>
      <c r="ANH243" s="1455"/>
      <c r="ANI243" s="1455"/>
      <c r="ANJ243" s="1455"/>
      <c r="ANK243" s="1455"/>
      <c r="ANL243" s="1455"/>
      <c r="ANM243" s="1455"/>
      <c r="ANN243" s="1455"/>
      <c r="ANO243" s="1455"/>
      <c r="ANP243" s="1455"/>
      <c r="ANQ243" s="1455"/>
      <c r="ANR243" s="1455"/>
      <c r="ANS243" s="1455"/>
      <c r="ANT243" s="1455"/>
      <c r="ANU243" s="1455"/>
      <c r="ANV243" s="1455"/>
      <c r="ANW243" s="1455"/>
      <c r="ANX243" s="1455"/>
      <c r="ANY243" s="1455"/>
      <c r="ANZ243" s="1455"/>
      <c r="AOA243" s="1455"/>
      <c r="AOB243" s="1455"/>
      <c r="AOC243" s="1455"/>
      <c r="AOD243" s="1455"/>
      <c r="AOE243" s="1455"/>
      <c r="AOF243" s="1455"/>
      <c r="AOG243" s="1455"/>
      <c r="AOH243" s="1455"/>
      <c r="AOI243" s="1455"/>
      <c r="AOJ243" s="1455"/>
      <c r="AOK243" s="1455"/>
      <c r="AOL243" s="1455"/>
      <c r="AOM243" s="1455"/>
      <c r="AON243" s="1455"/>
      <c r="AOO243" s="1455"/>
      <c r="AOP243" s="1455"/>
      <c r="AOQ243" s="1455"/>
      <c r="AOR243" s="1455"/>
      <c r="AOS243" s="1455"/>
      <c r="AOT243" s="1455"/>
      <c r="AOU243" s="1455"/>
      <c r="AOV243" s="1455"/>
      <c r="AOW243" s="1455"/>
      <c r="AOX243" s="1455"/>
      <c r="AOY243" s="1455"/>
      <c r="AOZ243" s="1455"/>
      <c r="APA243" s="1455"/>
      <c r="APB243" s="1455"/>
      <c r="APC243" s="1455"/>
      <c r="APD243" s="1455"/>
      <c r="APE243" s="1455"/>
      <c r="APF243" s="1455"/>
      <c r="APG243" s="1455"/>
      <c r="APH243" s="1455"/>
      <c r="API243" s="1455"/>
      <c r="APJ243" s="1455"/>
      <c r="APK243" s="1455"/>
      <c r="APL243" s="1455"/>
      <c r="APM243" s="1455"/>
      <c r="APN243" s="1455"/>
      <c r="APO243" s="1455"/>
      <c r="APP243" s="1455"/>
      <c r="APQ243" s="1455"/>
      <c r="APR243" s="1455"/>
      <c r="APS243" s="1455"/>
      <c r="APT243" s="1455"/>
      <c r="APU243" s="1455"/>
      <c r="APV243" s="1455"/>
      <c r="APW243" s="1455"/>
      <c r="APX243" s="1455"/>
      <c r="APY243" s="1455"/>
      <c r="APZ243" s="1455"/>
      <c r="AQA243" s="1455"/>
      <c r="AQB243" s="1455"/>
      <c r="AQC243" s="1455"/>
      <c r="AQD243" s="1455"/>
      <c r="AQE243" s="1455"/>
      <c r="AQF243" s="1455"/>
      <c r="AQG243" s="1455"/>
      <c r="AQH243" s="1455"/>
      <c r="AQI243" s="1455"/>
      <c r="AQJ243" s="1455"/>
      <c r="AQK243" s="1455"/>
      <c r="AQL243" s="1455"/>
      <c r="AQM243" s="1455"/>
      <c r="AQN243" s="1455"/>
      <c r="AQO243" s="1455"/>
      <c r="AQP243" s="1455"/>
      <c r="AQQ243" s="1455"/>
      <c r="AQR243" s="1455"/>
      <c r="AQS243" s="1455"/>
      <c r="AQT243" s="1455"/>
      <c r="AQU243" s="1455"/>
      <c r="AQV243" s="1455"/>
      <c r="AQW243" s="1455"/>
      <c r="AQX243" s="1455"/>
      <c r="AQY243" s="1455"/>
      <c r="AQZ243" s="1455"/>
      <c r="ARA243" s="1455"/>
      <c r="ARB243" s="1455"/>
      <c r="ARC243" s="1455"/>
      <c r="ARD243" s="1455"/>
      <c r="ARE243" s="1455"/>
      <c r="ARF243" s="1455"/>
      <c r="ARG243" s="1455"/>
      <c r="ARH243" s="1455"/>
      <c r="ARI243" s="1455"/>
      <c r="ARJ243" s="1455"/>
      <c r="ARK243" s="1455"/>
      <c r="ARL243" s="1455"/>
      <c r="ARM243" s="1455"/>
      <c r="ARN243" s="1455"/>
      <c r="ARO243" s="1455"/>
      <c r="ARP243" s="1455"/>
      <c r="ARQ243" s="1455"/>
      <c r="ARR243" s="1455"/>
      <c r="ARS243" s="1455"/>
      <c r="ART243" s="1455"/>
      <c r="ARU243" s="1455"/>
      <c r="ARV243" s="1455"/>
      <c r="ARW243" s="1455"/>
      <c r="ARX243" s="1455"/>
      <c r="ARY243" s="1455"/>
      <c r="ARZ243" s="1455"/>
      <c r="ASA243" s="1455"/>
      <c r="ASB243" s="1455"/>
      <c r="ASC243" s="1455"/>
      <c r="ASD243" s="1455"/>
      <c r="ASE243" s="1455"/>
      <c r="ASF243" s="1455"/>
      <c r="ASG243" s="1455"/>
      <c r="ASH243" s="1455"/>
      <c r="ASI243" s="1455"/>
      <c r="ASJ243" s="1455"/>
      <c r="ASK243" s="1455"/>
      <c r="ASL243" s="1455"/>
      <c r="ASM243" s="1455"/>
      <c r="ASN243" s="1455"/>
      <c r="ASO243" s="1455"/>
      <c r="ASP243" s="1455"/>
      <c r="ASQ243" s="1455"/>
      <c r="ASR243" s="1455"/>
      <c r="ASS243" s="1455"/>
      <c r="AST243" s="1455"/>
      <c r="ASU243" s="1455"/>
      <c r="ASV243" s="1455"/>
      <c r="ASW243" s="1455"/>
      <c r="ASX243" s="1455"/>
      <c r="ASY243" s="1455"/>
      <c r="ASZ243" s="1455"/>
      <c r="ATA243" s="1455"/>
      <c r="ATB243" s="1455"/>
      <c r="ATC243" s="1455"/>
      <c r="ATD243" s="1455"/>
      <c r="ATE243" s="1455"/>
      <c r="ATF243" s="1455"/>
      <c r="ATG243" s="1455"/>
      <c r="ATH243" s="1455"/>
      <c r="ATI243" s="1455"/>
      <c r="ATJ243" s="1455"/>
      <c r="ATK243" s="1455"/>
      <c r="ATL243" s="1455"/>
      <c r="ATM243" s="1455"/>
      <c r="ATN243" s="1455"/>
      <c r="ATO243" s="1455"/>
      <c r="ATP243" s="1455"/>
      <c r="ATQ243" s="1455"/>
      <c r="ATR243" s="1455"/>
      <c r="ATS243" s="1455"/>
      <c r="ATT243" s="1455"/>
      <c r="ATU243" s="1455"/>
      <c r="ATV243" s="1455"/>
      <c r="ATW243" s="1455"/>
      <c r="ATX243" s="1455"/>
      <c r="ATY243" s="1455"/>
      <c r="ATZ243" s="1455"/>
      <c r="AUA243" s="1455"/>
      <c r="AUB243" s="1455"/>
      <c r="AUC243" s="1455"/>
      <c r="AUD243" s="1455"/>
      <c r="AUE243" s="1455"/>
      <c r="AUF243" s="1455"/>
      <c r="AUG243" s="1455"/>
      <c r="AUH243" s="1455"/>
      <c r="AUI243" s="1455"/>
      <c r="AUJ243" s="1455"/>
      <c r="AUK243" s="1455"/>
      <c r="AUL243" s="1455"/>
      <c r="AUM243" s="1455"/>
      <c r="AUN243" s="1455"/>
      <c r="AUO243" s="1455"/>
      <c r="AUP243" s="1455"/>
      <c r="AUQ243" s="1455"/>
      <c r="AUR243" s="1455"/>
      <c r="AUS243" s="1455"/>
      <c r="AUT243" s="1455"/>
      <c r="AUU243" s="1455"/>
      <c r="AUV243" s="1455"/>
      <c r="AUW243" s="1455"/>
      <c r="AUX243" s="1455"/>
      <c r="AUY243" s="1455"/>
      <c r="AUZ243" s="1455"/>
      <c r="AVA243" s="1455"/>
      <c r="AVB243" s="1455"/>
      <c r="AVC243" s="1455"/>
      <c r="AVD243" s="1455"/>
      <c r="AVE243" s="1455"/>
      <c r="AVF243" s="1455"/>
      <c r="AVG243" s="1455"/>
      <c r="AVH243" s="1455"/>
      <c r="AVI243" s="1455"/>
      <c r="AVJ243" s="1455"/>
      <c r="AVK243" s="1455"/>
      <c r="AVL243" s="1455"/>
      <c r="AVM243" s="1455"/>
      <c r="AVN243" s="1455"/>
      <c r="AVO243" s="1455"/>
      <c r="AVP243" s="1455"/>
      <c r="AVQ243" s="1455"/>
      <c r="AVR243" s="1455"/>
      <c r="AVS243" s="1455"/>
      <c r="AVT243" s="1455"/>
      <c r="AVU243" s="1455"/>
      <c r="AVV243" s="1455"/>
      <c r="AVW243" s="1455"/>
      <c r="AVX243" s="1455"/>
      <c r="AVY243" s="1455"/>
      <c r="AVZ243" s="1455"/>
      <c r="AWA243" s="1455"/>
      <c r="AWB243" s="1455"/>
      <c r="AWC243" s="1455"/>
      <c r="AWD243" s="1455"/>
      <c r="AWE243" s="1455"/>
      <c r="AWF243" s="1455"/>
      <c r="AWG243" s="1455"/>
      <c r="AWH243" s="1455"/>
      <c r="AWI243" s="1455"/>
      <c r="AWJ243" s="1455"/>
      <c r="AWK243" s="1455"/>
      <c r="AWL243" s="1455"/>
      <c r="AWM243" s="1455"/>
      <c r="AWN243" s="1455"/>
      <c r="AWO243" s="1455"/>
      <c r="AWP243" s="1455"/>
      <c r="AWQ243" s="1455"/>
      <c r="AWR243" s="1455"/>
      <c r="AWS243" s="1455"/>
      <c r="AWT243" s="1455"/>
      <c r="AWU243" s="1455"/>
      <c r="AWV243" s="1455"/>
      <c r="AWW243" s="1455"/>
      <c r="AWX243" s="1455"/>
      <c r="AWY243" s="1455"/>
      <c r="AWZ243" s="1455"/>
      <c r="AXA243" s="1455"/>
      <c r="AXB243" s="1455"/>
      <c r="AXC243" s="1455"/>
      <c r="AXD243" s="1455"/>
      <c r="AXE243" s="1455"/>
      <c r="AXF243" s="1455"/>
      <c r="AXG243" s="1455"/>
      <c r="AXH243" s="1455"/>
      <c r="AXI243" s="1455"/>
      <c r="AXJ243" s="1455"/>
      <c r="AXK243" s="1455"/>
      <c r="AXL243" s="1455"/>
      <c r="AXM243" s="1455"/>
      <c r="AXN243" s="1455"/>
      <c r="AXO243" s="1455"/>
      <c r="AXP243" s="1455"/>
      <c r="AXQ243" s="1455"/>
      <c r="AXR243" s="1455"/>
      <c r="AXS243" s="1455"/>
      <c r="AXT243" s="1455"/>
      <c r="AXU243" s="1455"/>
      <c r="AXV243" s="1455"/>
      <c r="AXW243" s="1455"/>
      <c r="AXX243" s="1455"/>
      <c r="AXY243" s="1455"/>
      <c r="AXZ243" s="1455"/>
      <c r="AYA243" s="1455"/>
      <c r="AYB243" s="1455"/>
      <c r="AYC243" s="1455"/>
      <c r="AYD243" s="1455"/>
      <c r="AYE243" s="1455"/>
      <c r="AYF243" s="1455"/>
      <c r="AYG243" s="1455"/>
      <c r="AYH243" s="1455"/>
      <c r="AYI243" s="1455"/>
      <c r="AYJ243" s="1455"/>
      <c r="AYK243" s="1455"/>
      <c r="AYL243" s="1455"/>
      <c r="AYM243" s="1455"/>
      <c r="AYN243" s="1455"/>
      <c r="AYO243" s="1455"/>
      <c r="AYP243" s="1455"/>
      <c r="AYQ243" s="1455"/>
      <c r="AYR243" s="1455"/>
      <c r="AYS243" s="1455"/>
      <c r="AYT243" s="1455"/>
      <c r="AYU243" s="1455"/>
      <c r="AYV243" s="1455"/>
      <c r="AYW243" s="1455"/>
      <c r="AYX243" s="1455"/>
      <c r="AYY243" s="1455"/>
      <c r="AYZ243" s="1455"/>
      <c r="AZA243" s="1455"/>
      <c r="AZB243" s="1455"/>
      <c r="AZC243" s="1455"/>
      <c r="AZD243" s="1455"/>
      <c r="AZE243" s="1455"/>
      <c r="AZF243" s="1455"/>
      <c r="AZG243" s="1455"/>
      <c r="AZH243" s="1455"/>
      <c r="AZI243" s="1455"/>
      <c r="AZJ243" s="1455"/>
      <c r="AZK243" s="1455"/>
      <c r="AZL243" s="1455"/>
      <c r="AZM243" s="1455"/>
      <c r="AZN243" s="1455"/>
      <c r="AZO243" s="1455"/>
      <c r="AZP243" s="1455"/>
      <c r="AZQ243" s="1455"/>
      <c r="AZR243" s="1455"/>
      <c r="AZS243" s="1455"/>
      <c r="AZT243" s="1455"/>
      <c r="AZU243" s="1455"/>
      <c r="AZV243" s="1455"/>
      <c r="AZW243" s="1455"/>
      <c r="AZX243" s="1455"/>
      <c r="AZY243" s="1455"/>
      <c r="AZZ243" s="1455"/>
      <c r="BAA243" s="1455"/>
      <c r="BAB243" s="1455"/>
      <c r="BAC243" s="1455"/>
      <c r="BAD243" s="1455"/>
      <c r="BAE243" s="1455"/>
      <c r="BAF243" s="1455"/>
      <c r="BAG243" s="1455"/>
      <c r="BAH243" s="1455"/>
      <c r="BAI243" s="1455"/>
      <c r="BAJ243" s="1455"/>
      <c r="BAK243" s="1455"/>
      <c r="BAL243" s="1455"/>
      <c r="BAM243" s="1455"/>
      <c r="BAN243" s="1455"/>
      <c r="BAO243" s="1455"/>
      <c r="BAP243" s="1455"/>
      <c r="BAQ243" s="1455"/>
      <c r="BAR243" s="1455"/>
      <c r="BAS243" s="1455"/>
      <c r="BAT243" s="1455"/>
      <c r="BAU243" s="1455"/>
      <c r="BAV243" s="1455"/>
      <c r="BAW243" s="1455"/>
      <c r="BAX243" s="1455"/>
      <c r="BAY243" s="1455"/>
      <c r="BAZ243" s="1455"/>
      <c r="BBA243" s="1455"/>
      <c r="BBB243" s="1455"/>
      <c r="BBC243" s="1455"/>
      <c r="BBD243" s="1455"/>
      <c r="BBE243" s="1455"/>
      <c r="BBF243" s="1455"/>
      <c r="BBG243" s="1455"/>
      <c r="BBH243" s="1455"/>
      <c r="BBI243" s="1455"/>
      <c r="BBJ243" s="1455"/>
      <c r="BBK243" s="1455"/>
      <c r="BBL243" s="1455"/>
      <c r="BBM243" s="1455"/>
      <c r="BBN243" s="1455"/>
      <c r="BBO243" s="1455"/>
      <c r="BBP243" s="1455"/>
      <c r="BBQ243" s="1455"/>
      <c r="BBR243" s="1455"/>
      <c r="BBS243" s="1455"/>
      <c r="BBT243" s="1455"/>
      <c r="BBU243" s="1455"/>
      <c r="BBV243" s="1455"/>
      <c r="BBW243" s="1455"/>
      <c r="BBX243" s="1455"/>
      <c r="BBY243" s="1455"/>
      <c r="BBZ243" s="1455"/>
      <c r="BCA243" s="1455"/>
      <c r="BCB243" s="1455"/>
      <c r="BCC243" s="1455"/>
      <c r="BCD243" s="1455"/>
      <c r="BCE243" s="1455"/>
      <c r="BCF243" s="1455"/>
      <c r="BCG243" s="1455"/>
      <c r="BCH243" s="1455"/>
      <c r="BCI243" s="1455"/>
      <c r="BCJ243" s="1455"/>
      <c r="BCK243" s="1455"/>
      <c r="BCL243" s="1455"/>
      <c r="BCM243" s="1455"/>
      <c r="BCN243" s="1455"/>
      <c r="BCO243" s="1455"/>
      <c r="BCP243" s="1455"/>
      <c r="BCQ243" s="1455"/>
      <c r="BCR243" s="1455"/>
      <c r="BCS243" s="1455"/>
      <c r="BCT243" s="1455"/>
      <c r="BCU243" s="1455"/>
      <c r="BCV243" s="1455"/>
      <c r="BCW243" s="1455"/>
      <c r="BCX243" s="1455"/>
      <c r="BCY243" s="1455"/>
      <c r="BCZ243" s="1455"/>
      <c r="BDA243" s="1455"/>
      <c r="BDB243" s="1455"/>
      <c r="BDC243" s="1455"/>
      <c r="BDD243" s="1455"/>
      <c r="BDE243" s="1455"/>
      <c r="BDF243" s="1455"/>
      <c r="BDG243" s="1455"/>
      <c r="BDH243" s="1455"/>
      <c r="BDI243" s="1455"/>
      <c r="BDJ243" s="1455"/>
      <c r="BDK243" s="1455"/>
      <c r="BDL243" s="1455"/>
      <c r="BDM243" s="1455"/>
      <c r="BDN243" s="1455"/>
      <c r="BDO243" s="1455"/>
      <c r="BDP243" s="1455"/>
      <c r="BDQ243" s="1455"/>
      <c r="BDR243" s="1455"/>
      <c r="BDS243" s="1455"/>
      <c r="BDT243" s="1455"/>
      <c r="BDU243" s="1455"/>
      <c r="BDV243" s="1455"/>
      <c r="BDW243" s="1455"/>
      <c r="BDX243" s="1455"/>
      <c r="BDY243" s="1455"/>
      <c r="BDZ243" s="1455"/>
      <c r="BEA243" s="1455"/>
      <c r="BEB243" s="1455"/>
      <c r="BEC243" s="1455"/>
      <c r="BED243" s="1455"/>
      <c r="BEE243" s="1455"/>
      <c r="BEF243" s="1455"/>
      <c r="BEG243" s="1455"/>
      <c r="BEH243" s="1455"/>
      <c r="BEI243" s="1455"/>
      <c r="BEJ243" s="1455"/>
      <c r="BEK243" s="1455"/>
      <c r="BEL243" s="1455"/>
      <c r="BEM243" s="1455"/>
      <c r="BEN243" s="1455"/>
      <c r="BEO243" s="1455"/>
      <c r="BEP243" s="1455"/>
      <c r="BEQ243" s="1455"/>
      <c r="BER243" s="1455"/>
      <c r="BES243" s="1455"/>
      <c r="BET243" s="1455"/>
      <c r="BEU243" s="1455"/>
      <c r="BEV243" s="1455"/>
      <c r="BEW243" s="1455"/>
      <c r="BEX243" s="1455"/>
      <c r="BEY243" s="1455"/>
      <c r="BEZ243" s="1455"/>
      <c r="BFA243" s="1455"/>
      <c r="BFB243" s="1455"/>
      <c r="BFC243" s="1455"/>
      <c r="BFD243" s="1455"/>
      <c r="BFE243" s="1455"/>
      <c r="BFF243" s="1455"/>
      <c r="BFG243" s="1455"/>
      <c r="BFH243" s="1455"/>
      <c r="BFI243" s="1455"/>
      <c r="BFJ243" s="1455"/>
      <c r="BFK243" s="1455"/>
      <c r="BFL243" s="1455"/>
      <c r="BFM243" s="1455"/>
      <c r="BFN243" s="1455"/>
      <c r="BFO243" s="1455"/>
      <c r="BFP243" s="1455"/>
      <c r="BFQ243" s="1455"/>
      <c r="BFR243" s="1455"/>
      <c r="BFS243" s="1455"/>
      <c r="BFT243" s="1455"/>
      <c r="BFU243" s="1455"/>
      <c r="BFV243" s="1455"/>
      <c r="BFW243" s="1455"/>
      <c r="BFX243" s="1455"/>
      <c r="BFY243" s="1455"/>
      <c r="BFZ243" s="1455"/>
      <c r="BGA243" s="1455"/>
      <c r="BGB243" s="1455"/>
      <c r="BGC243" s="1455"/>
      <c r="BGD243" s="1455"/>
      <c r="BGE243" s="1455"/>
      <c r="BGF243" s="1455"/>
      <c r="BGG243" s="1455"/>
      <c r="BGH243" s="1455"/>
      <c r="BGI243" s="1455"/>
      <c r="BGJ243" s="1455"/>
      <c r="BGK243" s="1455"/>
      <c r="BGL243" s="1455"/>
      <c r="BGM243" s="1455"/>
      <c r="BGN243" s="1455"/>
      <c r="BGO243" s="1455"/>
      <c r="BGP243" s="1455"/>
      <c r="BGQ243" s="1455"/>
      <c r="BGR243" s="1455"/>
      <c r="BGS243" s="1455"/>
      <c r="BGT243" s="1455"/>
      <c r="BGU243" s="1455"/>
      <c r="BGV243" s="1455"/>
      <c r="BGW243" s="1455"/>
      <c r="BGX243" s="1455"/>
      <c r="BGY243" s="1455"/>
      <c r="BGZ243" s="1455"/>
      <c r="BHA243" s="1455"/>
      <c r="BHB243" s="1455"/>
      <c r="BHC243" s="1455"/>
      <c r="BHD243" s="1455"/>
      <c r="BHE243" s="1455"/>
      <c r="BHF243" s="1455"/>
      <c r="BHG243" s="1455"/>
      <c r="BHH243" s="1455"/>
      <c r="BHI243" s="1455"/>
      <c r="BHJ243" s="1455"/>
      <c r="BHK243" s="1455"/>
      <c r="BHL243" s="1455"/>
      <c r="BHM243" s="1455"/>
      <c r="BHN243" s="1455"/>
      <c r="BHO243" s="1455"/>
      <c r="BHP243" s="1455"/>
      <c r="BHQ243" s="1455"/>
      <c r="BHR243" s="1455"/>
      <c r="BHS243" s="1455"/>
      <c r="BHT243" s="1455"/>
      <c r="BHU243" s="1455"/>
      <c r="BHV243" s="1455"/>
      <c r="BHW243" s="1455"/>
      <c r="BHX243" s="1455"/>
      <c r="BHY243" s="1455"/>
      <c r="BHZ243" s="1455"/>
      <c r="BIA243" s="1455"/>
      <c r="BIB243" s="1455"/>
      <c r="BIC243" s="1455"/>
      <c r="BID243" s="1455"/>
      <c r="BIE243" s="1455"/>
      <c r="BIF243" s="1455"/>
      <c r="BIG243" s="1455"/>
      <c r="BIH243" s="1455"/>
      <c r="BII243" s="1455"/>
      <c r="BIJ243" s="1455"/>
      <c r="BIK243" s="1455"/>
      <c r="BIL243" s="1455"/>
      <c r="BIM243" s="1455"/>
      <c r="BIN243" s="1455"/>
      <c r="BIO243" s="1455"/>
      <c r="BIP243" s="1455"/>
      <c r="BIQ243" s="1455"/>
      <c r="BIR243" s="1455"/>
      <c r="BIS243" s="1455"/>
      <c r="BIT243" s="1455"/>
      <c r="BIU243" s="1455"/>
      <c r="BIV243" s="1455"/>
      <c r="BIW243" s="1455"/>
      <c r="BIX243" s="1455"/>
      <c r="BIY243" s="1455"/>
      <c r="BIZ243" s="1455"/>
      <c r="BJA243" s="1455"/>
      <c r="BJB243" s="1455"/>
      <c r="BJC243" s="1455"/>
      <c r="BJD243" s="1455"/>
      <c r="BJE243" s="1455"/>
      <c r="BJF243" s="1455"/>
      <c r="BJG243" s="1455"/>
      <c r="BJH243" s="1455"/>
      <c r="BJI243" s="1455"/>
      <c r="BJJ243" s="1455"/>
      <c r="BJK243" s="1455"/>
      <c r="BJL243" s="1455"/>
      <c r="BJM243" s="1455"/>
      <c r="BJN243" s="1455"/>
      <c r="BJO243" s="1455"/>
      <c r="BJP243" s="1455"/>
      <c r="BJQ243" s="1455"/>
      <c r="BJR243" s="1455"/>
      <c r="BJS243" s="1455"/>
      <c r="BJT243" s="1455"/>
      <c r="BJU243" s="1455"/>
      <c r="BJV243" s="1455"/>
      <c r="BJW243" s="1455"/>
      <c r="BJX243" s="1455"/>
      <c r="BJY243" s="1455"/>
      <c r="BJZ243" s="1455"/>
      <c r="BKA243" s="1455"/>
      <c r="BKB243" s="1455"/>
      <c r="BKC243" s="1455"/>
      <c r="BKD243" s="1455"/>
      <c r="BKE243" s="1455"/>
      <c r="BKF243" s="1455"/>
      <c r="BKG243" s="1455"/>
      <c r="BKH243" s="1455"/>
      <c r="BKI243" s="1455"/>
      <c r="BKJ243" s="1455"/>
      <c r="BKK243" s="1455"/>
      <c r="BKL243" s="1455"/>
      <c r="BKM243" s="1455"/>
      <c r="BKN243" s="1455"/>
      <c r="BKO243" s="1455"/>
      <c r="BKP243" s="1455"/>
      <c r="BKQ243" s="1455"/>
      <c r="BKR243" s="1455"/>
      <c r="BKS243" s="1455"/>
      <c r="BKT243" s="1455"/>
      <c r="BKU243" s="1455"/>
      <c r="BKV243" s="1455"/>
      <c r="BKW243" s="1455"/>
      <c r="BKX243" s="1455"/>
      <c r="BKY243" s="1455"/>
      <c r="BKZ243" s="1455"/>
      <c r="BLA243" s="1455"/>
      <c r="BLB243" s="1455"/>
      <c r="BLC243" s="1455"/>
      <c r="BLD243" s="1455"/>
      <c r="BLE243" s="1455"/>
      <c r="BLF243" s="1455"/>
      <c r="BLG243" s="1455"/>
      <c r="BLH243" s="1455"/>
      <c r="BLI243" s="1455"/>
      <c r="BLJ243" s="1455"/>
      <c r="BLK243" s="1455"/>
      <c r="BLL243" s="1455"/>
      <c r="BLM243" s="1455"/>
      <c r="BLN243" s="1455"/>
      <c r="BLO243" s="1455"/>
      <c r="BLP243" s="1455"/>
      <c r="BLQ243" s="1455"/>
      <c r="BLR243" s="1455"/>
      <c r="BLS243" s="1455"/>
      <c r="BLT243" s="1455"/>
      <c r="BLU243" s="1455"/>
      <c r="BLV243" s="1455"/>
      <c r="BLW243" s="1455"/>
      <c r="BLX243" s="1455"/>
      <c r="BLY243" s="1455"/>
      <c r="BLZ243" s="1455"/>
      <c r="BMA243" s="1455"/>
      <c r="BMB243" s="1455"/>
      <c r="BMC243" s="1455"/>
      <c r="BMD243" s="1455"/>
      <c r="BME243" s="1455"/>
      <c r="BMF243" s="1455"/>
      <c r="BMG243" s="1455"/>
      <c r="BMH243" s="1455"/>
      <c r="BMI243" s="1455"/>
      <c r="BMJ243" s="1455"/>
      <c r="BMK243" s="1455"/>
      <c r="BML243" s="1455"/>
      <c r="BMM243" s="1455"/>
      <c r="BMN243" s="1455"/>
      <c r="BMO243" s="1455"/>
      <c r="BMP243" s="1455"/>
      <c r="BMQ243" s="1455"/>
      <c r="BMR243" s="1455"/>
      <c r="BMS243" s="1455"/>
      <c r="BMT243" s="1455"/>
      <c r="BMU243" s="1455"/>
      <c r="BMV243" s="1455"/>
      <c r="BMW243" s="1455"/>
      <c r="BMX243" s="1455"/>
      <c r="BMY243" s="1455"/>
      <c r="BMZ243" s="1455"/>
      <c r="BNA243" s="1455"/>
      <c r="BNB243" s="1455"/>
      <c r="BNC243" s="1455"/>
      <c r="BND243" s="1455"/>
      <c r="BNE243" s="1455"/>
      <c r="BNF243" s="1455"/>
      <c r="BNG243" s="1455"/>
      <c r="BNH243" s="1455"/>
      <c r="BNI243" s="1455"/>
      <c r="BNJ243" s="1455"/>
      <c r="BNK243" s="1455"/>
      <c r="BNL243" s="1455"/>
      <c r="BNM243" s="1455"/>
      <c r="BNN243" s="1455"/>
      <c r="BNO243" s="1455"/>
      <c r="BNP243" s="1455"/>
      <c r="BNQ243" s="1455"/>
      <c r="BNR243" s="1455"/>
      <c r="BNS243" s="1455"/>
      <c r="BNT243" s="1455"/>
      <c r="BNU243" s="1455"/>
      <c r="BNV243" s="1455"/>
      <c r="BNW243" s="1455"/>
      <c r="BNX243" s="1455"/>
      <c r="BNY243" s="1455"/>
      <c r="BNZ243" s="1455"/>
      <c r="BOA243" s="1455"/>
      <c r="BOB243" s="1455"/>
      <c r="BOC243" s="1455"/>
      <c r="BOD243" s="1455"/>
      <c r="BOE243" s="1455"/>
      <c r="BOF243" s="1455"/>
      <c r="BOG243" s="1455"/>
      <c r="BOH243" s="1455"/>
      <c r="BOI243" s="1455"/>
      <c r="BOJ243" s="1455"/>
      <c r="BOK243" s="1455"/>
      <c r="BOL243" s="1455"/>
      <c r="BOM243" s="1455"/>
      <c r="BON243" s="1455"/>
      <c r="BOO243" s="1455"/>
      <c r="BOP243" s="1455"/>
      <c r="BOQ243" s="1455"/>
      <c r="BOR243" s="1455"/>
      <c r="BOS243" s="1455"/>
      <c r="BOT243" s="1455"/>
      <c r="BOU243" s="1455"/>
      <c r="BOV243" s="1455"/>
      <c r="BOW243" s="1455"/>
      <c r="BOX243" s="1455"/>
      <c r="BOY243" s="1455"/>
      <c r="BOZ243" s="1455"/>
      <c r="BPA243" s="1455"/>
      <c r="BPB243" s="1455"/>
      <c r="BPC243" s="1455"/>
      <c r="BPD243" s="1455"/>
      <c r="BPE243" s="1455"/>
      <c r="BPF243" s="1455"/>
      <c r="BPG243" s="1455"/>
      <c r="BPH243" s="1455"/>
      <c r="BPI243" s="1455"/>
      <c r="BPJ243" s="1455"/>
      <c r="BPK243" s="1455"/>
      <c r="BPL243" s="1455"/>
      <c r="BPM243" s="1455"/>
      <c r="BPN243" s="1455"/>
      <c r="BPO243" s="1455"/>
      <c r="BPP243" s="1455"/>
      <c r="BPQ243" s="1455"/>
      <c r="BPR243" s="1455"/>
      <c r="BPS243" s="1455"/>
      <c r="BPT243" s="1455"/>
      <c r="BPU243" s="1455"/>
      <c r="BPV243" s="1455"/>
      <c r="BPW243" s="1455"/>
      <c r="BPX243" s="1455"/>
      <c r="BPY243" s="1455"/>
      <c r="BPZ243" s="1455"/>
      <c r="BQA243" s="1455"/>
      <c r="BQB243" s="1455"/>
      <c r="BQC243" s="1455"/>
      <c r="BQD243" s="1455"/>
      <c r="BQE243" s="1455"/>
      <c r="BQF243" s="1455"/>
      <c r="BQG243" s="1455"/>
      <c r="BQH243" s="1455"/>
      <c r="BQI243" s="1455"/>
      <c r="BQJ243" s="1455"/>
      <c r="BQK243" s="1455"/>
      <c r="BQL243" s="1455"/>
      <c r="BQM243" s="1455"/>
      <c r="BQN243" s="1455"/>
      <c r="BQO243" s="1455"/>
      <c r="BQP243" s="1455"/>
      <c r="BQQ243" s="1455"/>
      <c r="BQR243" s="1455"/>
      <c r="BQS243" s="1455"/>
      <c r="BQT243" s="1455"/>
      <c r="BQU243" s="1455"/>
      <c r="BQV243" s="1455"/>
      <c r="BQW243" s="1455"/>
      <c r="BQX243" s="1455"/>
      <c r="BQY243" s="1455"/>
      <c r="BQZ243" s="1455"/>
      <c r="BRA243" s="1455"/>
      <c r="BRB243" s="1455"/>
      <c r="BRC243" s="1455"/>
      <c r="BRD243" s="1455"/>
      <c r="BRE243" s="1455"/>
      <c r="BRF243" s="1455"/>
      <c r="BRG243" s="1455"/>
      <c r="BRH243" s="1455"/>
      <c r="BRI243" s="1455"/>
      <c r="BRJ243" s="1455"/>
      <c r="BRK243" s="1455"/>
      <c r="BRL243" s="1455"/>
      <c r="BRM243" s="1455"/>
      <c r="BRN243" s="1455"/>
      <c r="BRO243" s="1455"/>
      <c r="BRP243" s="1455"/>
      <c r="BRQ243" s="1455"/>
      <c r="BRR243" s="1455"/>
      <c r="BRS243" s="1455"/>
      <c r="BRT243" s="1455"/>
      <c r="BRU243" s="1455"/>
      <c r="BRV243" s="1455"/>
      <c r="BRW243" s="1455"/>
      <c r="BRX243" s="1455"/>
      <c r="BRY243" s="1455"/>
      <c r="BRZ243" s="1455"/>
      <c r="BSA243" s="1455"/>
      <c r="BSB243" s="1455"/>
      <c r="BSC243" s="1455"/>
      <c r="BSD243" s="1455"/>
      <c r="BSE243" s="1455"/>
      <c r="BSF243" s="1455"/>
      <c r="BSG243" s="1455"/>
      <c r="BSH243" s="1455"/>
      <c r="BSI243" s="1455"/>
      <c r="BSJ243" s="1455"/>
      <c r="BSK243" s="1455"/>
      <c r="BSL243" s="1455"/>
      <c r="BSM243" s="1455"/>
      <c r="BSN243" s="1455"/>
      <c r="BSO243" s="1455"/>
      <c r="BSP243" s="1455"/>
      <c r="BSQ243" s="1455"/>
      <c r="BSR243" s="1455"/>
      <c r="BSS243" s="1455"/>
      <c r="BST243" s="1455"/>
      <c r="BSU243" s="1455"/>
      <c r="BSV243" s="1455"/>
      <c r="BSW243" s="1455"/>
      <c r="BSX243" s="1455"/>
      <c r="BSY243" s="1455"/>
      <c r="BSZ243" s="1455"/>
      <c r="BTA243" s="1455"/>
      <c r="BTB243" s="1455"/>
      <c r="BTC243" s="1455"/>
      <c r="BTD243" s="1455"/>
      <c r="BTE243" s="1455"/>
      <c r="BTF243" s="1455"/>
      <c r="BTG243" s="1455"/>
      <c r="BTH243" s="1455"/>
      <c r="BTI243" s="1455"/>
      <c r="BTJ243" s="1455"/>
      <c r="BTK243" s="1455"/>
      <c r="BTL243" s="1455"/>
      <c r="BTM243" s="1455"/>
      <c r="BTN243" s="1455"/>
      <c r="BTO243" s="1455"/>
      <c r="BTP243" s="1455"/>
      <c r="BTQ243" s="1455"/>
      <c r="BTR243" s="1455"/>
      <c r="BTS243" s="1455"/>
      <c r="BTT243" s="1455"/>
      <c r="BTU243" s="1455"/>
      <c r="BTV243" s="1455"/>
      <c r="BTW243" s="1455"/>
      <c r="BTX243" s="1455"/>
      <c r="BTY243" s="1455"/>
      <c r="BTZ243" s="1455"/>
      <c r="BUA243" s="1455"/>
      <c r="BUB243" s="1455"/>
      <c r="BUC243" s="1455"/>
      <c r="BUD243" s="1455"/>
      <c r="BUE243" s="1455"/>
      <c r="BUF243" s="1455"/>
      <c r="BUG243" s="1455"/>
      <c r="BUH243" s="1455"/>
      <c r="BUI243" s="1455"/>
      <c r="BUJ243" s="1455"/>
      <c r="BUK243" s="1455"/>
      <c r="BUL243" s="1455"/>
      <c r="BUM243" s="1455"/>
      <c r="BUN243" s="1455"/>
      <c r="BUO243" s="1455"/>
      <c r="BUP243" s="1455"/>
      <c r="BUQ243" s="1455"/>
      <c r="BUR243" s="1455"/>
      <c r="BUS243" s="1455"/>
      <c r="BUT243" s="1455"/>
      <c r="BUU243" s="1455"/>
      <c r="BUV243" s="1455"/>
      <c r="BUW243" s="1455"/>
      <c r="BUX243" s="1455"/>
      <c r="BUY243" s="1455"/>
      <c r="BUZ243" s="1455"/>
      <c r="BVA243" s="1455"/>
      <c r="BVB243" s="1455"/>
      <c r="BVC243" s="1455"/>
      <c r="BVD243" s="1455"/>
      <c r="BVE243" s="1455"/>
      <c r="BVF243" s="1455"/>
      <c r="BVG243" s="1455"/>
      <c r="BVH243" s="1455"/>
      <c r="BVI243" s="1455"/>
      <c r="BVJ243" s="1455"/>
      <c r="BVK243" s="1455"/>
      <c r="BVL243" s="1455"/>
      <c r="BVM243" s="1455"/>
      <c r="BVN243" s="1455"/>
      <c r="BVO243" s="1455"/>
      <c r="BVP243" s="1455"/>
      <c r="BVQ243" s="1455"/>
      <c r="BVR243" s="1455"/>
      <c r="BVS243" s="1455"/>
      <c r="BVT243" s="1455"/>
      <c r="BVU243" s="1455"/>
      <c r="BVV243" s="1455"/>
      <c r="BVW243" s="1455"/>
      <c r="BVX243" s="1455"/>
      <c r="BVY243" s="1455"/>
      <c r="BVZ243" s="1455"/>
      <c r="BWA243" s="1455"/>
      <c r="BWB243" s="1455"/>
      <c r="BWC243" s="1455"/>
      <c r="BWD243" s="1455"/>
      <c r="BWE243" s="1455"/>
      <c r="BWF243" s="1455"/>
      <c r="BWG243" s="1455"/>
      <c r="BWH243" s="1455"/>
      <c r="BWI243" s="1455"/>
      <c r="BWJ243" s="1455"/>
      <c r="BWK243" s="1455"/>
      <c r="BWL243" s="1455"/>
      <c r="BWM243" s="1455"/>
      <c r="BWN243" s="1455"/>
      <c r="BWO243" s="1455"/>
      <c r="BWP243" s="1455"/>
      <c r="BWQ243" s="1455"/>
      <c r="BWR243" s="1455"/>
      <c r="BWS243" s="1455"/>
      <c r="BWT243" s="1455"/>
      <c r="BWU243" s="1455"/>
      <c r="BWV243" s="1455"/>
      <c r="BWW243" s="1455"/>
      <c r="BWX243" s="1455"/>
      <c r="BWY243" s="1455"/>
      <c r="BWZ243" s="1455"/>
      <c r="BXA243" s="1455"/>
      <c r="BXB243" s="1455"/>
      <c r="BXC243" s="1455"/>
      <c r="BXD243" s="1455"/>
      <c r="BXE243" s="1455"/>
      <c r="BXF243" s="1455"/>
      <c r="BXG243" s="1455"/>
      <c r="BXH243" s="1455"/>
      <c r="BXI243" s="1455"/>
      <c r="BXJ243" s="1455"/>
      <c r="BXK243" s="1455"/>
      <c r="BXL243" s="1455"/>
      <c r="BXM243" s="1455"/>
      <c r="BXN243" s="1455"/>
      <c r="BXO243" s="1455"/>
      <c r="BXP243" s="1455"/>
      <c r="BXQ243" s="1455"/>
      <c r="BXR243" s="1455"/>
      <c r="BXS243" s="1455"/>
      <c r="BXT243" s="1455"/>
      <c r="BXU243" s="1455"/>
      <c r="BXV243" s="1455"/>
      <c r="BXW243" s="1455"/>
      <c r="BXX243" s="1455"/>
      <c r="BXY243" s="1455"/>
      <c r="BXZ243" s="1455"/>
      <c r="BYA243" s="1455"/>
      <c r="BYB243" s="1455"/>
      <c r="BYC243" s="1455"/>
      <c r="BYD243" s="1455"/>
      <c r="BYE243" s="1455"/>
      <c r="BYF243" s="1455"/>
      <c r="BYG243" s="1455"/>
      <c r="BYH243" s="1455"/>
      <c r="BYI243" s="1455"/>
      <c r="BYJ243" s="1455"/>
      <c r="BYK243" s="1455"/>
      <c r="BYL243" s="1455"/>
      <c r="BYM243" s="1455"/>
      <c r="BYN243" s="1455"/>
      <c r="BYO243" s="1455"/>
      <c r="BYP243" s="1455"/>
      <c r="BYQ243" s="1455"/>
      <c r="BYR243" s="1455"/>
      <c r="BYS243" s="1455"/>
      <c r="BYT243" s="1455"/>
      <c r="BYU243" s="1455"/>
      <c r="BYV243" s="1455"/>
      <c r="BYW243" s="1455"/>
      <c r="BYX243" s="1455"/>
      <c r="BYY243" s="1455"/>
      <c r="BYZ243" s="1455"/>
      <c r="BZA243" s="1455"/>
      <c r="BZB243" s="1455"/>
      <c r="BZC243" s="1455"/>
      <c r="BZD243" s="1455"/>
      <c r="BZE243" s="1455"/>
      <c r="BZF243" s="1455"/>
      <c r="BZG243" s="1455"/>
      <c r="BZH243" s="1455"/>
      <c r="BZI243" s="1455"/>
      <c r="BZJ243" s="1455"/>
      <c r="BZK243" s="1455"/>
      <c r="BZL243" s="1455"/>
      <c r="BZM243" s="1455"/>
      <c r="BZN243" s="1455"/>
      <c r="BZO243" s="1455"/>
      <c r="BZP243" s="1455"/>
      <c r="BZQ243" s="1455"/>
      <c r="BZR243" s="1455"/>
      <c r="BZS243" s="1455"/>
      <c r="BZT243" s="1455"/>
      <c r="BZU243" s="1455"/>
      <c r="BZV243" s="1455"/>
      <c r="BZW243" s="1455"/>
      <c r="BZX243" s="1455"/>
      <c r="BZY243" s="1455"/>
      <c r="BZZ243" s="1455"/>
      <c r="CAA243" s="1455"/>
      <c r="CAB243" s="1455"/>
      <c r="CAC243" s="1455"/>
      <c r="CAD243" s="1455"/>
      <c r="CAE243" s="1455"/>
      <c r="CAF243" s="1455"/>
      <c r="CAG243" s="1455"/>
      <c r="CAH243" s="1455"/>
      <c r="CAI243" s="1455"/>
      <c r="CAJ243" s="1455"/>
      <c r="CAK243" s="1455"/>
      <c r="CAL243" s="1455"/>
      <c r="CAM243" s="1455"/>
      <c r="CAN243" s="1455"/>
      <c r="CAO243" s="1455"/>
      <c r="CAP243" s="1455"/>
      <c r="CAQ243" s="1455"/>
      <c r="CAR243" s="1455"/>
      <c r="CAS243" s="1455"/>
      <c r="CAT243" s="1455"/>
      <c r="CAU243" s="1455"/>
      <c r="CAV243" s="1455"/>
      <c r="CAW243" s="1455"/>
      <c r="CAX243" s="1455"/>
      <c r="CAY243" s="1455"/>
      <c r="CAZ243" s="1455"/>
      <c r="CBA243" s="1455"/>
      <c r="CBB243" s="1455"/>
      <c r="CBC243" s="1455"/>
      <c r="CBD243" s="1455"/>
      <c r="CBE243" s="1455"/>
      <c r="CBF243" s="1455"/>
      <c r="CBG243" s="1455"/>
      <c r="CBH243" s="1455"/>
      <c r="CBI243" s="1455"/>
      <c r="CBJ243" s="1455"/>
      <c r="CBK243" s="1455"/>
      <c r="CBL243" s="1455"/>
      <c r="CBM243" s="1455"/>
      <c r="CBN243" s="1455"/>
      <c r="CBO243" s="1455"/>
      <c r="CBP243" s="1455"/>
      <c r="CBQ243" s="1455"/>
      <c r="CBR243" s="1455"/>
      <c r="CBS243" s="1455"/>
      <c r="CBT243" s="1455"/>
      <c r="CBU243" s="1455"/>
      <c r="CBV243" s="1455"/>
      <c r="CBW243" s="1455"/>
      <c r="CBX243" s="1455"/>
      <c r="CBY243" s="1455"/>
      <c r="CBZ243" s="1455"/>
      <c r="CCA243" s="1455"/>
      <c r="CCB243" s="1455"/>
      <c r="CCC243" s="1455"/>
      <c r="CCD243" s="1455"/>
      <c r="CCE243" s="1455"/>
      <c r="CCF243" s="1455"/>
      <c r="CCG243" s="1455"/>
      <c r="CCH243" s="1455"/>
      <c r="CCI243" s="1455"/>
      <c r="CCJ243" s="1455"/>
      <c r="CCK243" s="1455"/>
      <c r="CCL243" s="1455"/>
      <c r="CCM243" s="1455"/>
      <c r="CCN243" s="1455"/>
      <c r="CCO243" s="1455"/>
      <c r="CCP243" s="1455"/>
      <c r="CCQ243" s="1455"/>
      <c r="CCR243" s="1455"/>
      <c r="CCS243" s="1455"/>
      <c r="CCT243" s="1455"/>
      <c r="CCU243" s="1455"/>
      <c r="CCV243" s="1455"/>
      <c r="CCW243" s="1455"/>
      <c r="CCX243" s="1455"/>
      <c r="CCY243" s="1455"/>
      <c r="CCZ243" s="1455"/>
      <c r="CDA243" s="1455"/>
      <c r="CDB243" s="1455"/>
      <c r="CDC243" s="1455"/>
      <c r="CDD243" s="1455"/>
      <c r="CDE243" s="1455"/>
      <c r="CDF243" s="1455"/>
      <c r="CDG243" s="1455"/>
      <c r="CDH243" s="1455"/>
      <c r="CDI243" s="1455"/>
      <c r="CDJ243" s="1455"/>
      <c r="CDK243" s="1455"/>
      <c r="CDL243" s="1455"/>
      <c r="CDM243" s="1455"/>
      <c r="CDN243" s="1455"/>
      <c r="CDO243" s="1455"/>
      <c r="CDP243" s="1455"/>
      <c r="CDQ243" s="1455"/>
      <c r="CDR243" s="1455"/>
      <c r="CDS243" s="1455"/>
      <c r="CDT243" s="1455"/>
      <c r="CDU243" s="1455"/>
      <c r="CDV243" s="1455"/>
      <c r="CDW243" s="1455"/>
      <c r="CDX243" s="1455"/>
      <c r="CDY243" s="1455"/>
      <c r="CDZ243" s="1455"/>
      <c r="CEA243" s="1455"/>
      <c r="CEB243" s="1455"/>
      <c r="CEC243" s="1455"/>
      <c r="CED243" s="1455"/>
      <c r="CEE243" s="1455"/>
      <c r="CEF243" s="1455"/>
      <c r="CEG243" s="1455"/>
      <c r="CEH243" s="1455"/>
      <c r="CEI243" s="1455"/>
      <c r="CEJ243" s="1455"/>
      <c r="CEK243" s="1455"/>
      <c r="CEL243" s="1455"/>
      <c r="CEM243" s="1455"/>
      <c r="CEN243" s="1455"/>
      <c r="CEO243" s="1455"/>
      <c r="CEP243" s="1455"/>
      <c r="CEQ243" s="1455"/>
      <c r="CER243" s="1455"/>
      <c r="CES243" s="1455"/>
      <c r="CET243" s="1455"/>
      <c r="CEU243" s="1455"/>
      <c r="CEV243" s="1455"/>
      <c r="CEW243" s="1455"/>
      <c r="CEX243" s="1455"/>
      <c r="CEY243" s="1455"/>
      <c r="CEZ243" s="1455"/>
      <c r="CFA243" s="1455"/>
      <c r="CFB243" s="1455"/>
      <c r="CFC243" s="1455"/>
      <c r="CFD243" s="1455"/>
      <c r="CFE243" s="1455"/>
      <c r="CFF243" s="1455"/>
      <c r="CFG243" s="1455"/>
      <c r="CFH243" s="1455"/>
      <c r="CFI243" s="1455"/>
      <c r="CFJ243" s="1455"/>
      <c r="CFK243" s="1455"/>
      <c r="CFL243" s="1455"/>
      <c r="CFM243" s="1455"/>
      <c r="CFN243" s="1455"/>
      <c r="CFO243" s="1455"/>
      <c r="CFP243" s="1455"/>
      <c r="CFQ243" s="1455"/>
      <c r="CFR243" s="1455"/>
      <c r="CFS243" s="1455"/>
      <c r="CFT243" s="1455"/>
      <c r="CFU243" s="1455"/>
      <c r="CFV243" s="1455"/>
      <c r="CFW243" s="1455"/>
      <c r="CFX243" s="1455"/>
      <c r="CFY243" s="1455"/>
      <c r="CFZ243" s="1455"/>
      <c r="CGA243" s="1455"/>
      <c r="CGB243" s="1455"/>
      <c r="CGC243" s="1455"/>
      <c r="CGD243" s="1455"/>
      <c r="CGE243" s="1455"/>
      <c r="CGF243" s="1455"/>
      <c r="CGG243" s="1455"/>
      <c r="CGH243" s="1455"/>
      <c r="CGI243" s="1455"/>
      <c r="CGJ243" s="1455"/>
      <c r="CGK243" s="1455"/>
      <c r="CGL243" s="1455"/>
      <c r="CGM243" s="1455"/>
      <c r="CGN243" s="1455"/>
      <c r="CGO243" s="1455"/>
      <c r="CGP243" s="1455"/>
      <c r="CGQ243" s="1455"/>
      <c r="CGR243" s="1455"/>
      <c r="CGS243" s="1455"/>
      <c r="CGT243" s="1455"/>
      <c r="CGU243" s="1455"/>
      <c r="CGV243" s="1455"/>
      <c r="CGW243" s="1455"/>
      <c r="CGX243" s="1455"/>
      <c r="CGY243" s="1455"/>
      <c r="CGZ243" s="1455"/>
      <c r="CHA243" s="1455"/>
      <c r="CHB243" s="1455"/>
      <c r="CHC243" s="1455"/>
      <c r="CHD243" s="1455"/>
      <c r="CHE243" s="1455"/>
      <c r="CHF243" s="1455"/>
      <c r="CHG243" s="1455"/>
      <c r="CHH243" s="1455"/>
      <c r="CHI243" s="1455"/>
      <c r="CHJ243" s="1455"/>
      <c r="CHK243" s="1455"/>
      <c r="CHL243" s="1455"/>
      <c r="CHM243" s="1455"/>
      <c r="CHN243" s="1455"/>
      <c r="CHO243" s="1455"/>
      <c r="CHP243" s="1455"/>
      <c r="CHQ243" s="1455"/>
      <c r="CHR243" s="1455"/>
      <c r="CHS243" s="1455"/>
      <c r="CHT243" s="1455"/>
      <c r="CHU243" s="1455"/>
      <c r="CHV243" s="1455"/>
      <c r="CHW243" s="1455"/>
      <c r="CHX243" s="1455"/>
      <c r="CHY243" s="1455"/>
      <c r="CHZ243" s="1455"/>
      <c r="CIA243" s="1455"/>
      <c r="CIB243" s="1455"/>
      <c r="CIC243" s="1455"/>
      <c r="CID243" s="1455"/>
      <c r="CIE243" s="1455"/>
      <c r="CIF243" s="1455"/>
      <c r="CIG243" s="1455"/>
      <c r="CIH243" s="1455"/>
      <c r="CII243" s="1455"/>
      <c r="CIJ243" s="1455"/>
      <c r="CIK243" s="1455"/>
      <c r="CIL243" s="1455"/>
      <c r="CIM243" s="1455"/>
      <c r="CIN243" s="1455"/>
      <c r="CIO243" s="1455"/>
      <c r="CIP243" s="1455"/>
      <c r="CIQ243" s="1455"/>
      <c r="CIR243" s="1455"/>
      <c r="CIS243" s="1455"/>
      <c r="CIT243" s="1455"/>
      <c r="CIU243" s="1455"/>
      <c r="CIV243" s="1455"/>
      <c r="CIW243" s="1455"/>
      <c r="CIX243" s="1455"/>
      <c r="CIY243" s="1455"/>
      <c r="CIZ243" s="1455"/>
      <c r="CJA243" s="1455"/>
      <c r="CJB243" s="1455"/>
      <c r="CJC243" s="1455"/>
      <c r="CJD243" s="1455"/>
      <c r="CJE243" s="1455"/>
      <c r="CJF243" s="1455"/>
      <c r="CJG243" s="1455"/>
      <c r="CJH243" s="1455"/>
      <c r="CJI243" s="1455"/>
      <c r="CJJ243" s="1455"/>
      <c r="CJK243" s="1455"/>
      <c r="CJL243" s="1455"/>
      <c r="CJM243" s="1455"/>
      <c r="CJN243" s="1455"/>
      <c r="CJO243" s="1455"/>
      <c r="CJP243" s="1455"/>
      <c r="CJQ243" s="1455"/>
      <c r="CJR243" s="1455"/>
      <c r="CJS243" s="1455"/>
      <c r="CJT243" s="1455"/>
      <c r="CJU243" s="1455"/>
      <c r="CJV243" s="1455"/>
      <c r="CJW243" s="1455"/>
      <c r="CJX243" s="1455"/>
      <c r="CJY243" s="1455"/>
      <c r="CJZ243" s="1455"/>
      <c r="CKA243" s="1455"/>
      <c r="CKB243" s="1455"/>
      <c r="CKC243" s="1455"/>
      <c r="CKD243" s="1455"/>
      <c r="CKE243" s="1455"/>
      <c r="CKF243" s="1455"/>
      <c r="CKG243" s="1455"/>
      <c r="CKH243" s="1455"/>
      <c r="CKI243" s="1455"/>
      <c r="CKJ243" s="1455"/>
      <c r="CKK243" s="1455"/>
      <c r="CKL243" s="1455"/>
      <c r="CKM243" s="1455"/>
      <c r="CKN243" s="1455"/>
      <c r="CKO243" s="1455"/>
      <c r="CKP243" s="1455"/>
      <c r="CKQ243" s="1455"/>
      <c r="CKR243" s="1455"/>
      <c r="CKS243" s="1455"/>
      <c r="CKT243" s="1455"/>
      <c r="CKU243" s="1455"/>
      <c r="CKV243" s="1455"/>
      <c r="CKW243" s="1455"/>
      <c r="CKX243" s="1455"/>
      <c r="CKY243" s="1455"/>
      <c r="CKZ243" s="1455"/>
      <c r="CLA243" s="1455"/>
      <c r="CLB243" s="1455"/>
      <c r="CLC243" s="1455"/>
      <c r="CLD243" s="1455"/>
      <c r="CLE243" s="1455"/>
      <c r="CLF243" s="1455"/>
      <c r="CLG243" s="1455"/>
      <c r="CLH243" s="1455"/>
      <c r="CLI243" s="1455"/>
      <c r="CLJ243" s="1455"/>
      <c r="CLK243" s="1455"/>
      <c r="CLL243" s="1455"/>
      <c r="CLM243" s="1455"/>
      <c r="CLN243" s="1455"/>
      <c r="CLO243" s="1455"/>
      <c r="CLP243" s="1455"/>
      <c r="CLQ243" s="1455"/>
      <c r="CLR243" s="1455"/>
      <c r="CLS243" s="1455"/>
      <c r="CLT243" s="1455"/>
      <c r="CLU243" s="1455"/>
      <c r="CLV243" s="1455"/>
      <c r="CLW243" s="1455"/>
      <c r="CLX243" s="1455"/>
      <c r="CLY243" s="1455"/>
      <c r="CLZ243" s="1455"/>
      <c r="CMA243" s="1455"/>
      <c r="CMB243" s="1455"/>
      <c r="CMC243" s="1455"/>
      <c r="CMD243" s="1455"/>
      <c r="CME243" s="1455"/>
      <c r="CMF243" s="1455"/>
      <c r="CMG243" s="1455"/>
      <c r="CMH243" s="1455"/>
      <c r="CMI243" s="1455"/>
      <c r="CMJ243" s="1455"/>
      <c r="CMK243" s="1455"/>
      <c r="CML243" s="1455"/>
      <c r="CMM243" s="1455"/>
      <c r="CMN243" s="1455"/>
      <c r="CMO243" s="1455"/>
      <c r="CMP243" s="1455"/>
      <c r="CMQ243" s="1455"/>
      <c r="CMR243" s="1455"/>
      <c r="CMS243" s="1455"/>
      <c r="CMT243" s="1455"/>
      <c r="CMU243" s="1455"/>
      <c r="CMV243" s="1455"/>
      <c r="CMW243" s="1455"/>
      <c r="CMX243" s="1455"/>
      <c r="CMY243" s="1455"/>
      <c r="CMZ243" s="1455"/>
      <c r="CNA243" s="1455"/>
      <c r="CNB243" s="1455"/>
      <c r="CNC243" s="1455"/>
      <c r="CND243" s="1455"/>
      <c r="CNE243" s="1455"/>
      <c r="CNF243" s="1455"/>
      <c r="CNG243" s="1455"/>
      <c r="CNH243" s="1455"/>
      <c r="CNI243" s="1455"/>
      <c r="CNJ243" s="1455"/>
      <c r="CNK243" s="1455"/>
      <c r="CNL243" s="1455"/>
      <c r="CNM243" s="1455"/>
      <c r="CNN243" s="1455"/>
      <c r="CNO243" s="1455"/>
      <c r="CNP243" s="1455"/>
      <c r="CNQ243" s="1455"/>
      <c r="CNR243" s="1455"/>
      <c r="CNS243" s="1455"/>
      <c r="CNT243" s="1455"/>
      <c r="CNU243" s="1455"/>
      <c r="CNV243" s="1455"/>
      <c r="CNW243" s="1455"/>
      <c r="CNX243" s="1455"/>
      <c r="CNY243" s="1455"/>
      <c r="CNZ243" s="1455"/>
      <c r="COA243" s="1455"/>
      <c r="COB243" s="1455"/>
      <c r="COC243" s="1455"/>
      <c r="COD243" s="1455"/>
      <c r="COE243" s="1455"/>
      <c r="COF243" s="1455"/>
      <c r="COG243" s="1455"/>
      <c r="COH243" s="1455"/>
      <c r="COI243" s="1455"/>
      <c r="COJ243" s="1455"/>
      <c r="COK243" s="1455"/>
      <c r="COL243" s="1455"/>
      <c r="COM243" s="1455"/>
      <c r="CON243" s="1455"/>
      <c r="COO243" s="1455"/>
      <c r="COP243" s="1455"/>
      <c r="COQ243" s="1455"/>
      <c r="COR243" s="1455"/>
      <c r="COS243" s="1455"/>
      <c r="COT243" s="1455"/>
      <c r="COU243" s="1455"/>
      <c r="COV243" s="1455"/>
      <c r="COW243" s="1455"/>
      <c r="COX243" s="1455"/>
      <c r="COY243" s="1455"/>
      <c r="COZ243" s="1455"/>
      <c r="CPA243" s="1455"/>
      <c r="CPB243" s="1455"/>
      <c r="CPC243" s="1455"/>
      <c r="CPD243" s="1455"/>
      <c r="CPE243" s="1455"/>
      <c r="CPF243" s="1455"/>
      <c r="CPG243" s="1455"/>
      <c r="CPH243" s="1455"/>
      <c r="CPI243" s="1455"/>
      <c r="CPJ243" s="1455"/>
      <c r="CPK243" s="1455"/>
      <c r="CPL243" s="1455"/>
      <c r="CPM243" s="1455"/>
      <c r="CPN243" s="1455"/>
      <c r="CPO243" s="1455"/>
      <c r="CPP243" s="1455"/>
      <c r="CPQ243" s="1455"/>
      <c r="CPR243" s="1455"/>
      <c r="CPS243" s="1455"/>
      <c r="CPT243" s="1455"/>
      <c r="CPU243" s="1455"/>
      <c r="CPV243" s="1455"/>
      <c r="CPW243" s="1455"/>
      <c r="CPX243" s="1455"/>
      <c r="CPY243" s="1455"/>
      <c r="CPZ243" s="1455"/>
      <c r="CQA243" s="1455"/>
      <c r="CQB243" s="1455"/>
      <c r="CQC243" s="1455"/>
      <c r="CQD243" s="1455"/>
      <c r="CQE243" s="1455"/>
      <c r="CQF243" s="1455"/>
      <c r="CQG243" s="1455"/>
      <c r="CQH243" s="1455"/>
      <c r="CQI243" s="1455"/>
      <c r="CQJ243" s="1455"/>
      <c r="CQK243" s="1455"/>
      <c r="CQL243" s="1455"/>
      <c r="CQM243" s="1455"/>
      <c r="CQN243" s="1455"/>
      <c r="CQO243" s="1455"/>
      <c r="CQP243" s="1455"/>
      <c r="CQQ243" s="1455"/>
      <c r="CQR243" s="1455"/>
      <c r="CQS243" s="1455"/>
      <c r="CQT243" s="1455"/>
      <c r="CQU243" s="1455"/>
      <c r="CQV243" s="1455"/>
      <c r="CQW243" s="1455"/>
      <c r="CQX243" s="1455"/>
      <c r="CQY243" s="1455"/>
      <c r="CQZ243" s="1455"/>
      <c r="CRA243" s="1455"/>
      <c r="CRB243" s="1455"/>
      <c r="CRC243" s="1455"/>
      <c r="CRD243" s="1455"/>
      <c r="CRE243" s="1455"/>
      <c r="CRF243" s="1455"/>
      <c r="CRG243" s="1455"/>
      <c r="CRH243" s="1455"/>
      <c r="CRI243" s="1455"/>
      <c r="CRJ243" s="1455"/>
      <c r="CRK243" s="1455"/>
      <c r="CRL243" s="1455"/>
      <c r="CRM243" s="1455"/>
      <c r="CRN243" s="1455"/>
      <c r="CRO243" s="1455"/>
      <c r="CRP243" s="1455"/>
      <c r="CRQ243" s="1455"/>
      <c r="CRR243" s="1455"/>
      <c r="CRS243" s="1455"/>
      <c r="CRT243" s="1455"/>
      <c r="CRU243" s="1455"/>
      <c r="CRV243" s="1455"/>
      <c r="CRW243" s="1455"/>
      <c r="CRX243" s="1455"/>
      <c r="CRY243" s="1455"/>
      <c r="CRZ243" s="1455"/>
      <c r="CSA243" s="1455"/>
      <c r="CSB243" s="1455"/>
      <c r="CSC243" s="1455"/>
      <c r="CSD243" s="1455"/>
      <c r="CSE243" s="1455"/>
      <c r="CSF243" s="1455"/>
      <c r="CSG243" s="1455"/>
      <c r="CSH243" s="1455"/>
      <c r="CSI243" s="1455"/>
      <c r="CSJ243" s="1455"/>
      <c r="CSK243" s="1455"/>
      <c r="CSL243" s="1455"/>
      <c r="CSM243" s="1455"/>
      <c r="CSN243" s="1455"/>
      <c r="CSO243" s="1455"/>
      <c r="CSP243" s="1455"/>
      <c r="CSQ243" s="1455"/>
      <c r="CSR243" s="1455"/>
      <c r="CSS243" s="1455"/>
      <c r="CST243" s="1455"/>
      <c r="CSU243" s="1455"/>
      <c r="CSV243" s="1455"/>
      <c r="CSW243" s="1455"/>
      <c r="CSX243" s="1455"/>
      <c r="CSY243" s="1455"/>
      <c r="CSZ243" s="1455"/>
      <c r="CTA243" s="1455"/>
      <c r="CTB243" s="1455"/>
      <c r="CTC243" s="1455"/>
      <c r="CTD243" s="1455"/>
      <c r="CTE243" s="1455"/>
      <c r="CTF243" s="1455"/>
      <c r="CTG243" s="1455"/>
      <c r="CTH243" s="1455"/>
      <c r="CTI243" s="1455"/>
      <c r="CTJ243" s="1455"/>
      <c r="CTK243" s="1455"/>
      <c r="CTL243" s="1455"/>
      <c r="CTM243" s="1455"/>
      <c r="CTN243" s="1455"/>
      <c r="CTO243" s="1455"/>
      <c r="CTP243" s="1455"/>
      <c r="CTQ243" s="1455"/>
      <c r="CTR243" s="1455"/>
      <c r="CTS243" s="1455"/>
      <c r="CTT243" s="1455"/>
      <c r="CTU243" s="1455"/>
      <c r="CTV243" s="1455"/>
      <c r="CTW243" s="1455"/>
      <c r="CTX243" s="1455"/>
      <c r="CTY243" s="1455"/>
      <c r="CTZ243" s="1455"/>
      <c r="CUA243" s="1455"/>
      <c r="CUB243" s="1455"/>
      <c r="CUC243" s="1455"/>
      <c r="CUD243" s="1455"/>
      <c r="CUE243" s="1455"/>
      <c r="CUF243" s="1455"/>
      <c r="CUG243" s="1455"/>
      <c r="CUH243" s="1455"/>
      <c r="CUI243" s="1455"/>
      <c r="CUJ243" s="1455"/>
      <c r="CUK243" s="1455"/>
      <c r="CUL243" s="1455"/>
      <c r="CUM243" s="1455"/>
      <c r="CUN243" s="1455"/>
      <c r="CUO243" s="1455"/>
      <c r="CUP243" s="1455"/>
      <c r="CUQ243" s="1455"/>
      <c r="CUR243" s="1455"/>
      <c r="CUS243" s="1455"/>
      <c r="CUT243" s="1455"/>
      <c r="CUU243" s="1455"/>
      <c r="CUV243" s="1455"/>
      <c r="CUW243" s="1455"/>
      <c r="CUX243" s="1455"/>
      <c r="CUY243" s="1455"/>
      <c r="CUZ243" s="1455"/>
      <c r="CVA243" s="1455"/>
      <c r="CVB243" s="1455"/>
      <c r="CVC243" s="1455"/>
      <c r="CVD243" s="1455"/>
      <c r="CVE243" s="1455"/>
      <c r="CVF243" s="1455"/>
      <c r="CVG243" s="1455"/>
      <c r="CVH243" s="1455"/>
      <c r="CVI243" s="1455"/>
      <c r="CVJ243" s="1455"/>
      <c r="CVK243" s="1455"/>
      <c r="CVL243" s="1455"/>
      <c r="CVM243" s="1455"/>
      <c r="CVN243" s="1455"/>
      <c r="CVO243" s="1455"/>
      <c r="CVP243" s="1455"/>
      <c r="CVQ243" s="1455"/>
      <c r="CVR243" s="1455"/>
      <c r="CVS243" s="1455"/>
      <c r="CVT243" s="1455"/>
      <c r="CVU243" s="1455"/>
      <c r="CVV243" s="1455"/>
      <c r="CVW243" s="1455"/>
      <c r="CVX243" s="1455"/>
      <c r="CVY243" s="1455"/>
      <c r="CVZ243" s="1455"/>
      <c r="CWA243" s="1455"/>
      <c r="CWB243" s="1455"/>
      <c r="CWC243" s="1455"/>
      <c r="CWD243" s="1455"/>
      <c r="CWE243" s="1455"/>
      <c r="CWF243" s="1455"/>
      <c r="CWG243" s="1455"/>
      <c r="CWH243" s="1455"/>
      <c r="CWI243" s="1455"/>
      <c r="CWJ243" s="1455"/>
      <c r="CWK243" s="1455"/>
      <c r="CWL243" s="1455"/>
      <c r="CWM243" s="1455"/>
      <c r="CWN243" s="1455"/>
      <c r="CWO243" s="1455"/>
      <c r="CWP243" s="1455"/>
      <c r="CWQ243" s="1455"/>
      <c r="CWR243" s="1455"/>
      <c r="CWS243" s="1455"/>
      <c r="CWT243" s="1455"/>
      <c r="CWU243" s="1455"/>
      <c r="CWV243" s="1455"/>
      <c r="CWW243" s="1455"/>
      <c r="CWX243" s="1455"/>
      <c r="CWY243" s="1455"/>
      <c r="CWZ243" s="1455"/>
      <c r="CXA243" s="1455"/>
      <c r="CXB243" s="1455"/>
      <c r="CXC243" s="1455"/>
      <c r="CXD243" s="1455"/>
      <c r="CXE243" s="1455"/>
      <c r="CXF243" s="1455"/>
      <c r="CXG243" s="1455"/>
      <c r="CXH243" s="1455"/>
      <c r="CXI243" s="1455"/>
      <c r="CXJ243" s="1455"/>
      <c r="CXK243" s="1455"/>
      <c r="CXL243" s="1455"/>
      <c r="CXM243" s="1455"/>
      <c r="CXN243" s="1455"/>
      <c r="CXO243" s="1455"/>
      <c r="CXP243" s="1455"/>
      <c r="CXQ243" s="1455"/>
      <c r="CXR243" s="1455"/>
      <c r="CXS243" s="1455"/>
      <c r="CXT243" s="1455"/>
      <c r="CXU243" s="1455"/>
      <c r="CXV243" s="1455"/>
      <c r="CXW243" s="1455"/>
      <c r="CXX243" s="1455"/>
      <c r="CXY243" s="1455"/>
      <c r="CXZ243" s="1455"/>
      <c r="CYA243" s="1455"/>
      <c r="CYB243" s="1455"/>
      <c r="CYC243" s="1455"/>
      <c r="CYD243" s="1455"/>
      <c r="CYE243" s="1455"/>
      <c r="CYF243" s="1455"/>
      <c r="CYG243" s="1455"/>
      <c r="CYH243" s="1455"/>
      <c r="CYI243" s="1455"/>
      <c r="CYJ243" s="1455"/>
      <c r="CYK243" s="1455"/>
      <c r="CYL243" s="1455"/>
      <c r="CYM243" s="1455"/>
      <c r="CYN243" s="1455"/>
      <c r="CYO243" s="1455"/>
      <c r="CYP243" s="1455"/>
      <c r="CYQ243" s="1455"/>
      <c r="CYR243" s="1455"/>
      <c r="CYS243" s="1455"/>
      <c r="CYT243" s="1455"/>
      <c r="CYU243" s="1455"/>
      <c r="CYV243" s="1455"/>
      <c r="CYW243" s="1455"/>
      <c r="CYX243" s="1455"/>
      <c r="CYY243" s="1455"/>
      <c r="CYZ243" s="1455"/>
      <c r="CZA243" s="1455"/>
      <c r="CZB243" s="1455"/>
      <c r="CZC243" s="1455"/>
      <c r="CZD243" s="1455"/>
      <c r="CZE243" s="1455"/>
      <c r="CZF243" s="1455"/>
      <c r="CZG243" s="1455"/>
      <c r="CZH243" s="1455"/>
      <c r="CZI243" s="1455"/>
      <c r="CZJ243" s="1455"/>
      <c r="CZK243" s="1455"/>
      <c r="CZL243" s="1455"/>
      <c r="CZM243" s="1455"/>
      <c r="CZN243" s="1455"/>
      <c r="CZO243" s="1455"/>
      <c r="CZP243" s="1455"/>
      <c r="CZQ243" s="1455"/>
      <c r="CZR243" s="1455"/>
      <c r="CZS243" s="1455"/>
      <c r="CZT243" s="1455"/>
      <c r="CZU243" s="1455"/>
      <c r="CZV243" s="1455"/>
      <c r="CZW243" s="1455"/>
      <c r="CZX243" s="1455"/>
      <c r="CZY243" s="1455"/>
      <c r="CZZ243" s="1455"/>
      <c r="DAA243" s="1455"/>
      <c r="DAB243" s="1455"/>
      <c r="DAC243" s="1455"/>
      <c r="DAD243" s="1455"/>
      <c r="DAE243" s="1455"/>
      <c r="DAF243" s="1455"/>
      <c r="DAG243" s="1455"/>
      <c r="DAH243" s="1455"/>
      <c r="DAI243" s="1455"/>
      <c r="DAJ243" s="1455"/>
      <c r="DAK243" s="1455"/>
      <c r="DAL243" s="1455"/>
      <c r="DAM243" s="1455"/>
      <c r="DAN243" s="1455"/>
      <c r="DAO243" s="1455"/>
      <c r="DAP243" s="1455"/>
      <c r="DAQ243" s="1455"/>
      <c r="DAR243" s="1455"/>
      <c r="DAS243" s="1455"/>
      <c r="DAT243" s="1455"/>
      <c r="DAU243" s="1455"/>
      <c r="DAV243" s="1455"/>
      <c r="DAW243" s="1455"/>
      <c r="DAX243" s="1455"/>
      <c r="DAY243" s="1455"/>
      <c r="DAZ243" s="1455"/>
      <c r="DBA243" s="1455"/>
      <c r="DBB243" s="1455"/>
      <c r="DBC243" s="1455"/>
      <c r="DBD243" s="1455"/>
      <c r="DBE243" s="1455"/>
      <c r="DBF243" s="1455"/>
      <c r="DBG243" s="1455"/>
      <c r="DBH243" s="1455"/>
      <c r="DBI243" s="1455"/>
      <c r="DBJ243" s="1455"/>
      <c r="DBK243" s="1455"/>
      <c r="DBL243" s="1455"/>
      <c r="DBM243" s="1455"/>
      <c r="DBN243" s="1455"/>
      <c r="DBO243" s="1455"/>
      <c r="DBP243" s="1455"/>
      <c r="DBQ243" s="1455"/>
      <c r="DBR243" s="1455"/>
      <c r="DBS243" s="1455"/>
      <c r="DBT243" s="1455"/>
      <c r="DBU243" s="1455"/>
      <c r="DBV243" s="1455"/>
      <c r="DBW243" s="1455"/>
      <c r="DBX243" s="1455"/>
      <c r="DBY243" s="1455"/>
      <c r="DBZ243" s="1455"/>
      <c r="DCA243" s="1455"/>
      <c r="DCB243" s="1455"/>
      <c r="DCC243" s="1455"/>
      <c r="DCD243" s="1455"/>
      <c r="DCE243" s="1455"/>
      <c r="DCF243" s="1455"/>
      <c r="DCG243" s="1455"/>
      <c r="DCH243" s="1455"/>
      <c r="DCI243" s="1455"/>
      <c r="DCJ243" s="1455"/>
      <c r="DCK243" s="1455"/>
      <c r="DCL243" s="1455"/>
      <c r="DCM243" s="1455"/>
      <c r="DCN243" s="1455"/>
      <c r="DCO243" s="1455"/>
      <c r="DCP243" s="1455"/>
      <c r="DCQ243" s="1455"/>
      <c r="DCR243" s="1455"/>
      <c r="DCS243" s="1455"/>
      <c r="DCT243" s="1455"/>
      <c r="DCU243" s="1455"/>
      <c r="DCV243" s="1455"/>
      <c r="DCW243" s="1455"/>
      <c r="DCX243" s="1455"/>
      <c r="DCY243" s="1455"/>
      <c r="DCZ243" s="1455"/>
      <c r="DDA243" s="1455"/>
      <c r="DDB243" s="1455"/>
      <c r="DDC243" s="1455"/>
      <c r="DDD243" s="1455"/>
      <c r="DDE243" s="1455"/>
      <c r="DDF243" s="1455"/>
      <c r="DDG243" s="1455"/>
      <c r="DDH243" s="1455"/>
      <c r="DDI243" s="1455"/>
      <c r="DDJ243" s="1455"/>
      <c r="DDK243" s="1455"/>
      <c r="DDL243" s="1455"/>
      <c r="DDM243" s="1455"/>
      <c r="DDN243" s="1455"/>
      <c r="DDO243" s="1455"/>
      <c r="DDP243" s="1455"/>
      <c r="DDQ243" s="1455"/>
      <c r="DDR243" s="1455"/>
      <c r="DDS243" s="1455"/>
      <c r="DDT243" s="1455"/>
      <c r="DDU243" s="1455"/>
      <c r="DDV243" s="1455"/>
      <c r="DDW243" s="1455"/>
      <c r="DDX243" s="1455"/>
      <c r="DDY243" s="1455"/>
      <c r="DDZ243" s="1455"/>
      <c r="DEA243" s="1455"/>
      <c r="DEB243" s="1455"/>
      <c r="DEC243" s="1455"/>
      <c r="DED243" s="1455"/>
      <c r="DEE243" s="1455"/>
      <c r="DEF243" s="1455"/>
      <c r="DEG243" s="1455"/>
      <c r="DEH243" s="1455"/>
      <c r="DEI243" s="1455"/>
      <c r="DEJ243" s="1455"/>
      <c r="DEK243" s="1455"/>
      <c r="DEL243" s="1455"/>
      <c r="DEM243" s="1455"/>
      <c r="DEN243" s="1455"/>
      <c r="DEO243" s="1455"/>
      <c r="DEP243" s="1455"/>
      <c r="DEQ243" s="1455"/>
      <c r="DER243" s="1455"/>
      <c r="DES243" s="1455"/>
      <c r="DET243" s="1455"/>
      <c r="DEU243" s="1455"/>
      <c r="DEV243" s="1455"/>
      <c r="DEW243" s="1455"/>
      <c r="DEX243" s="1455"/>
      <c r="DEY243" s="1455"/>
      <c r="DEZ243" s="1455"/>
      <c r="DFA243" s="1455"/>
      <c r="DFB243" s="1455"/>
      <c r="DFC243" s="1455"/>
      <c r="DFD243" s="1455"/>
      <c r="DFE243" s="1455"/>
      <c r="DFF243" s="1455"/>
      <c r="DFG243" s="1455"/>
      <c r="DFH243" s="1455"/>
      <c r="DFI243" s="1455"/>
      <c r="DFJ243" s="1455"/>
      <c r="DFK243" s="1455"/>
      <c r="DFL243" s="1455"/>
      <c r="DFM243" s="1455"/>
      <c r="DFN243" s="1455"/>
      <c r="DFO243" s="1455"/>
      <c r="DFP243" s="1455"/>
      <c r="DFQ243" s="1455"/>
      <c r="DFR243" s="1455"/>
      <c r="DFS243" s="1455"/>
      <c r="DFT243" s="1455"/>
      <c r="DFU243" s="1455"/>
      <c r="DFV243" s="1455"/>
      <c r="DFW243" s="1455"/>
      <c r="DFX243" s="1455"/>
      <c r="DFY243" s="1455"/>
      <c r="DFZ243" s="1455"/>
      <c r="DGA243" s="1455"/>
      <c r="DGB243" s="1455"/>
      <c r="DGC243" s="1455"/>
      <c r="DGD243" s="1455"/>
      <c r="DGE243" s="1455"/>
      <c r="DGF243" s="1455"/>
      <c r="DGG243" s="1455"/>
      <c r="DGH243" s="1455"/>
      <c r="DGI243" s="1455"/>
      <c r="DGJ243" s="1455"/>
      <c r="DGK243" s="1455"/>
      <c r="DGL243" s="1455"/>
      <c r="DGM243" s="1455"/>
      <c r="DGN243" s="1455"/>
      <c r="DGO243" s="1455"/>
      <c r="DGP243" s="1455"/>
      <c r="DGQ243" s="1455"/>
      <c r="DGR243" s="1455"/>
      <c r="DGS243" s="1455"/>
      <c r="DGT243" s="1455"/>
      <c r="DGU243" s="1455"/>
      <c r="DGV243" s="1455"/>
      <c r="DGW243" s="1455"/>
      <c r="DGX243" s="1455"/>
      <c r="DGY243" s="1455"/>
      <c r="DGZ243" s="1455"/>
      <c r="DHA243" s="1455"/>
      <c r="DHB243" s="1455"/>
      <c r="DHC243" s="1455"/>
      <c r="DHD243" s="1455"/>
      <c r="DHE243" s="1455"/>
      <c r="DHF243" s="1455"/>
      <c r="DHG243" s="1455"/>
      <c r="DHH243" s="1455"/>
      <c r="DHI243" s="1455"/>
      <c r="DHJ243" s="1455"/>
      <c r="DHK243" s="1455"/>
      <c r="DHL243" s="1455"/>
      <c r="DHM243" s="1455"/>
      <c r="DHN243" s="1455"/>
      <c r="DHO243" s="1455"/>
      <c r="DHP243" s="1455"/>
      <c r="DHQ243" s="1455"/>
      <c r="DHR243" s="1455"/>
      <c r="DHS243" s="1455"/>
      <c r="DHT243" s="1455"/>
      <c r="DHU243" s="1455"/>
      <c r="DHV243" s="1455"/>
      <c r="DHW243" s="1455"/>
      <c r="DHX243" s="1455"/>
      <c r="DHY243" s="1455"/>
      <c r="DHZ243" s="1455"/>
      <c r="DIA243" s="1455"/>
      <c r="DIB243" s="1455"/>
      <c r="DIC243" s="1455"/>
      <c r="DID243" s="1455"/>
      <c r="DIE243" s="1455"/>
      <c r="DIF243" s="1455"/>
      <c r="DIG243" s="1455"/>
      <c r="DIH243" s="1455"/>
      <c r="DII243" s="1455"/>
      <c r="DIJ243" s="1455"/>
      <c r="DIK243" s="1455"/>
      <c r="DIL243" s="1455"/>
      <c r="DIM243" s="1455"/>
      <c r="DIN243" s="1455"/>
      <c r="DIO243" s="1455"/>
      <c r="DIP243" s="1455"/>
      <c r="DIQ243" s="1455"/>
      <c r="DIR243" s="1455"/>
      <c r="DIS243" s="1455"/>
      <c r="DIT243" s="1455"/>
      <c r="DIU243" s="1455"/>
      <c r="DIV243" s="1455"/>
      <c r="DIW243" s="1455"/>
      <c r="DIX243" s="1455"/>
      <c r="DIY243" s="1455"/>
      <c r="DIZ243" s="1455"/>
      <c r="DJA243" s="1455"/>
      <c r="DJB243" s="1455"/>
      <c r="DJC243" s="1455"/>
      <c r="DJD243" s="1455"/>
      <c r="DJE243" s="1455"/>
      <c r="DJF243" s="1455"/>
      <c r="DJG243" s="1455"/>
      <c r="DJH243" s="1455"/>
      <c r="DJI243" s="1455"/>
      <c r="DJJ243" s="1455"/>
      <c r="DJK243" s="1455"/>
      <c r="DJL243" s="1455"/>
      <c r="DJM243" s="1455"/>
      <c r="DJN243" s="1455"/>
      <c r="DJO243" s="1455"/>
      <c r="DJP243" s="1455"/>
      <c r="DJQ243" s="1455"/>
      <c r="DJR243" s="1455"/>
      <c r="DJS243" s="1455"/>
      <c r="DJT243" s="1455"/>
      <c r="DJU243" s="1455"/>
      <c r="DJV243" s="1455"/>
      <c r="DJW243" s="1455"/>
      <c r="DJX243" s="1455"/>
      <c r="DJY243" s="1455"/>
      <c r="DJZ243" s="1455"/>
      <c r="DKA243" s="1455"/>
      <c r="DKB243" s="1455"/>
      <c r="DKC243" s="1455"/>
      <c r="DKD243" s="1455"/>
      <c r="DKE243" s="1455"/>
      <c r="DKF243" s="1455"/>
      <c r="DKG243" s="1455"/>
      <c r="DKH243" s="1455"/>
      <c r="DKI243" s="1455"/>
      <c r="DKJ243" s="1455"/>
      <c r="DKK243" s="1455"/>
      <c r="DKL243" s="1455"/>
      <c r="DKM243" s="1455"/>
      <c r="DKN243" s="1455"/>
      <c r="DKO243" s="1455"/>
      <c r="DKP243" s="1455"/>
      <c r="DKQ243" s="1455"/>
      <c r="DKR243" s="1455"/>
      <c r="DKS243" s="1455"/>
      <c r="DKT243" s="1455"/>
      <c r="DKU243" s="1455"/>
      <c r="DKV243" s="1455"/>
      <c r="DKW243" s="1455"/>
      <c r="DKX243" s="1455"/>
      <c r="DKY243" s="1455"/>
      <c r="DKZ243" s="1455"/>
      <c r="DLA243" s="1455"/>
      <c r="DLB243" s="1455"/>
      <c r="DLC243" s="1455"/>
      <c r="DLD243" s="1455"/>
      <c r="DLE243" s="1455"/>
      <c r="DLF243" s="1455"/>
      <c r="DLG243" s="1455"/>
      <c r="DLH243" s="1455"/>
      <c r="DLI243" s="1455"/>
      <c r="DLJ243" s="1455"/>
      <c r="DLK243" s="1455"/>
      <c r="DLL243" s="1455"/>
      <c r="DLM243" s="1455"/>
      <c r="DLN243" s="1455"/>
      <c r="DLO243" s="1455"/>
      <c r="DLP243" s="1455"/>
      <c r="DLQ243" s="1455"/>
      <c r="DLR243" s="1455"/>
      <c r="DLS243" s="1455"/>
      <c r="DLT243" s="1455"/>
      <c r="DLU243" s="1455"/>
      <c r="DLV243" s="1455"/>
      <c r="DLW243" s="1455"/>
      <c r="DLX243" s="1455"/>
      <c r="DLY243" s="1455"/>
      <c r="DLZ243" s="1455"/>
      <c r="DMA243" s="1455"/>
      <c r="DMB243" s="1455"/>
      <c r="DMC243" s="1455"/>
      <c r="DMD243" s="1455"/>
      <c r="DME243" s="1455"/>
      <c r="DMF243" s="1455"/>
      <c r="DMG243" s="1455"/>
      <c r="DMH243" s="1455"/>
      <c r="DMI243" s="1455"/>
      <c r="DMJ243" s="1455"/>
      <c r="DMK243" s="1455"/>
      <c r="DML243" s="1455"/>
      <c r="DMM243" s="1455"/>
      <c r="DMN243" s="1455"/>
      <c r="DMO243" s="1455"/>
      <c r="DMP243" s="1455"/>
      <c r="DMQ243" s="1455"/>
      <c r="DMR243" s="1455"/>
      <c r="DMS243" s="1455"/>
      <c r="DMT243" s="1455"/>
      <c r="DMU243" s="1455"/>
      <c r="DMV243" s="1455"/>
      <c r="DMW243" s="1455"/>
      <c r="DMX243" s="1455"/>
      <c r="DMY243" s="1455"/>
      <c r="DMZ243" s="1455"/>
      <c r="DNA243" s="1455"/>
      <c r="DNB243" s="1455"/>
      <c r="DNC243" s="1455"/>
      <c r="DND243" s="1455"/>
      <c r="DNE243" s="1455"/>
      <c r="DNF243" s="1455"/>
      <c r="DNG243" s="1455"/>
      <c r="DNH243" s="1455"/>
      <c r="DNI243" s="1455"/>
      <c r="DNJ243" s="1455"/>
      <c r="DNK243" s="1455"/>
      <c r="DNL243" s="1455"/>
      <c r="DNM243" s="1455"/>
      <c r="DNN243" s="1455"/>
      <c r="DNO243" s="1455"/>
      <c r="DNP243" s="1455"/>
      <c r="DNQ243" s="1455"/>
      <c r="DNR243" s="1455"/>
      <c r="DNS243" s="1455"/>
      <c r="DNT243" s="1455"/>
      <c r="DNU243" s="1455"/>
      <c r="DNV243" s="1455"/>
      <c r="DNW243" s="1455"/>
      <c r="DNX243" s="1455"/>
      <c r="DNY243" s="1455"/>
      <c r="DNZ243" s="1455"/>
      <c r="DOA243" s="1455"/>
      <c r="DOB243" s="1455"/>
      <c r="DOC243" s="1455"/>
      <c r="DOD243" s="1455"/>
      <c r="DOE243" s="1455"/>
      <c r="DOF243" s="1455"/>
      <c r="DOG243" s="1455"/>
      <c r="DOH243" s="1455"/>
      <c r="DOI243" s="1455"/>
      <c r="DOJ243" s="1455"/>
      <c r="DOK243" s="1455"/>
      <c r="DOL243" s="1455"/>
      <c r="DOM243" s="1455"/>
      <c r="DON243" s="1455"/>
      <c r="DOO243" s="1455"/>
      <c r="DOP243" s="1455"/>
      <c r="DOQ243" s="1455"/>
      <c r="DOR243" s="1455"/>
      <c r="DOS243" s="1455"/>
      <c r="DOT243" s="1455"/>
      <c r="DOU243" s="1455"/>
      <c r="DOV243" s="1455"/>
      <c r="DOW243" s="1455"/>
      <c r="DOX243" s="1455"/>
      <c r="DOY243" s="1455"/>
      <c r="DOZ243" s="1455"/>
      <c r="DPA243" s="1455"/>
      <c r="DPB243" s="1455"/>
      <c r="DPC243" s="1455"/>
      <c r="DPD243" s="1455"/>
      <c r="DPE243" s="1455"/>
      <c r="DPF243" s="1455"/>
      <c r="DPG243" s="1455"/>
      <c r="DPH243" s="1455"/>
      <c r="DPI243" s="1455"/>
      <c r="DPJ243" s="1455"/>
      <c r="DPK243" s="1455"/>
      <c r="DPL243" s="1455"/>
      <c r="DPM243" s="1455"/>
      <c r="DPN243" s="1455"/>
      <c r="DPO243" s="1455"/>
      <c r="DPP243" s="1455"/>
      <c r="DPQ243" s="1455"/>
      <c r="DPR243" s="1455"/>
      <c r="DPS243" s="1455"/>
      <c r="DPT243" s="1455"/>
      <c r="DPU243" s="1455"/>
      <c r="DPV243" s="1455"/>
      <c r="DPW243" s="1455"/>
      <c r="DPX243" s="1455"/>
      <c r="DPY243" s="1455"/>
      <c r="DPZ243" s="1455"/>
      <c r="DQA243" s="1455"/>
      <c r="DQB243" s="1455"/>
      <c r="DQC243" s="1455"/>
      <c r="DQD243" s="1455"/>
      <c r="DQE243" s="1455"/>
      <c r="DQF243" s="1455"/>
      <c r="DQG243" s="1455"/>
      <c r="DQH243" s="1455"/>
      <c r="DQI243" s="1455"/>
      <c r="DQJ243" s="1455"/>
      <c r="DQK243" s="1455"/>
      <c r="DQL243" s="1455"/>
      <c r="DQM243" s="1455"/>
      <c r="DQN243" s="1455"/>
      <c r="DQO243" s="1455"/>
      <c r="DQP243" s="1455"/>
      <c r="DQQ243" s="1455"/>
      <c r="DQR243" s="1455"/>
      <c r="DQS243" s="1455"/>
      <c r="DQT243" s="1455"/>
      <c r="DQU243" s="1455"/>
      <c r="DQV243" s="1455"/>
      <c r="DQW243" s="1455"/>
      <c r="DQX243" s="1455"/>
      <c r="DQY243" s="1455"/>
      <c r="DQZ243" s="1455"/>
      <c r="DRA243" s="1455"/>
      <c r="DRB243" s="1455"/>
      <c r="DRC243" s="1455"/>
      <c r="DRD243" s="1455"/>
      <c r="DRE243" s="1455"/>
      <c r="DRF243" s="1455"/>
      <c r="DRG243" s="1455"/>
      <c r="DRH243" s="1455"/>
      <c r="DRI243" s="1455"/>
      <c r="DRJ243" s="1455"/>
      <c r="DRK243" s="1455"/>
      <c r="DRL243" s="1455"/>
      <c r="DRM243" s="1455"/>
      <c r="DRN243" s="1455"/>
      <c r="DRO243" s="1455"/>
      <c r="DRP243" s="1455"/>
      <c r="DRQ243" s="1455"/>
      <c r="DRR243" s="1455"/>
      <c r="DRS243" s="1455"/>
      <c r="DRT243" s="1455"/>
      <c r="DRU243" s="1455"/>
      <c r="DRV243" s="1455"/>
      <c r="DRW243" s="1455"/>
      <c r="DRX243" s="1455"/>
      <c r="DRY243" s="1455"/>
      <c r="DRZ243" s="1455"/>
      <c r="DSA243" s="1455"/>
      <c r="DSB243" s="1455"/>
      <c r="DSC243" s="1455"/>
      <c r="DSD243" s="1455"/>
      <c r="DSE243" s="1455"/>
      <c r="DSF243" s="1455"/>
      <c r="DSG243" s="1455"/>
      <c r="DSH243" s="1455"/>
      <c r="DSI243" s="1455"/>
      <c r="DSJ243" s="1455"/>
      <c r="DSK243" s="1455"/>
      <c r="DSL243" s="1455"/>
      <c r="DSM243" s="1455"/>
      <c r="DSN243" s="1455"/>
      <c r="DSO243" s="1455"/>
      <c r="DSP243" s="1455"/>
      <c r="DSQ243" s="1455"/>
      <c r="DSR243" s="1455"/>
      <c r="DSS243" s="1455"/>
      <c r="DST243" s="1455"/>
      <c r="DSU243" s="1455"/>
      <c r="DSV243" s="1455"/>
      <c r="DSW243" s="1455"/>
      <c r="DSX243" s="1455"/>
      <c r="DSY243" s="1455"/>
      <c r="DSZ243" s="1455"/>
      <c r="DTA243" s="1455"/>
      <c r="DTB243" s="1455"/>
      <c r="DTC243" s="1455"/>
      <c r="DTD243" s="1455"/>
      <c r="DTE243" s="1455"/>
      <c r="DTF243" s="1455"/>
      <c r="DTG243" s="1455"/>
      <c r="DTH243" s="1455"/>
      <c r="DTI243" s="1455"/>
      <c r="DTJ243" s="1455"/>
      <c r="DTK243" s="1455"/>
      <c r="DTL243" s="1455"/>
      <c r="DTM243" s="1455"/>
      <c r="DTN243" s="1455"/>
      <c r="DTO243" s="1455"/>
      <c r="DTP243" s="1455"/>
      <c r="DTQ243" s="1455"/>
      <c r="DTR243" s="1455"/>
      <c r="DTS243" s="1455"/>
      <c r="DTT243" s="1455"/>
      <c r="DTU243" s="1455"/>
      <c r="DTV243" s="1455"/>
      <c r="DTW243" s="1455"/>
      <c r="DTX243" s="1455"/>
      <c r="DTY243" s="1455"/>
      <c r="DTZ243" s="1455"/>
      <c r="DUA243" s="1455"/>
      <c r="DUB243" s="1455"/>
      <c r="DUC243" s="1455"/>
      <c r="DUD243" s="1455"/>
      <c r="DUE243" s="1455"/>
      <c r="DUF243" s="1455"/>
      <c r="DUG243" s="1455"/>
      <c r="DUH243" s="1455"/>
      <c r="DUI243" s="1455"/>
      <c r="DUJ243" s="1455"/>
      <c r="DUK243" s="1455"/>
      <c r="DUL243" s="1455"/>
      <c r="DUM243" s="1455"/>
      <c r="DUN243" s="1455"/>
      <c r="DUO243" s="1455"/>
      <c r="DUP243" s="1455"/>
      <c r="DUQ243" s="1455"/>
      <c r="DUR243" s="1455"/>
      <c r="DUS243" s="1455"/>
      <c r="DUT243" s="1455"/>
      <c r="DUU243" s="1455"/>
      <c r="DUV243" s="1455"/>
      <c r="DUW243" s="1455"/>
      <c r="DUX243" s="1455"/>
      <c r="DUY243" s="1455"/>
      <c r="DUZ243" s="1455"/>
      <c r="DVA243" s="1455"/>
      <c r="DVB243" s="1455"/>
      <c r="DVC243" s="1455"/>
      <c r="DVD243" s="1455"/>
      <c r="DVE243" s="1455"/>
      <c r="DVF243" s="1455"/>
      <c r="DVG243" s="1455"/>
      <c r="DVH243" s="1455"/>
      <c r="DVI243" s="1455"/>
      <c r="DVJ243" s="1455"/>
      <c r="DVK243" s="1455"/>
      <c r="DVL243" s="1455"/>
      <c r="DVM243" s="1455"/>
      <c r="DVN243" s="1455"/>
      <c r="DVO243" s="1455"/>
      <c r="DVP243" s="1455"/>
      <c r="DVQ243" s="1455"/>
      <c r="DVR243" s="1455"/>
      <c r="DVS243" s="1455"/>
      <c r="DVT243" s="1455"/>
      <c r="DVU243" s="1455"/>
      <c r="DVV243" s="1455"/>
      <c r="DVW243" s="1455"/>
      <c r="DVX243" s="1455"/>
      <c r="DVY243" s="1455"/>
      <c r="DVZ243" s="1455"/>
      <c r="DWA243" s="1455"/>
      <c r="DWB243" s="1455"/>
      <c r="DWC243" s="1455"/>
      <c r="DWD243" s="1455"/>
      <c r="DWE243" s="1455"/>
      <c r="DWF243" s="1455"/>
      <c r="DWG243" s="1455"/>
      <c r="DWH243" s="1455"/>
      <c r="DWI243" s="1455"/>
      <c r="DWJ243" s="1455"/>
      <c r="DWK243" s="1455"/>
      <c r="DWL243" s="1455"/>
      <c r="DWM243" s="1455"/>
      <c r="DWN243" s="1455"/>
      <c r="DWO243" s="1455"/>
      <c r="DWP243" s="1455"/>
      <c r="DWQ243" s="1455"/>
      <c r="DWR243" s="1455"/>
      <c r="DWS243" s="1455"/>
      <c r="DWT243" s="1455"/>
      <c r="DWU243" s="1455"/>
      <c r="DWV243" s="1455"/>
      <c r="DWW243" s="1455"/>
      <c r="DWX243" s="1455"/>
      <c r="DWY243" s="1455"/>
      <c r="DWZ243" s="1455"/>
      <c r="DXA243" s="1455"/>
      <c r="DXB243" s="1455"/>
      <c r="DXC243" s="1455"/>
      <c r="DXD243" s="1455"/>
      <c r="DXE243" s="1455"/>
      <c r="DXF243" s="1455"/>
      <c r="DXG243" s="1455"/>
      <c r="DXH243" s="1455"/>
      <c r="DXI243" s="1455"/>
      <c r="DXJ243" s="1455"/>
      <c r="DXK243" s="1455"/>
      <c r="DXL243" s="1455"/>
      <c r="DXM243" s="1455"/>
      <c r="DXN243" s="1455"/>
      <c r="DXO243" s="1455"/>
      <c r="DXP243" s="1455"/>
      <c r="DXQ243" s="1455"/>
      <c r="DXR243" s="1455"/>
      <c r="DXS243" s="1455"/>
      <c r="DXT243" s="1455"/>
      <c r="DXU243" s="1455"/>
      <c r="DXV243" s="1455"/>
      <c r="DXW243" s="1455"/>
      <c r="DXX243" s="1455"/>
      <c r="DXY243" s="1455"/>
      <c r="DXZ243" s="1455"/>
      <c r="DYA243" s="1455"/>
      <c r="DYB243" s="1455"/>
      <c r="DYC243" s="1455"/>
      <c r="DYD243" s="1455"/>
      <c r="DYE243" s="1455"/>
      <c r="DYF243" s="1455"/>
      <c r="DYG243" s="1455"/>
      <c r="DYH243" s="1455"/>
      <c r="DYI243" s="1455"/>
      <c r="DYJ243" s="1455"/>
      <c r="DYK243" s="1455"/>
      <c r="DYL243" s="1455"/>
      <c r="DYM243" s="1455"/>
      <c r="DYN243" s="1455"/>
      <c r="DYO243" s="1455"/>
      <c r="DYP243" s="1455"/>
      <c r="DYQ243" s="1455"/>
      <c r="DYR243" s="1455"/>
      <c r="DYS243" s="1455"/>
      <c r="DYT243" s="1455"/>
      <c r="DYU243" s="1455"/>
      <c r="DYV243" s="1455"/>
      <c r="DYW243" s="1455"/>
      <c r="DYX243" s="1455"/>
      <c r="DYY243" s="1455"/>
      <c r="DYZ243" s="1455"/>
      <c r="DZA243" s="1455"/>
      <c r="DZB243" s="1455"/>
      <c r="DZC243" s="1455"/>
      <c r="DZD243" s="1455"/>
      <c r="DZE243" s="1455"/>
      <c r="DZF243" s="1455"/>
      <c r="DZG243" s="1455"/>
      <c r="DZH243" s="1455"/>
      <c r="DZI243" s="1455"/>
      <c r="DZJ243" s="1455"/>
      <c r="DZK243" s="1455"/>
      <c r="DZL243" s="1455"/>
      <c r="DZM243" s="1455"/>
      <c r="DZN243" s="1455"/>
      <c r="DZO243" s="1455"/>
      <c r="DZP243" s="1455"/>
      <c r="DZQ243" s="1455"/>
      <c r="DZR243" s="1455"/>
      <c r="DZS243" s="1455"/>
      <c r="DZT243" s="1455"/>
      <c r="DZU243" s="1455"/>
      <c r="DZV243" s="1455"/>
      <c r="DZW243" s="1455"/>
      <c r="DZX243" s="1455"/>
      <c r="DZY243" s="1455"/>
      <c r="DZZ243" s="1455"/>
      <c r="EAA243" s="1455"/>
      <c r="EAB243" s="1455"/>
      <c r="EAC243" s="1455"/>
      <c r="EAD243" s="1455"/>
      <c r="EAE243" s="1455"/>
      <c r="EAF243" s="1455"/>
      <c r="EAG243" s="1455"/>
      <c r="EAH243" s="1455"/>
      <c r="EAI243" s="1455"/>
      <c r="EAJ243" s="1455"/>
      <c r="EAK243" s="1455"/>
      <c r="EAL243" s="1455"/>
      <c r="EAM243" s="1455"/>
      <c r="EAN243" s="1455"/>
      <c r="EAO243" s="1455"/>
      <c r="EAP243" s="1455"/>
      <c r="EAQ243" s="1455"/>
      <c r="EAR243" s="1455"/>
      <c r="EAS243" s="1455"/>
      <c r="EAT243" s="1455"/>
      <c r="EAU243" s="1455"/>
      <c r="EAV243" s="1455"/>
      <c r="EAW243" s="1455"/>
      <c r="EAX243" s="1455"/>
      <c r="EAY243" s="1455"/>
      <c r="EAZ243" s="1455"/>
      <c r="EBA243" s="1455"/>
      <c r="EBB243" s="1455"/>
      <c r="EBC243" s="1455"/>
      <c r="EBD243" s="1455"/>
      <c r="EBE243" s="1455"/>
      <c r="EBF243" s="1455"/>
      <c r="EBG243" s="1455"/>
      <c r="EBH243" s="1455"/>
      <c r="EBI243" s="1455"/>
      <c r="EBJ243" s="1455"/>
      <c r="EBK243" s="1455"/>
      <c r="EBL243" s="1455"/>
      <c r="EBM243" s="1455"/>
      <c r="EBN243" s="1455"/>
      <c r="EBO243" s="1455"/>
      <c r="EBP243" s="1455"/>
      <c r="EBQ243" s="1455"/>
      <c r="EBR243" s="1455"/>
      <c r="EBS243" s="1455"/>
      <c r="EBT243" s="1455"/>
      <c r="EBU243" s="1455"/>
      <c r="EBV243" s="1455"/>
      <c r="EBW243" s="1455"/>
      <c r="EBX243" s="1455"/>
      <c r="EBY243" s="1455"/>
      <c r="EBZ243" s="1455"/>
      <c r="ECA243" s="1455"/>
      <c r="ECB243" s="1455"/>
      <c r="ECC243" s="1455"/>
      <c r="ECD243" s="1455"/>
      <c r="ECE243" s="1455"/>
      <c r="ECF243" s="1455"/>
      <c r="ECG243" s="1455"/>
      <c r="ECH243" s="1455"/>
      <c r="ECI243" s="1455"/>
      <c r="ECJ243" s="1455"/>
      <c r="ECK243" s="1455"/>
      <c r="ECL243" s="1455"/>
      <c r="ECM243" s="1455"/>
      <c r="ECN243" s="1455"/>
      <c r="ECO243" s="1455"/>
      <c r="ECP243" s="1455"/>
      <c r="ECQ243" s="1455"/>
      <c r="ECR243" s="1455"/>
      <c r="ECS243" s="1455"/>
      <c r="ECT243" s="1455"/>
      <c r="ECU243" s="1455"/>
      <c r="ECV243" s="1455"/>
      <c r="ECW243" s="1455"/>
      <c r="ECX243" s="1455"/>
      <c r="ECY243" s="1455"/>
      <c r="ECZ243" s="1455"/>
      <c r="EDA243" s="1455"/>
      <c r="EDB243" s="1455"/>
      <c r="EDC243" s="1455"/>
      <c r="EDD243" s="1455"/>
      <c r="EDE243" s="1455"/>
      <c r="EDF243" s="1455"/>
      <c r="EDG243" s="1455"/>
      <c r="EDH243" s="1455"/>
      <c r="EDI243" s="1455"/>
      <c r="EDJ243" s="1455"/>
      <c r="EDK243" s="1455"/>
      <c r="EDL243" s="1455"/>
      <c r="EDM243" s="1455"/>
      <c r="EDN243" s="1455"/>
      <c r="EDO243" s="1455"/>
      <c r="EDP243" s="1455"/>
      <c r="EDQ243" s="1455"/>
      <c r="EDR243" s="1455"/>
      <c r="EDS243" s="1455"/>
      <c r="EDT243" s="1455"/>
      <c r="EDU243" s="1455"/>
      <c r="EDV243" s="1455"/>
      <c r="EDW243" s="1455"/>
      <c r="EDX243" s="1455"/>
      <c r="EDY243" s="1455"/>
      <c r="EDZ243" s="1455"/>
      <c r="EEA243" s="1455"/>
      <c r="EEB243" s="1455"/>
      <c r="EEC243" s="1455"/>
      <c r="EED243" s="1455"/>
      <c r="EEE243" s="1455"/>
      <c r="EEF243" s="1455"/>
      <c r="EEG243" s="1455"/>
      <c r="EEH243" s="1455"/>
      <c r="EEI243" s="1455"/>
      <c r="EEJ243" s="1455"/>
      <c r="EEK243" s="1455"/>
      <c r="EEL243" s="1455"/>
      <c r="EEM243" s="1455"/>
      <c r="EEN243" s="1455"/>
      <c r="EEO243" s="1455"/>
      <c r="EEP243" s="1455"/>
      <c r="EEQ243" s="1455"/>
      <c r="EER243" s="1455"/>
      <c r="EES243" s="1455"/>
      <c r="EET243" s="1455"/>
      <c r="EEU243" s="1455"/>
      <c r="EEV243" s="1455"/>
      <c r="EEW243" s="1455"/>
      <c r="EEX243" s="1455"/>
      <c r="EEY243" s="1455"/>
      <c r="EEZ243" s="1455"/>
      <c r="EFA243" s="1455"/>
      <c r="EFB243" s="1455"/>
      <c r="EFC243" s="1455"/>
      <c r="EFD243" s="1455"/>
      <c r="EFE243" s="1455"/>
      <c r="EFF243" s="1455"/>
      <c r="EFG243" s="1455"/>
      <c r="EFH243" s="1455"/>
      <c r="EFI243" s="1455"/>
      <c r="EFJ243" s="1455"/>
      <c r="EFK243" s="1455"/>
      <c r="EFL243" s="1455"/>
      <c r="EFM243" s="1455"/>
      <c r="EFN243" s="1455"/>
      <c r="EFO243" s="1455"/>
      <c r="EFP243" s="1455"/>
      <c r="EFQ243" s="1455"/>
      <c r="EFR243" s="1455"/>
      <c r="EFS243" s="1455"/>
      <c r="EFT243" s="1455"/>
      <c r="EFU243" s="1455"/>
      <c r="EFV243" s="1455"/>
      <c r="EFW243" s="1455"/>
      <c r="EFX243" s="1455"/>
      <c r="EFY243" s="1455"/>
      <c r="EFZ243" s="1455"/>
      <c r="EGA243" s="1455"/>
      <c r="EGB243" s="1455"/>
      <c r="EGC243" s="1455"/>
      <c r="EGD243" s="1455"/>
      <c r="EGE243" s="1455"/>
      <c r="EGF243" s="1455"/>
      <c r="EGG243" s="1455"/>
      <c r="EGH243" s="1455"/>
      <c r="EGI243" s="1455"/>
      <c r="EGJ243" s="1455"/>
      <c r="EGK243" s="1455"/>
      <c r="EGL243" s="1455"/>
      <c r="EGM243" s="1455"/>
      <c r="EGN243" s="1455"/>
      <c r="EGO243" s="1455"/>
      <c r="EGP243" s="1455"/>
      <c r="EGQ243" s="1455"/>
      <c r="EGR243" s="1455"/>
      <c r="EGS243" s="1455"/>
      <c r="EGT243" s="1455"/>
      <c r="EGU243" s="1455"/>
      <c r="EGV243" s="1455"/>
      <c r="EGW243" s="1455"/>
      <c r="EGX243" s="1455"/>
      <c r="EGY243" s="1455"/>
      <c r="EGZ243" s="1455"/>
      <c r="EHA243" s="1455"/>
      <c r="EHB243" s="1455"/>
      <c r="EHC243" s="1455"/>
      <c r="EHD243" s="1455"/>
      <c r="EHE243" s="1455"/>
      <c r="EHF243" s="1455"/>
      <c r="EHG243" s="1455"/>
      <c r="EHH243" s="1455"/>
      <c r="EHI243" s="1455"/>
      <c r="EHJ243" s="1455"/>
      <c r="EHK243" s="1455"/>
      <c r="EHL243" s="1455"/>
      <c r="EHM243" s="1455"/>
      <c r="EHN243" s="1455"/>
      <c r="EHO243" s="1455"/>
      <c r="EHP243" s="1455"/>
      <c r="EHQ243" s="1455"/>
      <c r="EHR243" s="1455"/>
      <c r="EHS243" s="1455"/>
      <c r="EHT243" s="1455"/>
      <c r="EHU243" s="1455"/>
      <c r="EHV243" s="1455"/>
      <c r="EHW243" s="1455"/>
      <c r="EHX243" s="1455"/>
      <c r="EHY243" s="1455"/>
      <c r="EHZ243" s="1455"/>
      <c r="EIA243" s="1455"/>
      <c r="EIB243" s="1455"/>
      <c r="EIC243" s="1455"/>
      <c r="EID243" s="1455"/>
      <c r="EIE243" s="1455"/>
      <c r="EIF243" s="1455"/>
      <c r="EIG243" s="1455"/>
      <c r="EIH243" s="1455"/>
      <c r="EII243" s="1455"/>
      <c r="EIJ243" s="1455"/>
      <c r="EIK243" s="1455"/>
      <c r="EIL243" s="1455"/>
      <c r="EIM243" s="1455"/>
      <c r="EIN243" s="1455"/>
      <c r="EIO243" s="1455"/>
      <c r="EIP243" s="1455"/>
      <c r="EIQ243" s="1455"/>
      <c r="EIR243" s="1455"/>
      <c r="EIS243" s="1455"/>
      <c r="EIT243" s="1455"/>
      <c r="EIU243" s="1455"/>
      <c r="EIV243" s="1455"/>
      <c r="EIW243" s="1455"/>
      <c r="EIX243" s="1455"/>
      <c r="EIY243" s="1455"/>
      <c r="EIZ243" s="1455"/>
      <c r="EJA243" s="1455"/>
      <c r="EJB243" s="1455"/>
      <c r="EJC243" s="1455"/>
      <c r="EJD243" s="1455"/>
      <c r="EJE243" s="1455"/>
      <c r="EJF243" s="1455"/>
      <c r="EJG243" s="1455"/>
      <c r="EJH243" s="1455"/>
      <c r="EJI243" s="1455"/>
      <c r="EJJ243" s="1455"/>
      <c r="EJK243" s="1455"/>
      <c r="EJL243" s="1455"/>
      <c r="EJM243" s="1455"/>
      <c r="EJN243" s="1455"/>
      <c r="EJO243" s="1455"/>
      <c r="EJP243" s="1455"/>
      <c r="EJQ243" s="1455"/>
      <c r="EJR243" s="1455"/>
      <c r="EJS243" s="1455"/>
      <c r="EJT243" s="1455"/>
      <c r="EJU243" s="1455"/>
      <c r="EJV243" s="1455"/>
      <c r="EJW243" s="1455"/>
      <c r="EJX243" s="1455"/>
      <c r="EJY243" s="1455"/>
      <c r="EJZ243" s="1455"/>
      <c r="EKA243" s="1455"/>
      <c r="EKB243" s="1455"/>
      <c r="EKC243" s="1455"/>
      <c r="EKD243" s="1455"/>
      <c r="EKE243" s="1455"/>
      <c r="EKF243" s="1455"/>
      <c r="EKG243" s="1455"/>
      <c r="EKH243" s="1455"/>
      <c r="EKI243" s="1455"/>
      <c r="EKJ243" s="1455"/>
      <c r="EKK243" s="1455"/>
      <c r="EKL243" s="1455"/>
      <c r="EKM243" s="1455"/>
      <c r="EKN243" s="1455"/>
      <c r="EKO243" s="1455"/>
      <c r="EKP243" s="1455"/>
      <c r="EKQ243" s="1455"/>
      <c r="EKR243" s="1455"/>
      <c r="EKS243" s="1455"/>
      <c r="EKT243" s="1455"/>
      <c r="EKU243" s="1455"/>
      <c r="EKV243" s="1455"/>
      <c r="EKW243" s="1455"/>
      <c r="EKX243" s="1455"/>
      <c r="EKY243" s="1455"/>
      <c r="EKZ243" s="1455"/>
      <c r="ELA243" s="1455"/>
      <c r="ELB243" s="1455"/>
      <c r="ELC243" s="1455"/>
      <c r="ELD243" s="1455"/>
      <c r="ELE243" s="1455"/>
      <c r="ELF243" s="1455"/>
      <c r="ELG243" s="1455"/>
      <c r="ELH243" s="1455"/>
      <c r="ELI243" s="1455"/>
      <c r="ELJ243" s="1455"/>
      <c r="ELK243" s="1455"/>
      <c r="ELL243" s="1455"/>
      <c r="ELM243" s="1455"/>
      <c r="ELN243" s="1455"/>
      <c r="ELO243" s="1455"/>
      <c r="ELP243" s="1455"/>
      <c r="ELQ243" s="1455"/>
      <c r="ELR243" s="1455"/>
      <c r="ELS243" s="1455"/>
      <c r="ELT243" s="1455"/>
      <c r="ELU243" s="1455"/>
      <c r="ELV243" s="1455"/>
      <c r="ELW243" s="1455"/>
      <c r="ELX243" s="1455"/>
      <c r="ELY243" s="1455"/>
      <c r="ELZ243" s="1455"/>
      <c r="EMA243" s="1455"/>
      <c r="EMB243" s="1455"/>
      <c r="EMC243" s="1455"/>
      <c r="EMD243" s="1455"/>
      <c r="EME243" s="1455"/>
      <c r="EMF243" s="1455"/>
      <c r="EMG243" s="1455"/>
      <c r="EMH243" s="1455"/>
      <c r="EMI243" s="1455"/>
      <c r="EMJ243" s="1455"/>
      <c r="EMK243" s="1455"/>
      <c r="EML243" s="1455"/>
      <c r="EMM243" s="1455"/>
      <c r="EMN243" s="1455"/>
      <c r="EMO243" s="1455"/>
      <c r="EMP243" s="1455"/>
      <c r="EMQ243" s="1455"/>
      <c r="EMR243" s="1455"/>
      <c r="EMS243" s="1455"/>
      <c r="EMT243" s="1455"/>
      <c r="EMU243" s="1455"/>
      <c r="EMV243" s="1455"/>
      <c r="EMW243" s="1455"/>
      <c r="EMX243" s="1455"/>
      <c r="EMY243" s="1455"/>
      <c r="EMZ243" s="1455"/>
      <c r="ENA243" s="1455"/>
      <c r="ENB243" s="1455"/>
      <c r="ENC243" s="1455"/>
      <c r="END243" s="1455"/>
      <c r="ENE243" s="1455"/>
      <c r="ENF243" s="1455"/>
      <c r="ENG243" s="1455"/>
      <c r="ENH243" s="1455"/>
      <c r="ENI243" s="1455"/>
      <c r="ENJ243" s="1455"/>
      <c r="ENK243" s="1455"/>
      <c r="ENL243" s="1455"/>
      <c r="ENM243" s="1455"/>
      <c r="ENN243" s="1455"/>
      <c r="ENO243" s="1455"/>
      <c r="ENP243" s="1455"/>
      <c r="ENQ243" s="1455"/>
      <c r="ENR243" s="1455"/>
      <c r="ENS243" s="1455"/>
      <c r="ENT243" s="1455"/>
      <c r="ENU243" s="1455"/>
      <c r="ENV243" s="1455"/>
      <c r="ENW243" s="1455"/>
      <c r="ENX243" s="1455"/>
      <c r="ENY243" s="1455"/>
      <c r="ENZ243" s="1455"/>
      <c r="EOA243" s="1455"/>
      <c r="EOB243" s="1455"/>
      <c r="EOC243" s="1455"/>
      <c r="EOD243" s="1455"/>
      <c r="EOE243" s="1455"/>
      <c r="EOF243" s="1455"/>
      <c r="EOG243" s="1455"/>
      <c r="EOH243" s="1455"/>
      <c r="EOI243" s="1455"/>
      <c r="EOJ243" s="1455"/>
      <c r="EOK243" s="1455"/>
      <c r="EOL243" s="1455"/>
      <c r="EOM243" s="1455"/>
      <c r="EON243" s="1455"/>
      <c r="EOO243" s="1455"/>
      <c r="EOP243" s="1455"/>
      <c r="EOQ243" s="1455"/>
      <c r="EOR243" s="1455"/>
      <c r="EOS243" s="1455"/>
      <c r="EOT243" s="1455"/>
      <c r="EOU243" s="1455"/>
      <c r="EOV243" s="1455"/>
      <c r="EOW243" s="1455"/>
      <c r="EOX243" s="1455"/>
      <c r="EOY243" s="1455"/>
      <c r="EOZ243" s="1455"/>
      <c r="EPA243" s="1455"/>
      <c r="EPB243" s="1455"/>
      <c r="EPC243" s="1455"/>
      <c r="EPD243" s="1455"/>
      <c r="EPE243" s="1455"/>
      <c r="EPF243" s="1455"/>
      <c r="EPG243" s="1455"/>
      <c r="EPH243" s="1455"/>
      <c r="EPI243" s="1455"/>
      <c r="EPJ243" s="1455"/>
      <c r="EPK243" s="1455"/>
      <c r="EPL243" s="1455"/>
      <c r="EPM243" s="1455"/>
      <c r="EPN243" s="1455"/>
      <c r="EPO243" s="1455"/>
      <c r="EPP243" s="1455"/>
      <c r="EPQ243" s="1455"/>
      <c r="EPR243" s="1455"/>
      <c r="EPS243" s="1455"/>
      <c r="EPT243" s="1455"/>
      <c r="EPU243" s="1455"/>
      <c r="EPV243" s="1455"/>
      <c r="EPW243" s="1455"/>
      <c r="EPX243" s="1455"/>
      <c r="EPY243" s="1455"/>
      <c r="EPZ243" s="1455"/>
      <c r="EQA243" s="1455"/>
      <c r="EQB243" s="1455"/>
      <c r="EQC243" s="1455"/>
      <c r="EQD243" s="1455"/>
      <c r="EQE243" s="1455"/>
      <c r="EQF243" s="1455"/>
      <c r="EQG243" s="1455"/>
      <c r="EQH243" s="1455"/>
      <c r="EQI243" s="1455"/>
      <c r="EQJ243" s="1455"/>
      <c r="EQK243" s="1455"/>
      <c r="EQL243" s="1455"/>
      <c r="EQM243" s="1455"/>
      <c r="EQN243" s="1455"/>
      <c r="EQO243" s="1455"/>
      <c r="EQP243" s="1455"/>
      <c r="EQQ243" s="1455"/>
      <c r="EQR243" s="1455"/>
      <c r="EQS243" s="1455"/>
      <c r="EQT243" s="1455"/>
      <c r="EQU243" s="1455"/>
      <c r="EQV243" s="1455"/>
      <c r="EQW243" s="1455"/>
      <c r="EQX243" s="1455"/>
      <c r="EQY243" s="1455"/>
      <c r="EQZ243" s="1455"/>
      <c r="ERA243" s="1455"/>
      <c r="ERB243" s="1455"/>
      <c r="ERC243" s="1455"/>
      <c r="ERD243" s="1455"/>
      <c r="ERE243" s="1455"/>
      <c r="ERF243" s="1455"/>
      <c r="ERG243" s="1455"/>
      <c r="ERH243" s="1455"/>
      <c r="ERI243" s="1455"/>
      <c r="ERJ243" s="1455"/>
      <c r="ERK243" s="1455"/>
      <c r="ERL243" s="1455"/>
      <c r="ERM243" s="1455"/>
      <c r="ERN243" s="1455"/>
      <c r="ERO243" s="1455"/>
      <c r="ERP243" s="1455"/>
      <c r="ERQ243" s="1455"/>
      <c r="ERR243" s="1455"/>
      <c r="ERS243" s="1455"/>
      <c r="ERT243" s="1455"/>
      <c r="ERU243" s="1455"/>
      <c r="ERV243" s="1455"/>
      <c r="ERW243" s="1455"/>
      <c r="ERX243" s="1455"/>
      <c r="ERY243" s="1455"/>
      <c r="ERZ243" s="1455"/>
      <c r="ESA243" s="1455"/>
      <c r="ESB243" s="1455"/>
      <c r="ESC243" s="1455"/>
      <c r="ESD243" s="1455"/>
      <c r="ESE243" s="1455"/>
      <c r="ESF243" s="1455"/>
      <c r="ESG243" s="1455"/>
      <c r="ESH243" s="1455"/>
      <c r="ESI243" s="1455"/>
      <c r="ESJ243" s="1455"/>
      <c r="ESK243" s="1455"/>
      <c r="ESL243" s="1455"/>
      <c r="ESM243" s="1455"/>
      <c r="ESN243" s="1455"/>
      <c r="ESO243" s="1455"/>
      <c r="ESP243" s="1455"/>
      <c r="ESQ243" s="1455"/>
      <c r="ESR243" s="1455"/>
      <c r="ESS243" s="1455"/>
      <c r="EST243" s="1455"/>
      <c r="ESU243" s="1455"/>
      <c r="ESV243" s="1455"/>
      <c r="ESW243" s="1455"/>
      <c r="ESX243" s="1455"/>
      <c r="ESY243" s="1455"/>
      <c r="ESZ243" s="1455"/>
      <c r="ETA243" s="1455"/>
      <c r="ETB243" s="1455"/>
      <c r="ETC243" s="1455"/>
      <c r="ETD243" s="1455"/>
      <c r="ETE243" s="1455"/>
      <c r="ETF243" s="1455"/>
      <c r="ETG243" s="1455"/>
      <c r="ETH243" s="1455"/>
      <c r="ETI243" s="1455"/>
      <c r="ETJ243" s="1455"/>
      <c r="ETK243" s="1455"/>
      <c r="ETL243" s="1455"/>
      <c r="ETM243" s="1455"/>
      <c r="ETN243" s="1455"/>
      <c r="ETO243" s="1455"/>
      <c r="ETP243" s="1455"/>
      <c r="ETQ243" s="1455"/>
      <c r="ETR243" s="1455"/>
      <c r="ETS243" s="1455"/>
      <c r="ETT243" s="1455"/>
      <c r="ETU243" s="1455"/>
      <c r="ETV243" s="1455"/>
      <c r="ETW243" s="1455"/>
      <c r="ETX243" s="1455"/>
      <c r="ETY243" s="1455"/>
      <c r="ETZ243" s="1455"/>
      <c r="EUA243" s="1455"/>
      <c r="EUB243" s="1455"/>
      <c r="EUC243" s="1455"/>
      <c r="EUD243" s="1455"/>
      <c r="EUE243" s="1455"/>
      <c r="EUF243" s="1455"/>
      <c r="EUG243" s="1455"/>
      <c r="EUH243" s="1455"/>
      <c r="EUI243" s="1455"/>
      <c r="EUJ243" s="1455"/>
      <c r="EUK243" s="1455"/>
      <c r="EUL243" s="1455"/>
      <c r="EUM243" s="1455"/>
      <c r="EUN243" s="1455"/>
      <c r="EUO243" s="1455"/>
      <c r="EUP243" s="1455"/>
      <c r="EUQ243" s="1455"/>
      <c r="EUR243" s="1455"/>
      <c r="EUS243" s="1455"/>
      <c r="EUT243" s="1455"/>
      <c r="EUU243" s="1455"/>
      <c r="EUV243" s="1455"/>
      <c r="EUW243" s="1455"/>
      <c r="EUX243" s="1455"/>
      <c r="EUY243" s="1455"/>
      <c r="EUZ243" s="1455"/>
      <c r="EVA243" s="1455"/>
      <c r="EVB243" s="1455"/>
      <c r="EVC243" s="1455"/>
      <c r="EVD243" s="1455"/>
      <c r="EVE243" s="1455"/>
      <c r="EVF243" s="1455"/>
      <c r="EVG243" s="1455"/>
      <c r="EVH243" s="1455"/>
      <c r="EVI243" s="1455"/>
      <c r="EVJ243" s="1455"/>
      <c r="EVK243" s="1455"/>
      <c r="EVL243" s="1455"/>
      <c r="EVM243" s="1455"/>
      <c r="EVN243" s="1455"/>
      <c r="EVO243" s="1455"/>
      <c r="EVP243" s="1455"/>
      <c r="EVQ243" s="1455"/>
      <c r="EVR243" s="1455"/>
      <c r="EVS243" s="1455"/>
      <c r="EVT243" s="1455"/>
      <c r="EVU243" s="1455"/>
      <c r="EVV243" s="1455"/>
      <c r="EVW243" s="1455"/>
      <c r="EVX243" s="1455"/>
      <c r="EVY243" s="1455"/>
      <c r="EVZ243" s="1455"/>
      <c r="EWA243" s="1455"/>
      <c r="EWB243" s="1455"/>
      <c r="EWC243" s="1455"/>
      <c r="EWD243" s="1455"/>
      <c r="EWE243" s="1455"/>
      <c r="EWF243" s="1455"/>
      <c r="EWG243" s="1455"/>
      <c r="EWH243" s="1455"/>
      <c r="EWI243" s="1455"/>
      <c r="EWJ243" s="1455"/>
      <c r="EWK243" s="1455"/>
      <c r="EWL243" s="1455"/>
      <c r="EWM243" s="1455"/>
      <c r="EWN243" s="1455"/>
      <c r="EWO243" s="1455"/>
      <c r="EWP243" s="1455"/>
      <c r="EWQ243" s="1455"/>
      <c r="EWR243" s="1455"/>
      <c r="EWS243" s="1455"/>
      <c r="EWT243" s="1455"/>
      <c r="EWU243" s="1455"/>
      <c r="EWV243" s="1455"/>
      <c r="EWW243" s="1455"/>
      <c r="EWX243" s="1455"/>
      <c r="EWY243" s="1455"/>
      <c r="EWZ243" s="1455"/>
      <c r="EXA243" s="1455"/>
      <c r="EXB243" s="1455"/>
      <c r="EXC243" s="1455"/>
      <c r="EXD243" s="1455"/>
      <c r="EXE243" s="1455"/>
      <c r="EXF243" s="1455"/>
      <c r="EXG243" s="1455"/>
      <c r="EXH243" s="1455"/>
      <c r="EXI243" s="1455"/>
      <c r="EXJ243" s="1455"/>
      <c r="EXK243" s="1455"/>
      <c r="EXL243" s="1455"/>
      <c r="EXM243" s="1455"/>
      <c r="EXN243" s="1455"/>
      <c r="EXO243" s="1455"/>
      <c r="EXP243" s="1455"/>
      <c r="EXQ243" s="1455"/>
      <c r="EXR243" s="1455"/>
      <c r="EXS243" s="1455"/>
      <c r="EXT243" s="1455"/>
      <c r="EXU243" s="1455"/>
      <c r="EXV243" s="1455"/>
      <c r="EXW243" s="1455"/>
      <c r="EXX243" s="1455"/>
      <c r="EXY243" s="1455"/>
      <c r="EXZ243" s="1455"/>
      <c r="EYA243" s="1455"/>
      <c r="EYB243" s="1455"/>
      <c r="EYC243" s="1455"/>
      <c r="EYD243" s="1455"/>
      <c r="EYE243" s="1455"/>
      <c r="EYF243" s="1455"/>
      <c r="EYG243" s="1455"/>
      <c r="EYH243" s="1455"/>
      <c r="EYI243" s="1455"/>
      <c r="EYJ243" s="1455"/>
      <c r="EYK243" s="1455"/>
      <c r="EYL243" s="1455"/>
      <c r="EYM243" s="1455"/>
      <c r="EYN243" s="1455"/>
      <c r="EYO243" s="1455"/>
      <c r="EYP243" s="1455"/>
      <c r="EYQ243" s="1455"/>
      <c r="EYR243" s="1455"/>
      <c r="EYS243" s="1455"/>
      <c r="EYT243" s="1455"/>
      <c r="EYU243" s="1455"/>
      <c r="EYV243" s="1455"/>
      <c r="EYW243" s="1455"/>
      <c r="EYX243" s="1455"/>
      <c r="EYY243" s="1455"/>
      <c r="EYZ243" s="1455"/>
      <c r="EZA243" s="1455"/>
      <c r="EZB243" s="1455"/>
      <c r="EZC243" s="1455"/>
      <c r="EZD243" s="1455"/>
      <c r="EZE243" s="1455"/>
      <c r="EZF243" s="1455"/>
      <c r="EZG243" s="1455"/>
      <c r="EZH243" s="1455"/>
      <c r="EZI243" s="1455"/>
      <c r="EZJ243" s="1455"/>
      <c r="EZK243" s="1455"/>
      <c r="EZL243" s="1455"/>
      <c r="EZM243" s="1455"/>
      <c r="EZN243" s="1455"/>
      <c r="EZO243" s="1455"/>
      <c r="EZP243" s="1455"/>
      <c r="EZQ243" s="1455"/>
      <c r="EZR243" s="1455"/>
      <c r="EZS243" s="1455"/>
      <c r="EZT243" s="1455"/>
      <c r="EZU243" s="1455"/>
      <c r="EZV243" s="1455"/>
      <c r="EZW243" s="1455"/>
      <c r="EZX243" s="1455"/>
      <c r="EZY243" s="1455"/>
      <c r="EZZ243" s="1455"/>
      <c r="FAA243" s="1455"/>
      <c r="FAB243" s="1455"/>
      <c r="FAC243" s="1455"/>
      <c r="FAD243" s="1455"/>
      <c r="FAE243" s="1455"/>
      <c r="FAF243" s="1455"/>
      <c r="FAG243" s="1455"/>
      <c r="FAH243" s="1455"/>
      <c r="FAI243" s="1455"/>
      <c r="FAJ243" s="1455"/>
      <c r="FAK243" s="1455"/>
      <c r="FAL243" s="1455"/>
      <c r="FAM243" s="1455"/>
      <c r="FAN243" s="1455"/>
      <c r="FAO243" s="1455"/>
      <c r="FAP243" s="1455"/>
      <c r="FAQ243" s="1455"/>
      <c r="FAR243" s="1455"/>
      <c r="FAS243" s="1455"/>
      <c r="FAT243" s="1455"/>
      <c r="FAU243" s="1455"/>
      <c r="FAV243" s="1455"/>
      <c r="FAW243" s="1455"/>
      <c r="FAX243" s="1455"/>
      <c r="FAY243" s="1455"/>
      <c r="FAZ243" s="1455"/>
      <c r="FBA243" s="1455"/>
      <c r="FBB243" s="1455"/>
      <c r="FBC243" s="1455"/>
      <c r="FBD243" s="1455"/>
      <c r="FBE243" s="1455"/>
      <c r="FBF243" s="1455"/>
      <c r="FBG243" s="1455"/>
      <c r="FBH243" s="1455"/>
      <c r="FBI243" s="1455"/>
      <c r="FBJ243" s="1455"/>
      <c r="FBK243" s="1455"/>
      <c r="FBL243" s="1455"/>
      <c r="FBM243" s="1455"/>
      <c r="FBN243" s="1455"/>
      <c r="FBO243" s="1455"/>
      <c r="FBP243" s="1455"/>
      <c r="FBQ243" s="1455"/>
      <c r="FBR243" s="1455"/>
      <c r="FBS243" s="1455"/>
      <c r="FBT243" s="1455"/>
      <c r="FBU243" s="1455"/>
      <c r="FBV243" s="1455"/>
      <c r="FBW243" s="1455"/>
      <c r="FBX243" s="1455"/>
      <c r="FBY243" s="1455"/>
      <c r="FBZ243" s="1455"/>
      <c r="FCA243" s="1455"/>
      <c r="FCB243" s="1455"/>
      <c r="FCC243" s="1455"/>
      <c r="FCD243" s="1455"/>
      <c r="FCE243" s="1455"/>
      <c r="FCF243" s="1455"/>
      <c r="FCG243" s="1455"/>
      <c r="FCH243" s="1455"/>
      <c r="FCI243" s="1455"/>
      <c r="FCJ243" s="1455"/>
      <c r="FCK243" s="1455"/>
      <c r="FCL243" s="1455"/>
      <c r="FCM243" s="1455"/>
      <c r="FCN243" s="1455"/>
      <c r="FCO243" s="1455"/>
      <c r="FCP243" s="1455"/>
      <c r="FCQ243" s="1455"/>
      <c r="FCR243" s="1455"/>
      <c r="FCS243" s="1455"/>
      <c r="FCT243" s="1455"/>
      <c r="FCU243" s="1455"/>
      <c r="FCV243" s="1455"/>
      <c r="FCW243" s="1455"/>
      <c r="FCX243" s="1455"/>
      <c r="FCY243" s="1455"/>
      <c r="FCZ243" s="1455"/>
      <c r="FDA243" s="1455"/>
      <c r="FDB243" s="1455"/>
      <c r="FDC243" s="1455"/>
      <c r="FDD243" s="1455"/>
      <c r="FDE243" s="1455"/>
      <c r="FDF243" s="1455"/>
      <c r="FDG243" s="1455"/>
      <c r="FDH243" s="1455"/>
      <c r="FDI243" s="1455"/>
      <c r="FDJ243" s="1455"/>
      <c r="FDK243" s="1455"/>
      <c r="FDL243" s="1455"/>
      <c r="FDM243" s="1455"/>
      <c r="FDN243" s="1455"/>
      <c r="FDO243" s="1455"/>
      <c r="FDP243" s="1455"/>
      <c r="FDQ243" s="1455"/>
      <c r="FDR243" s="1455"/>
      <c r="FDS243" s="1455"/>
      <c r="FDT243" s="1455"/>
      <c r="FDU243" s="1455"/>
      <c r="FDV243" s="1455"/>
      <c r="FDW243" s="1455"/>
      <c r="FDX243" s="1455"/>
      <c r="FDY243" s="1455"/>
      <c r="FDZ243" s="1455"/>
      <c r="FEA243" s="1455"/>
      <c r="FEB243" s="1455"/>
      <c r="FEC243" s="1455"/>
      <c r="FED243" s="1455"/>
      <c r="FEE243" s="1455"/>
      <c r="FEF243" s="1455"/>
      <c r="FEG243" s="1455"/>
      <c r="FEH243" s="1455"/>
      <c r="FEI243" s="1455"/>
      <c r="FEJ243" s="1455"/>
      <c r="FEK243" s="1455"/>
      <c r="FEL243" s="1455"/>
      <c r="FEM243" s="1455"/>
      <c r="FEN243" s="1455"/>
      <c r="FEO243" s="1455"/>
      <c r="FEP243" s="1455"/>
      <c r="FEQ243" s="1455"/>
      <c r="FER243" s="1455"/>
      <c r="FES243" s="1455"/>
      <c r="FET243" s="1455"/>
      <c r="FEU243" s="1455"/>
      <c r="FEV243" s="1455"/>
      <c r="FEW243" s="1455"/>
      <c r="FEX243" s="1455"/>
      <c r="FEY243" s="1455"/>
      <c r="FEZ243" s="1455"/>
      <c r="FFA243" s="1455"/>
      <c r="FFB243" s="1455"/>
      <c r="FFC243" s="1455"/>
      <c r="FFD243" s="1455"/>
      <c r="FFE243" s="1455"/>
      <c r="FFF243" s="1455"/>
      <c r="FFG243" s="1455"/>
      <c r="FFH243" s="1455"/>
      <c r="FFI243" s="1455"/>
      <c r="FFJ243" s="1455"/>
      <c r="FFK243" s="1455"/>
      <c r="FFL243" s="1455"/>
      <c r="FFM243" s="1455"/>
      <c r="FFN243" s="1455"/>
      <c r="FFO243" s="1455"/>
      <c r="FFP243" s="1455"/>
      <c r="FFQ243" s="1455"/>
      <c r="FFR243" s="1455"/>
      <c r="FFS243" s="1455"/>
      <c r="FFT243" s="1455"/>
      <c r="FFU243" s="1455"/>
      <c r="FFV243" s="1455"/>
      <c r="FFW243" s="1455"/>
      <c r="FFX243" s="1455"/>
      <c r="FFY243" s="1455"/>
      <c r="FFZ243" s="1455"/>
      <c r="FGA243" s="1455"/>
      <c r="FGB243" s="1455"/>
      <c r="FGC243" s="1455"/>
      <c r="FGD243" s="1455"/>
      <c r="FGE243" s="1455"/>
      <c r="FGF243" s="1455"/>
      <c r="FGG243" s="1455"/>
      <c r="FGH243" s="1455"/>
      <c r="FGI243" s="1455"/>
      <c r="FGJ243" s="1455"/>
      <c r="FGK243" s="1455"/>
      <c r="FGL243" s="1455"/>
      <c r="FGM243" s="1455"/>
      <c r="FGN243" s="1455"/>
      <c r="FGO243" s="1455"/>
      <c r="FGP243" s="1455"/>
      <c r="FGQ243" s="1455"/>
      <c r="FGR243" s="1455"/>
      <c r="FGS243" s="1455"/>
      <c r="FGT243" s="1455"/>
      <c r="FGU243" s="1455"/>
      <c r="FGV243" s="1455"/>
      <c r="FGW243" s="1455"/>
      <c r="FGX243" s="1455"/>
      <c r="FGY243" s="1455"/>
      <c r="FGZ243" s="1455"/>
      <c r="FHA243" s="1455"/>
      <c r="FHB243" s="1455"/>
      <c r="FHC243" s="1455"/>
      <c r="FHD243" s="1455"/>
      <c r="FHE243" s="1455"/>
      <c r="FHF243" s="1455"/>
      <c r="FHG243" s="1455"/>
      <c r="FHH243" s="1455"/>
      <c r="FHI243" s="1455"/>
      <c r="FHJ243" s="1455"/>
      <c r="FHK243" s="1455"/>
      <c r="FHL243" s="1455"/>
      <c r="FHM243" s="1455"/>
      <c r="FHN243" s="1455"/>
      <c r="FHO243" s="1455"/>
      <c r="FHP243" s="1455"/>
      <c r="FHQ243" s="1455"/>
      <c r="FHR243" s="1455"/>
      <c r="FHS243" s="1455"/>
      <c r="FHT243" s="1455"/>
      <c r="FHU243" s="1455"/>
      <c r="FHV243" s="1455"/>
      <c r="FHW243" s="1455"/>
      <c r="FHX243" s="1455"/>
      <c r="FHY243" s="1455"/>
      <c r="FHZ243" s="1455"/>
      <c r="FIA243" s="1455"/>
      <c r="FIB243" s="1455"/>
      <c r="FIC243" s="1455"/>
      <c r="FID243" s="1455"/>
      <c r="FIE243" s="1455"/>
      <c r="FIF243" s="1455"/>
      <c r="FIG243" s="1455"/>
      <c r="FIH243" s="1455"/>
      <c r="FII243" s="1455"/>
      <c r="FIJ243" s="1455"/>
      <c r="FIK243" s="1455"/>
      <c r="FIL243" s="1455"/>
      <c r="FIM243" s="1455"/>
      <c r="FIN243" s="1455"/>
      <c r="FIO243" s="1455"/>
      <c r="FIP243" s="1455"/>
      <c r="FIQ243" s="1455"/>
      <c r="FIR243" s="1455"/>
      <c r="FIS243" s="1455"/>
      <c r="FIT243" s="1455"/>
      <c r="FIU243" s="1455"/>
      <c r="FIV243" s="1455"/>
      <c r="FIW243" s="1455"/>
      <c r="FIX243" s="1455"/>
      <c r="FIY243" s="1455"/>
      <c r="FIZ243" s="1455"/>
      <c r="FJA243" s="1455"/>
      <c r="FJB243" s="1455"/>
      <c r="FJC243" s="1455"/>
      <c r="FJD243" s="1455"/>
      <c r="FJE243" s="1455"/>
      <c r="FJF243" s="1455"/>
      <c r="FJG243" s="1455"/>
      <c r="FJH243" s="1455"/>
      <c r="FJI243" s="1455"/>
      <c r="FJJ243" s="1455"/>
      <c r="FJK243" s="1455"/>
      <c r="FJL243" s="1455"/>
      <c r="FJM243" s="1455"/>
      <c r="FJN243" s="1455"/>
      <c r="FJO243" s="1455"/>
      <c r="FJP243" s="1455"/>
      <c r="FJQ243" s="1455"/>
      <c r="FJR243" s="1455"/>
      <c r="FJS243" s="1455"/>
      <c r="FJT243" s="1455"/>
      <c r="FJU243" s="1455"/>
      <c r="FJV243" s="1455"/>
      <c r="FJW243" s="1455"/>
      <c r="FJX243" s="1455"/>
      <c r="FJY243" s="1455"/>
      <c r="FJZ243" s="1455"/>
      <c r="FKA243" s="1455"/>
      <c r="FKB243" s="1455"/>
      <c r="FKC243" s="1455"/>
      <c r="FKD243" s="1455"/>
      <c r="FKE243" s="1455"/>
      <c r="FKF243" s="1455"/>
      <c r="FKG243" s="1455"/>
      <c r="FKH243" s="1455"/>
      <c r="FKI243" s="1455"/>
      <c r="FKJ243" s="1455"/>
      <c r="FKK243" s="1455"/>
      <c r="FKL243" s="1455"/>
      <c r="FKM243" s="1455"/>
      <c r="FKN243" s="1455"/>
      <c r="FKO243" s="1455"/>
      <c r="FKP243" s="1455"/>
      <c r="FKQ243" s="1455"/>
      <c r="FKR243" s="1455"/>
      <c r="FKS243" s="1455"/>
      <c r="FKT243" s="1455"/>
      <c r="FKU243" s="1455"/>
      <c r="FKV243" s="1455"/>
      <c r="FKW243" s="1455"/>
      <c r="FKX243" s="1455"/>
      <c r="FKY243" s="1455"/>
      <c r="FKZ243" s="1455"/>
      <c r="FLA243" s="1455"/>
      <c r="FLB243" s="1455"/>
      <c r="FLC243" s="1455"/>
      <c r="FLD243" s="1455"/>
      <c r="FLE243" s="1455"/>
      <c r="FLF243" s="1455"/>
      <c r="FLG243" s="1455"/>
      <c r="FLH243" s="1455"/>
      <c r="FLI243" s="1455"/>
      <c r="FLJ243" s="1455"/>
      <c r="FLK243" s="1455"/>
      <c r="FLL243" s="1455"/>
      <c r="FLM243" s="1455"/>
      <c r="FLN243" s="1455"/>
      <c r="FLO243" s="1455"/>
      <c r="FLP243" s="1455"/>
      <c r="FLQ243" s="1455"/>
      <c r="FLR243" s="1455"/>
      <c r="FLS243" s="1455"/>
      <c r="FLT243" s="1455"/>
      <c r="FLU243" s="1455"/>
      <c r="FLV243" s="1455"/>
      <c r="FLW243" s="1455"/>
      <c r="FLX243" s="1455"/>
      <c r="FLY243" s="1455"/>
      <c r="FLZ243" s="1455"/>
      <c r="FMA243" s="1455"/>
      <c r="FMB243" s="1455"/>
      <c r="FMC243" s="1455"/>
      <c r="FMD243" s="1455"/>
      <c r="FME243" s="1455"/>
      <c r="FMF243" s="1455"/>
      <c r="FMG243" s="1455"/>
      <c r="FMH243" s="1455"/>
      <c r="FMI243" s="1455"/>
      <c r="FMJ243" s="1455"/>
      <c r="FMK243" s="1455"/>
      <c r="FML243" s="1455"/>
      <c r="FMM243" s="1455"/>
      <c r="FMN243" s="1455"/>
      <c r="FMO243" s="1455"/>
      <c r="FMP243" s="1455"/>
      <c r="FMQ243" s="1455"/>
      <c r="FMR243" s="1455"/>
      <c r="FMS243" s="1455"/>
      <c r="FMT243" s="1455"/>
      <c r="FMU243" s="1455"/>
      <c r="FMV243" s="1455"/>
      <c r="FMW243" s="1455"/>
      <c r="FMX243" s="1455"/>
      <c r="FMY243" s="1455"/>
      <c r="FMZ243" s="1455"/>
      <c r="FNA243" s="1455"/>
      <c r="FNB243" s="1455"/>
      <c r="FNC243" s="1455"/>
      <c r="FND243" s="1455"/>
      <c r="FNE243" s="1455"/>
      <c r="FNF243" s="1455"/>
      <c r="FNG243" s="1455"/>
      <c r="FNH243" s="1455"/>
      <c r="FNI243" s="1455"/>
      <c r="FNJ243" s="1455"/>
      <c r="FNK243" s="1455"/>
      <c r="FNL243" s="1455"/>
      <c r="FNM243" s="1455"/>
      <c r="FNN243" s="1455"/>
      <c r="FNO243" s="1455"/>
      <c r="FNP243" s="1455"/>
      <c r="FNQ243" s="1455"/>
      <c r="FNR243" s="1455"/>
      <c r="FNS243" s="1455"/>
      <c r="FNT243" s="1455"/>
      <c r="FNU243" s="1455"/>
      <c r="FNV243" s="1455"/>
      <c r="FNW243" s="1455"/>
      <c r="FNX243" s="1455"/>
      <c r="FNY243" s="1455"/>
      <c r="FNZ243" s="1455"/>
      <c r="FOA243" s="1455"/>
      <c r="FOB243" s="1455"/>
      <c r="FOC243" s="1455"/>
      <c r="FOD243" s="1455"/>
      <c r="FOE243" s="1455"/>
      <c r="FOF243" s="1455"/>
      <c r="FOG243" s="1455"/>
      <c r="FOH243" s="1455"/>
      <c r="FOI243" s="1455"/>
      <c r="FOJ243" s="1455"/>
      <c r="FOK243" s="1455"/>
      <c r="FOL243" s="1455"/>
      <c r="FOM243" s="1455"/>
      <c r="FON243" s="1455"/>
      <c r="FOO243" s="1455"/>
      <c r="FOP243" s="1455"/>
      <c r="FOQ243" s="1455"/>
      <c r="FOR243" s="1455"/>
      <c r="FOS243" s="1455"/>
      <c r="FOT243" s="1455"/>
      <c r="FOU243" s="1455"/>
      <c r="FOV243" s="1455"/>
      <c r="FOW243" s="1455"/>
      <c r="FOX243" s="1455"/>
      <c r="FOY243" s="1455"/>
      <c r="FOZ243" s="1455"/>
      <c r="FPA243" s="1455"/>
      <c r="FPB243" s="1455"/>
      <c r="FPC243" s="1455"/>
      <c r="FPD243" s="1455"/>
      <c r="FPE243" s="1455"/>
      <c r="FPF243" s="1455"/>
      <c r="FPG243" s="1455"/>
      <c r="FPH243" s="1455"/>
      <c r="FPI243" s="1455"/>
      <c r="FPJ243" s="1455"/>
      <c r="FPK243" s="1455"/>
      <c r="FPL243" s="1455"/>
      <c r="FPM243" s="1455"/>
      <c r="FPN243" s="1455"/>
      <c r="FPO243" s="1455"/>
      <c r="FPP243" s="1455"/>
      <c r="FPQ243" s="1455"/>
      <c r="FPR243" s="1455"/>
      <c r="FPS243" s="1455"/>
      <c r="FPT243" s="1455"/>
      <c r="FPU243" s="1455"/>
      <c r="FPV243" s="1455"/>
      <c r="FPW243" s="1455"/>
      <c r="FPX243" s="1455"/>
      <c r="FPY243" s="1455"/>
      <c r="FPZ243" s="1455"/>
      <c r="FQA243" s="1455"/>
      <c r="FQB243" s="1455"/>
      <c r="FQC243" s="1455"/>
      <c r="FQD243" s="1455"/>
      <c r="FQE243" s="1455"/>
      <c r="FQF243" s="1455"/>
      <c r="FQG243" s="1455"/>
      <c r="FQH243" s="1455"/>
      <c r="FQI243" s="1455"/>
      <c r="FQJ243" s="1455"/>
      <c r="FQK243" s="1455"/>
      <c r="FQL243" s="1455"/>
      <c r="FQM243" s="1455"/>
      <c r="FQN243" s="1455"/>
      <c r="FQO243" s="1455"/>
      <c r="FQP243" s="1455"/>
      <c r="FQQ243" s="1455"/>
      <c r="FQR243" s="1455"/>
      <c r="FQS243" s="1455"/>
      <c r="FQT243" s="1455"/>
      <c r="FQU243" s="1455"/>
      <c r="FQV243" s="1455"/>
      <c r="FQW243" s="1455"/>
      <c r="FQX243" s="1455"/>
      <c r="FQY243" s="1455"/>
      <c r="FQZ243" s="1455"/>
      <c r="FRA243" s="1455"/>
      <c r="FRB243" s="1455"/>
      <c r="FRC243" s="1455"/>
      <c r="FRD243" s="1455"/>
      <c r="FRE243" s="1455"/>
      <c r="FRF243" s="1455"/>
      <c r="FRG243" s="1455"/>
      <c r="FRH243" s="1455"/>
      <c r="FRI243" s="1455"/>
      <c r="FRJ243" s="1455"/>
      <c r="FRK243" s="1455"/>
      <c r="FRL243" s="1455"/>
      <c r="FRM243" s="1455"/>
      <c r="FRN243" s="1455"/>
      <c r="FRO243" s="1455"/>
      <c r="FRP243" s="1455"/>
      <c r="FRQ243" s="1455"/>
      <c r="FRR243" s="1455"/>
      <c r="FRS243" s="1455"/>
      <c r="FRT243" s="1455"/>
      <c r="FRU243" s="1455"/>
      <c r="FRV243" s="1455"/>
      <c r="FRW243" s="1455"/>
      <c r="FRX243" s="1455"/>
      <c r="FRY243" s="1455"/>
      <c r="FRZ243" s="1455"/>
      <c r="FSA243" s="1455"/>
      <c r="FSB243" s="1455"/>
      <c r="FSC243" s="1455"/>
      <c r="FSD243" s="1455"/>
      <c r="FSE243" s="1455"/>
      <c r="FSF243" s="1455"/>
      <c r="FSG243" s="1455"/>
      <c r="FSH243" s="1455"/>
      <c r="FSI243" s="1455"/>
      <c r="FSJ243" s="1455"/>
      <c r="FSK243" s="1455"/>
      <c r="FSL243" s="1455"/>
      <c r="FSM243" s="1455"/>
      <c r="FSN243" s="1455"/>
      <c r="FSO243" s="1455"/>
      <c r="FSP243" s="1455"/>
      <c r="FSQ243" s="1455"/>
      <c r="FSR243" s="1455"/>
      <c r="FSS243" s="1455"/>
      <c r="FST243" s="1455"/>
      <c r="FSU243" s="1455"/>
      <c r="FSV243" s="1455"/>
      <c r="FSW243" s="1455"/>
      <c r="FSX243" s="1455"/>
      <c r="FSY243" s="1455"/>
      <c r="FSZ243" s="1455"/>
      <c r="FTA243" s="1455"/>
      <c r="FTB243" s="1455"/>
      <c r="FTC243" s="1455"/>
      <c r="FTD243" s="1455"/>
      <c r="FTE243" s="1455"/>
      <c r="FTF243" s="1455"/>
      <c r="FTG243" s="1455"/>
      <c r="FTH243" s="1455"/>
      <c r="FTI243" s="1455"/>
      <c r="FTJ243" s="1455"/>
      <c r="FTK243" s="1455"/>
      <c r="FTL243" s="1455"/>
      <c r="FTM243" s="1455"/>
      <c r="FTN243" s="1455"/>
      <c r="FTO243" s="1455"/>
      <c r="FTP243" s="1455"/>
      <c r="FTQ243" s="1455"/>
      <c r="FTR243" s="1455"/>
      <c r="FTS243" s="1455"/>
      <c r="FTT243" s="1455"/>
      <c r="FTU243" s="1455"/>
      <c r="FTV243" s="1455"/>
      <c r="FTW243" s="1455"/>
      <c r="FTX243" s="1455"/>
      <c r="FTY243" s="1455"/>
      <c r="FTZ243" s="1455"/>
      <c r="FUA243" s="1455"/>
      <c r="FUB243" s="1455"/>
      <c r="FUC243" s="1455"/>
      <c r="FUD243" s="1455"/>
      <c r="FUE243" s="1455"/>
      <c r="FUF243" s="1455"/>
      <c r="FUG243" s="1455"/>
      <c r="FUH243" s="1455"/>
      <c r="FUI243" s="1455"/>
      <c r="FUJ243" s="1455"/>
      <c r="FUK243" s="1455"/>
      <c r="FUL243" s="1455"/>
      <c r="FUM243" s="1455"/>
      <c r="FUN243" s="1455"/>
      <c r="FUO243" s="1455"/>
      <c r="FUP243" s="1455"/>
      <c r="FUQ243" s="1455"/>
      <c r="FUR243" s="1455"/>
      <c r="FUS243" s="1455"/>
      <c r="FUT243" s="1455"/>
      <c r="FUU243" s="1455"/>
      <c r="FUV243" s="1455"/>
      <c r="FUW243" s="1455"/>
      <c r="FUX243" s="1455"/>
      <c r="FUY243" s="1455"/>
      <c r="FUZ243" s="1455"/>
      <c r="FVA243" s="1455"/>
      <c r="FVB243" s="1455"/>
      <c r="FVC243" s="1455"/>
      <c r="FVD243" s="1455"/>
      <c r="FVE243" s="1455"/>
      <c r="FVF243" s="1455"/>
      <c r="FVG243" s="1455"/>
      <c r="FVH243" s="1455"/>
      <c r="FVI243" s="1455"/>
      <c r="FVJ243" s="1455"/>
      <c r="FVK243" s="1455"/>
      <c r="FVL243" s="1455"/>
      <c r="FVM243" s="1455"/>
      <c r="FVN243" s="1455"/>
      <c r="FVO243" s="1455"/>
      <c r="FVP243" s="1455"/>
      <c r="FVQ243" s="1455"/>
      <c r="FVR243" s="1455"/>
      <c r="FVS243" s="1455"/>
      <c r="FVT243" s="1455"/>
      <c r="FVU243" s="1455"/>
      <c r="FVV243" s="1455"/>
      <c r="FVW243" s="1455"/>
      <c r="FVX243" s="1455"/>
      <c r="FVY243" s="1455"/>
      <c r="FVZ243" s="1455"/>
      <c r="FWA243" s="1455"/>
      <c r="FWB243" s="1455"/>
      <c r="FWC243" s="1455"/>
      <c r="FWD243" s="1455"/>
      <c r="FWE243" s="1455"/>
      <c r="FWF243" s="1455"/>
      <c r="FWG243" s="1455"/>
      <c r="FWH243" s="1455"/>
      <c r="FWI243" s="1455"/>
      <c r="FWJ243" s="1455"/>
      <c r="FWK243" s="1455"/>
      <c r="FWL243" s="1455"/>
      <c r="FWM243" s="1455"/>
      <c r="FWN243" s="1455"/>
      <c r="FWO243" s="1455"/>
      <c r="FWP243" s="1455"/>
      <c r="FWQ243" s="1455"/>
      <c r="FWR243" s="1455"/>
      <c r="FWS243" s="1455"/>
      <c r="FWT243" s="1455"/>
      <c r="FWU243" s="1455"/>
      <c r="FWV243" s="1455"/>
      <c r="FWW243" s="1455"/>
      <c r="FWX243" s="1455"/>
      <c r="FWY243" s="1455"/>
      <c r="FWZ243" s="1455"/>
      <c r="FXA243" s="1455"/>
      <c r="FXB243" s="1455"/>
      <c r="FXC243" s="1455"/>
      <c r="FXD243" s="1455"/>
      <c r="FXE243" s="1455"/>
      <c r="FXF243" s="1455"/>
      <c r="FXG243" s="1455"/>
      <c r="FXH243" s="1455"/>
      <c r="FXI243" s="1455"/>
      <c r="FXJ243" s="1455"/>
      <c r="FXK243" s="1455"/>
      <c r="FXL243" s="1455"/>
      <c r="FXM243" s="1455"/>
      <c r="FXN243" s="1455"/>
      <c r="FXO243" s="1455"/>
      <c r="FXP243" s="1455"/>
      <c r="FXQ243" s="1455"/>
      <c r="FXR243" s="1455"/>
      <c r="FXS243" s="1455"/>
      <c r="FXT243" s="1455"/>
      <c r="FXU243" s="1455"/>
      <c r="FXV243" s="1455"/>
      <c r="FXW243" s="1455"/>
      <c r="FXX243" s="1455"/>
      <c r="FXY243" s="1455"/>
      <c r="FXZ243" s="1455"/>
      <c r="FYA243" s="1455"/>
      <c r="FYB243" s="1455"/>
      <c r="FYC243" s="1455"/>
      <c r="FYD243" s="1455"/>
      <c r="FYE243" s="1455"/>
      <c r="FYF243" s="1455"/>
      <c r="FYG243" s="1455"/>
      <c r="FYH243" s="1455"/>
      <c r="FYI243" s="1455"/>
      <c r="FYJ243" s="1455"/>
      <c r="FYK243" s="1455"/>
      <c r="FYL243" s="1455"/>
      <c r="FYM243" s="1455"/>
      <c r="FYN243" s="1455"/>
      <c r="FYO243" s="1455"/>
      <c r="FYP243" s="1455"/>
      <c r="FYQ243" s="1455"/>
      <c r="FYR243" s="1455"/>
      <c r="FYS243" s="1455"/>
      <c r="FYT243" s="1455"/>
      <c r="FYU243" s="1455"/>
      <c r="FYV243" s="1455"/>
      <c r="FYW243" s="1455"/>
      <c r="FYX243" s="1455"/>
      <c r="FYY243" s="1455"/>
      <c r="FYZ243" s="1455"/>
      <c r="FZA243" s="1455"/>
      <c r="FZB243" s="1455"/>
      <c r="FZC243" s="1455"/>
      <c r="FZD243" s="1455"/>
      <c r="FZE243" s="1455"/>
      <c r="FZF243" s="1455"/>
      <c r="FZG243" s="1455"/>
      <c r="FZH243" s="1455"/>
      <c r="FZI243" s="1455"/>
      <c r="FZJ243" s="1455"/>
      <c r="FZK243" s="1455"/>
      <c r="FZL243" s="1455"/>
      <c r="FZM243" s="1455"/>
      <c r="FZN243" s="1455"/>
      <c r="FZO243" s="1455"/>
      <c r="FZP243" s="1455"/>
      <c r="FZQ243" s="1455"/>
      <c r="FZR243" s="1455"/>
      <c r="FZS243" s="1455"/>
      <c r="FZT243" s="1455"/>
      <c r="FZU243" s="1455"/>
      <c r="FZV243" s="1455"/>
      <c r="FZW243" s="1455"/>
      <c r="FZX243" s="1455"/>
      <c r="FZY243" s="1455"/>
      <c r="FZZ243" s="1455"/>
      <c r="GAA243" s="1455"/>
      <c r="GAB243" s="1455"/>
      <c r="GAC243" s="1455"/>
      <c r="GAD243" s="1455"/>
      <c r="GAE243" s="1455"/>
      <c r="GAF243" s="1455"/>
      <c r="GAG243" s="1455"/>
      <c r="GAH243" s="1455"/>
      <c r="GAI243" s="1455"/>
      <c r="GAJ243" s="1455"/>
      <c r="GAK243" s="1455"/>
      <c r="GAL243" s="1455"/>
      <c r="GAM243" s="1455"/>
      <c r="GAN243" s="1455"/>
      <c r="GAO243" s="1455"/>
      <c r="GAP243" s="1455"/>
      <c r="GAQ243" s="1455"/>
      <c r="GAR243" s="1455"/>
      <c r="GAS243" s="1455"/>
      <c r="GAT243" s="1455"/>
      <c r="GAU243" s="1455"/>
      <c r="GAV243" s="1455"/>
      <c r="GAW243" s="1455"/>
      <c r="GAX243" s="1455"/>
      <c r="GAY243" s="1455"/>
      <c r="GAZ243" s="1455"/>
      <c r="GBA243" s="1455"/>
      <c r="GBB243" s="1455"/>
      <c r="GBC243" s="1455"/>
      <c r="GBD243" s="1455"/>
      <c r="GBE243" s="1455"/>
      <c r="GBF243" s="1455"/>
      <c r="GBG243" s="1455"/>
      <c r="GBH243" s="1455"/>
      <c r="GBI243" s="1455"/>
      <c r="GBJ243" s="1455"/>
      <c r="GBK243" s="1455"/>
      <c r="GBL243" s="1455"/>
      <c r="GBM243" s="1455"/>
      <c r="GBN243" s="1455"/>
      <c r="GBO243" s="1455"/>
      <c r="GBP243" s="1455"/>
      <c r="GBQ243" s="1455"/>
      <c r="GBR243" s="1455"/>
      <c r="GBS243" s="1455"/>
      <c r="GBT243" s="1455"/>
      <c r="GBU243" s="1455"/>
      <c r="GBV243" s="1455"/>
      <c r="GBW243" s="1455"/>
      <c r="GBX243" s="1455"/>
      <c r="GBY243" s="1455"/>
      <c r="GBZ243" s="1455"/>
      <c r="GCA243" s="1455"/>
      <c r="GCB243" s="1455"/>
      <c r="GCC243" s="1455"/>
      <c r="GCD243" s="1455"/>
      <c r="GCE243" s="1455"/>
      <c r="GCF243" s="1455"/>
      <c r="GCG243" s="1455"/>
      <c r="GCH243" s="1455"/>
      <c r="GCI243" s="1455"/>
      <c r="GCJ243" s="1455"/>
      <c r="GCK243" s="1455"/>
      <c r="GCL243" s="1455"/>
      <c r="GCM243" s="1455"/>
      <c r="GCN243" s="1455"/>
      <c r="GCO243" s="1455"/>
      <c r="GCP243" s="1455"/>
      <c r="GCQ243" s="1455"/>
      <c r="GCR243" s="1455"/>
      <c r="GCS243" s="1455"/>
      <c r="GCT243" s="1455"/>
      <c r="GCU243" s="1455"/>
      <c r="GCV243" s="1455"/>
      <c r="GCW243" s="1455"/>
      <c r="GCX243" s="1455"/>
      <c r="GCY243" s="1455"/>
      <c r="GCZ243" s="1455"/>
      <c r="GDA243" s="1455"/>
      <c r="GDB243" s="1455"/>
      <c r="GDC243" s="1455"/>
      <c r="GDD243" s="1455"/>
      <c r="GDE243" s="1455"/>
      <c r="GDF243" s="1455"/>
      <c r="GDG243" s="1455"/>
      <c r="GDH243" s="1455"/>
      <c r="GDI243" s="1455"/>
      <c r="GDJ243" s="1455"/>
      <c r="GDK243" s="1455"/>
      <c r="GDL243" s="1455"/>
      <c r="GDM243" s="1455"/>
      <c r="GDN243" s="1455"/>
      <c r="GDO243" s="1455"/>
      <c r="GDP243" s="1455"/>
      <c r="GDQ243" s="1455"/>
      <c r="GDR243" s="1455"/>
      <c r="GDS243" s="1455"/>
      <c r="GDT243" s="1455"/>
      <c r="GDU243" s="1455"/>
      <c r="GDV243" s="1455"/>
      <c r="GDW243" s="1455"/>
      <c r="GDX243" s="1455"/>
      <c r="GDY243" s="1455"/>
      <c r="GDZ243" s="1455"/>
      <c r="GEA243" s="1455"/>
      <c r="GEB243" s="1455"/>
      <c r="GEC243" s="1455"/>
      <c r="GED243" s="1455"/>
      <c r="GEE243" s="1455"/>
      <c r="GEF243" s="1455"/>
      <c r="GEG243" s="1455"/>
      <c r="GEH243" s="1455"/>
      <c r="GEI243" s="1455"/>
      <c r="GEJ243" s="1455"/>
      <c r="GEK243" s="1455"/>
      <c r="GEL243" s="1455"/>
      <c r="GEM243" s="1455"/>
      <c r="GEN243" s="1455"/>
      <c r="GEO243" s="1455"/>
      <c r="GEP243" s="1455"/>
      <c r="GEQ243" s="1455"/>
      <c r="GER243" s="1455"/>
      <c r="GES243" s="1455"/>
      <c r="GET243" s="1455"/>
      <c r="GEU243" s="1455"/>
      <c r="GEV243" s="1455"/>
      <c r="GEW243" s="1455"/>
      <c r="GEX243" s="1455"/>
      <c r="GEY243" s="1455"/>
      <c r="GEZ243" s="1455"/>
      <c r="GFA243" s="1455"/>
      <c r="GFB243" s="1455"/>
      <c r="GFC243" s="1455"/>
      <c r="GFD243" s="1455"/>
      <c r="GFE243" s="1455"/>
      <c r="GFF243" s="1455"/>
      <c r="GFG243" s="1455"/>
      <c r="GFH243" s="1455"/>
      <c r="GFI243" s="1455"/>
      <c r="GFJ243" s="1455"/>
      <c r="GFK243" s="1455"/>
      <c r="GFL243" s="1455"/>
      <c r="GFM243" s="1455"/>
      <c r="GFN243" s="1455"/>
      <c r="GFO243" s="1455"/>
      <c r="GFP243" s="1455"/>
      <c r="GFQ243" s="1455"/>
      <c r="GFR243" s="1455"/>
      <c r="GFS243" s="1455"/>
      <c r="GFT243" s="1455"/>
      <c r="GFU243" s="1455"/>
      <c r="GFV243" s="1455"/>
      <c r="GFW243" s="1455"/>
      <c r="GFX243" s="1455"/>
      <c r="GFY243" s="1455"/>
      <c r="GFZ243" s="1455"/>
      <c r="GGA243" s="1455"/>
      <c r="GGB243" s="1455"/>
      <c r="GGC243" s="1455"/>
      <c r="GGD243" s="1455"/>
      <c r="GGE243" s="1455"/>
      <c r="GGF243" s="1455"/>
      <c r="GGG243" s="1455"/>
      <c r="GGH243" s="1455"/>
      <c r="GGI243" s="1455"/>
      <c r="GGJ243" s="1455"/>
      <c r="GGK243" s="1455"/>
      <c r="GGL243" s="1455"/>
      <c r="GGM243" s="1455"/>
      <c r="GGN243" s="1455"/>
      <c r="GGO243" s="1455"/>
      <c r="GGP243" s="1455"/>
      <c r="GGQ243" s="1455"/>
      <c r="GGR243" s="1455"/>
      <c r="GGS243" s="1455"/>
      <c r="GGT243" s="1455"/>
      <c r="GGU243" s="1455"/>
      <c r="GGV243" s="1455"/>
      <c r="GGW243" s="1455"/>
      <c r="GGX243" s="1455"/>
      <c r="GGY243" s="1455"/>
      <c r="GGZ243" s="1455"/>
      <c r="GHA243" s="1455"/>
      <c r="GHB243" s="1455"/>
      <c r="GHC243" s="1455"/>
      <c r="GHD243" s="1455"/>
      <c r="GHE243" s="1455"/>
      <c r="GHF243" s="1455"/>
      <c r="GHG243" s="1455"/>
      <c r="GHH243" s="1455"/>
      <c r="GHI243" s="1455"/>
      <c r="GHJ243" s="1455"/>
      <c r="GHK243" s="1455"/>
      <c r="GHL243" s="1455"/>
      <c r="GHM243" s="1455"/>
      <c r="GHN243" s="1455"/>
      <c r="GHO243" s="1455"/>
      <c r="GHP243" s="1455"/>
      <c r="GHQ243" s="1455"/>
      <c r="GHR243" s="1455"/>
      <c r="GHS243" s="1455"/>
      <c r="GHT243" s="1455"/>
      <c r="GHU243" s="1455"/>
      <c r="GHV243" s="1455"/>
      <c r="GHW243" s="1455"/>
      <c r="GHX243" s="1455"/>
      <c r="GHY243" s="1455"/>
      <c r="GHZ243" s="1455"/>
      <c r="GIA243" s="1455"/>
      <c r="GIB243" s="1455"/>
      <c r="GIC243" s="1455"/>
      <c r="GID243" s="1455"/>
      <c r="GIE243" s="1455"/>
      <c r="GIF243" s="1455"/>
      <c r="GIG243" s="1455"/>
      <c r="GIH243" s="1455"/>
      <c r="GII243" s="1455"/>
      <c r="GIJ243" s="1455"/>
      <c r="GIK243" s="1455"/>
      <c r="GIL243" s="1455"/>
      <c r="GIM243" s="1455"/>
      <c r="GIN243" s="1455"/>
      <c r="GIO243" s="1455"/>
      <c r="GIP243" s="1455"/>
      <c r="GIQ243" s="1455"/>
      <c r="GIR243" s="1455"/>
      <c r="GIS243" s="1455"/>
      <c r="GIT243" s="1455"/>
      <c r="GIU243" s="1455"/>
      <c r="GIV243" s="1455"/>
      <c r="GIW243" s="1455"/>
      <c r="GIX243" s="1455"/>
      <c r="GIY243" s="1455"/>
      <c r="GIZ243" s="1455"/>
      <c r="GJA243" s="1455"/>
      <c r="GJB243" s="1455"/>
      <c r="GJC243" s="1455"/>
      <c r="GJD243" s="1455"/>
      <c r="GJE243" s="1455"/>
      <c r="GJF243" s="1455"/>
      <c r="GJG243" s="1455"/>
      <c r="GJH243" s="1455"/>
      <c r="GJI243" s="1455"/>
      <c r="GJJ243" s="1455"/>
      <c r="GJK243" s="1455"/>
      <c r="GJL243" s="1455"/>
      <c r="GJM243" s="1455"/>
      <c r="GJN243" s="1455"/>
      <c r="GJO243" s="1455"/>
      <c r="GJP243" s="1455"/>
      <c r="GJQ243" s="1455"/>
      <c r="GJR243" s="1455"/>
      <c r="GJS243" s="1455"/>
      <c r="GJT243" s="1455"/>
      <c r="GJU243" s="1455"/>
      <c r="GJV243" s="1455"/>
      <c r="GJW243" s="1455"/>
      <c r="GJX243" s="1455"/>
      <c r="GJY243" s="1455"/>
      <c r="GJZ243" s="1455"/>
      <c r="GKA243" s="1455"/>
      <c r="GKB243" s="1455"/>
      <c r="GKC243" s="1455"/>
      <c r="GKD243" s="1455"/>
      <c r="GKE243" s="1455"/>
      <c r="GKF243" s="1455"/>
      <c r="GKG243" s="1455"/>
      <c r="GKH243" s="1455"/>
      <c r="GKI243" s="1455"/>
      <c r="GKJ243" s="1455"/>
      <c r="GKK243" s="1455"/>
      <c r="GKL243" s="1455"/>
      <c r="GKM243" s="1455"/>
      <c r="GKN243" s="1455"/>
      <c r="GKO243" s="1455"/>
      <c r="GKP243" s="1455"/>
      <c r="GKQ243" s="1455"/>
      <c r="GKR243" s="1455"/>
      <c r="GKS243" s="1455"/>
      <c r="GKT243" s="1455"/>
      <c r="GKU243" s="1455"/>
      <c r="GKV243" s="1455"/>
      <c r="GKW243" s="1455"/>
      <c r="GKX243" s="1455"/>
      <c r="GKY243" s="1455"/>
      <c r="GKZ243" s="1455"/>
      <c r="GLA243" s="1455"/>
      <c r="GLB243" s="1455"/>
      <c r="GLC243" s="1455"/>
      <c r="GLD243" s="1455"/>
      <c r="GLE243" s="1455"/>
      <c r="GLF243" s="1455"/>
      <c r="GLG243" s="1455"/>
      <c r="GLH243" s="1455"/>
      <c r="GLI243" s="1455"/>
      <c r="GLJ243" s="1455"/>
      <c r="GLK243" s="1455"/>
      <c r="GLL243" s="1455"/>
      <c r="GLM243" s="1455"/>
      <c r="GLN243" s="1455"/>
      <c r="GLO243" s="1455"/>
      <c r="GLP243" s="1455"/>
      <c r="GLQ243" s="1455"/>
      <c r="GLR243" s="1455"/>
      <c r="GLS243" s="1455"/>
      <c r="GLT243" s="1455"/>
      <c r="GLU243" s="1455"/>
      <c r="GLV243" s="1455"/>
      <c r="GLW243" s="1455"/>
      <c r="GLX243" s="1455"/>
      <c r="GLY243" s="1455"/>
      <c r="GLZ243" s="1455"/>
      <c r="GMA243" s="1455"/>
      <c r="GMB243" s="1455"/>
      <c r="GMC243" s="1455"/>
      <c r="GMD243" s="1455"/>
      <c r="GME243" s="1455"/>
      <c r="GMF243" s="1455"/>
      <c r="GMG243" s="1455"/>
      <c r="GMH243" s="1455"/>
      <c r="GMI243" s="1455"/>
      <c r="GMJ243" s="1455"/>
      <c r="GMK243" s="1455"/>
      <c r="GML243" s="1455"/>
      <c r="GMM243" s="1455"/>
      <c r="GMN243" s="1455"/>
      <c r="GMO243" s="1455"/>
      <c r="GMP243" s="1455"/>
      <c r="GMQ243" s="1455"/>
      <c r="GMR243" s="1455"/>
      <c r="GMS243" s="1455"/>
      <c r="GMT243" s="1455"/>
      <c r="GMU243" s="1455"/>
      <c r="GMV243" s="1455"/>
      <c r="GMW243" s="1455"/>
      <c r="GMX243" s="1455"/>
      <c r="GMY243" s="1455"/>
      <c r="GMZ243" s="1455"/>
      <c r="GNA243" s="1455"/>
      <c r="GNB243" s="1455"/>
      <c r="GNC243" s="1455"/>
      <c r="GND243" s="1455"/>
      <c r="GNE243" s="1455"/>
      <c r="GNF243" s="1455"/>
      <c r="GNG243" s="1455"/>
      <c r="GNH243" s="1455"/>
      <c r="GNI243" s="1455"/>
      <c r="GNJ243" s="1455"/>
      <c r="GNK243" s="1455"/>
      <c r="GNL243" s="1455"/>
      <c r="GNM243" s="1455"/>
      <c r="GNN243" s="1455"/>
      <c r="GNO243" s="1455"/>
      <c r="GNP243" s="1455"/>
      <c r="GNQ243" s="1455"/>
      <c r="GNR243" s="1455"/>
      <c r="GNS243" s="1455"/>
      <c r="GNT243" s="1455"/>
      <c r="GNU243" s="1455"/>
      <c r="GNV243" s="1455"/>
      <c r="GNW243" s="1455"/>
      <c r="GNX243" s="1455"/>
      <c r="GNY243" s="1455"/>
      <c r="GNZ243" s="1455"/>
      <c r="GOA243" s="1455"/>
      <c r="GOB243" s="1455"/>
      <c r="GOC243" s="1455"/>
      <c r="GOD243" s="1455"/>
      <c r="GOE243" s="1455"/>
      <c r="GOF243" s="1455"/>
      <c r="GOG243" s="1455"/>
      <c r="GOH243" s="1455"/>
      <c r="GOI243" s="1455"/>
      <c r="GOJ243" s="1455"/>
      <c r="GOK243" s="1455"/>
      <c r="GOL243" s="1455"/>
      <c r="GOM243" s="1455"/>
      <c r="GON243" s="1455"/>
      <c r="GOO243" s="1455"/>
      <c r="GOP243" s="1455"/>
      <c r="GOQ243" s="1455"/>
      <c r="GOR243" s="1455"/>
      <c r="GOS243" s="1455"/>
      <c r="GOT243" s="1455"/>
      <c r="GOU243" s="1455"/>
      <c r="GOV243" s="1455"/>
      <c r="GOW243" s="1455"/>
      <c r="GOX243" s="1455"/>
      <c r="GOY243" s="1455"/>
      <c r="GOZ243" s="1455"/>
      <c r="GPA243" s="1455"/>
      <c r="GPB243" s="1455"/>
      <c r="GPC243" s="1455"/>
      <c r="GPD243" s="1455"/>
      <c r="GPE243" s="1455"/>
      <c r="GPF243" s="1455"/>
      <c r="GPG243" s="1455"/>
      <c r="GPH243" s="1455"/>
      <c r="GPI243" s="1455"/>
      <c r="GPJ243" s="1455"/>
      <c r="GPK243" s="1455"/>
      <c r="GPL243" s="1455"/>
      <c r="GPM243" s="1455"/>
      <c r="GPN243" s="1455"/>
      <c r="GPO243" s="1455"/>
      <c r="GPP243" s="1455"/>
      <c r="GPQ243" s="1455"/>
      <c r="GPR243" s="1455"/>
      <c r="GPS243" s="1455"/>
      <c r="GPT243" s="1455"/>
      <c r="GPU243" s="1455"/>
      <c r="GPV243" s="1455"/>
      <c r="GPW243" s="1455"/>
      <c r="GPX243" s="1455"/>
      <c r="GPY243" s="1455"/>
      <c r="GPZ243" s="1455"/>
      <c r="GQA243" s="1455"/>
      <c r="GQB243" s="1455"/>
      <c r="GQC243" s="1455"/>
      <c r="GQD243" s="1455"/>
      <c r="GQE243" s="1455"/>
      <c r="GQF243" s="1455"/>
      <c r="GQG243" s="1455"/>
      <c r="GQH243" s="1455"/>
      <c r="GQI243" s="1455"/>
      <c r="GQJ243" s="1455"/>
      <c r="GQK243" s="1455"/>
      <c r="GQL243" s="1455"/>
      <c r="GQM243" s="1455"/>
      <c r="GQN243" s="1455"/>
      <c r="GQO243" s="1455"/>
      <c r="GQP243" s="1455"/>
      <c r="GQQ243" s="1455"/>
      <c r="GQR243" s="1455"/>
      <c r="GQS243" s="1455"/>
      <c r="GQT243" s="1455"/>
      <c r="GQU243" s="1455"/>
      <c r="GQV243" s="1455"/>
      <c r="GQW243" s="1455"/>
      <c r="GQX243" s="1455"/>
      <c r="GQY243" s="1455"/>
      <c r="GQZ243" s="1455"/>
      <c r="GRA243" s="1455"/>
      <c r="GRB243" s="1455"/>
      <c r="GRC243" s="1455"/>
      <c r="GRD243" s="1455"/>
      <c r="GRE243" s="1455"/>
      <c r="GRF243" s="1455"/>
      <c r="GRG243" s="1455"/>
      <c r="GRH243" s="1455"/>
      <c r="GRI243" s="1455"/>
      <c r="GRJ243" s="1455"/>
      <c r="GRK243" s="1455"/>
      <c r="GRL243" s="1455"/>
      <c r="GRM243" s="1455"/>
      <c r="GRN243" s="1455"/>
      <c r="GRO243" s="1455"/>
      <c r="GRP243" s="1455"/>
      <c r="GRQ243" s="1455"/>
      <c r="GRR243" s="1455"/>
      <c r="GRS243" s="1455"/>
      <c r="GRT243" s="1455"/>
      <c r="GRU243" s="1455"/>
      <c r="GRV243" s="1455"/>
      <c r="GRW243" s="1455"/>
      <c r="GRX243" s="1455"/>
      <c r="GRY243" s="1455"/>
      <c r="GRZ243" s="1455"/>
      <c r="GSA243" s="1455"/>
      <c r="GSB243" s="1455"/>
      <c r="GSC243" s="1455"/>
      <c r="GSD243" s="1455"/>
      <c r="GSE243" s="1455"/>
      <c r="GSF243" s="1455"/>
      <c r="GSG243" s="1455"/>
      <c r="GSH243" s="1455"/>
      <c r="GSI243" s="1455"/>
      <c r="GSJ243" s="1455"/>
      <c r="GSK243" s="1455"/>
      <c r="GSL243" s="1455"/>
      <c r="GSM243" s="1455"/>
      <c r="GSN243" s="1455"/>
      <c r="GSO243" s="1455"/>
      <c r="GSP243" s="1455"/>
      <c r="GSQ243" s="1455"/>
      <c r="GSR243" s="1455"/>
      <c r="GSS243" s="1455"/>
      <c r="GST243" s="1455"/>
      <c r="GSU243" s="1455"/>
      <c r="GSV243" s="1455"/>
      <c r="GSW243" s="1455"/>
      <c r="GSX243" s="1455"/>
      <c r="GSY243" s="1455"/>
      <c r="GSZ243" s="1455"/>
      <c r="GTA243" s="1455"/>
      <c r="GTB243" s="1455"/>
      <c r="GTC243" s="1455"/>
      <c r="GTD243" s="1455"/>
      <c r="GTE243" s="1455"/>
      <c r="GTF243" s="1455"/>
      <c r="GTG243" s="1455"/>
      <c r="GTH243" s="1455"/>
      <c r="GTI243" s="1455"/>
      <c r="GTJ243" s="1455"/>
      <c r="GTK243" s="1455"/>
      <c r="GTL243" s="1455"/>
      <c r="GTM243" s="1455"/>
      <c r="GTN243" s="1455"/>
      <c r="GTO243" s="1455"/>
      <c r="GTP243" s="1455"/>
      <c r="GTQ243" s="1455"/>
      <c r="GTR243" s="1455"/>
      <c r="GTS243" s="1455"/>
      <c r="GTT243" s="1455"/>
      <c r="GTU243" s="1455"/>
      <c r="GTV243" s="1455"/>
      <c r="GTW243" s="1455"/>
      <c r="GTX243" s="1455"/>
      <c r="GTY243" s="1455"/>
      <c r="GTZ243" s="1455"/>
      <c r="GUA243" s="1455"/>
      <c r="GUB243" s="1455"/>
      <c r="GUC243" s="1455"/>
      <c r="GUD243" s="1455"/>
      <c r="GUE243" s="1455"/>
      <c r="GUF243" s="1455"/>
      <c r="GUG243" s="1455"/>
      <c r="GUH243" s="1455"/>
      <c r="GUI243" s="1455"/>
      <c r="GUJ243" s="1455"/>
      <c r="GUK243" s="1455"/>
      <c r="GUL243" s="1455"/>
      <c r="GUM243" s="1455"/>
      <c r="GUN243" s="1455"/>
      <c r="GUO243" s="1455"/>
      <c r="GUP243" s="1455"/>
      <c r="GUQ243" s="1455"/>
      <c r="GUR243" s="1455"/>
      <c r="GUS243" s="1455"/>
      <c r="GUT243" s="1455"/>
      <c r="GUU243" s="1455"/>
      <c r="GUV243" s="1455"/>
      <c r="GUW243" s="1455"/>
      <c r="GUX243" s="1455"/>
      <c r="GUY243" s="1455"/>
      <c r="GUZ243" s="1455"/>
      <c r="GVA243" s="1455"/>
      <c r="GVB243" s="1455"/>
      <c r="GVC243" s="1455"/>
      <c r="GVD243" s="1455"/>
      <c r="GVE243" s="1455"/>
      <c r="GVF243" s="1455"/>
      <c r="GVG243" s="1455"/>
      <c r="GVH243" s="1455"/>
      <c r="GVI243" s="1455"/>
      <c r="GVJ243" s="1455"/>
      <c r="GVK243" s="1455"/>
      <c r="GVL243" s="1455"/>
      <c r="GVM243" s="1455"/>
      <c r="GVN243" s="1455"/>
      <c r="GVO243" s="1455"/>
      <c r="GVP243" s="1455"/>
      <c r="GVQ243" s="1455"/>
      <c r="GVR243" s="1455"/>
      <c r="GVS243" s="1455"/>
      <c r="GVT243" s="1455"/>
      <c r="GVU243" s="1455"/>
      <c r="GVV243" s="1455"/>
      <c r="GVW243" s="1455"/>
      <c r="GVX243" s="1455"/>
      <c r="GVY243" s="1455"/>
      <c r="GVZ243" s="1455"/>
      <c r="GWA243" s="1455"/>
      <c r="GWB243" s="1455"/>
      <c r="GWC243" s="1455"/>
      <c r="GWD243" s="1455"/>
      <c r="GWE243" s="1455"/>
      <c r="GWF243" s="1455"/>
      <c r="GWG243" s="1455"/>
      <c r="GWH243" s="1455"/>
      <c r="GWI243" s="1455"/>
      <c r="GWJ243" s="1455"/>
      <c r="GWK243" s="1455"/>
      <c r="GWL243" s="1455"/>
      <c r="GWM243" s="1455"/>
      <c r="GWN243" s="1455"/>
      <c r="GWO243" s="1455"/>
      <c r="GWP243" s="1455"/>
      <c r="GWQ243" s="1455"/>
      <c r="GWR243" s="1455"/>
      <c r="GWS243" s="1455"/>
      <c r="GWT243" s="1455"/>
      <c r="GWU243" s="1455"/>
      <c r="GWV243" s="1455"/>
      <c r="GWW243" s="1455"/>
      <c r="GWX243" s="1455"/>
      <c r="GWY243" s="1455"/>
      <c r="GWZ243" s="1455"/>
      <c r="GXA243" s="1455"/>
      <c r="GXB243" s="1455"/>
      <c r="GXC243" s="1455"/>
      <c r="GXD243" s="1455"/>
      <c r="GXE243" s="1455"/>
      <c r="GXF243" s="1455"/>
      <c r="GXG243" s="1455"/>
      <c r="GXH243" s="1455"/>
      <c r="GXI243" s="1455"/>
      <c r="GXJ243" s="1455"/>
      <c r="GXK243" s="1455"/>
      <c r="GXL243" s="1455"/>
      <c r="GXM243" s="1455"/>
      <c r="GXN243" s="1455"/>
      <c r="GXO243" s="1455"/>
      <c r="GXP243" s="1455"/>
      <c r="GXQ243" s="1455"/>
      <c r="GXR243" s="1455"/>
      <c r="GXS243" s="1455"/>
      <c r="GXT243" s="1455"/>
      <c r="GXU243" s="1455"/>
      <c r="GXV243" s="1455"/>
      <c r="GXW243" s="1455"/>
      <c r="GXX243" s="1455"/>
      <c r="GXY243" s="1455"/>
      <c r="GXZ243" s="1455"/>
      <c r="GYA243" s="1455"/>
      <c r="GYB243" s="1455"/>
      <c r="GYC243" s="1455"/>
      <c r="GYD243" s="1455"/>
      <c r="GYE243" s="1455"/>
      <c r="GYF243" s="1455"/>
      <c r="GYG243" s="1455"/>
      <c r="GYH243" s="1455"/>
      <c r="GYI243" s="1455"/>
      <c r="GYJ243" s="1455"/>
      <c r="GYK243" s="1455"/>
      <c r="GYL243" s="1455"/>
      <c r="GYM243" s="1455"/>
      <c r="GYN243" s="1455"/>
      <c r="GYO243" s="1455"/>
      <c r="GYP243" s="1455"/>
      <c r="GYQ243" s="1455"/>
      <c r="GYR243" s="1455"/>
      <c r="GYS243" s="1455"/>
      <c r="GYT243" s="1455"/>
      <c r="GYU243" s="1455"/>
      <c r="GYV243" s="1455"/>
      <c r="GYW243" s="1455"/>
      <c r="GYX243" s="1455"/>
      <c r="GYY243" s="1455"/>
      <c r="GYZ243" s="1455"/>
      <c r="GZA243" s="1455"/>
      <c r="GZB243" s="1455"/>
      <c r="GZC243" s="1455"/>
      <c r="GZD243" s="1455"/>
      <c r="GZE243" s="1455"/>
      <c r="GZF243" s="1455"/>
      <c r="GZG243" s="1455"/>
      <c r="GZH243" s="1455"/>
      <c r="GZI243" s="1455"/>
      <c r="GZJ243" s="1455"/>
      <c r="GZK243" s="1455"/>
      <c r="GZL243" s="1455"/>
      <c r="GZM243" s="1455"/>
      <c r="GZN243" s="1455"/>
      <c r="GZO243" s="1455"/>
      <c r="GZP243" s="1455"/>
      <c r="GZQ243" s="1455"/>
      <c r="GZR243" s="1455"/>
      <c r="GZS243" s="1455"/>
      <c r="GZT243" s="1455"/>
      <c r="GZU243" s="1455"/>
      <c r="GZV243" s="1455"/>
      <c r="GZW243" s="1455"/>
      <c r="GZX243" s="1455"/>
      <c r="GZY243" s="1455"/>
      <c r="GZZ243" s="1455"/>
      <c r="HAA243" s="1455"/>
      <c r="HAB243" s="1455"/>
      <c r="HAC243" s="1455"/>
      <c r="HAD243" s="1455"/>
      <c r="HAE243" s="1455"/>
      <c r="HAF243" s="1455"/>
      <c r="HAG243" s="1455"/>
      <c r="HAH243" s="1455"/>
      <c r="HAI243" s="1455"/>
      <c r="HAJ243" s="1455"/>
      <c r="HAK243" s="1455"/>
      <c r="HAL243" s="1455"/>
      <c r="HAM243" s="1455"/>
      <c r="HAN243" s="1455"/>
      <c r="HAO243" s="1455"/>
      <c r="HAP243" s="1455"/>
      <c r="HAQ243" s="1455"/>
      <c r="HAR243" s="1455"/>
      <c r="HAS243" s="1455"/>
      <c r="HAT243" s="1455"/>
      <c r="HAU243" s="1455"/>
      <c r="HAV243" s="1455"/>
      <c r="HAW243" s="1455"/>
      <c r="HAX243" s="1455"/>
      <c r="HAY243" s="1455"/>
      <c r="HAZ243" s="1455"/>
      <c r="HBA243" s="1455"/>
      <c r="HBB243" s="1455"/>
      <c r="HBC243" s="1455"/>
      <c r="HBD243" s="1455"/>
      <c r="HBE243" s="1455"/>
      <c r="HBF243" s="1455"/>
      <c r="HBG243" s="1455"/>
      <c r="HBH243" s="1455"/>
      <c r="HBI243" s="1455"/>
      <c r="HBJ243" s="1455"/>
      <c r="HBK243" s="1455"/>
      <c r="HBL243" s="1455"/>
      <c r="HBM243" s="1455"/>
      <c r="HBN243" s="1455"/>
      <c r="HBO243" s="1455"/>
      <c r="HBP243" s="1455"/>
      <c r="HBQ243" s="1455"/>
      <c r="HBR243" s="1455"/>
      <c r="HBS243" s="1455"/>
      <c r="HBT243" s="1455"/>
      <c r="HBU243" s="1455"/>
      <c r="HBV243" s="1455"/>
      <c r="HBW243" s="1455"/>
      <c r="HBX243" s="1455"/>
      <c r="HBY243" s="1455"/>
      <c r="HBZ243" s="1455"/>
      <c r="HCA243" s="1455"/>
      <c r="HCB243" s="1455"/>
      <c r="HCC243" s="1455"/>
      <c r="HCD243" s="1455"/>
      <c r="HCE243" s="1455"/>
      <c r="HCF243" s="1455"/>
      <c r="HCG243" s="1455"/>
      <c r="HCH243" s="1455"/>
      <c r="HCI243" s="1455"/>
      <c r="HCJ243" s="1455"/>
      <c r="HCK243" s="1455"/>
      <c r="HCL243" s="1455"/>
      <c r="HCM243" s="1455"/>
      <c r="HCN243" s="1455"/>
      <c r="HCO243" s="1455"/>
      <c r="HCP243" s="1455"/>
      <c r="HCQ243" s="1455"/>
      <c r="HCR243" s="1455"/>
      <c r="HCS243" s="1455"/>
      <c r="HCT243" s="1455"/>
      <c r="HCU243" s="1455"/>
      <c r="HCV243" s="1455"/>
      <c r="HCW243" s="1455"/>
      <c r="HCX243" s="1455"/>
      <c r="HCY243" s="1455"/>
      <c r="HCZ243" s="1455"/>
      <c r="HDA243" s="1455"/>
      <c r="HDB243" s="1455"/>
      <c r="HDC243" s="1455"/>
      <c r="HDD243" s="1455"/>
      <c r="HDE243" s="1455"/>
      <c r="HDF243" s="1455"/>
      <c r="HDG243" s="1455"/>
      <c r="HDH243" s="1455"/>
      <c r="HDI243" s="1455"/>
      <c r="HDJ243" s="1455"/>
      <c r="HDK243" s="1455"/>
      <c r="HDL243" s="1455"/>
      <c r="HDM243" s="1455"/>
      <c r="HDN243" s="1455"/>
      <c r="HDO243" s="1455"/>
      <c r="HDP243" s="1455"/>
      <c r="HDQ243" s="1455"/>
      <c r="HDR243" s="1455"/>
      <c r="HDS243" s="1455"/>
      <c r="HDT243" s="1455"/>
      <c r="HDU243" s="1455"/>
      <c r="HDV243" s="1455"/>
      <c r="HDW243" s="1455"/>
      <c r="HDX243" s="1455"/>
      <c r="HDY243" s="1455"/>
      <c r="HDZ243" s="1455"/>
      <c r="HEA243" s="1455"/>
      <c r="HEB243" s="1455"/>
      <c r="HEC243" s="1455"/>
      <c r="HED243" s="1455"/>
      <c r="HEE243" s="1455"/>
      <c r="HEF243" s="1455"/>
      <c r="HEG243" s="1455"/>
      <c r="HEH243" s="1455"/>
      <c r="HEI243" s="1455"/>
      <c r="HEJ243" s="1455"/>
      <c r="HEK243" s="1455"/>
      <c r="HEL243" s="1455"/>
      <c r="HEM243" s="1455"/>
      <c r="HEN243" s="1455"/>
      <c r="HEO243" s="1455"/>
      <c r="HEP243" s="1455"/>
      <c r="HEQ243" s="1455"/>
      <c r="HER243" s="1455"/>
      <c r="HES243" s="1455"/>
      <c r="HET243" s="1455"/>
      <c r="HEU243" s="1455"/>
      <c r="HEV243" s="1455"/>
      <c r="HEW243" s="1455"/>
      <c r="HEX243" s="1455"/>
      <c r="HEY243" s="1455"/>
      <c r="HEZ243" s="1455"/>
      <c r="HFA243" s="1455"/>
      <c r="HFB243" s="1455"/>
      <c r="HFC243" s="1455"/>
      <c r="HFD243" s="1455"/>
      <c r="HFE243" s="1455"/>
      <c r="HFF243" s="1455"/>
      <c r="HFG243" s="1455"/>
      <c r="HFH243" s="1455"/>
      <c r="HFI243" s="1455"/>
      <c r="HFJ243" s="1455"/>
      <c r="HFK243" s="1455"/>
      <c r="HFL243" s="1455"/>
      <c r="HFM243" s="1455"/>
      <c r="HFN243" s="1455"/>
      <c r="HFO243" s="1455"/>
      <c r="HFP243" s="1455"/>
      <c r="HFQ243" s="1455"/>
      <c r="HFR243" s="1455"/>
      <c r="HFS243" s="1455"/>
      <c r="HFT243" s="1455"/>
      <c r="HFU243" s="1455"/>
      <c r="HFV243" s="1455"/>
      <c r="HFW243" s="1455"/>
      <c r="HFX243" s="1455"/>
      <c r="HFY243" s="1455"/>
      <c r="HFZ243" s="1455"/>
      <c r="HGA243" s="1455"/>
      <c r="HGB243" s="1455"/>
      <c r="HGC243" s="1455"/>
      <c r="HGD243" s="1455"/>
      <c r="HGE243" s="1455"/>
      <c r="HGF243" s="1455"/>
      <c r="HGG243" s="1455"/>
      <c r="HGH243" s="1455"/>
      <c r="HGI243" s="1455"/>
      <c r="HGJ243" s="1455"/>
      <c r="HGK243" s="1455"/>
      <c r="HGL243" s="1455"/>
      <c r="HGM243" s="1455"/>
      <c r="HGN243" s="1455"/>
      <c r="HGO243" s="1455"/>
      <c r="HGP243" s="1455"/>
      <c r="HGQ243" s="1455"/>
      <c r="HGR243" s="1455"/>
      <c r="HGS243" s="1455"/>
      <c r="HGT243" s="1455"/>
      <c r="HGU243" s="1455"/>
      <c r="HGV243" s="1455"/>
      <c r="HGW243" s="1455"/>
      <c r="HGX243" s="1455"/>
      <c r="HGY243" s="1455"/>
      <c r="HGZ243" s="1455"/>
      <c r="HHA243" s="1455"/>
      <c r="HHB243" s="1455"/>
      <c r="HHC243" s="1455"/>
      <c r="HHD243" s="1455"/>
      <c r="HHE243" s="1455"/>
      <c r="HHF243" s="1455"/>
      <c r="HHG243" s="1455"/>
      <c r="HHH243" s="1455"/>
      <c r="HHI243" s="1455"/>
      <c r="HHJ243" s="1455"/>
      <c r="HHK243" s="1455"/>
      <c r="HHL243" s="1455"/>
      <c r="HHM243" s="1455"/>
      <c r="HHN243" s="1455"/>
      <c r="HHO243" s="1455"/>
      <c r="HHP243" s="1455"/>
      <c r="HHQ243" s="1455"/>
      <c r="HHR243" s="1455"/>
      <c r="HHS243" s="1455"/>
      <c r="HHT243" s="1455"/>
      <c r="HHU243" s="1455"/>
      <c r="HHV243" s="1455"/>
      <c r="HHW243" s="1455"/>
      <c r="HHX243" s="1455"/>
      <c r="HHY243" s="1455"/>
      <c r="HHZ243" s="1455"/>
      <c r="HIA243" s="1455"/>
      <c r="HIB243" s="1455"/>
      <c r="HIC243" s="1455"/>
      <c r="HID243" s="1455"/>
      <c r="HIE243" s="1455"/>
      <c r="HIF243" s="1455"/>
      <c r="HIG243" s="1455"/>
      <c r="HIH243" s="1455"/>
      <c r="HII243" s="1455"/>
      <c r="HIJ243" s="1455"/>
      <c r="HIK243" s="1455"/>
      <c r="HIL243" s="1455"/>
      <c r="HIM243" s="1455"/>
      <c r="HIN243" s="1455"/>
      <c r="HIO243" s="1455"/>
      <c r="HIP243" s="1455"/>
      <c r="HIQ243" s="1455"/>
      <c r="HIR243" s="1455"/>
      <c r="HIS243" s="1455"/>
      <c r="HIT243" s="1455"/>
      <c r="HIU243" s="1455"/>
      <c r="HIV243" s="1455"/>
      <c r="HIW243" s="1455"/>
      <c r="HIX243" s="1455"/>
      <c r="HIY243" s="1455"/>
      <c r="HIZ243" s="1455"/>
      <c r="HJA243" s="1455"/>
      <c r="HJB243" s="1455"/>
      <c r="HJC243" s="1455"/>
      <c r="HJD243" s="1455"/>
      <c r="HJE243" s="1455"/>
      <c r="HJF243" s="1455"/>
      <c r="HJG243" s="1455"/>
      <c r="HJH243" s="1455"/>
      <c r="HJI243" s="1455"/>
      <c r="HJJ243" s="1455"/>
      <c r="HJK243" s="1455"/>
      <c r="HJL243" s="1455"/>
      <c r="HJM243" s="1455"/>
      <c r="HJN243" s="1455"/>
      <c r="HJO243" s="1455"/>
      <c r="HJP243" s="1455"/>
      <c r="HJQ243" s="1455"/>
      <c r="HJR243" s="1455"/>
      <c r="HJS243" s="1455"/>
      <c r="HJT243" s="1455"/>
      <c r="HJU243" s="1455"/>
      <c r="HJV243" s="1455"/>
      <c r="HJW243" s="1455"/>
      <c r="HJX243" s="1455"/>
      <c r="HJY243" s="1455"/>
      <c r="HJZ243" s="1455"/>
      <c r="HKA243" s="1455"/>
      <c r="HKB243" s="1455"/>
      <c r="HKC243" s="1455"/>
      <c r="HKD243" s="1455"/>
      <c r="HKE243" s="1455"/>
      <c r="HKF243" s="1455"/>
      <c r="HKG243" s="1455"/>
      <c r="HKH243" s="1455"/>
      <c r="HKI243" s="1455"/>
      <c r="HKJ243" s="1455"/>
      <c r="HKK243" s="1455"/>
      <c r="HKL243" s="1455"/>
      <c r="HKM243" s="1455"/>
      <c r="HKN243" s="1455"/>
      <c r="HKO243" s="1455"/>
      <c r="HKP243" s="1455"/>
      <c r="HKQ243" s="1455"/>
      <c r="HKR243" s="1455"/>
      <c r="HKS243" s="1455"/>
      <c r="HKT243" s="1455"/>
      <c r="HKU243" s="1455"/>
      <c r="HKV243" s="1455"/>
      <c r="HKW243" s="1455"/>
      <c r="HKX243" s="1455"/>
      <c r="HKY243" s="1455"/>
      <c r="HKZ243" s="1455"/>
      <c r="HLA243" s="1455"/>
      <c r="HLB243" s="1455"/>
      <c r="HLC243" s="1455"/>
      <c r="HLD243" s="1455"/>
      <c r="HLE243" s="1455"/>
      <c r="HLF243" s="1455"/>
      <c r="HLG243" s="1455"/>
      <c r="HLH243" s="1455"/>
      <c r="HLI243" s="1455"/>
      <c r="HLJ243" s="1455"/>
      <c r="HLK243" s="1455"/>
      <c r="HLL243" s="1455"/>
      <c r="HLM243" s="1455"/>
      <c r="HLN243" s="1455"/>
      <c r="HLO243" s="1455"/>
      <c r="HLP243" s="1455"/>
      <c r="HLQ243" s="1455"/>
      <c r="HLR243" s="1455"/>
      <c r="HLS243" s="1455"/>
      <c r="HLT243" s="1455"/>
      <c r="HLU243" s="1455"/>
      <c r="HLV243" s="1455"/>
      <c r="HLW243" s="1455"/>
      <c r="HLX243" s="1455"/>
      <c r="HLY243" s="1455"/>
      <c r="HLZ243" s="1455"/>
      <c r="HMA243" s="1455"/>
      <c r="HMB243" s="1455"/>
      <c r="HMC243" s="1455"/>
      <c r="HMD243" s="1455"/>
      <c r="HME243" s="1455"/>
      <c r="HMF243" s="1455"/>
      <c r="HMG243" s="1455"/>
      <c r="HMH243" s="1455"/>
      <c r="HMI243" s="1455"/>
      <c r="HMJ243" s="1455"/>
      <c r="HMK243" s="1455"/>
      <c r="HML243" s="1455"/>
      <c r="HMM243" s="1455"/>
      <c r="HMN243" s="1455"/>
      <c r="HMO243" s="1455"/>
      <c r="HMP243" s="1455"/>
      <c r="HMQ243" s="1455"/>
      <c r="HMR243" s="1455"/>
      <c r="HMS243" s="1455"/>
      <c r="HMT243" s="1455"/>
      <c r="HMU243" s="1455"/>
      <c r="HMV243" s="1455"/>
      <c r="HMW243" s="1455"/>
      <c r="HMX243" s="1455"/>
      <c r="HMY243" s="1455"/>
      <c r="HMZ243" s="1455"/>
      <c r="HNA243" s="1455"/>
      <c r="HNB243" s="1455"/>
      <c r="HNC243" s="1455"/>
      <c r="HND243" s="1455"/>
      <c r="HNE243" s="1455"/>
      <c r="HNF243" s="1455"/>
      <c r="HNG243" s="1455"/>
      <c r="HNH243" s="1455"/>
      <c r="HNI243" s="1455"/>
      <c r="HNJ243" s="1455"/>
      <c r="HNK243" s="1455"/>
      <c r="HNL243" s="1455"/>
      <c r="HNM243" s="1455"/>
      <c r="HNN243" s="1455"/>
      <c r="HNO243" s="1455"/>
      <c r="HNP243" s="1455"/>
      <c r="HNQ243" s="1455"/>
      <c r="HNR243" s="1455"/>
      <c r="HNS243" s="1455"/>
      <c r="HNT243" s="1455"/>
      <c r="HNU243" s="1455"/>
      <c r="HNV243" s="1455"/>
      <c r="HNW243" s="1455"/>
      <c r="HNX243" s="1455"/>
      <c r="HNY243" s="1455"/>
      <c r="HNZ243" s="1455"/>
      <c r="HOA243" s="1455"/>
      <c r="HOB243" s="1455"/>
      <c r="HOC243" s="1455"/>
      <c r="HOD243" s="1455"/>
      <c r="HOE243" s="1455"/>
      <c r="HOF243" s="1455"/>
      <c r="HOG243" s="1455"/>
      <c r="HOH243" s="1455"/>
      <c r="HOI243" s="1455"/>
      <c r="HOJ243" s="1455"/>
      <c r="HOK243" s="1455"/>
      <c r="HOL243" s="1455"/>
      <c r="HOM243" s="1455"/>
      <c r="HON243" s="1455"/>
      <c r="HOO243" s="1455"/>
      <c r="HOP243" s="1455"/>
      <c r="HOQ243" s="1455"/>
      <c r="HOR243" s="1455"/>
      <c r="HOS243" s="1455"/>
      <c r="HOT243" s="1455"/>
      <c r="HOU243" s="1455"/>
      <c r="HOV243" s="1455"/>
      <c r="HOW243" s="1455"/>
      <c r="HOX243" s="1455"/>
      <c r="HOY243" s="1455"/>
      <c r="HOZ243" s="1455"/>
      <c r="HPA243" s="1455"/>
      <c r="HPB243" s="1455"/>
      <c r="HPC243" s="1455"/>
      <c r="HPD243" s="1455"/>
      <c r="HPE243" s="1455"/>
      <c r="HPF243" s="1455"/>
      <c r="HPG243" s="1455"/>
      <c r="HPH243" s="1455"/>
      <c r="HPI243" s="1455"/>
      <c r="HPJ243" s="1455"/>
      <c r="HPK243" s="1455"/>
      <c r="HPL243" s="1455"/>
      <c r="HPM243" s="1455"/>
      <c r="HPN243" s="1455"/>
      <c r="HPO243" s="1455"/>
      <c r="HPP243" s="1455"/>
      <c r="HPQ243" s="1455"/>
      <c r="HPR243" s="1455"/>
      <c r="HPS243" s="1455"/>
      <c r="HPT243" s="1455"/>
      <c r="HPU243" s="1455"/>
      <c r="HPV243" s="1455"/>
      <c r="HPW243" s="1455"/>
      <c r="HPX243" s="1455"/>
      <c r="HPY243" s="1455"/>
      <c r="HPZ243" s="1455"/>
      <c r="HQA243" s="1455"/>
      <c r="HQB243" s="1455"/>
      <c r="HQC243" s="1455"/>
      <c r="HQD243" s="1455"/>
      <c r="HQE243" s="1455"/>
      <c r="HQF243" s="1455"/>
      <c r="HQG243" s="1455"/>
      <c r="HQH243" s="1455"/>
      <c r="HQI243" s="1455"/>
      <c r="HQJ243" s="1455"/>
      <c r="HQK243" s="1455"/>
      <c r="HQL243" s="1455"/>
      <c r="HQM243" s="1455"/>
      <c r="HQN243" s="1455"/>
      <c r="HQO243" s="1455"/>
      <c r="HQP243" s="1455"/>
      <c r="HQQ243" s="1455"/>
      <c r="HQR243" s="1455"/>
      <c r="HQS243" s="1455"/>
      <c r="HQT243" s="1455"/>
      <c r="HQU243" s="1455"/>
      <c r="HQV243" s="1455"/>
      <c r="HQW243" s="1455"/>
      <c r="HQX243" s="1455"/>
      <c r="HQY243" s="1455"/>
      <c r="HQZ243" s="1455"/>
      <c r="HRA243" s="1455"/>
      <c r="HRB243" s="1455"/>
      <c r="HRC243" s="1455"/>
      <c r="HRD243" s="1455"/>
      <c r="HRE243" s="1455"/>
      <c r="HRF243" s="1455"/>
      <c r="HRG243" s="1455"/>
      <c r="HRH243" s="1455"/>
      <c r="HRI243" s="1455"/>
      <c r="HRJ243" s="1455"/>
      <c r="HRK243" s="1455"/>
      <c r="HRL243" s="1455"/>
      <c r="HRM243" s="1455"/>
      <c r="HRN243" s="1455"/>
      <c r="HRO243" s="1455"/>
      <c r="HRP243" s="1455"/>
      <c r="HRQ243" s="1455"/>
      <c r="HRR243" s="1455"/>
      <c r="HRS243" s="1455"/>
      <c r="HRT243" s="1455"/>
      <c r="HRU243" s="1455"/>
      <c r="HRV243" s="1455"/>
      <c r="HRW243" s="1455"/>
      <c r="HRX243" s="1455"/>
      <c r="HRY243" s="1455"/>
      <c r="HRZ243" s="1455"/>
      <c r="HSA243" s="1455"/>
      <c r="HSB243" s="1455"/>
      <c r="HSC243" s="1455"/>
      <c r="HSD243" s="1455"/>
      <c r="HSE243" s="1455"/>
      <c r="HSF243" s="1455"/>
      <c r="HSG243" s="1455"/>
      <c r="HSH243" s="1455"/>
      <c r="HSI243" s="1455"/>
      <c r="HSJ243" s="1455"/>
      <c r="HSK243" s="1455"/>
      <c r="HSL243" s="1455"/>
      <c r="HSM243" s="1455"/>
      <c r="HSN243" s="1455"/>
      <c r="HSO243" s="1455"/>
      <c r="HSP243" s="1455"/>
      <c r="HSQ243" s="1455"/>
      <c r="HSR243" s="1455"/>
      <c r="HSS243" s="1455"/>
      <c r="HST243" s="1455"/>
      <c r="HSU243" s="1455"/>
      <c r="HSV243" s="1455"/>
      <c r="HSW243" s="1455"/>
      <c r="HSX243" s="1455"/>
      <c r="HSY243" s="1455"/>
      <c r="HSZ243" s="1455"/>
      <c r="HTA243" s="1455"/>
      <c r="HTB243" s="1455"/>
      <c r="HTC243" s="1455"/>
      <c r="HTD243" s="1455"/>
      <c r="HTE243" s="1455"/>
      <c r="HTF243" s="1455"/>
      <c r="HTG243" s="1455"/>
      <c r="HTH243" s="1455"/>
      <c r="HTI243" s="1455"/>
      <c r="HTJ243" s="1455"/>
      <c r="HTK243" s="1455"/>
      <c r="HTL243" s="1455"/>
      <c r="HTM243" s="1455"/>
      <c r="HTN243" s="1455"/>
      <c r="HTO243" s="1455"/>
      <c r="HTP243" s="1455"/>
      <c r="HTQ243" s="1455"/>
      <c r="HTR243" s="1455"/>
      <c r="HTS243" s="1455"/>
      <c r="HTT243" s="1455"/>
      <c r="HTU243" s="1455"/>
      <c r="HTV243" s="1455"/>
      <c r="HTW243" s="1455"/>
      <c r="HTX243" s="1455"/>
      <c r="HTY243" s="1455"/>
      <c r="HTZ243" s="1455"/>
      <c r="HUA243" s="1455"/>
      <c r="HUB243" s="1455"/>
      <c r="HUC243" s="1455"/>
      <c r="HUD243" s="1455"/>
      <c r="HUE243" s="1455"/>
      <c r="HUF243" s="1455"/>
      <c r="HUG243" s="1455"/>
      <c r="HUH243" s="1455"/>
      <c r="HUI243" s="1455"/>
      <c r="HUJ243" s="1455"/>
      <c r="HUK243" s="1455"/>
      <c r="HUL243" s="1455"/>
      <c r="HUM243" s="1455"/>
      <c r="HUN243" s="1455"/>
      <c r="HUO243" s="1455"/>
      <c r="HUP243" s="1455"/>
      <c r="HUQ243" s="1455"/>
      <c r="HUR243" s="1455"/>
      <c r="HUS243" s="1455"/>
      <c r="HUT243" s="1455"/>
      <c r="HUU243" s="1455"/>
      <c r="HUV243" s="1455"/>
      <c r="HUW243" s="1455"/>
      <c r="HUX243" s="1455"/>
      <c r="HUY243" s="1455"/>
      <c r="HUZ243" s="1455"/>
      <c r="HVA243" s="1455"/>
      <c r="HVB243" s="1455"/>
      <c r="HVC243" s="1455"/>
      <c r="HVD243" s="1455"/>
      <c r="HVE243" s="1455"/>
      <c r="HVF243" s="1455"/>
      <c r="HVG243" s="1455"/>
      <c r="HVH243" s="1455"/>
      <c r="HVI243" s="1455"/>
      <c r="HVJ243" s="1455"/>
      <c r="HVK243" s="1455"/>
      <c r="HVL243" s="1455"/>
      <c r="HVM243" s="1455"/>
      <c r="HVN243" s="1455"/>
      <c r="HVO243" s="1455"/>
      <c r="HVP243" s="1455"/>
      <c r="HVQ243" s="1455"/>
      <c r="HVR243" s="1455"/>
      <c r="HVS243" s="1455"/>
      <c r="HVT243" s="1455"/>
      <c r="HVU243" s="1455"/>
      <c r="HVV243" s="1455"/>
      <c r="HVW243" s="1455"/>
      <c r="HVX243" s="1455"/>
      <c r="HVY243" s="1455"/>
      <c r="HVZ243" s="1455"/>
      <c r="HWA243" s="1455"/>
      <c r="HWB243" s="1455"/>
      <c r="HWC243" s="1455"/>
      <c r="HWD243" s="1455"/>
      <c r="HWE243" s="1455"/>
      <c r="HWF243" s="1455"/>
      <c r="HWG243" s="1455"/>
      <c r="HWH243" s="1455"/>
      <c r="HWI243" s="1455"/>
      <c r="HWJ243" s="1455"/>
      <c r="HWK243" s="1455"/>
      <c r="HWL243" s="1455"/>
      <c r="HWM243" s="1455"/>
      <c r="HWN243" s="1455"/>
      <c r="HWO243" s="1455"/>
      <c r="HWP243" s="1455"/>
      <c r="HWQ243" s="1455"/>
      <c r="HWR243" s="1455"/>
      <c r="HWS243" s="1455"/>
      <c r="HWT243" s="1455"/>
      <c r="HWU243" s="1455"/>
      <c r="HWV243" s="1455"/>
      <c r="HWW243" s="1455"/>
      <c r="HWX243" s="1455"/>
      <c r="HWY243" s="1455"/>
      <c r="HWZ243" s="1455"/>
      <c r="HXA243" s="1455"/>
      <c r="HXB243" s="1455"/>
      <c r="HXC243" s="1455"/>
      <c r="HXD243" s="1455"/>
      <c r="HXE243" s="1455"/>
      <c r="HXF243" s="1455"/>
      <c r="HXG243" s="1455"/>
      <c r="HXH243" s="1455"/>
      <c r="HXI243" s="1455"/>
      <c r="HXJ243" s="1455"/>
      <c r="HXK243" s="1455"/>
      <c r="HXL243" s="1455"/>
      <c r="HXM243" s="1455"/>
      <c r="HXN243" s="1455"/>
      <c r="HXO243" s="1455"/>
      <c r="HXP243" s="1455"/>
      <c r="HXQ243" s="1455"/>
      <c r="HXR243" s="1455"/>
      <c r="HXS243" s="1455"/>
      <c r="HXT243" s="1455"/>
      <c r="HXU243" s="1455"/>
      <c r="HXV243" s="1455"/>
      <c r="HXW243" s="1455"/>
      <c r="HXX243" s="1455"/>
      <c r="HXY243" s="1455"/>
      <c r="HXZ243" s="1455"/>
      <c r="HYA243" s="1455"/>
      <c r="HYB243" s="1455"/>
      <c r="HYC243" s="1455"/>
      <c r="HYD243" s="1455"/>
      <c r="HYE243" s="1455"/>
      <c r="HYF243" s="1455"/>
      <c r="HYG243" s="1455"/>
      <c r="HYH243" s="1455"/>
      <c r="HYI243" s="1455"/>
      <c r="HYJ243" s="1455"/>
      <c r="HYK243" s="1455"/>
      <c r="HYL243" s="1455"/>
      <c r="HYM243" s="1455"/>
      <c r="HYN243" s="1455"/>
      <c r="HYO243" s="1455"/>
      <c r="HYP243" s="1455"/>
      <c r="HYQ243" s="1455"/>
      <c r="HYR243" s="1455"/>
      <c r="HYS243" s="1455"/>
      <c r="HYT243" s="1455"/>
      <c r="HYU243" s="1455"/>
      <c r="HYV243" s="1455"/>
      <c r="HYW243" s="1455"/>
      <c r="HYX243" s="1455"/>
      <c r="HYY243" s="1455"/>
      <c r="HYZ243" s="1455"/>
      <c r="HZA243" s="1455"/>
      <c r="HZB243" s="1455"/>
      <c r="HZC243" s="1455"/>
      <c r="HZD243" s="1455"/>
      <c r="HZE243" s="1455"/>
      <c r="HZF243" s="1455"/>
      <c r="HZG243" s="1455"/>
      <c r="HZH243" s="1455"/>
      <c r="HZI243" s="1455"/>
      <c r="HZJ243" s="1455"/>
      <c r="HZK243" s="1455"/>
      <c r="HZL243" s="1455"/>
      <c r="HZM243" s="1455"/>
      <c r="HZN243" s="1455"/>
      <c r="HZO243" s="1455"/>
      <c r="HZP243" s="1455"/>
      <c r="HZQ243" s="1455"/>
      <c r="HZR243" s="1455"/>
      <c r="HZS243" s="1455"/>
      <c r="HZT243" s="1455"/>
      <c r="HZU243" s="1455"/>
      <c r="HZV243" s="1455"/>
      <c r="HZW243" s="1455"/>
      <c r="HZX243" s="1455"/>
      <c r="HZY243" s="1455"/>
      <c r="HZZ243" s="1455"/>
      <c r="IAA243" s="1455"/>
      <c r="IAB243" s="1455"/>
      <c r="IAC243" s="1455"/>
      <c r="IAD243" s="1455"/>
      <c r="IAE243" s="1455"/>
      <c r="IAF243" s="1455"/>
      <c r="IAG243" s="1455"/>
      <c r="IAH243" s="1455"/>
      <c r="IAI243" s="1455"/>
      <c r="IAJ243" s="1455"/>
      <c r="IAK243" s="1455"/>
      <c r="IAL243" s="1455"/>
      <c r="IAM243" s="1455"/>
      <c r="IAN243" s="1455"/>
      <c r="IAO243" s="1455"/>
      <c r="IAP243" s="1455"/>
      <c r="IAQ243" s="1455"/>
      <c r="IAR243" s="1455"/>
      <c r="IAS243" s="1455"/>
      <c r="IAT243" s="1455"/>
      <c r="IAU243" s="1455"/>
      <c r="IAV243" s="1455"/>
      <c r="IAW243" s="1455"/>
      <c r="IAX243" s="1455"/>
      <c r="IAY243" s="1455"/>
      <c r="IAZ243" s="1455"/>
      <c r="IBA243" s="1455"/>
      <c r="IBB243" s="1455"/>
      <c r="IBC243" s="1455"/>
      <c r="IBD243" s="1455"/>
      <c r="IBE243" s="1455"/>
      <c r="IBF243" s="1455"/>
      <c r="IBG243" s="1455"/>
      <c r="IBH243" s="1455"/>
      <c r="IBI243" s="1455"/>
      <c r="IBJ243" s="1455"/>
      <c r="IBK243" s="1455"/>
      <c r="IBL243" s="1455"/>
      <c r="IBM243" s="1455"/>
      <c r="IBN243" s="1455"/>
      <c r="IBO243" s="1455"/>
      <c r="IBP243" s="1455"/>
      <c r="IBQ243" s="1455"/>
      <c r="IBR243" s="1455"/>
      <c r="IBS243" s="1455"/>
      <c r="IBT243" s="1455"/>
      <c r="IBU243" s="1455"/>
      <c r="IBV243" s="1455"/>
      <c r="IBW243" s="1455"/>
      <c r="IBX243" s="1455"/>
      <c r="IBY243" s="1455"/>
      <c r="IBZ243" s="1455"/>
      <c r="ICA243" s="1455"/>
      <c r="ICB243" s="1455"/>
      <c r="ICC243" s="1455"/>
      <c r="ICD243" s="1455"/>
      <c r="ICE243" s="1455"/>
      <c r="ICF243" s="1455"/>
      <c r="ICG243" s="1455"/>
      <c r="ICH243" s="1455"/>
      <c r="ICI243" s="1455"/>
      <c r="ICJ243" s="1455"/>
      <c r="ICK243" s="1455"/>
      <c r="ICL243" s="1455"/>
      <c r="ICM243" s="1455"/>
      <c r="ICN243" s="1455"/>
      <c r="ICO243" s="1455"/>
      <c r="ICP243" s="1455"/>
      <c r="ICQ243" s="1455"/>
      <c r="ICR243" s="1455"/>
      <c r="ICS243" s="1455"/>
      <c r="ICT243" s="1455"/>
      <c r="ICU243" s="1455"/>
      <c r="ICV243" s="1455"/>
      <c r="ICW243" s="1455"/>
      <c r="ICX243" s="1455"/>
      <c r="ICY243" s="1455"/>
      <c r="ICZ243" s="1455"/>
      <c r="IDA243" s="1455"/>
      <c r="IDB243" s="1455"/>
      <c r="IDC243" s="1455"/>
      <c r="IDD243" s="1455"/>
      <c r="IDE243" s="1455"/>
      <c r="IDF243" s="1455"/>
      <c r="IDG243" s="1455"/>
      <c r="IDH243" s="1455"/>
      <c r="IDI243" s="1455"/>
      <c r="IDJ243" s="1455"/>
      <c r="IDK243" s="1455"/>
      <c r="IDL243" s="1455"/>
      <c r="IDM243" s="1455"/>
      <c r="IDN243" s="1455"/>
      <c r="IDO243" s="1455"/>
      <c r="IDP243" s="1455"/>
      <c r="IDQ243" s="1455"/>
      <c r="IDR243" s="1455"/>
      <c r="IDS243" s="1455"/>
      <c r="IDT243" s="1455"/>
      <c r="IDU243" s="1455"/>
      <c r="IDV243" s="1455"/>
      <c r="IDW243" s="1455"/>
      <c r="IDX243" s="1455"/>
      <c r="IDY243" s="1455"/>
      <c r="IDZ243" s="1455"/>
      <c r="IEA243" s="1455"/>
      <c r="IEB243" s="1455"/>
      <c r="IEC243" s="1455"/>
      <c r="IED243" s="1455"/>
      <c r="IEE243" s="1455"/>
      <c r="IEF243" s="1455"/>
      <c r="IEG243" s="1455"/>
      <c r="IEH243" s="1455"/>
      <c r="IEI243" s="1455"/>
      <c r="IEJ243" s="1455"/>
      <c r="IEK243" s="1455"/>
      <c r="IEL243" s="1455"/>
      <c r="IEM243" s="1455"/>
      <c r="IEN243" s="1455"/>
      <c r="IEO243" s="1455"/>
      <c r="IEP243" s="1455"/>
      <c r="IEQ243" s="1455"/>
      <c r="IER243" s="1455"/>
      <c r="IES243" s="1455"/>
      <c r="IET243" s="1455"/>
      <c r="IEU243" s="1455"/>
      <c r="IEV243" s="1455"/>
      <c r="IEW243" s="1455"/>
      <c r="IEX243" s="1455"/>
      <c r="IEY243" s="1455"/>
      <c r="IEZ243" s="1455"/>
      <c r="IFA243" s="1455"/>
      <c r="IFB243" s="1455"/>
      <c r="IFC243" s="1455"/>
      <c r="IFD243" s="1455"/>
      <c r="IFE243" s="1455"/>
      <c r="IFF243" s="1455"/>
      <c r="IFG243" s="1455"/>
      <c r="IFH243" s="1455"/>
      <c r="IFI243" s="1455"/>
      <c r="IFJ243" s="1455"/>
      <c r="IFK243" s="1455"/>
      <c r="IFL243" s="1455"/>
      <c r="IFM243" s="1455"/>
      <c r="IFN243" s="1455"/>
      <c r="IFO243" s="1455"/>
      <c r="IFP243" s="1455"/>
      <c r="IFQ243" s="1455"/>
      <c r="IFR243" s="1455"/>
      <c r="IFS243" s="1455"/>
      <c r="IFT243" s="1455"/>
      <c r="IFU243" s="1455"/>
      <c r="IFV243" s="1455"/>
      <c r="IFW243" s="1455"/>
      <c r="IFX243" s="1455"/>
      <c r="IFY243" s="1455"/>
      <c r="IFZ243" s="1455"/>
      <c r="IGA243" s="1455"/>
      <c r="IGB243" s="1455"/>
      <c r="IGC243" s="1455"/>
      <c r="IGD243" s="1455"/>
      <c r="IGE243" s="1455"/>
      <c r="IGF243" s="1455"/>
      <c r="IGG243" s="1455"/>
      <c r="IGH243" s="1455"/>
      <c r="IGI243" s="1455"/>
      <c r="IGJ243" s="1455"/>
      <c r="IGK243" s="1455"/>
      <c r="IGL243" s="1455"/>
      <c r="IGM243" s="1455"/>
      <c r="IGN243" s="1455"/>
      <c r="IGO243" s="1455"/>
      <c r="IGP243" s="1455"/>
      <c r="IGQ243" s="1455"/>
      <c r="IGR243" s="1455"/>
      <c r="IGS243" s="1455"/>
      <c r="IGT243" s="1455"/>
      <c r="IGU243" s="1455"/>
      <c r="IGV243" s="1455"/>
      <c r="IGW243" s="1455"/>
      <c r="IGX243" s="1455"/>
      <c r="IGY243" s="1455"/>
      <c r="IGZ243" s="1455"/>
      <c r="IHA243" s="1455"/>
      <c r="IHB243" s="1455"/>
      <c r="IHC243" s="1455"/>
      <c r="IHD243" s="1455"/>
      <c r="IHE243" s="1455"/>
      <c r="IHF243" s="1455"/>
      <c r="IHG243" s="1455"/>
      <c r="IHH243" s="1455"/>
      <c r="IHI243" s="1455"/>
      <c r="IHJ243" s="1455"/>
      <c r="IHK243" s="1455"/>
      <c r="IHL243" s="1455"/>
      <c r="IHM243" s="1455"/>
      <c r="IHN243" s="1455"/>
      <c r="IHO243" s="1455"/>
      <c r="IHP243" s="1455"/>
      <c r="IHQ243" s="1455"/>
      <c r="IHR243" s="1455"/>
      <c r="IHS243" s="1455"/>
      <c r="IHT243" s="1455"/>
      <c r="IHU243" s="1455"/>
      <c r="IHV243" s="1455"/>
      <c r="IHW243" s="1455"/>
      <c r="IHX243" s="1455"/>
      <c r="IHY243" s="1455"/>
      <c r="IHZ243" s="1455"/>
      <c r="IIA243" s="1455"/>
      <c r="IIB243" s="1455"/>
      <c r="IIC243" s="1455"/>
      <c r="IID243" s="1455"/>
      <c r="IIE243" s="1455"/>
      <c r="IIF243" s="1455"/>
      <c r="IIG243" s="1455"/>
      <c r="IIH243" s="1455"/>
      <c r="III243" s="1455"/>
      <c r="IIJ243" s="1455"/>
      <c r="IIK243" s="1455"/>
      <c r="IIL243" s="1455"/>
      <c r="IIM243" s="1455"/>
      <c r="IIN243" s="1455"/>
      <c r="IIO243" s="1455"/>
      <c r="IIP243" s="1455"/>
      <c r="IIQ243" s="1455"/>
      <c r="IIR243" s="1455"/>
      <c r="IIS243" s="1455"/>
      <c r="IIT243" s="1455"/>
      <c r="IIU243" s="1455"/>
      <c r="IIV243" s="1455"/>
      <c r="IIW243" s="1455"/>
      <c r="IIX243" s="1455"/>
      <c r="IIY243" s="1455"/>
      <c r="IIZ243" s="1455"/>
      <c r="IJA243" s="1455"/>
      <c r="IJB243" s="1455"/>
      <c r="IJC243" s="1455"/>
      <c r="IJD243" s="1455"/>
      <c r="IJE243" s="1455"/>
      <c r="IJF243" s="1455"/>
      <c r="IJG243" s="1455"/>
      <c r="IJH243" s="1455"/>
      <c r="IJI243" s="1455"/>
      <c r="IJJ243" s="1455"/>
      <c r="IJK243" s="1455"/>
      <c r="IJL243" s="1455"/>
      <c r="IJM243" s="1455"/>
      <c r="IJN243" s="1455"/>
      <c r="IJO243" s="1455"/>
      <c r="IJP243" s="1455"/>
      <c r="IJQ243" s="1455"/>
      <c r="IJR243" s="1455"/>
      <c r="IJS243" s="1455"/>
      <c r="IJT243" s="1455"/>
      <c r="IJU243" s="1455"/>
      <c r="IJV243" s="1455"/>
      <c r="IJW243" s="1455"/>
      <c r="IJX243" s="1455"/>
      <c r="IJY243" s="1455"/>
      <c r="IJZ243" s="1455"/>
      <c r="IKA243" s="1455"/>
      <c r="IKB243" s="1455"/>
      <c r="IKC243" s="1455"/>
      <c r="IKD243" s="1455"/>
      <c r="IKE243" s="1455"/>
      <c r="IKF243" s="1455"/>
      <c r="IKG243" s="1455"/>
      <c r="IKH243" s="1455"/>
      <c r="IKI243" s="1455"/>
      <c r="IKJ243" s="1455"/>
      <c r="IKK243" s="1455"/>
      <c r="IKL243" s="1455"/>
      <c r="IKM243" s="1455"/>
      <c r="IKN243" s="1455"/>
      <c r="IKO243" s="1455"/>
      <c r="IKP243" s="1455"/>
      <c r="IKQ243" s="1455"/>
      <c r="IKR243" s="1455"/>
      <c r="IKS243" s="1455"/>
      <c r="IKT243" s="1455"/>
      <c r="IKU243" s="1455"/>
      <c r="IKV243" s="1455"/>
      <c r="IKW243" s="1455"/>
      <c r="IKX243" s="1455"/>
      <c r="IKY243" s="1455"/>
      <c r="IKZ243" s="1455"/>
      <c r="ILA243" s="1455"/>
      <c r="ILB243" s="1455"/>
      <c r="ILC243" s="1455"/>
      <c r="ILD243" s="1455"/>
      <c r="ILE243" s="1455"/>
      <c r="ILF243" s="1455"/>
      <c r="ILG243" s="1455"/>
      <c r="ILH243" s="1455"/>
      <c r="ILI243" s="1455"/>
      <c r="ILJ243" s="1455"/>
      <c r="ILK243" s="1455"/>
      <c r="ILL243" s="1455"/>
      <c r="ILM243" s="1455"/>
      <c r="ILN243" s="1455"/>
      <c r="ILO243" s="1455"/>
      <c r="ILP243" s="1455"/>
      <c r="ILQ243" s="1455"/>
      <c r="ILR243" s="1455"/>
      <c r="ILS243" s="1455"/>
      <c r="ILT243" s="1455"/>
      <c r="ILU243" s="1455"/>
      <c r="ILV243" s="1455"/>
      <c r="ILW243" s="1455"/>
      <c r="ILX243" s="1455"/>
      <c r="ILY243" s="1455"/>
      <c r="ILZ243" s="1455"/>
      <c r="IMA243" s="1455"/>
      <c r="IMB243" s="1455"/>
      <c r="IMC243" s="1455"/>
      <c r="IMD243" s="1455"/>
      <c r="IME243" s="1455"/>
      <c r="IMF243" s="1455"/>
      <c r="IMG243" s="1455"/>
      <c r="IMH243" s="1455"/>
      <c r="IMI243" s="1455"/>
      <c r="IMJ243" s="1455"/>
      <c r="IMK243" s="1455"/>
      <c r="IML243" s="1455"/>
      <c r="IMM243" s="1455"/>
      <c r="IMN243" s="1455"/>
      <c r="IMO243" s="1455"/>
      <c r="IMP243" s="1455"/>
      <c r="IMQ243" s="1455"/>
      <c r="IMR243" s="1455"/>
      <c r="IMS243" s="1455"/>
      <c r="IMT243" s="1455"/>
      <c r="IMU243" s="1455"/>
      <c r="IMV243" s="1455"/>
      <c r="IMW243" s="1455"/>
      <c r="IMX243" s="1455"/>
      <c r="IMY243" s="1455"/>
      <c r="IMZ243" s="1455"/>
      <c r="INA243" s="1455"/>
      <c r="INB243" s="1455"/>
      <c r="INC243" s="1455"/>
      <c r="IND243" s="1455"/>
      <c r="INE243" s="1455"/>
      <c r="INF243" s="1455"/>
      <c r="ING243" s="1455"/>
      <c r="INH243" s="1455"/>
      <c r="INI243" s="1455"/>
      <c r="INJ243" s="1455"/>
      <c r="INK243" s="1455"/>
      <c r="INL243" s="1455"/>
      <c r="INM243" s="1455"/>
      <c r="INN243" s="1455"/>
      <c r="INO243" s="1455"/>
      <c r="INP243" s="1455"/>
      <c r="INQ243" s="1455"/>
      <c r="INR243" s="1455"/>
      <c r="INS243" s="1455"/>
      <c r="INT243" s="1455"/>
      <c r="INU243" s="1455"/>
      <c r="INV243" s="1455"/>
      <c r="INW243" s="1455"/>
      <c r="INX243" s="1455"/>
      <c r="INY243" s="1455"/>
      <c r="INZ243" s="1455"/>
      <c r="IOA243" s="1455"/>
      <c r="IOB243" s="1455"/>
      <c r="IOC243" s="1455"/>
      <c r="IOD243" s="1455"/>
      <c r="IOE243" s="1455"/>
      <c r="IOF243" s="1455"/>
      <c r="IOG243" s="1455"/>
      <c r="IOH243" s="1455"/>
      <c r="IOI243" s="1455"/>
      <c r="IOJ243" s="1455"/>
      <c r="IOK243" s="1455"/>
      <c r="IOL243" s="1455"/>
      <c r="IOM243" s="1455"/>
      <c r="ION243" s="1455"/>
      <c r="IOO243" s="1455"/>
      <c r="IOP243" s="1455"/>
      <c r="IOQ243" s="1455"/>
      <c r="IOR243" s="1455"/>
      <c r="IOS243" s="1455"/>
      <c r="IOT243" s="1455"/>
      <c r="IOU243" s="1455"/>
      <c r="IOV243" s="1455"/>
      <c r="IOW243" s="1455"/>
      <c r="IOX243" s="1455"/>
      <c r="IOY243" s="1455"/>
      <c r="IOZ243" s="1455"/>
      <c r="IPA243" s="1455"/>
      <c r="IPB243" s="1455"/>
      <c r="IPC243" s="1455"/>
      <c r="IPD243" s="1455"/>
      <c r="IPE243" s="1455"/>
      <c r="IPF243" s="1455"/>
      <c r="IPG243" s="1455"/>
      <c r="IPH243" s="1455"/>
      <c r="IPI243" s="1455"/>
      <c r="IPJ243" s="1455"/>
      <c r="IPK243" s="1455"/>
      <c r="IPL243" s="1455"/>
      <c r="IPM243" s="1455"/>
      <c r="IPN243" s="1455"/>
      <c r="IPO243" s="1455"/>
      <c r="IPP243" s="1455"/>
      <c r="IPQ243" s="1455"/>
      <c r="IPR243" s="1455"/>
      <c r="IPS243" s="1455"/>
      <c r="IPT243" s="1455"/>
      <c r="IPU243" s="1455"/>
      <c r="IPV243" s="1455"/>
      <c r="IPW243" s="1455"/>
      <c r="IPX243" s="1455"/>
      <c r="IPY243" s="1455"/>
      <c r="IPZ243" s="1455"/>
      <c r="IQA243" s="1455"/>
      <c r="IQB243" s="1455"/>
      <c r="IQC243" s="1455"/>
      <c r="IQD243" s="1455"/>
      <c r="IQE243" s="1455"/>
      <c r="IQF243" s="1455"/>
      <c r="IQG243" s="1455"/>
      <c r="IQH243" s="1455"/>
      <c r="IQI243" s="1455"/>
      <c r="IQJ243" s="1455"/>
      <c r="IQK243" s="1455"/>
      <c r="IQL243" s="1455"/>
      <c r="IQM243" s="1455"/>
      <c r="IQN243" s="1455"/>
      <c r="IQO243" s="1455"/>
      <c r="IQP243" s="1455"/>
      <c r="IQQ243" s="1455"/>
      <c r="IQR243" s="1455"/>
      <c r="IQS243" s="1455"/>
      <c r="IQT243" s="1455"/>
      <c r="IQU243" s="1455"/>
      <c r="IQV243" s="1455"/>
      <c r="IQW243" s="1455"/>
      <c r="IQX243" s="1455"/>
      <c r="IQY243" s="1455"/>
      <c r="IQZ243" s="1455"/>
      <c r="IRA243" s="1455"/>
      <c r="IRB243" s="1455"/>
      <c r="IRC243" s="1455"/>
      <c r="IRD243" s="1455"/>
      <c r="IRE243" s="1455"/>
      <c r="IRF243" s="1455"/>
      <c r="IRG243" s="1455"/>
      <c r="IRH243" s="1455"/>
      <c r="IRI243" s="1455"/>
      <c r="IRJ243" s="1455"/>
      <c r="IRK243" s="1455"/>
      <c r="IRL243" s="1455"/>
      <c r="IRM243" s="1455"/>
      <c r="IRN243" s="1455"/>
      <c r="IRO243" s="1455"/>
      <c r="IRP243" s="1455"/>
      <c r="IRQ243" s="1455"/>
      <c r="IRR243" s="1455"/>
      <c r="IRS243" s="1455"/>
      <c r="IRT243" s="1455"/>
      <c r="IRU243" s="1455"/>
      <c r="IRV243" s="1455"/>
      <c r="IRW243" s="1455"/>
      <c r="IRX243" s="1455"/>
      <c r="IRY243" s="1455"/>
      <c r="IRZ243" s="1455"/>
      <c r="ISA243" s="1455"/>
      <c r="ISB243" s="1455"/>
      <c r="ISC243" s="1455"/>
      <c r="ISD243" s="1455"/>
      <c r="ISE243" s="1455"/>
      <c r="ISF243" s="1455"/>
      <c r="ISG243" s="1455"/>
      <c r="ISH243" s="1455"/>
      <c r="ISI243" s="1455"/>
      <c r="ISJ243" s="1455"/>
      <c r="ISK243" s="1455"/>
      <c r="ISL243" s="1455"/>
      <c r="ISM243" s="1455"/>
      <c r="ISN243" s="1455"/>
      <c r="ISO243" s="1455"/>
      <c r="ISP243" s="1455"/>
      <c r="ISQ243" s="1455"/>
      <c r="ISR243" s="1455"/>
      <c r="ISS243" s="1455"/>
      <c r="IST243" s="1455"/>
      <c r="ISU243" s="1455"/>
      <c r="ISV243" s="1455"/>
      <c r="ISW243" s="1455"/>
      <c r="ISX243" s="1455"/>
      <c r="ISY243" s="1455"/>
      <c r="ISZ243" s="1455"/>
      <c r="ITA243" s="1455"/>
      <c r="ITB243" s="1455"/>
      <c r="ITC243" s="1455"/>
      <c r="ITD243" s="1455"/>
      <c r="ITE243" s="1455"/>
      <c r="ITF243" s="1455"/>
      <c r="ITG243" s="1455"/>
      <c r="ITH243" s="1455"/>
      <c r="ITI243" s="1455"/>
      <c r="ITJ243" s="1455"/>
      <c r="ITK243" s="1455"/>
      <c r="ITL243" s="1455"/>
      <c r="ITM243" s="1455"/>
      <c r="ITN243" s="1455"/>
      <c r="ITO243" s="1455"/>
      <c r="ITP243" s="1455"/>
      <c r="ITQ243" s="1455"/>
      <c r="ITR243" s="1455"/>
      <c r="ITS243" s="1455"/>
      <c r="ITT243" s="1455"/>
      <c r="ITU243" s="1455"/>
      <c r="ITV243" s="1455"/>
      <c r="ITW243" s="1455"/>
      <c r="ITX243" s="1455"/>
      <c r="ITY243" s="1455"/>
      <c r="ITZ243" s="1455"/>
      <c r="IUA243" s="1455"/>
      <c r="IUB243" s="1455"/>
      <c r="IUC243" s="1455"/>
      <c r="IUD243" s="1455"/>
      <c r="IUE243" s="1455"/>
      <c r="IUF243" s="1455"/>
      <c r="IUG243" s="1455"/>
      <c r="IUH243" s="1455"/>
      <c r="IUI243" s="1455"/>
      <c r="IUJ243" s="1455"/>
      <c r="IUK243" s="1455"/>
      <c r="IUL243" s="1455"/>
      <c r="IUM243" s="1455"/>
      <c r="IUN243" s="1455"/>
      <c r="IUO243" s="1455"/>
      <c r="IUP243" s="1455"/>
      <c r="IUQ243" s="1455"/>
      <c r="IUR243" s="1455"/>
      <c r="IUS243" s="1455"/>
      <c r="IUT243" s="1455"/>
      <c r="IUU243" s="1455"/>
      <c r="IUV243" s="1455"/>
      <c r="IUW243" s="1455"/>
      <c r="IUX243" s="1455"/>
      <c r="IUY243" s="1455"/>
      <c r="IUZ243" s="1455"/>
      <c r="IVA243" s="1455"/>
      <c r="IVB243" s="1455"/>
      <c r="IVC243" s="1455"/>
      <c r="IVD243" s="1455"/>
      <c r="IVE243" s="1455"/>
      <c r="IVF243" s="1455"/>
      <c r="IVG243" s="1455"/>
      <c r="IVH243" s="1455"/>
      <c r="IVI243" s="1455"/>
      <c r="IVJ243" s="1455"/>
      <c r="IVK243" s="1455"/>
      <c r="IVL243" s="1455"/>
      <c r="IVM243" s="1455"/>
      <c r="IVN243" s="1455"/>
      <c r="IVO243" s="1455"/>
      <c r="IVP243" s="1455"/>
      <c r="IVQ243" s="1455"/>
      <c r="IVR243" s="1455"/>
      <c r="IVS243" s="1455"/>
      <c r="IVT243" s="1455"/>
      <c r="IVU243" s="1455"/>
      <c r="IVV243" s="1455"/>
      <c r="IVW243" s="1455"/>
      <c r="IVX243" s="1455"/>
      <c r="IVY243" s="1455"/>
      <c r="IVZ243" s="1455"/>
      <c r="IWA243" s="1455"/>
      <c r="IWB243" s="1455"/>
      <c r="IWC243" s="1455"/>
      <c r="IWD243" s="1455"/>
      <c r="IWE243" s="1455"/>
      <c r="IWF243" s="1455"/>
      <c r="IWG243" s="1455"/>
      <c r="IWH243" s="1455"/>
      <c r="IWI243" s="1455"/>
      <c r="IWJ243" s="1455"/>
      <c r="IWK243" s="1455"/>
      <c r="IWL243" s="1455"/>
      <c r="IWM243" s="1455"/>
      <c r="IWN243" s="1455"/>
      <c r="IWO243" s="1455"/>
      <c r="IWP243" s="1455"/>
      <c r="IWQ243" s="1455"/>
      <c r="IWR243" s="1455"/>
      <c r="IWS243" s="1455"/>
      <c r="IWT243" s="1455"/>
      <c r="IWU243" s="1455"/>
      <c r="IWV243" s="1455"/>
      <c r="IWW243" s="1455"/>
      <c r="IWX243" s="1455"/>
      <c r="IWY243" s="1455"/>
      <c r="IWZ243" s="1455"/>
      <c r="IXA243" s="1455"/>
      <c r="IXB243" s="1455"/>
      <c r="IXC243" s="1455"/>
      <c r="IXD243" s="1455"/>
      <c r="IXE243" s="1455"/>
      <c r="IXF243" s="1455"/>
      <c r="IXG243" s="1455"/>
      <c r="IXH243" s="1455"/>
      <c r="IXI243" s="1455"/>
      <c r="IXJ243" s="1455"/>
      <c r="IXK243" s="1455"/>
      <c r="IXL243" s="1455"/>
      <c r="IXM243" s="1455"/>
      <c r="IXN243" s="1455"/>
      <c r="IXO243" s="1455"/>
      <c r="IXP243" s="1455"/>
      <c r="IXQ243" s="1455"/>
      <c r="IXR243" s="1455"/>
      <c r="IXS243" s="1455"/>
      <c r="IXT243" s="1455"/>
      <c r="IXU243" s="1455"/>
      <c r="IXV243" s="1455"/>
      <c r="IXW243" s="1455"/>
      <c r="IXX243" s="1455"/>
      <c r="IXY243" s="1455"/>
      <c r="IXZ243" s="1455"/>
      <c r="IYA243" s="1455"/>
      <c r="IYB243" s="1455"/>
      <c r="IYC243" s="1455"/>
      <c r="IYD243" s="1455"/>
      <c r="IYE243" s="1455"/>
      <c r="IYF243" s="1455"/>
      <c r="IYG243" s="1455"/>
      <c r="IYH243" s="1455"/>
      <c r="IYI243" s="1455"/>
      <c r="IYJ243" s="1455"/>
      <c r="IYK243" s="1455"/>
      <c r="IYL243" s="1455"/>
      <c r="IYM243" s="1455"/>
      <c r="IYN243" s="1455"/>
      <c r="IYO243" s="1455"/>
      <c r="IYP243" s="1455"/>
      <c r="IYQ243" s="1455"/>
      <c r="IYR243" s="1455"/>
      <c r="IYS243" s="1455"/>
      <c r="IYT243" s="1455"/>
      <c r="IYU243" s="1455"/>
      <c r="IYV243" s="1455"/>
      <c r="IYW243" s="1455"/>
      <c r="IYX243" s="1455"/>
      <c r="IYY243" s="1455"/>
      <c r="IYZ243" s="1455"/>
      <c r="IZA243" s="1455"/>
      <c r="IZB243" s="1455"/>
      <c r="IZC243" s="1455"/>
      <c r="IZD243" s="1455"/>
      <c r="IZE243" s="1455"/>
      <c r="IZF243" s="1455"/>
      <c r="IZG243" s="1455"/>
      <c r="IZH243" s="1455"/>
      <c r="IZI243" s="1455"/>
      <c r="IZJ243" s="1455"/>
      <c r="IZK243" s="1455"/>
      <c r="IZL243" s="1455"/>
      <c r="IZM243" s="1455"/>
      <c r="IZN243" s="1455"/>
      <c r="IZO243" s="1455"/>
      <c r="IZP243" s="1455"/>
      <c r="IZQ243" s="1455"/>
      <c r="IZR243" s="1455"/>
      <c r="IZS243" s="1455"/>
      <c r="IZT243" s="1455"/>
      <c r="IZU243" s="1455"/>
      <c r="IZV243" s="1455"/>
      <c r="IZW243" s="1455"/>
      <c r="IZX243" s="1455"/>
      <c r="IZY243" s="1455"/>
      <c r="IZZ243" s="1455"/>
      <c r="JAA243" s="1455"/>
      <c r="JAB243" s="1455"/>
      <c r="JAC243" s="1455"/>
      <c r="JAD243" s="1455"/>
      <c r="JAE243" s="1455"/>
      <c r="JAF243" s="1455"/>
      <c r="JAG243" s="1455"/>
      <c r="JAH243" s="1455"/>
      <c r="JAI243" s="1455"/>
      <c r="JAJ243" s="1455"/>
      <c r="JAK243" s="1455"/>
      <c r="JAL243" s="1455"/>
      <c r="JAM243" s="1455"/>
      <c r="JAN243" s="1455"/>
      <c r="JAO243" s="1455"/>
      <c r="JAP243" s="1455"/>
      <c r="JAQ243" s="1455"/>
      <c r="JAR243" s="1455"/>
      <c r="JAS243" s="1455"/>
      <c r="JAT243" s="1455"/>
      <c r="JAU243" s="1455"/>
      <c r="JAV243" s="1455"/>
      <c r="JAW243" s="1455"/>
      <c r="JAX243" s="1455"/>
      <c r="JAY243" s="1455"/>
      <c r="JAZ243" s="1455"/>
      <c r="JBA243" s="1455"/>
      <c r="JBB243" s="1455"/>
      <c r="JBC243" s="1455"/>
      <c r="JBD243" s="1455"/>
      <c r="JBE243" s="1455"/>
      <c r="JBF243" s="1455"/>
      <c r="JBG243" s="1455"/>
      <c r="JBH243" s="1455"/>
      <c r="JBI243" s="1455"/>
      <c r="JBJ243" s="1455"/>
      <c r="JBK243" s="1455"/>
      <c r="JBL243" s="1455"/>
      <c r="JBM243" s="1455"/>
      <c r="JBN243" s="1455"/>
      <c r="JBO243" s="1455"/>
      <c r="JBP243" s="1455"/>
      <c r="JBQ243" s="1455"/>
      <c r="JBR243" s="1455"/>
      <c r="JBS243" s="1455"/>
      <c r="JBT243" s="1455"/>
      <c r="JBU243" s="1455"/>
      <c r="JBV243" s="1455"/>
      <c r="JBW243" s="1455"/>
      <c r="JBX243" s="1455"/>
      <c r="JBY243" s="1455"/>
      <c r="JBZ243" s="1455"/>
      <c r="JCA243" s="1455"/>
      <c r="JCB243" s="1455"/>
      <c r="JCC243" s="1455"/>
      <c r="JCD243" s="1455"/>
      <c r="JCE243" s="1455"/>
      <c r="JCF243" s="1455"/>
      <c r="JCG243" s="1455"/>
      <c r="JCH243" s="1455"/>
      <c r="JCI243" s="1455"/>
      <c r="JCJ243" s="1455"/>
      <c r="JCK243" s="1455"/>
      <c r="JCL243" s="1455"/>
      <c r="JCM243" s="1455"/>
      <c r="JCN243" s="1455"/>
      <c r="JCO243" s="1455"/>
      <c r="JCP243" s="1455"/>
      <c r="JCQ243" s="1455"/>
      <c r="JCR243" s="1455"/>
      <c r="JCS243" s="1455"/>
      <c r="JCT243" s="1455"/>
      <c r="JCU243" s="1455"/>
      <c r="JCV243" s="1455"/>
      <c r="JCW243" s="1455"/>
      <c r="JCX243" s="1455"/>
      <c r="JCY243" s="1455"/>
      <c r="JCZ243" s="1455"/>
      <c r="JDA243" s="1455"/>
      <c r="JDB243" s="1455"/>
      <c r="JDC243" s="1455"/>
      <c r="JDD243" s="1455"/>
      <c r="JDE243" s="1455"/>
      <c r="JDF243" s="1455"/>
      <c r="JDG243" s="1455"/>
      <c r="JDH243" s="1455"/>
      <c r="JDI243" s="1455"/>
      <c r="JDJ243" s="1455"/>
      <c r="JDK243" s="1455"/>
      <c r="JDL243" s="1455"/>
      <c r="JDM243" s="1455"/>
      <c r="JDN243" s="1455"/>
      <c r="JDO243" s="1455"/>
      <c r="JDP243" s="1455"/>
      <c r="JDQ243" s="1455"/>
      <c r="JDR243" s="1455"/>
      <c r="JDS243" s="1455"/>
      <c r="JDT243" s="1455"/>
      <c r="JDU243" s="1455"/>
      <c r="JDV243" s="1455"/>
      <c r="JDW243" s="1455"/>
      <c r="JDX243" s="1455"/>
      <c r="JDY243" s="1455"/>
      <c r="JDZ243" s="1455"/>
      <c r="JEA243" s="1455"/>
      <c r="JEB243" s="1455"/>
      <c r="JEC243" s="1455"/>
      <c r="JED243" s="1455"/>
      <c r="JEE243" s="1455"/>
      <c r="JEF243" s="1455"/>
      <c r="JEG243" s="1455"/>
      <c r="JEH243" s="1455"/>
      <c r="JEI243" s="1455"/>
      <c r="JEJ243" s="1455"/>
      <c r="JEK243" s="1455"/>
      <c r="JEL243" s="1455"/>
      <c r="JEM243" s="1455"/>
      <c r="JEN243" s="1455"/>
      <c r="JEO243" s="1455"/>
      <c r="JEP243" s="1455"/>
      <c r="JEQ243" s="1455"/>
      <c r="JER243" s="1455"/>
      <c r="JES243" s="1455"/>
      <c r="JET243" s="1455"/>
      <c r="JEU243" s="1455"/>
      <c r="JEV243" s="1455"/>
      <c r="JEW243" s="1455"/>
      <c r="JEX243" s="1455"/>
      <c r="JEY243" s="1455"/>
      <c r="JEZ243" s="1455"/>
      <c r="JFA243" s="1455"/>
      <c r="JFB243" s="1455"/>
      <c r="JFC243" s="1455"/>
      <c r="JFD243" s="1455"/>
      <c r="JFE243" s="1455"/>
      <c r="JFF243" s="1455"/>
      <c r="JFG243" s="1455"/>
      <c r="JFH243" s="1455"/>
      <c r="JFI243" s="1455"/>
      <c r="JFJ243" s="1455"/>
      <c r="JFK243" s="1455"/>
      <c r="JFL243" s="1455"/>
      <c r="JFM243" s="1455"/>
      <c r="JFN243" s="1455"/>
      <c r="JFO243" s="1455"/>
      <c r="JFP243" s="1455"/>
      <c r="JFQ243" s="1455"/>
      <c r="JFR243" s="1455"/>
      <c r="JFS243" s="1455"/>
      <c r="JFT243" s="1455"/>
      <c r="JFU243" s="1455"/>
      <c r="JFV243" s="1455"/>
      <c r="JFW243" s="1455"/>
      <c r="JFX243" s="1455"/>
      <c r="JFY243" s="1455"/>
      <c r="JFZ243" s="1455"/>
      <c r="JGA243" s="1455"/>
      <c r="JGB243" s="1455"/>
      <c r="JGC243" s="1455"/>
      <c r="JGD243" s="1455"/>
      <c r="JGE243" s="1455"/>
      <c r="JGF243" s="1455"/>
      <c r="JGG243" s="1455"/>
      <c r="JGH243" s="1455"/>
      <c r="JGI243" s="1455"/>
      <c r="JGJ243" s="1455"/>
      <c r="JGK243" s="1455"/>
      <c r="JGL243" s="1455"/>
      <c r="JGM243" s="1455"/>
      <c r="JGN243" s="1455"/>
      <c r="JGO243" s="1455"/>
      <c r="JGP243" s="1455"/>
      <c r="JGQ243" s="1455"/>
      <c r="JGR243" s="1455"/>
      <c r="JGS243" s="1455"/>
      <c r="JGT243" s="1455"/>
      <c r="JGU243" s="1455"/>
      <c r="JGV243" s="1455"/>
      <c r="JGW243" s="1455"/>
      <c r="JGX243" s="1455"/>
      <c r="JGY243" s="1455"/>
      <c r="JGZ243" s="1455"/>
      <c r="JHA243" s="1455"/>
      <c r="JHB243" s="1455"/>
      <c r="JHC243" s="1455"/>
      <c r="JHD243" s="1455"/>
      <c r="JHE243" s="1455"/>
      <c r="JHF243" s="1455"/>
      <c r="JHG243" s="1455"/>
      <c r="JHH243" s="1455"/>
      <c r="JHI243" s="1455"/>
      <c r="JHJ243" s="1455"/>
      <c r="JHK243" s="1455"/>
      <c r="JHL243" s="1455"/>
      <c r="JHM243" s="1455"/>
      <c r="JHN243" s="1455"/>
      <c r="JHO243" s="1455"/>
      <c r="JHP243" s="1455"/>
      <c r="JHQ243" s="1455"/>
      <c r="JHR243" s="1455"/>
      <c r="JHS243" s="1455"/>
      <c r="JHT243" s="1455"/>
      <c r="JHU243" s="1455"/>
      <c r="JHV243" s="1455"/>
      <c r="JHW243" s="1455"/>
      <c r="JHX243" s="1455"/>
      <c r="JHY243" s="1455"/>
      <c r="JHZ243" s="1455"/>
      <c r="JIA243" s="1455"/>
      <c r="JIB243" s="1455"/>
      <c r="JIC243" s="1455"/>
      <c r="JID243" s="1455"/>
      <c r="JIE243" s="1455"/>
      <c r="JIF243" s="1455"/>
      <c r="JIG243" s="1455"/>
      <c r="JIH243" s="1455"/>
      <c r="JII243" s="1455"/>
      <c r="JIJ243" s="1455"/>
      <c r="JIK243" s="1455"/>
      <c r="JIL243" s="1455"/>
      <c r="JIM243" s="1455"/>
      <c r="JIN243" s="1455"/>
      <c r="JIO243" s="1455"/>
      <c r="JIP243" s="1455"/>
      <c r="JIQ243" s="1455"/>
      <c r="JIR243" s="1455"/>
      <c r="JIS243" s="1455"/>
      <c r="JIT243" s="1455"/>
      <c r="JIU243" s="1455"/>
      <c r="JIV243" s="1455"/>
      <c r="JIW243" s="1455"/>
      <c r="JIX243" s="1455"/>
      <c r="JIY243" s="1455"/>
      <c r="JIZ243" s="1455"/>
      <c r="JJA243" s="1455"/>
      <c r="JJB243" s="1455"/>
      <c r="JJC243" s="1455"/>
      <c r="JJD243" s="1455"/>
      <c r="JJE243" s="1455"/>
      <c r="JJF243" s="1455"/>
      <c r="JJG243" s="1455"/>
      <c r="JJH243" s="1455"/>
      <c r="JJI243" s="1455"/>
      <c r="JJJ243" s="1455"/>
      <c r="JJK243" s="1455"/>
      <c r="JJL243" s="1455"/>
      <c r="JJM243" s="1455"/>
      <c r="JJN243" s="1455"/>
      <c r="JJO243" s="1455"/>
      <c r="JJP243" s="1455"/>
      <c r="JJQ243" s="1455"/>
      <c r="JJR243" s="1455"/>
      <c r="JJS243" s="1455"/>
      <c r="JJT243" s="1455"/>
      <c r="JJU243" s="1455"/>
      <c r="JJV243" s="1455"/>
      <c r="JJW243" s="1455"/>
      <c r="JJX243" s="1455"/>
      <c r="JJY243" s="1455"/>
      <c r="JJZ243" s="1455"/>
      <c r="JKA243" s="1455"/>
      <c r="JKB243" s="1455"/>
      <c r="JKC243" s="1455"/>
      <c r="JKD243" s="1455"/>
      <c r="JKE243" s="1455"/>
      <c r="JKF243" s="1455"/>
      <c r="JKG243" s="1455"/>
      <c r="JKH243" s="1455"/>
      <c r="JKI243" s="1455"/>
      <c r="JKJ243" s="1455"/>
      <c r="JKK243" s="1455"/>
      <c r="JKL243" s="1455"/>
      <c r="JKM243" s="1455"/>
      <c r="JKN243" s="1455"/>
      <c r="JKO243" s="1455"/>
      <c r="JKP243" s="1455"/>
      <c r="JKQ243" s="1455"/>
      <c r="JKR243" s="1455"/>
      <c r="JKS243" s="1455"/>
      <c r="JKT243" s="1455"/>
      <c r="JKU243" s="1455"/>
      <c r="JKV243" s="1455"/>
      <c r="JKW243" s="1455"/>
      <c r="JKX243" s="1455"/>
      <c r="JKY243" s="1455"/>
      <c r="JKZ243" s="1455"/>
      <c r="JLA243" s="1455"/>
      <c r="JLB243" s="1455"/>
      <c r="JLC243" s="1455"/>
      <c r="JLD243" s="1455"/>
      <c r="JLE243" s="1455"/>
      <c r="JLF243" s="1455"/>
      <c r="JLG243" s="1455"/>
      <c r="JLH243" s="1455"/>
      <c r="JLI243" s="1455"/>
      <c r="JLJ243" s="1455"/>
      <c r="JLK243" s="1455"/>
      <c r="JLL243" s="1455"/>
      <c r="JLM243" s="1455"/>
      <c r="JLN243" s="1455"/>
      <c r="JLO243" s="1455"/>
      <c r="JLP243" s="1455"/>
      <c r="JLQ243" s="1455"/>
      <c r="JLR243" s="1455"/>
      <c r="JLS243" s="1455"/>
      <c r="JLT243" s="1455"/>
      <c r="JLU243" s="1455"/>
      <c r="JLV243" s="1455"/>
      <c r="JLW243" s="1455"/>
      <c r="JLX243" s="1455"/>
      <c r="JLY243" s="1455"/>
      <c r="JLZ243" s="1455"/>
      <c r="JMA243" s="1455"/>
      <c r="JMB243" s="1455"/>
      <c r="JMC243" s="1455"/>
      <c r="JMD243" s="1455"/>
      <c r="JME243" s="1455"/>
      <c r="JMF243" s="1455"/>
      <c r="JMG243" s="1455"/>
      <c r="JMH243" s="1455"/>
      <c r="JMI243" s="1455"/>
      <c r="JMJ243" s="1455"/>
      <c r="JMK243" s="1455"/>
      <c r="JML243" s="1455"/>
      <c r="JMM243" s="1455"/>
      <c r="JMN243" s="1455"/>
      <c r="JMO243" s="1455"/>
      <c r="JMP243" s="1455"/>
      <c r="JMQ243" s="1455"/>
      <c r="JMR243" s="1455"/>
      <c r="JMS243" s="1455"/>
      <c r="JMT243" s="1455"/>
      <c r="JMU243" s="1455"/>
      <c r="JMV243" s="1455"/>
      <c r="JMW243" s="1455"/>
      <c r="JMX243" s="1455"/>
      <c r="JMY243" s="1455"/>
      <c r="JMZ243" s="1455"/>
      <c r="JNA243" s="1455"/>
      <c r="JNB243" s="1455"/>
      <c r="JNC243" s="1455"/>
      <c r="JND243" s="1455"/>
      <c r="JNE243" s="1455"/>
      <c r="JNF243" s="1455"/>
      <c r="JNG243" s="1455"/>
      <c r="JNH243" s="1455"/>
      <c r="JNI243" s="1455"/>
      <c r="JNJ243" s="1455"/>
      <c r="JNK243" s="1455"/>
      <c r="JNL243" s="1455"/>
      <c r="JNM243" s="1455"/>
      <c r="JNN243" s="1455"/>
      <c r="JNO243" s="1455"/>
      <c r="JNP243" s="1455"/>
      <c r="JNQ243" s="1455"/>
      <c r="JNR243" s="1455"/>
      <c r="JNS243" s="1455"/>
      <c r="JNT243" s="1455"/>
      <c r="JNU243" s="1455"/>
      <c r="JNV243" s="1455"/>
      <c r="JNW243" s="1455"/>
      <c r="JNX243" s="1455"/>
      <c r="JNY243" s="1455"/>
      <c r="JNZ243" s="1455"/>
      <c r="JOA243" s="1455"/>
      <c r="JOB243" s="1455"/>
      <c r="JOC243" s="1455"/>
      <c r="JOD243" s="1455"/>
      <c r="JOE243" s="1455"/>
      <c r="JOF243" s="1455"/>
      <c r="JOG243" s="1455"/>
      <c r="JOH243" s="1455"/>
      <c r="JOI243" s="1455"/>
      <c r="JOJ243" s="1455"/>
      <c r="JOK243" s="1455"/>
      <c r="JOL243" s="1455"/>
      <c r="JOM243" s="1455"/>
      <c r="JON243" s="1455"/>
      <c r="JOO243" s="1455"/>
      <c r="JOP243" s="1455"/>
      <c r="JOQ243" s="1455"/>
      <c r="JOR243" s="1455"/>
      <c r="JOS243" s="1455"/>
      <c r="JOT243" s="1455"/>
      <c r="JOU243" s="1455"/>
      <c r="JOV243" s="1455"/>
      <c r="JOW243" s="1455"/>
      <c r="JOX243" s="1455"/>
      <c r="JOY243" s="1455"/>
      <c r="JOZ243" s="1455"/>
      <c r="JPA243" s="1455"/>
      <c r="JPB243" s="1455"/>
      <c r="JPC243" s="1455"/>
      <c r="JPD243" s="1455"/>
      <c r="JPE243" s="1455"/>
      <c r="JPF243" s="1455"/>
      <c r="JPG243" s="1455"/>
      <c r="JPH243" s="1455"/>
      <c r="JPI243" s="1455"/>
      <c r="JPJ243" s="1455"/>
      <c r="JPK243" s="1455"/>
      <c r="JPL243" s="1455"/>
      <c r="JPM243" s="1455"/>
      <c r="JPN243" s="1455"/>
      <c r="JPO243" s="1455"/>
      <c r="JPP243" s="1455"/>
      <c r="JPQ243" s="1455"/>
      <c r="JPR243" s="1455"/>
      <c r="JPS243" s="1455"/>
      <c r="JPT243" s="1455"/>
      <c r="JPU243" s="1455"/>
      <c r="JPV243" s="1455"/>
      <c r="JPW243" s="1455"/>
      <c r="JPX243" s="1455"/>
      <c r="JPY243" s="1455"/>
      <c r="JPZ243" s="1455"/>
      <c r="JQA243" s="1455"/>
      <c r="JQB243" s="1455"/>
      <c r="JQC243" s="1455"/>
      <c r="JQD243" s="1455"/>
      <c r="JQE243" s="1455"/>
      <c r="JQF243" s="1455"/>
      <c r="JQG243" s="1455"/>
      <c r="JQH243" s="1455"/>
      <c r="JQI243" s="1455"/>
      <c r="JQJ243" s="1455"/>
      <c r="JQK243" s="1455"/>
      <c r="JQL243" s="1455"/>
      <c r="JQM243" s="1455"/>
      <c r="JQN243" s="1455"/>
      <c r="JQO243" s="1455"/>
      <c r="JQP243" s="1455"/>
      <c r="JQQ243" s="1455"/>
      <c r="JQR243" s="1455"/>
      <c r="JQS243" s="1455"/>
      <c r="JQT243" s="1455"/>
      <c r="JQU243" s="1455"/>
      <c r="JQV243" s="1455"/>
      <c r="JQW243" s="1455"/>
      <c r="JQX243" s="1455"/>
      <c r="JQY243" s="1455"/>
      <c r="JQZ243" s="1455"/>
      <c r="JRA243" s="1455"/>
      <c r="JRB243" s="1455"/>
      <c r="JRC243" s="1455"/>
      <c r="JRD243" s="1455"/>
      <c r="JRE243" s="1455"/>
      <c r="JRF243" s="1455"/>
      <c r="JRG243" s="1455"/>
      <c r="JRH243" s="1455"/>
      <c r="JRI243" s="1455"/>
      <c r="JRJ243" s="1455"/>
      <c r="JRK243" s="1455"/>
      <c r="JRL243" s="1455"/>
      <c r="JRM243" s="1455"/>
      <c r="JRN243" s="1455"/>
      <c r="JRO243" s="1455"/>
      <c r="JRP243" s="1455"/>
      <c r="JRQ243" s="1455"/>
      <c r="JRR243" s="1455"/>
      <c r="JRS243" s="1455"/>
      <c r="JRT243" s="1455"/>
      <c r="JRU243" s="1455"/>
      <c r="JRV243" s="1455"/>
      <c r="JRW243" s="1455"/>
      <c r="JRX243" s="1455"/>
      <c r="JRY243" s="1455"/>
      <c r="JRZ243" s="1455"/>
      <c r="JSA243" s="1455"/>
      <c r="JSB243" s="1455"/>
      <c r="JSC243" s="1455"/>
      <c r="JSD243" s="1455"/>
      <c r="JSE243" s="1455"/>
      <c r="JSF243" s="1455"/>
      <c r="JSG243" s="1455"/>
      <c r="JSH243" s="1455"/>
      <c r="JSI243" s="1455"/>
      <c r="JSJ243" s="1455"/>
      <c r="JSK243" s="1455"/>
      <c r="JSL243" s="1455"/>
      <c r="JSM243" s="1455"/>
      <c r="JSN243" s="1455"/>
      <c r="JSO243" s="1455"/>
      <c r="JSP243" s="1455"/>
      <c r="JSQ243" s="1455"/>
      <c r="JSR243" s="1455"/>
      <c r="JSS243" s="1455"/>
      <c r="JST243" s="1455"/>
      <c r="JSU243" s="1455"/>
      <c r="JSV243" s="1455"/>
      <c r="JSW243" s="1455"/>
      <c r="JSX243" s="1455"/>
      <c r="JSY243" s="1455"/>
      <c r="JSZ243" s="1455"/>
      <c r="JTA243" s="1455"/>
      <c r="JTB243" s="1455"/>
      <c r="JTC243" s="1455"/>
      <c r="JTD243" s="1455"/>
      <c r="JTE243" s="1455"/>
      <c r="JTF243" s="1455"/>
      <c r="JTG243" s="1455"/>
      <c r="JTH243" s="1455"/>
      <c r="JTI243" s="1455"/>
      <c r="JTJ243" s="1455"/>
      <c r="JTK243" s="1455"/>
      <c r="JTL243" s="1455"/>
      <c r="JTM243" s="1455"/>
      <c r="JTN243" s="1455"/>
      <c r="JTO243" s="1455"/>
      <c r="JTP243" s="1455"/>
      <c r="JTQ243" s="1455"/>
      <c r="JTR243" s="1455"/>
      <c r="JTS243" s="1455"/>
      <c r="JTT243" s="1455"/>
      <c r="JTU243" s="1455"/>
      <c r="JTV243" s="1455"/>
      <c r="JTW243" s="1455"/>
      <c r="JTX243" s="1455"/>
      <c r="JTY243" s="1455"/>
      <c r="JTZ243" s="1455"/>
      <c r="JUA243" s="1455"/>
      <c r="JUB243" s="1455"/>
      <c r="JUC243" s="1455"/>
      <c r="JUD243" s="1455"/>
      <c r="JUE243" s="1455"/>
      <c r="JUF243" s="1455"/>
      <c r="JUG243" s="1455"/>
      <c r="JUH243" s="1455"/>
      <c r="JUI243" s="1455"/>
      <c r="JUJ243" s="1455"/>
      <c r="JUK243" s="1455"/>
      <c r="JUL243" s="1455"/>
      <c r="JUM243" s="1455"/>
      <c r="JUN243" s="1455"/>
      <c r="JUO243" s="1455"/>
      <c r="JUP243" s="1455"/>
      <c r="JUQ243" s="1455"/>
      <c r="JUR243" s="1455"/>
      <c r="JUS243" s="1455"/>
      <c r="JUT243" s="1455"/>
      <c r="JUU243" s="1455"/>
      <c r="JUV243" s="1455"/>
      <c r="JUW243" s="1455"/>
      <c r="JUX243" s="1455"/>
      <c r="JUY243" s="1455"/>
      <c r="JUZ243" s="1455"/>
      <c r="JVA243" s="1455"/>
      <c r="JVB243" s="1455"/>
      <c r="JVC243" s="1455"/>
      <c r="JVD243" s="1455"/>
      <c r="JVE243" s="1455"/>
      <c r="JVF243" s="1455"/>
      <c r="JVG243" s="1455"/>
      <c r="JVH243" s="1455"/>
      <c r="JVI243" s="1455"/>
      <c r="JVJ243" s="1455"/>
      <c r="JVK243" s="1455"/>
      <c r="JVL243" s="1455"/>
      <c r="JVM243" s="1455"/>
      <c r="JVN243" s="1455"/>
      <c r="JVO243" s="1455"/>
      <c r="JVP243" s="1455"/>
      <c r="JVQ243" s="1455"/>
      <c r="JVR243" s="1455"/>
      <c r="JVS243" s="1455"/>
      <c r="JVT243" s="1455"/>
      <c r="JVU243" s="1455"/>
      <c r="JVV243" s="1455"/>
      <c r="JVW243" s="1455"/>
      <c r="JVX243" s="1455"/>
      <c r="JVY243" s="1455"/>
      <c r="JVZ243" s="1455"/>
      <c r="JWA243" s="1455"/>
      <c r="JWB243" s="1455"/>
      <c r="JWC243" s="1455"/>
      <c r="JWD243" s="1455"/>
      <c r="JWE243" s="1455"/>
      <c r="JWF243" s="1455"/>
      <c r="JWG243" s="1455"/>
      <c r="JWH243" s="1455"/>
      <c r="JWI243" s="1455"/>
      <c r="JWJ243" s="1455"/>
      <c r="JWK243" s="1455"/>
      <c r="JWL243" s="1455"/>
      <c r="JWM243" s="1455"/>
      <c r="JWN243" s="1455"/>
      <c r="JWO243" s="1455"/>
      <c r="JWP243" s="1455"/>
      <c r="JWQ243" s="1455"/>
      <c r="JWR243" s="1455"/>
      <c r="JWS243" s="1455"/>
      <c r="JWT243" s="1455"/>
      <c r="JWU243" s="1455"/>
      <c r="JWV243" s="1455"/>
      <c r="JWW243" s="1455"/>
      <c r="JWX243" s="1455"/>
      <c r="JWY243" s="1455"/>
      <c r="JWZ243" s="1455"/>
      <c r="JXA243" s="1455"/>
      <c r="JXB243" s="1455"/>
      <c r="JXC243" s="1455"/>
      <c r="JXD243" s="1455"/>
      <c r="JXE243" s="1455"/>
      <c r="JXF243" s="1455"/>
      <c r="JXG243" s="1455"/>
      <c r="JXH243" s="1455"/>
      <c r="JXI243" s="1455"/>
      <c r="JXJ243" s="1455"/>
      <c r="JXK243" s="1455"/>
      <c r="JXL243" s="1455"/>
      <c r="JXM243" s="1455"/>
      <c r="JXN243" s="1455"/>
      <c r="JXO243" s="1455"/>
      <c r="JXP243" s="1455"/>
      <c r="JXQ243" s="1455"/>
      <c r="JXR243" s="1455"/>
      <c r="JXS243" s="1455"/>
      <c r="JXT243" s="1455"/>
      <c r="JXU243" s="1455"/>
      <c r="JXV243" s="1455"/>
      <c r="JXW243" s="1455"/>
      <c r="JXX243" s="1455"/>
      <c r="JXY243" s="1455"/>
      <c r="JXZ243" s="1455"/>
      <c r="JYA243" s="1455"/>
      <c r="JYB243" s="1455"/>
      <c r="JYC243" s="1455"/>
      <c r="JYD243" s="1455"/>
      <c r="JYE243" s="1455"/>
      <c r="JYF243" s="1455"/>
      <c r="JYG243" s="1455"/>
      <c r="JYH243" s="1455"/>
      <c r="JYI243" s="1455"/>
      <c r="JYJ243" s="1455"/>
      <c r="JYK243" s="1455"/>
      <c r="JYL243" s="1455"/>
      <c r="JYM243" s="1455"/>
      <c r="JYN243" s="1455"/>
      <c r="JYO243" s="1455"/>
      <c r="JYP243" s="1455"/>
      <c r="JYQ243" s="1455"/>
      <c r="JYR243" s="1455"/>
      <c r="JYS243" s="1455"/>
      <c r="JYT243" s="1455"/>
      <c r="JYU243" s="1455"/>
      <c r="JYV243" s="1455"/>
      <c r="JYW243" s="1455"/>
      <c r="JYX243" s="1455"/>
      <c r="JYY243" s="1455"/>
      <c r="JYZ243" s="1455"/>
      <c r="JZA243" s="1455"/>
      <c r="JZB243" s="1455"/>
      <c r="JZC243" s="1455"/>
      <c r="JZD243" s="1455"/>
      <c r="JZE243" s="1455"/>
      <c r="JZF243" s="1455"/>
      <c r="JZG243" s="1455"/>
      <c r="JZH243" s="1455"/>
      <c r="JZI243" s="1455"/>
      <c r="JZJ243" s="1455"/>
      <c r="JZK243" s="1455"/>
      <c r="JZL243" s="1455"/>
      <c r="JZM243" s="1455"/>
      <c r="JZN243" s="1455"/>
      <c r="JZO243" s="1455"/>
      <c r="JZP243" s="1455"/>
      <c r="JZQ243" s="1455"/>
      <c r="JZR243" s="1455"/>
      <c r="JZS243" s="1455"/>
      <c r="JZT243" s="1455"/>
      <c r="JZU243" s="1455"/>
      <c r="JZV243" s="1455"/>
      <c r="JZW243" s="1455"/>
      <c r="JZX243" s="1455"/>
      <c r="JZY243" s="1455"/>
      <c r="JZZ243" s="1455"/>
      <c r="KAA243" s="1455"/>
      <c r="KAB243" s="1455"/>
      <c r="KAC243" s="1455"/>
      <c r="KAD243" s="1455"/>
      <c r="KAE243" s="1455"/>
      <c r="KAF243" s="1455"/>
      <c r="KAG243" s="1455"/>
      <c r="KAH243" s="1455"/>
      <c r="KAI243" s="1455"/>
      <c r="KAJ243" s="1455"/>
      <c r="KAK243" s="1455"/>
      <c r="KAL243" s="1455"/>
      <c r="KAM243" s="1455"/>
      <c r="KAN243" s="1455"/>
      <c r="KAO243" s="1455"/>
      <c r="KAP243" s="1455"/>
      <c r="KAQ243" s="1455"/>
      <c r="KAR243" s="1455"/>
      <c r="KAS243" s="1455"/>
      <c r="KAT243" s="1455"/>
      <c r="KAU243" s="1455"/>
      <c r="KAV243" s="1455"/>
      <c r="KAW243" s="1455"/>
      <c r="KAX243" s="1455"/>
      <c r="KAY243" s="1455"/>
      <c r="KAZ243" s="1455"/>
      <c r="KBA243" s="1455"/>
      <c r="KBB243" s="1455"/>
      <c r="KBC243" s="1455"/>
      <c r="KBD243" s="1455"/>
      <c r="KBE243" s="1455"/>
      <c r="KBF243" s="1455"/>
      <c r="KBG243" s="1455"/>
      <c r="KBH243" s="1455"/>
      <c r="KBI243" s="1455"/>
      <c r="KBJ243" s="1455"/>
      <c r="KBK243" s="1455"/>
      <c r="KBL243" s="1455"/>
      <c r="KBM243" s="1455"/>
      <c r="KBN243" s="1455"/>
      <c r="KBO243" s="1455"/>
      <c r="KBP243" s="1455"/>
      <c r="KBQ243" s="1455"/>
      <c r="KBR243" s="1455"/>
      <c r="KBS243" s="1455"/>
      <c r="KBT243" s="1455"/>
      <c r="KBU243" s="1455"/>
      <c r="KBV243" s="1455"/>
      <c r="KBW243" s="1455"/>
      <c r="KBX243" s="1455"/>
      <c r="KBY243" s="1455"/>
      <c r="KBZ243" s="1455"/>
      <c r="KCA243" s="1455"/>
      <c r="KCB243" s="1455"/>
      <c r="KCC243" s="1455"/>
      <c r="KCD243" s="1455"/>
      <c r="KCE243" s="1455"/>
      <c r="KCF243" s="1455"/>
      <c r="KCG243" s="1455"/>
      <c r="KCH243" s="1455"/>
      <c r="KCI243" s="1455"/>
      <c r="KCJ243" s="1455"/>
      <c r="KCK243" s="1455"/>
      <c r="KCL243" s="1455"/>
      <c r="KCM243" s="1455"/>
      <c r="KCN243" s="1455"/>
      <c r="KCO243" s="1455"/>
      <c r="KCP243" s="1455"/>
      <c r="KCQ243" s="1455"/>
      <c r="KCR243" s="1455"/>
      <c r="KCS243" s="1455"/>
      <c r="KCT243" s="1455"/>
      <c r="KCU243" s="1455"/>
      <c r="KCV243" s="1455"/>
      <c r="KCW243" s="1455"/>
      <c r="KCX243" s="1455"/>
      <c r="KCY243" s="1455"/>
      <c r="KCZ243" s="1455"/>
      <c r="KDA243" s="1455"/>
      <c r="KDB243" s="1455"/>
      <c r="KDC243" s="1455"/>
      <c r="KDD243" s="1455"/>
      <c r="KDE243" s="1455"/>
      <c r="KDF243" s="1455"/>
      <c r="KDG243" s="1455"/>
      <c r="KDH243" s="1455"/>
      <c r="KDI243" s="1455"/>
      <c r="KDJ243" s="1455"/>
      <c r="KDK243" s="1455"/>
      <c r="KDL243" s="1455"/>
      <c r="KDM243" s="1455"/>
      <c r="KDN243" s="1455"/>
      <c r="KDO243" s="1455"/>
      <c r="KDP243" s="1455"/>
      <c r="KDQ243" s="1455"/>
      <c r="KDR243" s="1455"/>
      <c r="KDS243" s="1455"/>
      <c r="KDT243" s="1455"/>
      <c r="KDU243" s="1455"/>
      <c r="KDV243" s="1455"/>
      <c r="KDW243" s="1455"/>
      <c r="KDX243" s="1455"/>
      <c r="KDY243" s="1455"/>
      <c r="KDZ243" s="1455"/>
      <c r="KEA243" s="1455"/>
      <c r="KEB243" s="1455"/>
      <c r="KEC243" s="1455"/>
      <c r="KED243" s="1455"/>
      <c r="KEE243" s="1455"/>
      <c r="KEF243" s="1455"/>
      <c r="KEG243" s="1455"/>
      <c r="KEH243" s="1455"/>
      <c r="KEI243" s="1455"/>
      <c r="KEJ243" s="1455"/>
      <c r="KEK243" s="1455"/>
      <c r="KEL243" s="1455"/>
      <c r="KEM243" s="1455"/>
      <c r="KEN243" s="1455"/>
      <c r="KEO243" s="1455"/>
      <c r="KEP243" s="1455"/>
      <c r="KEQ243" s="1455"/>
      <c r="KER243" s="1455"/>
      <c r="KES243" s="1455"/>
      <c r="KET243" s="1455"/>
      <c r="KEU243" s="1455"/>
      <c r="KEV243" s="1455"/>
      <c r="KEW243" s="1455"/>
      <c r="KEX243" s="1455"/>
      <c r="KEY243" s="1455"/>
      <c r="KEZ243" s="1455"/>
      <c r="KFA243" s="1455"/>
      <c r="KFB243" s="1455"/>
      <c r="KFC243" s="1455"/>
      <c r="KFD243" s="1455"/>
      <c r="KFE243" s="1455"/>
      <c r="KFF243" s="1455"/>
      <c r="KFG243" s="1455"/>
      <c r="KFH243" s="1455"/>
      <c r="KFI243" s="1455"/>
      <c r="KFJ243" s="1455"/>
      <c r="KFK243" s="1455"/>
      <c r="KFL243" s="1455"/>
      <c r="KFM243" s="1455"/>
      <c r="KFN243" s="1455"/>
      <c r="KFO243" s="1455"/>
      <c r="KFP243" s="1455"/>
      <c r="KFQ243" s="1455"/>
      <c r="KFR243" s="1455"/>
      <c r="KFS243" s="1455"/>
      <c r="KFT243" s="1455"/>
      <c r="KFU243" s="1455"/>
      <c r="KFV243" s="1455"/>
      <c r="KFW243" s="1455"/>
      <c r="KFX243" s="1455"/>
      <c r="KFY243" s="1455"/>
      <c r="KFZ243" s="1455"/>
      <c r="KGA243" s="1455"/>
      <c r="KGB243" s="1455"/>
      <c r="KGC243" s="1455"/>
      <c r="KGD243" s="1455"/>
      <c r="KGE243" s="1455"/>
      <c r="KGF243" s="1455"/>
      <c r="KGG243" s="1455"/>
      <c r="KGH243" s="1455"/>
      <c r="KGI243" s="1455"/>
      <c r="KGJ243" s="1455"/>
      <c r="KGK243" s="1455"/>
      <c r="KGL243" s="1455"/>
      <c r="KGM243" s="1455"/>
      <c r="KGN243" s="1455"/>
      <c r="KGO243" s="1455"/>
      <c r="KGP243" s="1455"/>
      <c r="KGQ243" s="1455"/>
      <c r="KGR243" s="1455"/>
      <c r="KGS243" s="1455"/>
      <c r="KGT243" s="1455"/>
      <c r="KGU243" s="1455"/>
      <c r="KGV243" s="1455"/>
      <c r="KGW243" s="1455"/>
      <c r="KGX243" s="1455"/>
      <c r="KGY243" s="1455"/>
      <c r="KGZ243" s="1455"/>
      <c r="KHA243" s="1455"/>
      <c r="KHB243" s="1455"/>
      <c r="KHC243" s="1455"/>
      <c r="KHD243" s="1455"/>
      <c r="KHE243" s="1455"/>
      <c r="KHF243" s="1455"/>
      <c r="KHG243" s="1455"/>
      <c r="KHH243" s="1455"/>
      <c r="KHI243" s="1455"/>
      <c r="KHJ243" s="1455"/>
      <c r="KHK243" s="1455"/>
      <c r="KHL243" s="1455"/>
      <c r="KHM243" s="1455"/>
      <c r="KHN243" s="1455"/>
      <c r="KHO243" s="1455"/>
      <c r="KHP243" s="1455"/>
      <c r="KHQ243" s="1455"/>
      <c r="KHR243" s="1455"/>
      <c r="KHS243" s="1455"/>
      <c r="KHT243" s="1455"/>
      <c r="KHU243" s="1455"/>
      <c r="KHV243" s="1455"/>
      <c r="KHW243" s="1455"/>
      <c r="KHX243" s="1455"/>
      <c r="KHY243" s="1455"/>
      <c r="KHZ243" s="1455"/>
      <c r="KIA243" s="1455"/>
      <c r="KIB243" s="1455"/>
      <c r="KIC243" s="1455"/>
      <c r="KID243" s="1455"/>
      <c r="KIE243" s="1455"/>
      <c r="KIF243" s="1455"/>
      <c r="KIG243" s="1455"/>
      <c r="KIH243" s="1455"/>
      <c r="KII243" s="1455"/>
      <c r="KIJ243" s="1455"/>
      <c r="KIK243" s="1455"/>
      <c r="KIL243" s="1455"/>
      <c r="KIM243" s="1455"/>
      <c r="KIN243" s="1455"/>
      <c r="KIO243" s="1455"/>
      <c r="KIP243" s="1455"/>
      <c r="KIQ243" s="1455"/>
      <c r="KIR243" s="1455"/>
      <c r="KIS243" s="1455"/>
      <c r="KIT243" s="1455"/>
      <c r="KIU243" s="1455"/>
      <c r="KIV243" s="1455"/>
      <c r="KIW243" s="1455"/>
      <c r="KIX243" s="1455"/>
      <c r="KIY243" s="1455"/>
      <c r="KIZ243" s="1455"/>
      <c r="KJA243" s="1455"/>
      <c r="KJB243" s="1455"/>
      <c r="KJC243" s="1455"/>
      <c r="KJD243" s="1455"/>
      <c r="KJE243" s="1455"/>
      <c r="KJF243" s="1455"/>
      <c r="KJG243" s="1455"/>
      <c r="KJH243" s="1455"/>
      <c r="KJI243" s="1455"/>
      <c r="KJJ243" s="1455"/>
      <c r="KJK243" s="1455"/>
      <c r="KJL243" s="1455"/>
      <c r="KJM243" s="1455"/>
      <c r="KJN243" s="1455"/>
      <c r="KJO243" s="1455"/>
      <c r="KJP243" s="1455"/>
      <c r="KJQ243" s="1455"/>
      <c r="KJR243" s="1455"/>
      <c r="KJS243" s="1455"/>
      <c r="KJT243" s="1455"/>
      <c r="KJU243" s="1455"/>
      <c r="KJV243" s="1455"/>
      <c r="KJW243" s="1455"/>
      <c r="KJX243" s="1455"/>
      <c r="KJY243" s="1455"/>
      <c r="KJZ243" s="1455"/>
      <c r="KKA243" s="1455"/>
      <c r="KKB243" s="1455"/>
      <c r="KKC243" s="1455"/>
      <c r="KKD243" s="1455"/>
      <c r="KKE243" s="1455"/>
      <c r="KKF243" s="1455"/>
      <c r="KKG243" s="1455"/>
      <c r="KKH243" s="1455"/>
      <c r="KKI243" s="1455"/>
      <c r="KKJ243" s="1455"/>
      <c r="KKK243" s="1455"/>
      <c r="KKL243" s="1455"/>
      <c r="KKM243" s="1455"/>
      <c r="KKN243" s="1455"/>
      <c r="KKO243" s="1455"/>
      <c r="KKP243" s="1455"/>
      <c r="KKQ243" s="1455"/>
      <c r="KKR243" s="1455"/>
      <c r="KKS243" s="1455"/>
      <c r="KKT243" s="1455"/>
      <c r="KKU243" s="1455"/>
      <c r="KKV243" s="1455"/>
      <c r="KKW243" s="1455"/>
      <c r="KKX243" s="1455"/>
      <c r="KKY243" s="1455"/>
      <c r="KKZ243" s="1455"/>
      <c r="KLA243" s="1455"/>
      <c r="KLB243" s="1455"/>
      <c r="KLC243" s="1455"/>
      <c r="KLD243" s="1455"/>
      <c r="KLE243" s="1455"/>
      <c r="KLF243" s="1455"/>
      <c r="KLG243" s="1455"/>
      <c r="KLH243" s="1455"/>
      <c r="KLI243" s="1455"/>
      <c r="KLJ243" s="1455"/>
      <c r="KLK243" s="1455"/>
      <c r="KLL243" s="1455"/>
      <c r="KLM243" s="1455"/>
      <c r="KLN243" s="1455"/>
      <c r="KLO243" s="1455"/>
      <c r="KLP243" s="1455"/>
      <c r="KLQ243" s="1455"/>
      <c r="KLR243" s="1455"/>
      <c r="KLS243" s="1455"/>
      <c r="KLT243" s="1455"/>
      <c r="KLU243" s="1455"/>
      <c r="KLV243" s="1455"/>
      <c r="KLW243" s="1455"/>
      <c r="KLX243" s="1455"/>
      <c r="KLY243" s="1455"/>
      <c r="KLZ243" s="1455"/>
      <c r="KMA243" s="1455"/>
      <c r="KMB243" s="1455"/>
      <c r="KMC243" s="1455"/>
      <c r="KMD243" s="1455"/>
      <c r="KME243" s="1455"/>
      <c r="KMF243" s="1455"/>
      <c r="KMG243" s="1455"/>
      <c r="KMH243" s="1455"/>
      <c r="KMI243" s="1455"/>
      <c r="KMJ243" s="1455"/>
      <c r="KMK243" s="1455"/>
      <c r="KML243" s="1455"/>
      <c r="KMM243" s="1455"/>
      <c r="KMN243" s="1455"/>
      <c r="KMO243" s="1455"/>
      <c r="KMP243" s="1455"/>
      <c r="KMQ243" s="1455"/>
      <c r="KMR243" s="1455"/>
      <c r="KMS243" s="1455"/>
      <c r="KMT243" s="1455"/>
      <c r="KMU243" s="1455"/>
      <c r="KMV243" s="1455"/>
      <c r="KMW243" s="1455"/>
      <c r="KMX243" s="1455"/>
      <c r="KMY243" s="1455"/>
      <c r="KMZ243" s="1455"/>
      <c r="KNA243" s="1455"/>
      <c r="KNB243" s="1455"/>
      <c r="KNC243" s="1455"/>
      <c r="KND243" s="1455"/>
      <c r="KNE243" s="1455"/>
      <c r="KNF243" s="1455"/>
      <c r="KNG243" s="1455"/>
      <c r="KNH243" s="1455"/>
      <c r="KNI243" s="1455"/>
      <c r="KNJ243" s="1455"/>
      <c r="KNK243" s="1455"/>
      <c r="KNL243" s="1455"/>
      <c r="KNM243" s="1455"/>
      <c r="KNN243" s="1455"/>
      <c r="KNO243" s="1455"/>
      <c r="KNP243" s="1455"/>
      <c r="KNQ243" s="1455"/>
      <c r="KNR243" s="1455"/>
      <c r="KNS243" s="1455"/>
      <c r="KNT243" s="1455"/>
      <c r="KNU243" s="1455"/>
      <c r="KNV243" s="1455"/>
      <c r="KNW243" s="1455"/>
      <c r="KNX243" s="1455"/>
      <c r="KNY243" s="1455"/>
      <c r="KNZ243" s="1455"/>
      <c r="KOA243" s="1455"/>
      <c r="KOB243" s="1455"/>
      <c r="KOC243" s="1455"/>
      <c r="KOD243" s="1455"/>
      <c r="KOE243" s="1455"/>
      <c r="KOF243" s="1455"/>
      <c r="KOG243" s="1455"/>
      <c r="KOH243" s="1455"/>
      <c r="KOI243" s="1455"/>
      <c r="KOJ243" s="1455"/>
      <c r="KOK243" s="1455"/>
      <c r="KOL243" s="1455"/>
      <c r="KOM243" s="1455"/>
      <c r="KON243" s="1455"/>
      <c r="KOO243" s="1455"/>
      <c r="KOP243" s="1455"/>
      <c r="KOQ243" s="1455"/>
      <c r="KOR243" s="1455"/>
      <c r="KOS243" s="1455"/>
      <c r="KOT243" s="1455"/>
      <c r="KOU243" s="1455"/>
      <c r="KOV243" s="1455"/>
      <c r="KOW243" s="1455"/>
      <c r="KOX243" s="1455"/>
      <c r="KOY243" s="1455"/>
      <c r="KOZ243" s="1455"/>
      <c r="KPA243" s="1455"/>
      <c r="KPB243" s="1455"/>
      <c r="KPC243" s="1455"/>
      <c r="KPD243" s="1455"/>
      <c r="KPE243" s="1455"/>
      <c r="KPF243" s="1455"/>
      <c r="KPG243" s="1455"/>
      <c r="KPH243" s="1455"/>
      <c r="KPI243" s="1455"/>
      <c r="KPJ243" s="1455"/>
      <c r="KPK243" s="1455"/>
      <c r="KPL243" s="1455"/>
      <c r="KPM243" s="1455"/>
      <c r="KPN243" s="1455"/>
      <c r="KPO243" s="1455"/>
      <c r="KPP243" s="1455"/>
      <c r="KPQ243" s="1455"/>
      <c r="KPR243" s="1455"/>
      <c r="KPS243" s="1455"/>
      <c r="KPT243" s="1455"/>
      <c r="KPU243" s="1455"/>
      <c r="KPV243" s="1455"/>
      <c r="KPW243" s="1455"/>
      <c r="KPX243" s="1455"/>
      <c r="KPY243" s="1455"/>
      <c r="KPZ243" s="1455"/>
      <c r="KQA243" s="1455"/>
      <c r="KQB243" s="1455"/>
      <c r="KQC243" s="1455"/>
      <c r="KQD243" s="1455"/>
      <c r="KQE243" s="1455"/>
      <c r="KQF243" s="1455"/>
      <c r="KQG243" s="1455"/>
      <c r="KQH243" s="1455"/>
      <c r="KQI243" s="1455"/>
      <c r="KQJ243" s="1455"/>
      <c r="KQK243" s="1455"/>
      <c r="KQL243" s="1455"/>
      <c r="KQM243" s="1455"/>
      <c r="KQN243" s="1455"/>
      <c r="KQO243" s="1455"/>
      <c r="KQP243" s="1455"/>
      <c r="KQQ243" s="1455"/>
      <c r="KQR243" s="1455"/>
      <c r="KQS243" s="1455"/>
      <c r="KQT243" s="1455"/>
      <c r="KQU243" s="1455"/>
      <c r="KQV243" s="1455"/>
      <c r="KQW243" s="1455"/>
      <c r="KQX243" s="1455"/>
      <c r="KQY243" s="1455"/>
      <c r="KQZ243" s="1455"/>
      <c r="KRA243" s="1455"/>
      <c r="KRB243" s="1455"/>
      <c r="KRC243" s="1455"/>
      <c r="KRD243" s="1455"/>
      <c r="KRE243" s="1455"/>
      <c r="KRF243" s="1455"/>
      <c r="KRG243" s="1455"/>
      <c r="KRH243" s="1455"/>
      <c r="KRI243" s="1455"/>
      <c r="KRJ243" s="1455"/>
      <c r="KRK243" s="1455"/>
      <c r="KRL243" s="1455"/>
      <c r="KRM243" s="1455"/>
      <c r="KRN243" s="1455"/>
      <c r="KRO243" s="1455"/>
      <c r="KRP243" s="1455"/>
      <c r="KRQ243" s="1455"/>
      <c r="KRR243" s="1455"/>
      <c r="KRS243" s="1455"/>
      <c r="KRT243" s="1455"/>
      <c r="KRU243" s="1455"/>
      <c r="KRV243" s="1455"/>
      <c r="KRW243" s="1455"/>
      <c r="KRX243" s="1455"/>
      <c r="KRY243" s="1455"/>
      <c r="KRZ243" s="1455"/>
      <c r="KSA243" s="1455"/>
      <c r="KSB243" s="1455"/>
      <c r="KSC243" s="1455"/>
      <c r="KSD243" s="1455"/>
      <c r="KSE243" s="1455"/>
      <c r="KSF243" s="1455"/>
      <c r="KSG243" s="1455"/>
      <c r="KSH243" s="1455"/>
      <c r="KSI243" s="1455"/>
      <c r="KSJ243" s="1455"/>
      <c r="KSK243" s="1455"/>
      <c r="KSL243" s="1455"/>
      <c r="KSM243" s="1455"/>
      <c r="KSN243" s="1455"/>
      <c r="KSO243" s="1455"/>
      <c r="KSP243" s="1455"/>
      <c r="KSQ243" s="1455"/>
      <c r="KSR243" s="1455"/>
      <c r="KSS243" s="1455"/>
      <c r="KST243" s="1455"/>
      <c r="KSU243" s="1455"/>
      <c r="KSV243" s="1455"/>
      <c r="KSW243" s="1455"/>
      <c r="KSX243" s="1455"/>
      <c r="KSY243" s="1455"/>
      <c r="KSZ243" s="1455"/>
      <c r="KTA243" s="1455"/>
      <c r="KTB243" s="1455"/>
      <c r="KTC243" s="1455"/>
      <c r="KTD243" s="1455"/>
      <c r="KTE243" s="1455"/>
      <c r="KTF243" s="1455"/>
      <c r="KTG243" s="1455"/>
      <c r="KTH243" s="1455"/>
      <c r="KTI243" s="1455"/>
      <c r="KTJ243" s="1455"/>
      <c r="KTK243" s="1455"/>
      <c r="KTL243" s="1455"/>
      <c r="KTM243" s="1455"/>
      <c r="KTN243" s="1455"/>
      <c r="KTO243" s="1455"/>
      <c r="KTP243" s="1455"/>
      <c r="KTQ243" s="1455"/>
      <c r="KTR243" s="1455"/>
      <c r="KTS243" s="1455"/>
      <c r="KTT243" s="1455"/>
      <c r="KTU243" s="1455"/>
      <c r="KTV243" s="1455"/>
      <c r="KTW243" s="1455"/>
      <c r="KTX243" s="1455"/>
      <c r="KTY243" s="1455"/>
      <c r="KTZ243" s="1455"/>
      <c r="KUA243" s="1455"/>
      <c r="KUB243" s="1455"/>
      <c r="KUC243" s="1455"/>
      <c r="KUD243" s="1455"/>
      <c r="KUE243" s="1455"/>
      <c r="KUF243" s="1455"/>
      <c r="KUG243" s="1455"/>
      <c r="KUH243" s="1455"/>
      <c r="KUI243" s="1455"/>
      <c r="KUJ243" s="1455"/>
      <c r="KUK243" s="1455"/>
      <c r="KUL243" s="1455"/>
      <c r="KUM243" s="1455"/>
      <c r="KUN243" s="1455"/>
      <c r="KUO243" s="1455"/>
      <c r="KUP243" s="1455"/>
      <c r="KUQ243" s="1455"/>
      <c r="KUR243" s="1455"/>
      <c r="KUS243" s="1455"/>
      <c r="KUT243" s="1455"/>
      <c r="KUU243" s="1455"/>
      <c r="KUV243" s="1455"/>
      <c r="KUW243" s="1455"/>
      <c r="KUX243" s="1455"/>
      <c r="KUY243" s="1455"/>
      <c r="KUZ243" s="1455"/>
      <c r="KVA243" s="1455"/>
      <c r="KVB243" s="1455"/>
      <c r="KVC243" s="1455"/>
      <c r="KVD243" s="1455"/>
      <c r="KVE243" s="1455"/>
      <c r="KVF243" s="1455"/>
      <c r="KVG243" s="1455"/>
      <c r="KVH243" s="1455"/>
      <c r="KVI243" s="1455"/>
      <c r="KVJ243" s="1455"/>
      <c r="KVK243" s="1455"/>
      <c r="KVL243" s="1455"/>
      <c r="KVM243" s="1455"/>
      <c r="KVN243" s="1455"/>
      <c r="KVO243" s="1455"/>
      <c r="KVP243" s="1455"/>
      <c r="KVQ243" s="1455"/>
      <c r="KVR243" s="1455"/>
      <c r="KVS243" s="1455"/>
      <c r="KVT243" s="1455"/>
      <c r="KVU243" s="1455"/>
      <c r="KVV243" s="1455"/>
      <c r="KVW243" s="1455"/>
      <c r="KVX243" s="1455"/>
      <c r="KVY243" s="1455"/>
      <c r="KVZ243" s="1455"/>
      <c r="KWA243" s="1455"/>
      <c r="KWB243" s="1455"/>
      <c r="KWC243" s="1455"/>
      <c r="KWD243" s="1455"/>
      <c r="KWE243" s="1455"/>
      <c r="KWF243" s="1455"/>
      <c r="KWG243" s="1455"/>
      <c r="KWH243" s="1455"/>
      <c r="KWI243" s="1455"/>
      <c r="KWJ243" s="1455"/>
      <c r="KWK243" s="1455"/>
      <c r="KWL243" s="1455"/>
      <c r="KWM243" s="1455"/>
      <c r="KWN243" s="1455"/>
      <c r="KWO243" s="1455"/>
      <c r="KWP243" s="1455"/>
      <c r="KWQ243" s="1455"/>
      <c r="KWR243" s="1455"/>
      <c r="KWS243" s="1455"/>
      <c r="KWT243" s="1455"/>
      <c r="KWU243" s="1455"/>
      <c r="KWV243" s="1455"/>
      <c r="KWW243" s="1455"/>
      <c r="KWX243" s="1455"/>
      <c r="KWY243" s="1455"/>
      <c r="KWZ243" s="1455"/>
      <c r="KXA243" s="1455"/>
      <c r="KXB243" s="1455"/>
      <c r="KXC243" s="1455"/>
      <c r="KXD243" s="1455"/>
      <c r="KXE243" s="1455"/>
      <c r="KXF243" s="1455"/>
      <c r="KXG243" s="1455"/>
      <c r="KXH243" s="1455"/>
      <c r="KXI243" s="1455"/>
      <c r="KXJ243" s="1455"/>
      <c r="KXK243" s="1455"/>
      <c r="KXL243" s="1455"/>
      <c r="KXM243" s="1455"/>
      <c r="KXN243" s="1455"/>
      <c r="KXO243" s="1455"/>
      <c r="KXP243" s="1455"/>
      <c r="KXQ243" s="1455"/>
      <c r="KXR243" s="1455"/>
      <c r="KXS243" s="1455"/>
      <c r="KXT243" s="1455"/>
      <c r="KXU243" s="1455"/>
      <c r="KXV243" s="1455"/>
      <c r="KXW243" s="1455"/>
      <c r="KXX243" s="1455"/>
      <c r="KXY243" s="1455"/>
      <c r="KXZ243" s="1455"/>
      <c r="KYA243" s="1455"/>
      <c r="KYB243" s="1455"/>
      <c r="KYC243" s="1455"/>
      <c r="KYD243" s="1455"/>
      <c r="KYE243" s="1455"/>
      <c r="KYF243" s="1455"/>
      <c r="KYG243" s="1455"/>
      <c r="KYH243" s="1455"/>
      <c r="KYI243" s="1455"/>
      <c r="KYJ243" s="1455"/>
      <c r="KYK243" s="1455"/>
      <c r="KYL243" s="1455"/>
      <c r="KYM243" s="1455"/>
      <c r="KYN243" s="1455"/>
      <c r="KYO243" s="1455"/>
      <c r="KYP243" s="1455"/>
      <c r="KYQ243" s="1455"/>
      <c r="KYR243" s="1455"/>
      <c r="KYS243" s="1455"/>
      <c r="KYT243" s="1455"/>
      <c r="KYU243" s="1455"/>
      <c r="KYV243" s="1455"/>
      <c r="KYW243" s="1455"/>
      <c r="KYX243" s="1455"/>
      <c r="KYY243" s="1455"/>
      <c r="KYZ243" s="1455"/>
      <c r="KZA243" s="1455"/>
      <c r="KZB243" s="1455"/>
      <c r="KZC243" s="1455"/>
      <c r="KZD243" s="1455"/>
      <c r="KZE243" s="1455"/>
      <c r="KZF243" s="1455"/>
      <c r="KZG243" s="1455"/>
      <c r="KZH243" s="1455"/>
      <c r="KZI243" s="1455"/>
      <c r="KZJ243" s="1455"/>
      <c r="KZK243" s="1455"/>
      <c r="KZL243" s="1455"/>
      <c r="KZM243" s="1455"/>
      <c r="KZN243" s="1455"/>
      <c r="KZO243" s="1455"/>
      <c r="KZP243" s="1455"/>
      <c r="KZQ243" s="1455"/>
      <c r="KZR243" s="1455"/>
      <c r="KZS243" s="1455"/>
      <c r="KZT243" s="1455"/>
      <c r="KZU243" s="1455"/>
      <c r="KZV243" s="1455"/>
      <c r="KZW243" s="1455"/>
      <c r="KZX243" s="1455"/>
      <c r="KZY243" s="1455"/>
      <c r="KZZ243" s="1455"/>
      <c r="LAA243" s="1455"/>
      <c r="LAB243" s="1455"/>
      <c r="LAC243" s="1455"/>
      <c r="LAD243" s="1455"/>
      <c r="LAE243" s="1455"/>
      <c r="LAF243" s="1455"/>
      <c r="LAG243" s="1455"/>
      <c r="LAH243" s="1455"/>
      <c r="LAI243" s="1455"/>
      <c r="LAJ243" s="1455"/>
      <c r="LAK243" s="1455"/>
      <c r="LAL243" s="1455"/>
      <c r="LAM243" s="1455"/>
      <c r="LAN243" s="1455"/>
      <c r="LAO243" s="1455"/>
      <c r="LAP243" s="1455"/>
      <c r="LAQ243" s="1455"/>
      <c r="LAR243" s="1455"/>
      <c r="LAS243" s="1455"/>
      <c r="LAT243" s="1455"/>
      <c r="LAU243" s="1455"/>
      <c r="LAV243" s="1455"/>
      <c r="LAW243" s="1455"/>
      <c r="LAX243" s="1455"/>
      <c r="LAY243" s="1455"/>
      <c r="LAZ243" s="1455"/>
      <c r="LBA243" s="1455"/>
      <c r="LBB243" s="1455"/>
      <c r="LBC243" s="1455"/>
      <c r="LBD243" s="1455"/>
      <c r="LBE243" s="1455"/>
      <c r="LBF243" s="1455"/>
      <c r="LBG243" s="1455"/>
      <c r="LBH243" s="1455"/>
      <c r="LBI243" s="1455"/>
      <c r="LBJ243" s="1455"/>
      <c r="LBK243" s="1455"/>
      <c r="LBL243" s="1455"/>
      <c r="LBM243" s="1455"/>
      <c r="LBN243" s="1455"/>
      <c r="LBO243" s="1455"/>
      <c r="LBP243" s="1455"/>
      <c r="LBQ243" s="1455"/>
      <c r="LBR243" s="1455"/>
      <c r="LBS243" s="1455"/>
      <c r="LBT243" s="1455"/>
      <c r="LBU243" s="1455"/>
      <c r="LBV243" s="1455"/>
      <c r="LBW243" s="1455"/>
      <c r="LBX243" s="1455"/>
      <c r="LBY243" s="1455"/>
      <c r="LBZ243" s="1455"/>
      <c r="LCA243" s="1455"/>
      <c r="LCB243" s="1455"/>
      <c r="LCC243" s="1455"/>
      <c r="LCD243" s="1455"/>
      <c r="LCE243" s="1455"/>
      <c r="LCF243" s="1455"/>
      <c r="LCG243" s="1455"/>
      <c r="LCH243" s="1455"/>
      <c r="LCI243" s="1455"/>
      <c r="LCJ243" s="1455"/>
      <c r="LCK243" s="1455"/>
      <c r="LCL243" s="1455"/>
      <c r="LCM243" s="1455"/>
      <c r="LCN243" s="1455"/>
      <c r="LCO243" s="1455"/>
      <c r="LCP243" s="1455"/>
      <c r="LCQ243" s="1455"/>
      <c r="LCR243" s="1455"/>
      <c r="LCS243" s="1455"/>
      <c r="LCT243" s="1455"/>
      <c r="LCU243" s="1455"/>
      <c r="LCV243" s="1455"/>
      <c r="LCW243" s="1455"/>
      <c r="LCX243" s="1455"/>
      <c r="LCY243" s="1455"/>
      <c r="LCZ243" s="1455"/>
      <c r="LDA243" s="1455"/>
      <c r="LDB243" s="1455"/>
      <c r="LDC243" s="1455"/>
      <c r="LDD243" s="1455"/>
      <c r="LDE243" s="1455"/>
      <c r="LDF243" s="1455"/>
      <c r="LDG243" s="1455"/>
      <c r="LDH243" s="1455"/>
      <c r="LDI243" s="1455"/>
      <c r="LDJ243" s="1455"/>
      <c r="LDK243" s="1455"/>
      <c r="LDL243" s="1455"/>
      <c r="LDM243" s="1455"/>
      <c r="LDN243" s="1455"/>
      <c r="LDO243" s="1455"/>
      <c r="LDP243" s="1455"/>
      <c r="LDQ243" s="1455"/>
      <c r="LDR243" s="1455"/>
      <c r="LDS243" s="1455"/>
      <c r="LDT243" s="1455"/>
      <c r="LDU243" s="1455"/>
      <c r="LDV243" s="1455"/>
      <c r="LDW243" s="1455"/>
      <c r="LDX243" s="1455"/>
      <c r="LDY243" s="1455"/>
      <c r="LDZ243" s="1455"/>
      <c r="LEA243" s="1455"/>
      <c r="LEB243" s="1455"/>
      <c r="LEC243" s="1455"/>
      <c r="LED243" s="1455"/>
      <c r="LEE243" s="1455"/>
      <c r="LEF243" s="1455"/>
      <c r="LEG243" s="1455"/>
      <c r="LEH243" s="1455"/>
      <c r="LEI243" s="1455"/>
      <c r="LEJ243" s="1455"/>
      <c r="LEK243" s="1455"/>
      <c r="LEL243" s="1455"/>
      <c r="LEM243" s="1455"/>
      <c r="LEN243" s="1455"/>
      <c r="LEO243" s="1455"/>
      <c r="LEP243" s="1455"/>
      <c r="LEQ243" s="1455"/>
      <c r="LER243" s="1455"/>
      <c r="LES243" s="1455"/>
      <c r="LET243" s="1455"/>
      <c r="LEU243" s="1455"/>
      <c r="LEV243" s="1455"/>
      <c r="LEW243" s="1455"/>
      <c r="LEX243" s="1455"/>
      <c r="LEY243" s="1455"/>
      <c r="LEZ243" s="1455"/>
      <c r="LFA243" s="1455"/>
      <c r="LFB243" s="1455"/>
      <c r="LFC243" s="1455"/>
      <c r="LFD243" s="1455"/>
      <c r="LFE243" s="1455"/>
      <c r="LFF243" s="1455"/>
      <c r="LFG243" s="1455"/>
      <c r="LFH243" s="1455"/>
      <c r="LFI243" s="1455"/>
      <c r="LFJ243" s="1455"/>
      <c r="LFK243" s="1455"/>
      <c r="LFL243" s="1455"/>
      <c r="LFM243" s="1455"/>
      <c r="LFN243" s="1455"/>
      <c r="LFO243" s="1455"/>
      <c r="LFP243" s="1455"/>
      <c r="LFQ243" s="1455"/>
      <c r="LFR243" s="1455"/>
      <c r="LFS243" s="1455"/>
      <c r="LFT243" s="1455"/>
      <c r="LFU243" s="1455"/>
      <c r="LFV243" s="1455"/>
      <c r="LFW243" s="1455"/>
      <c r="LFX243" s="1455"/>
      <c r="LFY243" s="1455"/>
      <c r="LFZ243" s="1455"/>
      <c r="LGA243" s="1455"/>
      <c r="LGB243" s="1455"/>
      <c r="LGC243" s="1455"/>
      <c r="LGD243" s="1455"/>
      <c r="LGE243" s="1455"/>
      <c r="LGF243" s="1455"/>
      <c r="LGG243" s="1455"/>
      <c r="LGH243" s="1455"/>
      <c r="LGI243" s="1455"/>
      <c r="LGJ243" s="1455"/>
      <c r="LGK243" s="1455"/>
      <c r="LGL243" s="1455"/>
      <c r="LGM243" s="1455"/>
      <c r="LGN243" s="1455"/>
      <c r="LGO243" s="1455"/>
      <c r="LGP243" s="1455"/>
      <c r="LGQ243" s="1455"/>
      <c r="LGR243" s="1455"/>
      <c r="LGS243" s="1455"/>
      <c r="LGT243" s="1455"/>
      <c r="LGU243" s="1455"/>
      <c r="LGV243" s="1455"/>
      <c r="LGW243" s="1455"/>
      <c r="LGX243" s="1455"/>
      <c r="LGY243" s="1455"/>
      <c r="LGZ243" s="1455"/>
      <c r="LHA243" s="1455"/>
      <c r="LHB243" s="1455"/>
      <c r="LHC243" s="1455"/>
      <c r="LHD243" s="1455"/>
      <c r="LHE243" s="1455"/>
      <c r="LHF243" s="1455"/>
      <c r="LHG243" s="1455"/>
      <c r="LHH243" s="1455"/>
      <c r="LHI243" s="1455"/>
      <c r="LHJ243" s="1455"/>
      <c r="LHK243" s="1455"/>
      <c r="LHL243" s="1455"/>
      <c r="LHM243" s="1455"/>
      <c r="LHN243" s="1455"/>
      <c r="LHO243" s="1455"/>
      <c r="LHP243" s="1455"/>
      <c r="LHQ243" s="1455"/>
      <c r="LHR243" s="1455"/>
      <c r="LHS243" s="1455"/>
      <c r="LHT243" s="1455"/>
      <c r="LHU243" s="1455"/>
      <c r="LHV243" s="1455"/>
      <c r="LHW243" s="1455"/>
      <c r="LHX243" s="1455"/>
      <c r="LHY243" s="1455"/>
      <c r="LHZ243" s="1455"/>
      <c r="LIA243" s="1455"/>
      <c r="LIB243" s="1455"/>
      <c r="LIC243" s="1455"/>
      <c r="LID243" s="1455"/>
      <c r="LIE243" s="1455"/>
      <c r="LIF243" s="1455"/>
      <c r="LIG243" s="1455"/>
      <c r="LIH243" s="1455"/>
      <c r="LII243" s="1455"/>
      <c r="LIJ243" s="1455"/>
      <c r="LIK243" s="1455"/>
      <c r="LIL243" s="1455"/>
      <c r="LIM243" s="1455"/>
      <c r="LIN243" s="1455"/>
      <c r="LIO243" s="1455"/>
      <c r="LIP243" s="1455"/>
      <c r="LIQ243" s="1455"/>
      <c r="LIR243" s="1455"/>
      <c r="LIS243" s="1455"/>
      <c r="LIT243" s="1455"/>
      <c r="LIU243" s="1455"/>
      <c r="LIV243" s="1455"/>
      <c r="LIW243" s="1455"/>
      <c r="LIX243" s="1455"/>
      <c r="LIY243" s="1455"/>
      <c r="LIZ243" s="1455"/>
      <c r="LJA243" s="1455"/>
      <c r="LJB243" s="1455"/>
      <c r="LJC243" s="1455"/>
      <c r="LJD243" s="1455"/>
      <c r="LJE243" s="1455"/>
      <c r="LJF243" s="1455"/>
      <c r="LJG243" s="1455"/>
      <c r="LJH243" s="1455"/>
      <c r="LJI243" s="1455"/>
      <c r="LJJ243" s="1455"/>
      <c r="LJK243" s="1455"/>
      <c r="LJL243" s="1455"/>
      <c r="LJM243" s="1455"/>
      <c r="LJN243" s="1455"/>
      <c r="LJO243" s="1455"/>
      <c r="LJP243" s="1455"/>
      <c r="LJQ243" s="1455"/>
      <c r="LJR243" s="1455"/>
      <c r="LJS243" s="1455"/>
      <c r="LJT243" s="1455"/>
      <c r="LJU243" s="1455"/>
      <c r="LJV243" s="1455"/>
      <c r="LJW243" s="1455"/>
      <c r="LJX243" s="1455"/>
      <c r="LJY243" s="1455"/>
      <c r="LJZ243" s="1455"/>
      <c r="LKA243" s="1455"/>
      <c r="LKB243" s="1455"/>
      <c r="LKC243" s="1455"/>
      <c r="LKD243" s="1455"/>
      <c r="LKE243" s="1455"/>
      <c r="LKF243" s="1455"/>
      <c r="LKG243" s="1455"/>
      <c r="LKH243" s="1455"/>
      <c r="LKI243" s="1455"/>
      <c r="LKJ243" s="1455"/>
      <c r="LKK243" s="1455"/>
      <c r="LKL243" s="1455"/>
      <c r="LKM243" s="1455"/>
      <c r="LKN243" s="1455"/>
      <c r="LKO243" s="1455"/>
      <c r="LKP243" s="1455"/>
      <c r="LKQ243" s="1455"/>
      <c r="LKR243" s="1455"/>
      <c r="LKS243" s="1455"/>
      <c r="LKT243" s="1455"/>
      <c r="LKU243" s="1455"/>
      <c r="LKV243" s="1455"/>
      <c r="LKW243" s="1455"/>
      <c r="LKX243" s="1455"/>
      <c r="LKY243" s="1455"/>
      <c r="LKZ243" s="1455"/>
      <c r="LLA243" s="1455"/>
      <c r="LLB243" s="1455"/>
      <c r="LLC243" s="1455"/>
      <c r="LLD243" s="1455"/>
      <c r="LLE243" s="1455"/>
      <c r="LLF243" s="1455"/>
      <c r="LLG243" s="1455"/>
      <c r="LLH243" s="1455"/>
      <c r="LLI243" s="1455"/>
      <c r="LLJ243" s="1455"/>
      <c r="LLK243" s="1455"/>
      <c r="LLL243" s="1455"/>
      <c r="LLM243" s="1455"/>
      <c r="LLN243" s="1455"/>
      <c r="LLO243" s="1455"/>
      <c r="LLP243" s="1455"/>
      <c r="LLQ243" s="1455"/>
      <c r="LLR243" s="1455"/>
      <c r="LLS243" s="1455"/>
      <c r="LLT243" s="1455"/>
      <c r="LLU243" s="1455"/>
      <c r="LLV243" s="1455"/>
      <c r="LLW243" s="1455"/>
      <c r="LLX243" s="1455"/>
      <c r="LLY243" s="1455"/>
      <c r="LLZ243" s="1455"/>
      <c r="LMA243" s="1455"/>
      <c r="LMB243" s="1455"/>
      <c r="LMC243" s="1455"/>
      <c r="LMD243" s="1455"/>
      <c r="LME243" s="1455"/>
      <c r="LMF243" s="1455"/>
      <c r="LMG243" s="1455"/>
      <c r="LMH243" s="1455"/>
      <c r="LMI243" s="1455"/>
      <c r="LMJ243" s="1455"/>
      <c r="LMK243" s="1455"/>
      <c r="LML243" s="1455"/>
      <c r="LMM243" s="1455"/>
      <c r="LMN243" s="1455"/>
      <c r="LMO243" s="1455"/>
      <c r="LMP243" s="1455"/>
      <c r="LMQ243" s="1455"/>
      <c r="LMR243" s="1455"/>
      <c r="LMS243" s="1455"/>
      <c r="LMT243" s="1455"/>
      <c r="LMU243" s="1455"/>
      <c r="LMV243" s="1455"/>
      <c r="LMW243" s="1455"/>
      <c r="LMX243" s="1455"/>
      <c r="LMY243" s="1455"/>
      <c r="LMZ243" s="1455"/>
      <c r="LNA243" s="1455"/>
      <c r="LNB243" s="1455"/>
      <c r="LNC243" s="1455"/>
      <c r="LND243" s="1455"/>
      <c r="LNE243" s="1455"/>
      <c r="LNF243" s="1455"/>
      <c r="LNG243" s="1455"/>
      <c r="LNH243" s="1455"/>
      <c r="LNI243" s="1455"/>
      <c r="LNJ243" s="1455"/>
      <c r="LNK243" s="1455"/>
      <c r="LNL243" s="1455"/>
      <c r="LNM243" s="1455"/>
      <c r="LNN243" s="1455"/>
      <c r="LNO243" s="1455"/>
      <c r="LNP243" s="1455"/>
      <c r="LNQ243" s="1455"/>
      <c r="LNR243" s="1455"/>
      <c r="LNS243" s="1455"/>
      <c r="LNT243" s="1455"/>
      <c r="LNU243" s="1455"/>
      <c r="LNV243" s="1455"/>
      <c r="LNW243" s="1455"/>
      <c r="LNX243" s="1455"/>
      <c r="LNY243" s="1455"/>
      <c r="LNZ243" s="1455"/>
      <c r="LOA243" s="1455"/>
      <c r="LOB243" s="1455"/>
      <c r="LOC243" s="1455"/>
      <c r="LOD243" s="1455"/>
      <c r="LOE243" s="1455"/>
      <c r="LOF243" s="1455"/>
      <c r="LOG243" s="1455"/>
      <c r="LOH243" s="1455"/>
      <c r="LOI243" s="1455"/>
      <c r="LOJ243" s="1455"/>
      <c r="LOK243" s="1455"/>
      <c r="LOL243" s="1455"/>
      <c r="LOM243" s="1455"/>
      <c r="LON243" s="1455"/>
      <c r="LOO243" s="1455"/>
      <c r="LOP243" s="1455"/>
      <c r="LOQ243" s="1455"/>
      <c r="LOR243" s="1455"/>
      <c r="LOS243" s="1455"/>
      <c r="LOT243" s="1455"/>
      <c r="LOU243" s="1455"/>
      <c r="LOV243" s="1455"/>
      <c r="LOW243" s="1455"/>
      <c r="LOX243" s="1455"/>
      <c r="LOY243" s="1455"/>
      <c r="LOZ243" s="1455"/>
      <c r="LPA243" s="1455"/>
      <c r="LPB243" s="1455"/>
      <c r="LPC243" s="1455"/>
      <c r="LPD243" s="1455"/>
      <c r="LPE243" s="1455"/>
      <c r="LPF243" s="1455"/>
      <c r="LPG243" s="1455"/>
      <c r="LPH243" s="1455"/>
      <c r="LPI243" s="1455"/>
      <c r="LPJ243" s="1455"/>
      <c r="LPK243" s="1455"/>
      <c r="LPL243" s="1455"/>
      <c r="LPM243" s="1455"/>
      <c r="LPN243" s="1455"/>
      <c r="LPO243" s="1455"/>
      <c r="LPP243" s="1455"/>
      <c r="LPQ243" s="1455"/>
      <c r="LPR243" s="1455"/>
      <c r="LPS243" s="1455"/>
      <c r="LPT243" s="1455"/>
      <c r="LPU243" s="1455"/>
      <c r="LPV243" s="1455"/>
      <c r="LPW243" s="1455"/>
      <c r="LPX243" s="1455"/>
      <c r="LPY243" s="1455"/>
      <c r="LPZ243" s="1455"/>
      <c r="LQA243" s="1455"/>
      <c r="LQB243" s="1455"/>
      <c r="LQC243" s="1455"/>
      <c r="LQD243" s="1455"/>
      <c r="LQE243" s="1455"/>
      <c r="LQF243" s="1455"/>
      <c r="LQG243" s="1455"/>
      <c r="LQH243" s="1455"/>
      <c r="LQI243" s="1455"/>
      <c r="LQJ243" s="1455"/>
      <c r="LQK243" s="1455"/>
      <c r="LQL243" s="1455"/>
      <c r="LQM243" s="1455"/>
      <c r="LQN243" s="1455"/>
      <c r="LQO243" s="1455"/>
      <c r="LQP243" s="1455"/>
      <c r="LQQ243" s="1455"/>
      <c r="LQR243" s="1455"/>
      <c r="LQS243" s="1455"/>
      <c r="LQT243" s="1455"/>
      <c r="LQU243" s="1455"/>
      <c r="LQV243" s="1455"/>
      <c r="LQW243" s="1455"/>
      <c r="LQX243" s="1455"/>
      <c r="LQY243" s="1455"/>
      <c r="LQZ243" s="1455"/>
      <c r="LRA243" s="1455"/>
      <c r="LRB243" s="1455"/>
      <c r="LRC243" s="1455"/>
      <c r="LRD243" s="1455"/>
      <c r="LRE243" s="1455"/>
      <c r="LRF243" s="1455"/>
      <c r="LRG243" s="1455"/>
      <c r="LRH243" s="1455"/>
      <c r="LRI243" s="1455"/>
      <c r="LRJ243" s="1455"/>
      <c r="LRK243" s="1455"/>
      <c r="LRL243" s="1455"/>
      <c r="LRM243" s="1455"/>
      <c r="LRN243" s="1455"/>
      <c r="LRO243" s="1455"/>
      <c r="LRP243" s="1455"/>
      <c r="LRQ243" s="1455"/>
      <c r="LRR243" s="1455"/>
      <c r="LRS243" s="1455"/>
      <c r="LRT243" s="1455"/>
      <c r="LRU243" s="1455"/>
      <c r="LRV243" s="1455"/>
      <c r="LRW243" s="1455"/>
      <c r="LRX243" s="1455"/>
      <c r="LRY243" s="1455"/>
      <c r="LRZ243" s="1455"/>
      <c r="LSA243" s="1455"/>
      <c r="LSB243" s="1455"/>
      <c r="LSC243" s="1455"/>
      <c r="LSD243" s="1455"/>
      <c r="LSE243" s="1455"/>
      <c r="LSF243" s="1455"/>
      <c r="LSG243" s="1455"/>
      <c r="LSH243" s="1455"/>
      <c r="LSI243" s="1455"/>
      <c r="LSJ243" s="1455"/>
      <c r="LSK243" s="1455"/>
      <c r="LSL243" s="1455"/>
      <c r="LSM243" s="1455"/>
      <c r="LSN243" s="1455"/>
      <c r="LSO243" s="1455"/>
      <c r="LSP243" s="1455"/>
      <c r="LSQ243" s="1455"/>
      <c r="LSR243" s="1455"/>
      <c r="LSS243" s="1455"/>
      <c r="LST243" s="1455"/>
      <c r="LSU243" s="1455"/>
      <c r="LSV243" s="1455"/>
      <c r="LSW243" s="1455"/>
      <c r="LSX243" s="1455"/>
      <c r="LSY243" s="1455"/>
      <c r="LSZ243" s="1455"/>
      <c r="LTA243" s="1455"/>
      <c r="LTB243" s="1455"/>
      <c r="LTC243" s="1455"/>
      <c r="LTD243" s="1455"/>
      <c r="LTE243" s="1455"/>
      <c r="LTF243" s="1455"/>
      <c r="LTG243" s="1455"/>
      <c r="LTH243" s="1455"/>
      <c r="LTI243" s="1455"/>
      <c r="LTJ243" s="1455"/>
      <c r="LTK243" s="1455"/>
      <c r="LTL243" s="1455"/>
      <c r="LTM243" s="1455"/>
      <c r="LTN243" s="1455"/>
      <c r="LTO243" s="1455"/>
      <c r="LTP243" s="1455"/>
      <c r="LTQ243" s="1455"/>
      <c r="LTR243" s="1455"/>
      <c r="LTS243" s="1455"/>
      <c r="LTT243" s="1455"/>
      <c r="LTU243" s="1455"/>
      <c r="LTV243" s="1455"/>
      <c r="LTW243" s="1455"/>
      <c r="LTX243" s="1455"/>
      <c r="LTY243" s="1455"/>
      <c r="LTZ243" s="1455"/>
      <c r="LUA243" s="1455"/>
      <c r="LUB243" s="1455"/>
      <c r="LUC243" s="1455"/>
      <c r="LUD243" s="1455"/>
      <c r="LUE243" s="1455"/>
      <c r="LUF243" s="1455"/>
      <c r="LUG243" s="1455"/>
      <c r="LUH243" s="1455"/>
      <c r="LUI243" s="1455"/>
      <c r="LUJ243" s="1455"/>
      <c r="LUK243" s="1455"/>
      <c r="LUL243" s="1455"/>
      <c r="LUM243" s="1455"/>
      <c r="LUN243" s="1455"/>
      <c r="LUO243" s="1455"/>
      <c r="LUP243" s="1455"/>
      <c r="LUQ243" s="1455"/>
      <c r="LUR243" s="1455"/>
      <c r="LUS243" s="1455"/>
      <c r="LUT243" s="1455"/>
      <c r="LUU243" s="1455"/>
      <c r="LUV243" s="1455"/>
      <c r="LUW243" s="1455"/>
      <c r="LUX243" s="1455"/>
      <c r="LUY243" s="1455"/>
      <c r="LUZ243" s="1455"/>
      <c r="LVA243" s="1455"/>
      <c r="LVB243" s="1455"/>
      <c r="LVC243" s="1455"/>
      <c r="LVD243" s="1455"/>
      <c r="LVE243" s="1455"/>
      <c r="LVF243" s="1455"/>
      <c r="LVG243" s="1455"/>
      <c r="LVH243" s="1455"/>
      <c r="LVI243" s="1455"/>
      <c r="LVJ243" s="1455"/>
      <c r="LVK243" s="1455"/>
      <c r="LVL243" s="1455"/>
      <c r="LVM243" s="1455"/>
      <c r="LVN243" s="1455"/>
      <c r="LVO243" s="1455"/>
      <c r="LVP243" s="1455"/>
      <c r="LVQ243" s="1455"/>
      <c r="LVR243" s="1455"/>
      <c r="LVS243" s="1455"/>
      <c r="LVT243" s="1455"/>
      <c r="LVU243" s="1455"/>
      <c r="LVV243" s="1455"/>
      <c r="LVW243" s="1455"/>
      <c r="LVX243" s="1455"/>
      <c r="LVY243" s="1455"/>
      <c r="LVZ243" s="1455"/>
      <c r="LWA243" s="1455"/>
      <c r="LWB243" s="1455"/>
      <c r="LWC243" s="1455"/>
      <c r="LWD243" s="1455"/>
      <c r="LWE243" s="1455"/>
      <c r="LWF243" s="1455"/>
      <c r="LWG243" s="1455"/>
      <c r="LWH243" s="1455"/>
      <c r="LWI243" s="1455"/>
      <c r="LWJ243" s="1455"/>
      <c r="LWK243" s="1455"/>
      <c r="LWL243" s="1455"/>
      <c r="LWM243" s="1455"/>
      <c r="LWN243" s="1455"/>
      <c r="LWO243" s="1455"/>
      <c r="LWP243" s="1455"/>
      <c r="LWQ243" s="1455"/>
      <c r="LWR243" s="1455"/>
      <c r="LWS243" s="1455"/>
      <c r="LWT243" s="1455"/>
      <c r="LWU243" s="1455"/>
      <c r="LWV243" s="1455"/>
      <c r="LWW243" s="1455"/>
      <c r="LWX243" s="1455"/>
      <c r="LWY243" s="1455"/>
      <c r="LWZ243" s="1455"/>
      <c r="LXA243" s="1455"/>
      <c r="LXB243" s="1455"/>
      <c r="LXC243" s="1455"/>
      <c r="LXD243" s="1455"/>
      <c r="LXE243" s="1455"/>
      <c r="LXF243" s="1455"/>
      <c r="LXG243" s="1455"/>
      <c r="LXH243" s="1455"/>
      <c r="LXI243" s="1455"/>
      <c r="LXJ243" s="1455"/>
      <c r="LXK243" s="1455"/>
      <c r="LXL243" s="1455"/>
      <c r="LXM243" s="1455"/>
      <c r="LXN243" s="1455"/>
      <c r="LXO243" s="1455"/>
      <c r="LXP243" s="1455"/>
      <c r="LXQ243" s="1455"/>
      <c r="LXR243" s="1455"/>
      <c r="LXS243" s="1455"/>
      <c r="LXT243" s="1455"/>
      <c r="LXU243" s="1455"/>
      <c r="LXV243" s="1455"/>
      <c r="LXW243" s="1455"/>
      <c r="LXX243" s="1455"/>
      <c r="LXY243" s="1455"/>
      <c r="LXZ243" s="1455"/>
      <c r="LYA243" s="1455"/>
      <c r="LYB243" s="1455"/>
      <c r="LYC243" s="1455"/>
      <c r="LYD243" s="1455"/>
      <c r="LYE243" s="1455"/>
      <c r="LYF243" s="1455"/>
      <c r="LYG243" s="1455"/>
      <c r="LYH243" s="1455"/>
      <c r="LYI243" s="1455"/>
      <c r="LYJ243" s="1455"/>
      <c r="LYK243" s="1455"/>
      <c r="LYL243" s="1455"/>
      <c r="LYM243" s="1455"/>
      <c r="LYN243" s="1455"/>
      <c r="LYO243" s="1455"/>
      <c r="LYP243" s="1455"/>
      <c r="LYQ243" s="1455"/>
      <c r="LYR243" s="1455"/>
      <c r="LYS243" s="1455"/>
      <c r="LYT243" s="1455"/>
      <c r="LYU243" s="1455"/>
      <c r="LYV243" s="1455"/>
      <c r="LYW243" s="1455"/>
      <c r="LYX243" s="1455"/>
      <c r="LYY243" s="1455"/>
      <c r="LYZ243" s="1455"/>
      <c r="LZA243" s="1455"/>
      <c r="LZB243" s="1455"/>
      <c r="LZC243" s="1455"/>
      <c r="LZD243" s="1455"/>
      <c r="LZE243" s="1455"/>
      <c r="LZF243" s="1455"/>
      <c r="LZG243" s="1455"/>
      <c r="LZH243" s="1455"/>
      <c r="LZI243" s="1455"/>
      <c r="LZJ243" s="1455"/>
      <c r="LZK243" s="1455"/>
      <c r="LZL243" s="1455"/>
      <c r="LZM243" s="1455"/>
      <c r="LZN243" s="1455"/>
      <c r="LZO243" s="1455"/>
      <c r="LZP243" s="1455"/>
      <c r="LZQ243" s="1455"/>
      <c r="LZR243" s="1455"/>
      <c r="LZS243" s="1455"/>
      <c r="LZT243" s="1455"/>
      <c r="LZU243" s="1455"/>
      <c r="LZV243" s="1455"/>
      <c r="LZW243" s="1455"/>
      <c r="LZX243" s="1455"/>
      <c r="LZY243" s="1455"/>
      <c r="LZZ243" s="1455"/>
      <c r="MAA243" s="1455"/>
      <c r="MAB243" s="1455"/>
      <c r="MAC243" s="1455"/>
      <c r="MAD243" s="1455"/>
      <c r="MAE243" s="1455"/>
      <c r="MAF243" s="1455"/>
      <c r="MAG243" s="1455"/>
      <c r="MAH243" s="1455"/>
      <c r="MAI243" s="1455"/>
      <c r="MAJ243" s="1455"/>
      <c r="MAK243" s="1455"/>
      <c r="MAL243" s="1455"/>
      <c r="MAM243" s="1455"/>
      <c r="MAN243" s="1455"/>
      <c r="MAO243" s="1455"/>
      <c r="MAP243" s="1455"/>
      <c r="MAQ243" s="1455"/>
      <c r="MAR243" s="1455"/>
      <c r="MAS243" s="1455"/>
      <c r="MAT243" s="1455"/>
      <c r="MAU243" s="1455"/>
      <c r="MAV243" s="1455"/>
      <c r="MAW243" s="1455"/>
      <c r="MAX243" s="1455"/>
      <c r="MAY243" s="1455"/>
      <c r="MAZ243" s="1455"/>
      <c r="MBA243" s="1455"/>
      <c r="MBB243" s="1455"/>
      <c r="MBC243" s="1455"/>
      <c r="MBD243" s="1455"/>
      <c r="MBE243" s="1455"/>
      <c r="MBF243" s="1455"/>
      <c r="MBG243" s="1455"/>
      <c r="MBH243" s="1455"/>
      <c r="MBI243" s="1455"/>
      <c r="MBJ243" s="1455"/>
      <c r="MBK243" s="1455"/>
      <c r="MBL243" s="1455"/>
      <c r="MBM243" s="1455"/>
      <c r="MBN243" s="1455"/>
      <c r="MBO243" s="1455"/>
      <c r="MBP243" s="1455"/>
      <c r="MBQ243" s="1455"/>
      <c r="MBR243" s="1455"/>
      <c r="MBS243" s="1455"/>
      <c r="MBT243" s="1455"/>
      <c r="MBU243" s="1455"/>
      <c r="MBV243" s="1455"/>
      <c r="MBW243" s="1455"/>
      <c r="MBX243" s="1455"/>
      <c r="MBY243" s="1455"/>
      <c r="MBZ243" s="1455"/>
      <c r="MCA243" s="1455"/>
      <c r="MCB243" s="1455"/>
      <c r="MCC243" s="1455"/>
      <c r="MCD243" s="1455"/>
      <c r="MCE243" s="1455"/>
      <c r="MCF243" s="1455"/>
      <c r="MCG243" s="1455"/>
      <c r="MCH243" s="1455"/>
      <c r="MCI243" s="1455"/>
      <c r="MCJ243" s="1455"/>
      <c r="MCK243" s="1455"/>
      <c r="MCL243" s="1455"/>
      <c r="MCM243" s="1455"/>
      <c r="MCN243" s="1455"/>
      <c r="MCO243" s="1455"/>
      <c r="MCP243" s="1455"/>
      <c r="MCQ243" s="1455"/>
      <c r="MCR243" s="1455"/>
      <c r="MCS243" s="1455"/>
      <c r="MCT243" s="1455"/>
      <c r="MCU243" s="1455"/>
      <c r="MCV243" s="1455"/>
      <c r="MCW243" s="1455"/>
      <c r="MCX243" s="1455"/>
      <c r="MCY243" s="1455"/>
      <c r="MCZ243" s="1455"/>
      <c r="MDA243" s="1455"/>
      <c r="MDB243" s="1455"/>
      <c r="MDC243" s="1455"/>
      <c r="MDD243" s="1455"/>
      <c r="MDE243" s="1455"/>
      <c r="MDF243" s="1455"/>
      <c r="MDG243" s="1455"/>
      <c r="MDH243" s="1455"/>
      <c r="MDI243" s="1455"/>
      <c r="MDJ243" s="1455"/>
      <c r="MDK243" s="1455"/>
      <c r="MDL243" s="1455"/>
      <c r="MDM243" s="1455"/>
      <c r="MDN243" s="1455"/>
      <c r="MDO243" s="1455"/>
      <c r="MDP243" s="1455"/>
      <c r="MDQ243" s="1455"/>
      <c r="MDR243" s="1455"/>
      <c r="MDS243" s="1455"/>
      <c r="MDT243" s="1455"/>
      <c r="MDU243" s="1455"/>
      <c r="MDV243" s="1455"/>
      <c r="MDW243" s="1455"/>
      <c r="MDX243" s="1455"/>
      <c r="MDY243" s="1455"/>
      <c r="MDZ243" s="1455"/>
      <c r="MEA243" s="1455"/>
      <c r="MEB243" s="1455"/>
      <c r="MEC243" s="1455"/>
      <c r="MED243" s="1455"/>
      <c r="MEE243" s="1455"/>
      <c r="MEF243" s="1455"/>
      <c r="MEG243" s="1455"/>
      <c r="MEH243" s="1455"/>
      <c r="MEI243" s="1455"/>
      <c r="MEJ243" s="1455"/>
      <c r="MEK243" s="1455"/>
      <c r="MEL243" s="1455"/>
      <c r="MEM243" s="1455"/>
      <c r="MEN243" s="1455"/>
      <c r="MEO243" s="1455"/>
      <c r="MEP243" s="1455"/>
      <c r="MEQ243" s="1455"/>
      <c r="MER243" s="1455"/>
      <c r="MES243" s="1455"/>
      <c r="MET243" s="1455"/>
      <c r="MEU243" s="1455"/>
      <c r="MEV243" s="1455"/>
      <c r="MEW243" s="1455"/>
      <c r="MEX243" s="1455"/>
      <c r="MEY243" s="1455"/>
      <c r="MEZ243" s="1455"/>
      <c r="MFA243" s="1455"/>
      <c r="MFB243" s="1455"/>
      <c r="MFC243" s="1455"/>
      <c r="MFD243" s="1455"/>
      <c r="MFE243" s="1455"/>
      <c r="MFF243" s="1455"/>
      <c r="MFG243" s="1455"/>
      <c r="MFH243" s="1455"/>
      <c r="MFI243" s="1455"/>
      <c r="MFJ243" s="1455"/>
      <c r="MFK243" s="1455"/>
      <c r="MFL243" s="1455"/>
      <c r="MFM243" s="1455"/>
      <c r="MFN243" s="1455"/>
      <c r="MFO243" s="1455"/>
      <c r="MFP243" s="1455"/>
      <c r="MFQ243" s="1455"/>
      <c r="MFR243" s="1455"/>
      <c r="MFS243" s="1455"/>
      <c r="MFT243" s="1455"/>
      <c r="MFU243" s="1455"/>
      <c r="MFV243" s="1455"/>
      <c r="MFW243" s="1455"/>
      <c r="MFX243" s="1455"/>
      <c r="MFY243" s="1455"/>
      <c r="MFZ243" s="1455"/>
      <c r="MGA243" s="1455"/>
      <c r="MGB243" s="1455"/>
      <c r="MGC243" s="1455"/>
      <c r="MGD243" s="1455"/>
      <c r="MGE243" s="1455"/>
      <c r="MGF243" s="1455"/>
      <c r="MGG243" s="1455"/>
      <c r="MGH243" s="1455"/>
      <c r="MGI243" s="1455"/>
      <c r="MGJ243" s="1455"/>
      <c r="MGK243" s="1455"/>
      <c r="MGL243" s="1455"/>
      <c r="MGM243" s="1455"/>
      <c r="MGN243" s="1455"/>
      <c r="MGO243" s="1455"/>
      <c r="MGP243" s="1455"/>
      <c r="MGQ243" s="1455"/>
      <c r="MGR243" s="1455"/>
      <c r="MGS243" s="1455"/>
      <c r="MGT243" s="1455"/>
      <c r="MGU243" s="1455"/>
      <c r="MGV243" s="1455"/>
      <c r="MGW243" s="1455"/>
      <c r="MGX243" s="1455"/>
      <c r="MGY243" s="1455"/>
      <c r="MGZ243" s="1455"/>
      <c r="MHA243" s="1455"/>
      <c r="MHB243" s="1455"/>
      <c r="MHC243" s="1455"/>
      <c r="MHD243" s="1455"/>
      <c r="MHE243" s="1455"/>
      <c r="MHF243" s="1455"/>
      <c r="MHG243" s="1455"/>
      <c r="MHH243" s="1455"/>
      <c r="MHI243" s="1455"/>
      <c r="MHJ243" s="1455"/>
      <c r="MHK243" s="1455"/>
      <c r="MHL243" s="1455"/>
      <c r="MHM243" s="1455"/>
      <c r="MHN243" s="1455"/>
      <c r="MHO243" s="1455"/>
      <c r="MHP243" s="1455"/>
      <c r="MHQ243" s="1455"/>
      <c r="MHR243" s="1455"/>
      <c r="MHS243" s="1455"/>
      <c r="MHT243" s="1455"/>
      <c r="MHU243" s="1455"/>
      <c r="MHV243" s="1455"/>
      <c r="MHW243" s="1455"/>
      <c r="MHX243" s="1455"/>
      <c r="MHY243" s="1455"/>
      <c r="MHZ243" s="1455"/>
      <c r="MIA243" s="1455"/>
      <c r="MIB243" s="1455"/>
      <c r="MIC243" s="1455"/>
      <c r="MID243" s="1455"/>
      <c r="MIE243" s="1455"/>
      <c r="MIF243" s="1455"/>
      <c r="MIG243" s="1455"/>
      <c r="MIH243" s="1455"/>
      <c r="MII243" s="1455"/>
      <c r="MIJ243" s="1455"/>
      <c r="MIK243" s="1455"/>
      <c r="MIL243" s="1455"/>
      <c r="MIM243" s="1455"/>
      <c r="MIN243" s="1455"/>
      <c r="MIO243" s="1455"/>
      <c r="MIP243" s="1455"/>
      <c r="MIQ243" s="1455"/>
      <c r="MIR243" s="1455"/>
      <c r="MIS243" s="1455"/>
      <c r="MIT243" s="1455"/>
      <c r="MIU243" s="1455"/>
      <c r="MIV243" s="1455"/>
      <c r="MIW243" s="1455"/>
      <c r="MIX243" s="1455"/>
      <c r="MIY243" s="1455"/>
      <c r="MIZ243" s="1455"/>
      <c r="MJA243" s="1455"/>
      <c r="MJB243" s="1455"/>
      <c r="MJC243" s="1455"/>
      <c r="MJD243" s="1455"/>
      <c r="MJE243" s="1455"/>
      <c r="MJF243" s="1455"/>
      <c r="MJG243" s="1455"/>
      <c r="MJH243" s="1455"/>
      <c r="MJI243" s="1455"/>
      <c r="MJJ243" s="1455"/>
      <c r="MJK243" s="1455"/>
      <c r="MJL243" s="1455"/>
      <c r="MJM243" s="1455"/>
      <c r="MJN243" s="1455"/>
      <c r="MJO243" s="1455"/>
      <c r="MJP243" s="1455"/>
      <c r="MJQ243" s="1455"/>
      <c r="MJR243" s="1455"/>
      <c r="MJS243" s="1455"/>
      <c r="MJT243" s="1455"/>
      <c r="MJU243" s="1455"/>
      <c r="MJV243" s="1455"/>
      <c r="MJW243" s="1455"/>
      <c r="MJX243" s="1455"/>
      <c r="MJY243" s="1455"/>
      <c r="MJZ243" s="1455"/>
      <c r="MKA243" s="1455"/>
      <c r="MKB243" s="1455"/>
      <c r="MKC243" s="1455"/>
      <c r="MKD243" s="1455"/>
      <c r="MKE243" s="1455"/>
      <c r="MKF243" s="1455"/>
      <c r="MKG243" s="1455"/>
      <c r="MKH243" s="1455"/>
      <c r="MKI243" s="1455"/>
      <c r="MKJ243" s="1455"/>
      <c r="MKK243" s="1455"/>
      <c r="MKL243" s="1455"/>
      <c r="MKM243" s="1455"/>
      <c r="MKN243" s="1455"/>
      <c r="MKO243" s="1455"/>
      <c r="MKP243" s="1455"/>
      <c r="MKQ243" s="1455"/>
      <c r="MKR243" s="1455"/>
      <c r="MKS243" s="1455"/>
      <c r="MKT243" s="1455"/>
      <c r="MKU243" s="1455"/>
      <c r="MKV243" s="1455"/>
      <c r="MKW243" s="1455"/>
      <c r="MKX243" s="1455"/>
      <c r="MKY243" s="1455"/>
      <c r="MKZ243" s="1455"/>
      <c r="MLA243" s="1455"/>
      <c r="MLB243" s="1455"/>
      <c r="MLC243" s="1455"/>
      <c r="MLD243" s="1455"/>
      <c r="MLE243" s="1455"/>
      <c r="MLF243" s="1455"/>
      <c r="MLG243" s="1455"/>
      <c r="MLH243" s="1455"/>
      <c r="MLI243" s="1455"/>
      <c r="MLJ243" s="1455"/>
      <c r="MLK243" s="1455"/>
      <c r="MLL243" s="1455"/>
      <c r="MLM243" s="1455"/>
      <c r="MLN243" s="1455"/>
      <c r="MLO243" s="1455"/>
      <c r="MLP243" s="1455"/>
      <c r="MLQ243" s="1455"/>
      <c r="MLR243" s="1455"/>
      <c r="MLS243" s="1455"/>
      <c r="MLT243" s="1455"/>
      <c r="MLU243" s="1455"/>
      <c r="MLV243" s="1455"/>
      <c r="MLW243" s="1455"/>
      <c r="MLX243" s="1455"/>
      <c r="MLY243" s="1455"/>
      <c r="MLZ243" s="1455"/>
      <c r="MMA243" s="1455"/>
      <c r="MMB243" s="1455"/>
      <c r="MMC243" s="1455"/>
      <c r="MMD243" s="1455"/>
      <c r="MME243" s="1455"/>
      <c r="MMF243" s="1455"/>
      <c r="MMG243" s="1455"/>
      <c r="MMH243" s="1455"/>
      <c r="MMI243" s="1455"/>
      <c r="MMJ243" s="1455"/>
      <c r="MMK243" s="1455"/>
      <c r="MML243" s="1455"/>
      <c r="MMM243" s="1455"/>
      <c r="MMN243" s="1455"/>
      <c r="MMO243" s="1455"/>
      <c r="MMP243" s="1455"/>
      <c r="MMQ243" s="1455"/>
      <c r="MMR243" s="1455"/>
      <c r="MMS243" s="1455"/>
      <c r="MMT243" s="1455"/>
      <c r="MMU243" s="1455"/>
      <c r="MMV243" s="1455"/>
      <c r="MMW243" s="1455"/>
      <c r="MMX243" s="1455"/>
      <c r="MMY243" s="1455"/>
      <c r="MMZ243" s="1455"/>
      <c r="MNA243" s="1455"/>
      <c r="MNB243" s="1455"/>
      <c r="MNC243" s="1455"/>
      <c r="MND243" s="1455"/>
      <c r="MNE243" s="1455"/>
      <c r="MNF243" s="1455"/>
      <c r="MNG243" s="1455"/>
      <c r="MNH243" s="1455"/>
      <c r="MNI243" s="1455"/>
      <c r="MNJ243" s="1455"/>
      <c r="MNK243" s="1455"/>
      <c r="MNL243" s="1455"/>
      <c r="MNM243" s="1455"/>
      <c r="MNN243" s="1455"/>
      <c r="MNO243" s="1455"/>
      <c r="MNP243" s="1455"/>
      <c r="MNQ243" s="1455"/>
      <c r="MNR243" s="1455"/>
      <c r="MNS243" s="1455"/>
      <c r="MNT243" s="1455"/>
      <c r="MNU243" s="1455"/>
      <c r="MNV243" s="1455"/>
      <c r="MNW243" s="1455"/>
      <c r="MNX243" s="1455"/>
      <c r="MNY243" s="1455"/>
      <c r="MNZ243" s="1455"/>
      <c r="MOA243" s="1455"/>
      <c r="MOB243" s="1455"/>
      <c r="MOC243" s="1455"/>
      <c r="MOD243" s="1455"/>
      <c r="MOE243" s="1455"/>
      <c r="MOF243" s="1455"/>
      <c r="MOG243" s="1455"/>
      <c r="MOH243" s="1455"/>
      <c r="MOI243" s="1455"/>
      <c r="MOJ243" s="1455"/>
      <c r="MOK243" s="1455"/>
      <c r="MOL243" s="1455"/>
      <c r="MOM243" s="1455"/>
      <c r="MON243" s="1455"/>
      <c r="MOO243" s="1455"/>
      <c r="MOP243" s="1455"/>
      <c r="MOQ243" s="1455"/>
      <c r="MOR243" s="1455"/>
      <c r="MOS243" s="1455"/>
      <c r="MOT243" s="1455"/>
      <c r="MOU243" s="1455"/>
      <c r="MOV243" s="1455"/>
      <c r="MOW243" s="1455"/>
      <c r="MOX243" s="1455"/>
      <c r="MOY243" s="1455"/>
      <c r="MOZ243" s="1455"/>
      <c r="MPA243" s="1455"/>
      <c r="MPB243" s="1455"/>
      <c r="MPC243" s="1455"/>
      <c r="MPD243" s="1455"/>
      <c r="MPE243" s="1455"/>
      <c r="MPF243" s="1455"/>
      <c r="MPG243" s="1455"/>
      <c r="MPH243" s="1455"/>
      <c r="MPI243" s="1455"/>
      <c r="MPJ243" s="1455"/>
      <c r="MPK243" s="1455"/>
      <c r="MPL243" s="1455"/>
      <c r="MPM243" s="1455"/>
      <c r="MPN243" s="1455"/>
      <c r="MPO243" s="1455"/>
      <c r="MPP243" s="1455"/>
      <c r="MPQ243" s="1455"/>
      <c r="MPR243" s="1455"/>
      <c r="MPS243" s="1455"/>
      <c r="MPT243" s="1455"/>
      <c r="MPU243" s="1455"/>
      <c r="MPV243" s="1455"/>
      <c r="MPW243" s="1455"/>
      <c r="MPX243" s="1455"/>
      <c r="MPY243" s="1455"/>
      <c r="MPZ243" s="1455"/>
      <c r="MQA243" s="1455"/>
      <c r="MQB243" s="1455"/>
      <c r="MQC243" s="1455"/>
      <c r="MQD243" s="1455"/>
      <c r="MQE243" s="1455"/>
      <c r="MQF243" s="1455"/>
      <c r="MQG243" s="1455"/>
      <c r="MQH243" s="1455"/>
      <c r="MQI243" s="1455"/>
      <c r="MQJ243" s="1455"/>
      <c r="MQK243" s="1455"/>
      <c r="MQL243" s="1455"/>
      <c r="MQM243" s="1455"/>
      <c r="MQN243" s="1455"/>
      <c r="MQO243" s="1455"/>
      <c r="MQP243" s="1455"/>
      <c r="MQQ243" s="1455"/>
      <c r="MQR243" s="1455"/>
      <c r="MQS243" s="1455"/>
      <c r="MQT243" s="1455"/>
      <c r="MQU243" s="1455"/>
      <c r="MQV243" s="1455"/>
      <c r="MQW243" s="1455"/>
      <c r="MQX243" s="1455"/>
      <c r="MQY243" s="1455"/>
      <c r="MQZ243" s="1455"/>
      <c r="MRA243" s="1455"/>
      <c r="MRB243" s="1455"/>
      <c r="MRC243" s="1455"/>
      <c r="MRD243" s="1455"/>
      <c r="MRE243" s="1455"/>
      <c r="MRF243" s="1455"/>
      <c r="MRG243" s="1455"/>
      <c r="MRH243" s="1455"/>
      <c r="MRI243" s="1455"/>
      <c r="MRJ243" s="1455"/>
      <c r="MRK243" s="1455"/>
      <c r="MRL243" s="1455"/>
      <c r="MRM243" s="1455"/>
      <c r="MRN243" s="1455"/>
      <c r="MRO243" s="1455"/>
      <c r="MRP243" s="1455"/>
      <c r="MRQ243" s="1455"/>
      <c r="MRR243" s="1455"/>
      <c r="MRS243" s="1455"/>
      <c r="MRT243" s="1455"/>
      <c r="MRU243" s="1455"/>
      <c r="MRV243" s="1455"/>
      <c r="MRW243" s="1455"/>
      <c r="MRX243" s="1455"/>
      <c r="MRY243" s="1455"/>
      <c r="MRZ243" s="1455"/>
      <c r="MSA243" s="1455"/>
      <c r="MSB243" s="1455"/>
      <c r="MSC243" s="1455"/>
      <c r="MSD243" s="1455"/>
      <c r="MSE243" s="1455"/>
      <c r="MSF243" s="1455"/>
      <c r="MSG243" s="1455"/>
      <c r="MSH243" s="1455"/>
      <c r="MSI243" s="1455"/>
      <c r="MSJ243" s="1455"/>
      <c r="MSK243" s="1455"/>
      <c r="MSL243" s="1455"/>
      <c r="MSM243" s="1455"/>
      <c r="MSN243" s="1455"/>
      <c r="MSO243" s="1455"/>
      <c r="MSP243" s="1455"/>
      <c r="MSQ243" s="1455"/>
      <c r="MSR243" s="1455"/>
      <c r="MSS243" s="1455"/>
      <c r="MST243" s="1455"/>
      <c r="MSU243" s="1455"/>
      <c r="MSV243" s="1455"/>
      <c r="MSW243" s="1455"/>
      <c r="MSX243" s="1455"/>
      <c r="MSY243" s="1455"/>
      <c r="MSZ243" s="1455"/>
      <c r="MTA243" s="1455"/>
      <c r="MTB243" s="1455"/>
      <c r="MTC243" s="1455"/>
      <c r="MTD243" s="1455"/>
      <c r="MTE243" s="1455"/>
      <c r="MTF243" s="1455"/>
      <c r="MTG243" s="1455"/>
      <c r="MTH243" s="1455"/>
      <c r="MTI243" s="1455"/>
      <c r="MTJ243" s="1455"/>
      <c r="MTK243" s="1455"/>
      <c r="MTL243" s="1455"/>
      <c r="MTM243" s="1455"/>
      <c r="MTN243" s="1455"/>
      <c r="MTO243" s="1455"/>
      <c r="MTP243" s="1455"/>
      <c r="MTQ243" s="1455"/>
      <c r="MTR243" s="1455"/>
      <c r="MTS243" s="1455"/>
      <c r="MTT243" s="1455"/>
      <c r="MTU243" s="1455"/>
      <c r="MTV243" s="1455"/>
      <c r="MTW243" s="1455"/>
      <c r="MTX243" s="1455"/>
      <c r="MTY243" s="1455"/>
      <c r="MTZ243" s="1455"/>
      <c r="MUA243" s="1455"/>
      <c r="MUB243" s="1455"/>
      <c r="MUC243" s="1455"/>
      <c r="MUD243" s="1455"/>
      <c r="MUE243" s="1455"/>
      <c r="MUF243" s="1455"/>
      <c r="MUG243" s="1455"/>
      <c r="MUH243" s="1455"/>
      <c r="MUI243" s="1455"/>
      <c r="MUJ243" s="1455"/>
      <c r="MUK243" s="1455"/>
      <c r="MUL243" s="1455"/>
      <c r="MUM243" s="1455"/>
      <c r="MUN243" s="1455"/>
      <c r="MUO243" s="1455"/>
      <c r="MUP243" s="1455"/>
      <c r="MUQ243" s="1455"/>
      <c r="MUR243" s="1455"/>
      <c r="MUS243" s="1455"/>
      <c r="MUT243" s="1455"/>
      <c r="MUU243" s="1455"/>
      <c r="MUV243" s="1455"/>
      <c r="MUW243" s="1455"/>
      <c r="MUX243" s="1455"/>
      <c r="MUY243" s="1455"/>
      <c r="MUZ243" s="1455"/>
      <c r="MVA243" s="1455"/>
      <c r="MVB243" s="1455"/>
      <c r="MVC243" s="1455"/>
      <c r="MVD243" s="1455"/>
      <c r="MVE243" s="1455"/>
      <c r="MVF243" s="1455"/>
      <c r="MVG243" s="1455"/>
      <c r="MVH243" s="1455"/>
      <c r="MVI243" s="1455"/>
      <c r="MVJ243" s="1455"/>
      <c r="MVK243" s="1455"/>
      <c r="MVL243" s="1455"/>
      <c r="MVM243" s="1455"/>
      <c r="MVN243" s="1455"/>
      <c r="MVO243" s="1455"/>
      <c r="MVP243" s="1455"/>
      <c r="MVQ243" s="1455"/>
      <c r="MVR243" s="1455"/>
      <c r="MVS243" s="1455"/>
      <c r="MVT243" s="1455"/>
      <c r="MVU243" s="1455"/>
      <c r="MVV243" s="1455"/>
      <c r="MVW243" s="1455"/>
      <c r="MVX243" s="1455"/>
      <c r="MVY243" s="1455"/>
      <c r="MVZ243" s="1455"/>
      <c r="MWA243" s="1455"/>
      <c r="MWB243" s="1455"/>
      <c r="MWC243" s="1455"/>
      <c r="MWD243" s="1455"/>
      <c r="MWE243" s="1455"/>
      <c r="MWF243" s="1455"/>
      <c r="MWG243" s="1455"/>
      <c r="MWH243" s="1455"/>
      <c r="MWI243" s="1455"/>
      <c r="MWJ243" s="1455"/>
      <c r="MWK243" s="1455"/>
      <c r="MWL243" s="1455"/>
      <c r="MWM243" s="1455"/>
      <c r="MWN243" s="1455"/>
      <c r="MWO243" s="1455"/>
      <c r="MWP243" s="1455"/>
      <c r="MWQ243" s="1455"/>
      <c r="MWR243" s="1455"/>
      <c r="MWS243" s="1455"/>
      <c r="MWT243" s="1455"/>
      <c r="MWU243" s="1455"/>
      <c r="MWV243" s="1455"/>
      <c r="MWW243" s="1455"/>
      <c r="MWX243" s="1455"/>
      <c r="MWY243" s="1455"/>
      <c r="MWZ243" s="1455"/>
      <c r="MXA243" s="1455"/>
      <c r="MXB243" s="1455"/>
      <c r="MXC243" s="1455"/>
      <c r="MXD243" s="1455"/>
      <c r="MXE243" s="1455"/>
      <c r="MXF243" s="1455"/>
      <c r="MXG243" s="1455"/>
      <c r="MXH243" s="1455"/>
      <c r="MXI243" s="1455"/>
      <c r="MXJ243" s="1455"/>
      <c r="MXK243" s="1455"/>
      <c r="MXL243" s="1455"/>
      <c r="MXM243" s="1455"/>
      <c r="MXN243" s="1455"/>
      <c r="MXO243" s="1455"/>
      <c r="MXP243" s="1455"/>
      <c r="MXQ243" s="1455"/>
      <c r="MXR243" s="1455"/>
      <c r="MXS243" s="1455"/>
      <c r="MXT243" s="1455"/>
      <c r="MXU243" s="1455"/>
      <c r="MXV243" s="1455"/>
      <c r="MXW243" s="1455"/>
      <c r="MXX243" s="1455"/>
      <c r="MXY243" s="1455"/>
      <c r="MXZ243" s="1455"/>
      <c r="MYA243" s="1455"/>
      <c r="MYB243" s="1455"/>
      <c r="MYC243" s="1455"/>
      <c r="MYD243" s="1455"/>
      <c r="MYE243" s="1455"/>
      <c r="MYF243" s="1455"/>
      <c r="MYG243" s="1455"/>
      <c r="MYH243" s="1455"/>
      <c r="MYI243" s="1455"/>
      <c r="MYJ243" s="1455"/>
      <c r="MYK243" s="1455"/>
      <c r="MYL243" s="1455"/>
      <c r="MYM243" s="1455"/>
      <c r="MYN243" s="1455"/>
      <c r="MYO243" s="1455"/>
      <c r="MYP243" s="1455"/>
      <c r="MYQ243" s="1455"/>
      <c r="MYR243" s="1455"/>
      <c r="MYS243" s="1455"/>
      <c r="MYT243" s="1455"/>
      <c r="MYU243" s="1455"/>
      <c r="MYV243" s="1455"/>
      <c r="MYW243" s="1455"/>
      <c r="MYX243" s="1455"/>
      <c r="MYY243" s="1455"/>
      <c r="MYZ243" s="1455"/>
      <c r="MZA243" s="1455"/>
      <c r="MZB243" s="1455"/>
      <c r="MZC243" s="1455"/>
      <c r="MZD243" s="1455"/>
      <c r="MZE243" s="1455"/>
      <c r="MZF243" s="1455"/>
      <c r="MZG243" s="1455"/>
      <c r="MZH243" s="1455"/>
      <c r="MZI243" s="1455"/>
      <c r="MZJ243" s="1455"/>
      <c r="MZK243" s="1455"/>
      <c r="MZL243" s="1455"/>
      <c r="MZM243" s="1455"/>
      <c r="MZN243" s="1455"/>
      <c r="MZO243" s="1455"/>
      <c r="MZP243" s="1455"/>
      <c r="MZQ243" s="1455"/>
      <c r="MZR243" s="1455"/>
      <c r="MZS243" s="1455"/>
      <c r="MZT243" s="1455"/>
      <c r="MZU243" s="1455"/>
      <c r="MZV243" s="1455"/>
      <c r="MZW243" s="1455"/>
      <c r="MZX243" s="1455"/>
      <c r="MZY243" s="1455"/>
      <c r="MZZ243" s="1455"/>
      <c r="NAA243" s="1455"/>
      <c r="NAB243" s="1455"/>
      <c r="NAC243" s="1455"/>
      <c r="NAD243" s="1455"/>
      <c r="NAE243" s="1455"/>
      <c r="NAF243" s="1455"/>
      <c r="NAG243" s="1455"/>
      <c r="NAH243" s="1455"/>
      <c r="NAI243" s="1455"/>
      <c r="NAJ243" s="1455"/>
      <c r="NAK243" s="1455"/>
      <c r="NAL243" s="1455"/>
      <c r="NAM243" s="1455"/>
      <c r="NAN243" s="1455"/>
      <c r="NAO243" s="1455"/>
      <c r="NAP243" s="1455"/>
      <c r="NAQ243" s="1455"/>
      <c r="NAR243" s="1455"/>
      <c r="NAS243" s="1455"/>
      <c r="NAT243" s="1455"/>
      <c r="NAU243" s="1455"/>
      <c r="NAV243" s="1455"/>
      <c r="NAW243" s="1455"/>
      <c r="NAX243" s="1455"/>
      <c r="NAY243" s="1455"/>
      <c r="NAZ243" s="1455"/>
      <c r="NBA243" s="1455"/>
      <c r="NBB243" s="1455"/>
      <c r="NBC243" s="1455"/>
      <c r="NBD243" s="1455"/>
      <c r="NBE243" s="1455"/>
      <c r="NBF243" s="1455"/>
      <c r="NBG243" s="1455"/>
      <c r="NBH243" s="1455"/>
      <c r="NBI243" s="1455"/>
      <c r="NBJ243" s="1455"/>
      <c r="NBK243" s="1455"/>
      <c r="NBL243" s="1455"/>
      <c r="NBM243" s="1455"/>
      <c r="NBN243" s="1455"/>
      <c r="NBO243" s="1455"/>
      <c r="NBP243" s="1455"/>
      <c r="NBQ243" s="1455"/>
      <c r="NBR243" s="1455"/>
      <c r="NBS243" s="1455"/>
      <c r="NBT243" s="1455"/>
      <c r="NBU243" s="1455"/>
      <c r="NBV243" s="1455"/>
      <c r="NBW243" s="1455"/>
      <c r="NBX243" s="1455"/>
      <c r="NBY243" s="1455"/>
      <c r="NBZ243" s="1455"/>
      <c r="NCA243" s="1455"/>
      <c r="NCB243" s="1455"/>
      <c r="NCC243" s="1455"/>
      <c r="NCD243" s="1455"/>
      <c r="NCE243" s="1455"/>
      <c r="NCF243" s="1455"/>
      <c r="NCG243" s="1455"/>
      <c r="NCH243" s="1455"/>
      <c r="NCI243" s="1455"/>
      <c r="NCJ243" s="1455"/>
      <c r="NCK243" s="1455"/>
      <c r="NCL243" s="1455"/>
      <c r="NCM243" s="1455"/>
      <c r="NCN243" s="1455"/>
      <c r="NCO243" s="1455"/>
      <c r="NCP243" s="1455"/>
      <c r="NCQ243" s="1455"/>
      <c r="NCR243" s="1455"/>
      <c r="NCS243" s="1455"/>
      <c r="NCT243" s="1455"/>
      <c r="NCU243" s="1455"/>
      <c r="NCV243" s="1455"/>
      <c r="NCW243" s="1455"/>
      <c r="NCX243" s="1455"/>
      <c r="NCY243" s="1455"/>
      <c r="NCZ243" s="1455"/>
      <c r="NDA243" s="1455"/>
      <c r="NDB243" s="1455"/>
      <c r="NDC243" s="1455"/>
      <c r="NDD243" s="1455"/>
      <c r="NDE243" s="1455"/>
      <c r="NDF243" s="1455"/>
      <c r="NDG243" s="1455"/>
      <c r="NDH243" s="1455"/>
      <c r="NDI243" s="1455"/>
      <c r="NDJ243" s="1455"/>
      <c r="NDK243" s="1455"/>
      <c r="NDL243" s="1455"/>
      <c r="NDM243" s="1455"/>
      <c r="NDN243" s="1455"/>
      <c r="NDO243" s="1455"/>
      <c r="NDP243" s="1455"/>
      <c r="NDQ243" s="1455"/>
      <c r="NDR243" s="1455"/>
      <c r="NDS243" s="1455"/>
      <c r="NDT243" s="1455"/>
      <c r="NDU243" s="1455"/>
      <c r="NDV243" s="1455"/>
      <c r="NDW243" s="1455"/>
      <c r="NDX243" s="1455"/>
      <c r="NDY243" s="1455"/>
      <c r="NDZ243" s="1455"/>
      <c r="NEA243" s="1455"/>
      <c r="NEB243" s="1455"/>
      <c r="NEC243" s="1455"/>
      <c r="NED243" s="1455"/>
      <c r="NEE243" s="1455"/>
      <c r="NEF243" s="1455"/>
      <c r="NEG243" s="1455"/>
      <c r="NEH243" s="1455"/>
      <c r="NEI243" s="1455"/>
      <c r="NEJ243" s="1455"/>
      <c r="NEK243" s="1455"/>
      <c r="NEL243" s="1455"/>
      <c r="NEM243" s="1455"/>
      <c r="NEN243" s="1455"/>
      <c r="NEO243" s="1455"/>
      <c r="NEP243" s="1455"/>
      <c r="NEQ243" s="1455"/>
      <c r="NER243" s="1455"/>
      <c r="NES243" s="1455"/>
      <c r="NET243" s="1455"/>
      <c r="NEU243" s="1455"/>
      <c r="NEV243" s="1455"/>
      <c r="NEW243" s="1455"/>
      <c r="NEX243" s="1455"/>
      <c r="NEY243" s="1455"/>
      <c r="NEZ243" s="1455"/>
      <c r="NFA243" s="1455"/>
      <c r="NFB243" s="1455"/>
      <c r="NFC243" s="1455"/>
      <c r="NFD243" s="1455"/>
      <c r="NFE243" s="1455"/>
      <c r="NFF243" s="1455"/>
      <c r="NFG243" s="1455"/>
      <c r="NFH243" s="1455"/>
      <c r="NFI243" s="1455"/>
      <c r="NFJ243" s="1455"/>
      <c r="NFK243" s="1455"/>
      <c r="NFL243" s="1455"/>
      <c r="NFM243" s="1455"/>
      <c r="NFN243" s="1455"/>
      <c r="NFO243" s="1455"/>
      <c r="NFP243" s="1455"/>
      <c r="NFQ243" s="1455"/>
      <c r="NFR243" s="1455"/>
      <c r="NFS243" s="1455"/>
      <c r="NFT243" s="1455"/>
      <c r="NFU243" s="1455"/>
      <c r="NFV243" s="1455"/>
      <c r="NFW243" s="1455"/>
      <c r="NFX243" s="1455"/>
      <c r="NFY243" s="1455"/>
      <c r="NFZ243" s="1455"/>
      <c r="NGA243" s="1455"/>
      <c r="NGB243" s="1455"/>
      <c r="NGC243" s="1455"/>
      <c r="NGD243" s="1455"/>
      <c r="NGE243" s="1455"/>
      <c r="NGF243" s="1455"/>
      <c r="NGG243" s="1455"/>
      <c r="NGH243" s="1455"/>
      <c r="NGI243" s="1455"/>
      <c r="NGJ243" s="1455"/>
      <c r="NGK243" s="1455"/>
      <c r="NGL243" s="1455"/>
      <c r="NGM243" s="1455"/>
      <c r="NGN243" s="1455"/>
      <c r="NGO243" s="1455"/>
      <c r="NGP243" s="1455"/>
      <c r="NGQ243" s="1455"/>
      <c r="NGR243" s="1455"/>
      <c r="NGS243" s="1455"/>
      <c r="NGT243" s="1455"/>
      <c r="NGU243" s="1455"/>
      <c r="NGV243" s="1455"/>
      <c r="NGW243" s="1455"/>
      <c r="NGX243" s="1455"/>
      <c r="NGY243" s="1455"/>
      <c r="NGZ243" s="1455"/>
      <c r="NHA243" s="1455"/>
      <c r="NHB243" s="1455"/>
      <c r="NHC243" s="1455"/>
      <c r="NHD243" s="1455"/>
      <c r="NHE243" s="1455"/>
      <c r="NHF243" s="1455"/>
      <c r="NHG243" s="1455"/>
      <c r="NHH243" s="1455"/>
      <c r="NHI243" s="1455"/>
      <c r="NHJ243" s="1455"/>
      <c r="NHK243" s="1455"/>
      <c r="NHL243" s="1455"/>
      <c r="NHM243" s="1455"/>
      <c r="NHN243" s="1455"/>
      <c r="NHO243" s="1455"/>
      <c r="NHP243" s="1455"/>
      <c r="NHQ243" s="1455"/>
      <c r="NHR243" s="1455"/>
      <c r="NHS243" s="1455"/>
      <c r="NHT243" s="1455"/>
      <c r="NHU243" s="1455"/>
      <c r="NHV243" s="1455"/>
      <c r="NHW243" s="1455"/>
      <c r="NHX243" s="1455"/>
      <c r="NHY243" s="1455"/>
      <c r="NHZ243" s="1455"/>
      <c r="NIA243" s="1455"/>
      <c r="NIB243" s="1455"/>
      <c r="NIC243" s="1455"/>
      <c r="NID243" s="1455"/>
      <c r="NIE243" s="1455"/>
      <c r="NIF243" s="1455"/>
      <c r="NIG243" s="1455"/>
      <c r="NIH243" s="1455"/>
      <c r="NII243" s="1455"/>
      <c r="NIJ243" s="1455"/>
      <c r="NIK243" s="1455"/>
      <c r="NIL243" s="1455"/>
      <c r="NIM243" s="1455"/>
      <c r="NIN243" s="1455"/>
      <c r="NIO243" s="1455"/>
      <c r="NIP243" s="1455"/>
      <c r="NIQ243" s="1455"/>
      <c r="NIR243" s="1455"/>
      <c r="NIS243" s="1455"/>
      <c r="NIT243" s="1455"/>
      <c r="NIU243" s="1455"/>
      <c r="NIV243" s="1455"/>
      <c r="NIW243" s="1455"/>
      <c r="NIX243" s="1455"/>
      <c r="NIY243" s="1455"/>
      <c r="NIZ243" s="1455"/>
      <c r="NJA243" s="1455"/>
      <c r="NJB243" s="1455"/>
      <c r="NJC243" s="1455"/>
      <c r="NJD243" s="1455"/>
      <c r="NJE243" s="1455"/>
      <c r="NJF243" s="1455"/>
      <c r="NJG243" s="1455"/>
      <c r="NJH243" s="1455"/>
      <c r="NJI243" s="1455"/>
      <c r="NJJ243" s="1455"/>
      <c r="NJK243" s="1455"/>
      <c r="NJL243" s="1455"/>
      <c r="NJM243" s="1455"/>
      <c r="NJN243" s="1455"/>
      <c r="NJO243" s="1455"/>
      <c r="NJP243" s="1455"/>
      <c r="NJQ243" s="1455"/>
      <c r="NJR243" s="1455"/>
      <c r="NJS243" s="1455"/>
      <c r="NJT243" s="1455"/>
      <c r="NJU243" s="1455"/>
      <c r="NJV243" s="1455"/>
      <c r="NJW243" s="1455"/>
      <c r="NJX243" s="1455"/>
      <c r="NJY243" s="1455"/>
      <c r="NJZ243" s="1455"/>
      <c r="NKA243" s="1455"/>
      <c r="NKB243" s="1455"/>
      <c r="NKC243" s="1455"/>
      <c r="NKD243" s="1455"/>
      <c r="NKE243" s="1455"/>
      <c r="NKF243" s="1455"/>
      <c r="NKG243" s="1455"/>
      <c r="NKH243" s="1455"/>
      <c r="NKI243" s="1455"/>
      <c r="NKJ243" s="1455"/>
      <c r="NKK243" s="1455"/>
      <c r="NKL243" s="1455"/>
      <c r="NKM243" s="1455"/>
      <c r="NKN243" s="1455"/>
      <c r="NKO243" s="1455"/>
      <c r="NKP243" s="1455"/>
      <c r="NKQ243" s="1455"/>
      <c r="NKR243" s="1455"/>
      <c r="NKS243" s="1455"/>
      <c r="NKT243" s="1455"/>
      <c r="NKU243" s="1455"/>
      <c r="NKV243" s="1455"/>
      <c r="NKW243" s="1455"/>
      <c r="NKX243" s="1455"/>
      <c r="NKY243" s="1455"/>
      <c r="NKZ243" s="1455"/>
      <c r="NLA243" s="1455"/>
      <c r="NLB243" s="1455"/>
      <c r="NLC243" s="1455"/>
      <c r="NLD243" s="1455"/>
      <c r="NLE243" s="1455"/>
      <c r="NLF243" s="1455"/>
      <c r="NLG243" s="1455"/>
      <c r="NLH243" s="1455"/>
      <c r="NLI243" s="1455"/>
      <c r="NLJ243" s="1455"/>
      <c r="NLK243" s="1455"/>
      <c r="NLL243" s="1455"/>
      <c r="NLM243" s="1455"/>
      <c r="NLN243" s="1455"/>
      <c r="NLO243" s="1455"/>
      <c r="NLP243" s="1455"/>
      <c r="NLQ243" s="1455"/>
      <c r="NLR243" s="1455"/>
      <c r="NLS243" s="1455"/>
      <c r="NLT243" s="1455"/>
      <c r="NLU243" s="1455"/>
      <c r="NLV243" s="1455"/>
      <c r="NLW243" s="1455"/>
      <c r="NLX243" s="1455"/>
      <c r="NLY243" s="1455"/>
      <c r="NLZ243" s="1455"/>
      <c r="NMA243" s="1455"/>
      <c r="NMB243" s="1455"/>
      <c r="NMC243" s="1455"/>
      <c r="NMD243" s="1455"/>
      <c r="NME243" s="1455"/>
      <c r="NMF243" s="1455"/>
      <c r="NMG243" s="1455"/>
      <c r="NMH243" s="1455"/>
      <c r="NMI243" s="1455"/>
      <c r="NMJ243" s="1455"/>
      <c r="NMK243" s="1455"/>
      <c r="NML243" s="1455"/>
      <c r="NMM243" s="1455"/>
      <c r="NMN243" s="1455"/>
      <c r="NMO243" s="1455"/>
      <c r="NMP243" s="1455"/>
      <c r="NMQ243" s="1455"/>
      <c r="NMR243" s="1455"/>
      <c r="NMS243" s="1455"/>
      <c r="NMT243" s="1455"/>
      <c r="NMU243" s="1455"/>
      <c r="NMV243" s="1455"/>
      <c r="NMW243" s="1455"/>
      <c r="NMX243" s="1455"/>
      <c r="NMY243" s="1455"/>
      <c r="NMZ243" s="1455"/>
      <c r="NNA243" s="1455"/>
      <c r="NNB243" s="1455"/>
      <c r="NNC243" s="1455"/>
      <c r="NND243" s="1455"/>
      <c r="NNE243" s="1455"/>
      <c r="NNF243" s="1455"/>
      <c r="NNG243" s="1455"/>
      <c r="NNH243" s="1455"/>
      <c r="NNI243" s="1455"/>
      <c r="NNJ243" s="1455"/>
      <c r="NNK243" s="1455"/>
      <c r="NNL243" s="1455"/>
      <c r="NNM243" s="1455"/>
      <c r="NNN243" s="1455"/>
      <c r="NNO243" s="1455"/>
      <c r="NNP243" s="1455"/>
      <c r="NNQ243" s="1455"/>
      <c r="NNR243" s="1455"/>
      <c r="NNS243" s="1455"/>
      <c r="NNT243" s="1455"/>
      <c r="NNU243" s="1455"/>
      <c r="NNV243" s="1455"/>
      <c r="NNW243" s="1455"/>
      <c r="NNX243" s="1455"/>
      <c r="NNY243" s="1455"/>
      <c r="NNZ243" s="1455"/>
      <c r="NOA243" s="1455"/>
      <c r="NOB243" s="1455"/>
      <c r="NOC243" s="1455"/>
      <c r="NOD243" s="1455"/>
      <c r="NOE243" s="1455"/>
      <c r="NOF243" s="1455"/>
      <c r="NOG243" s="1455"/>
      <c r="NOH243" s="1455"/>
      <c r="NOI243" s="1455"/>
      <c r="NOJ243" s="1455"/>
      <c r="NOK243" s="1455"/>
      <c r="NOL243" s="1455"/>
      <c r="NOM243" s="1455"/>
      <c r="NON243" s="1455"/>
      <c r="NOO243" s="1455"/>
      <c r="NOP243" s="1455"/>
      <c r="NOQ243" s="1455"/>
      <c r="NOR243" s="1455"/>
      <c r="NOS243" s="1455"/>
      <c r="NOT243" s="1455"/>
      <c r="NOU243" s="1455"/>
      <c r="NOV243" s="1455"/>
      <c r="NOW243" s="1455"/>
      <c r="NOX243" s="1455"/>
      <c r="NOY243" s="1455"/>
      <c r="NOZ243" s="1455"/>
      <c r="NPA243" s="1455"/>
      <c r="NPB243" s="1455"/>
      <c r="NPC243" s="1455"/>
      <c r="NPD243" s="1455"/>
      <c r="NPE243" s="1455"/>
      <c r="NPF243" s="1455"/>
      <c r="NPG243" s="1455"/>
      <c r="NPH243" s="1455"/>
      <c r="NPI243" s="1455"/>
      <c r="NPJ243" s="1455"/>
      <c r="NPK243" s="1455"/>
      <c r="NPL243" s="1455"/>
      <c r="NPM243" s="1455"/>
      <c r="NPN243" s="1455"/>
      <c r="NPO243" s="1455"/>
      <c r="NPP243" s="1455"/>
      <c r="NPQ243" s="1455"/>
      <c r="NPR243" s="1455"/>
      <c r="NPS243" s="1455"/>
      <c r="NPT243" s="1455"/>
      <c r="NPU243" s="1455"/>
      <c r="NPV243" s="1455"/>
      <c r="NPW243" s="1455"/>
      <c r="NPX243" s="1455"/>
      <c r="NPY243" s="1455"/>
      <c r="NPZ243" s="1455"/>
      <c r="NQA243" s="1455"/>
      <c r="NQB243" s="1455"/>
      <c r="NQC243" s="1455"/>
      <c r="NQD243" s="1455"/>
      <c r="NQE243" s="1455"/>
      <c r="NQF243" s="1455"/>
      <c r="NQG243" s="1455"/>
      <c r="NQH243" s="1455"/>
      <c r="NQI243" s="1455"/>
      <c r="NQJ243" s="1455"/>
      <c r="NQK243" s="1455"/>
      <c r="NQL243" s="1455"/>
      <c r="NQM243" s="1455"/>
      <c r="NQN243" s="1455"/>
      <c r="NQO243" s="1455"/>
      <c r="NQP243" s="1455"/>
      <c r="NQQ243" s="1455"/>
      <c r="NQR243" s="1455"/>
      <c r="NQS243" s="1455"/>
      <c r="NQT243" s="1455"/>
      <c r="NQU243" s="1455"/>
      <c r="NQV243" s="1455"/>
      <c r="NQW243" s="1455"/>
      <c r="NQX243" s="1455"/>
      <c r="NQY243" s="1455"/>
      <c r="NQZ243" s="1455"/>
      <c r="NRA243" s="1455"/>
      <c r="NRB243" s="1455"/>
      <c r="NRC243" s="1455"/>
      <c r="NRD243" s="1455"/>
      <c r="NRE243" s="1455"/>
      <c r="NRF243" s="1455"/>
      <c r="NRG243" s="1455"/>
      <c r="NRH243" s="1455"/>
      <c r="NRI243" s="1455"/>
      <c r="NRJ243" s="1455"/>
      <c r="NRK243" s="1455"/>
      <c r="NRL243" s="1455"/>
      <c r="NRM243" s="1455"/>
      <c r="NRN243" s="1455"/>
      <c r="NRO243" s="1455"/>
      <c r="NRP243" s="1455"/>
      <c r="NRQ243" s="1455"/>
      <c r="NRR243" s="1455"/>
      <c r="NRS243" s="1455"/>
      <c r="NRT243" s="1455"/>
      <c r="NRU243" s="1455"/>
      <c r="NRV243" s="1455"/>
      <c r="NRW243" s="1455"/>
      <c r="NRX243" s="1455"/>
      <c r="NRY243" s="1455"/>
      <c r="NRZ243" s="1455"/>
      <c r="NSA243" s="1455"/>
      <c r="NSB243" s="1455"/>
      <c r="NSC243" s="1455"/>
      <c r="NSD243" s="1455"/>
      <c r="NSE243" s="1455"/>
      <c r="NSF243" s="1455"/>
      <c r="NSG243" s="1455"/>
      <c r="NSH243" s="1455"/>
      <c r="NSI243" s="1455"/>
      <c r="NSJ243" s="1455"/>
      <c r="NSK243" s="1455"/>
      <c r="NSL243" s="1455"/>
      <c r="NSM243" s="1455"/>
      <c r="NSN243" s="1455"/>
      <c r="NSO243" s="1455"/>
      <c r="NSP243" s="1455"/>
      <c r="NSQ243" s="1455"/>
      <c r="NSR243" s="1455"/>
      <c r="NSS243" s="1455"/>
      <c r="NST243" s="1455"/>
      <c r="NSU243" s="1455"/>
      <c r="NSV243" s="1455"/>
      <c r="NSW243" s="1455"/>
      <c r="NSX243" s="1455"/>
      <c r="NSY243" s="1455"/>
      <c r="NSZ243" s="1455"/>
      <c r="NTA243" s="1455"/>
      <c r="NTB243" s="1455"/>
      <c r="NTC243" s="1455"/>
      <c r="NTD243" s="1455"/>
      <c r="NTE243" s="1455"/>
      <c r="NTF243" s="1455"/>
      <c r="NTG243" s="1455"/>
      <c r="NTH243" s="1455"/>
      <c r="NTI243" s="1455"/>
      <c r="NTJ243" s="1455"/>
      <c r="NTK243" s="1455"/>
      <c r="NTL243" s="1455"/>
      <c r="NTM243" s="1455"/>
      <c r="NTN243" s="1455"/>
      <c r="NTO243" s="1455"/>
      <c r="NTP243" s="1455"/>
      <c r="NTQ243" s="1455"/>
      <c r="NTR243" s="1455"/>
      <c r="NTS243" s="1455"/>
      <c r="NTT243" s="1455"/>
      <c r="NTU243" s="1455"/>
      <c r="NTV243" s="1455"/>
      <c r="NTW243" s="1455"/>
      <c r="NTX243" s="1455"/>
      <c r="NTY243" s="1455"/>
      <c r="NTZ243" s="1455"/>
      <c r="NUA243" s="1455"/>
      <c r="NUB243" s="1455"/>
      <c r="NUC243" s="1455"/>
      <c r="NUD243" s="1455"/>
      <c r="NUE243" s="1455"/>
      <c r="NUF243" s="1455"/>
      <c r="NUG243" s="1455"/>
      <c r="NUH243" s="1455"/>
      <c r="NUI243" s="1455"/>
      <c r="NUJ243" s="1455"/>
      <c r="NUK243" s="1455"/>
      <c r="NUL243" s="1455"/>
      <c r="NUM243" s="1455"/>
      <c r="NUN243" s="1455"/>
      <c r="NUO243" s="1455"/>
      <c r="NUP243" s="1455"/>
      <c r="NUQ243" s="1455"/>
      <c r="NUR243" s="1455"/>
      <c r="NUS243" s="1455"/>
      <c r="NUT243" s="1455"/>
      <c r="NUU243" s="1455"/>
      <c r="NUV243" s="1455"/>
      <c r="NUW243" s="1455"/>
      <c r="NUX243" s="1455"/>
      <c r="NUY243" s="1455"/>
      <c r="NUZ243" s="1455"/>
      <c r="NVA243" s="1455"/>
      <c r="NVB243" s="1455"/>
      <c r="NVC243" s="1455"/>
      <c r="NVD243" s="1455"/>
      <c r="NVE243" s="1455"/>
      <c r="NVF243" s="1455"/>
      <c r="NVG243" s="1455"/>
      <c r="NVH243" s="1455"/>
      <c r="NVI243" s="1455"/>
      <c r="NVJ243" s="1455"/>
      <c r="NVK243" s="1455"/>
      <c r="NVL243" s="1455"/>
      <c r="NVM243" s="1455"/>
      <c r="NVN243" s="1455"/>
      <c r="NVO243" s="1455"/>
      <c r="NVP243" s="1455"/>
      <c r="NVQ243" s="1455"/>
      <c r="NVR243" s="1455"/>
      <c r="NVS243" s="1455"/>
      <c r="NVT243" s="1455"/>
      <c r="NVU243" s="1455"/>
      <c r="NVV243" s="1455"/>
      <c r="NVW243" s="1455"/>
      <c r="NVX243" s="1455"/>
      <c r="NVY243" s="1455"/>
      <c r="NVZ243" s="1455"/>
      <c r="NWA243" s="1455"/>
      <c r="NWB243" s="1455"/>
      <c r="NWC243" s="1455"/>
      <c r="NWD243" s="1455"/>
      <c r="NWE243" s="1455"/>
      <c r="NWF243" s="1455"/>
      <c r="NWG243" s="1455"/>
      <c r="NWH243" s="1455"/>
      <c r="NWI243" s="1455"/>
      <c r="NWJ243" s="1455"/>
      <c r="NWK243" s="1455"/>
      <c r="NWL243" s="1455"/>
      <c r="NWM243" s="1455"/>
      <c r="NWN243" s="1455"/>
      <c r="NWO243" s="1455"/>
      <c r="NWP243" s="1455"/>
      <c r="NWQ243" s="1455"/>
      <c r="NWR243" s="1455"/>
      <c r="NWS243" s="1455"/>
      <c r="NWT243" s="1455"/>
      <c r="NWU243" s="1455"/>
      <c r="NWV243" s="1455"/>
      <c r="NWW243" s="1455"/>
      <c r="NWX243" s="1455"/>
      <c r="NWY243" s="1455"/>
      <c r="NWZ243" s="1455"/>
      <c r="NXA243" s="1455"/>
      <c r="NXB243" s="1455"/>
      <c r="NXC243" s="1455"/>
      <c r="NXD243" s="1455"/>
      <c r="NXE243" s="1455"/>
      <c r="NXF243" s="1455"/>
      <c r="NXG243" s="1455"/>
      <c r="NXH243" s="1455"/>
      <c r="NXI243" s="1455"/>
      <c r="NXJ243" s="1455"/>
      <c r="NXK243" s="1455"/>
      <c r="NXL243" s="1455"/>
      <c r="NXM243" s="1455"/>
      <c r="NXN243" s="1455"/>
      <c r="NXO243" s="1455"/>
      <c r="NXP243" s="1455"/>
      <c r="NXQ243" s="1455"/>
      <c r="NXR243" s="1455"/>
      <c r="NXS243" s="1455"/>
      <c r="NXT243" s="1455"/>
      <c r="NXU243" s="1455"/>
      <c r="NXV243" s="1455"/>
      <c r="NXW243" s="1455"/>
      <c r="NXX243" s="1455"/>
      <c r="NXY243" s="1455"/>
      <c r="NXZ243" s="1455"/>
      <c r="NYA243" s="1455"/>
      <c r="NYB243" s="1455"/>
      <c r="NYC243" s="1455"/>
      <c r="NYD243" s="1455"/>
      <c r="NYE243" s="1455"/>
      <c r="NYF243" s="1455"/>
      <c r="NYG243" s="1455"/>
      <c r="NYH243" s="1455"/>
      <c r="NYI243" s="1455"/>
      <c r="NYJ243" s="1455"/>
      <c r="NYK243" s="1455"/>
      <c r="NYL243" s="1455"/>
      <c r="NYM243" s="1455"/>
      <c r="NYN243" s="1455"/>
      <c r="NYO243" s="1455"/>
      <c r="NYP243" s="1455"/>
      <c r="NYQ243" s="1455"/>
      <c r="NYR243" s="1455"/>
      <c r="NYS243" s="1455"/>
      <c r="NYT243" s="1455"/>
      <c r="NYU243" s="1455"/>
      <c r="NYV243" s="1455"/>
      <c r="NYW243" s="1455"/>
      <c r="NYX243" s="1455"/>
      <c r="NYY243" s="1455"/>
      <c r="NYZ243" s="1455"/>
      <c r="NZA243" s="1455"/>
      <c r="NZB243" s="1455"/>
      <c r="NZC243" s="1455"/>
      <c r="NZD243" s="1455"/>
      <c r="NZE243" s="1455"/>
      <c r="NZF243" s="1455"/>
      <c r="NZG243" s="1455"/>
      <c r="NZH243" s="1455"/>
      <c r="NZI243" s="1455"/>
      <c r="NZJ243" s="1455"/>
      <c r="NZK243" s="1455"/>
      <c r="NZL243" s="1455"/>
      <c r="NZM243" s="1455"/>
      <c r="NZN243" s="1455"/>
      <c r="NZO243" s="1455"/>
      <c r="NZP243" s="1455"/>
      <c r="NZQ243" s="1455"/>
      <c r="NZR243" s="1455"/>
      <c r="NZS243" s="1455"/>
      <c r="NZT243" s="1455"/>
      <c r="NZU243" s="1455"/>
      <c r="NZV243" s="1455"/>
      <c r="NZW243" s="1455"/>
      <c r="NZX243" s="1455"/>
      <c r="NZY243" s="1455"/>
      <c r="NZZ243" s="1455"/>
      <c r="OAA243" s="1455"/>
      <c r="OAB243" s="1455"/>
      <c r="OAC243" s="1455"/>
      <c r="OAD243" s="1455"/>
      <c r="OAE243" s="1455"/>
      <c r="OAF243" s="1455"/>
      <c r="OAG243" s="1455"/>
      <c r="OAH243" s="1455"/>
      <c r="OAI243" s="1455"/>
      <c r="OAJ243" s="1455"/>
      <c r="OAK243" s="1455"/>
      <c r="OAL243" s="1455"/>
      <c r="OAM243" s="1455"/>
      <c r="OAN243" s="1455"/>
      <c r="OAO243" s="1455"/>
      <c r="OAP243" s="1455"/>
      <c r="OAQ243" s="1455"/>
      <c r="OAR243" s="1455"/>
      <c r="OAS243" s="1455"/>
      <c r="OAT243" s="1455"/>
      <c r="OAU243" s="1455"/>
      <c r="OAV243" s="1455"/>
      <c r="OAW243" s="1455"/>
      <c r="OAX243" s="1455"/>
      <c r="OAY243" s="1455"/>
      <c r="OAZ243" s="1455"/>
      <c r="OBA243" s="1455"/>
      <c r="OBB243" s="1455"/>
      <c r="OBC243" s="1455"/>
      <c r="OBD243" s="1455"/>
      <c r="OBE243" s="1455"/>
      <c r="OBF243" s="1455"/>
      <c r="OBG243" s="1455"/>
      <c r="OBH243" s="1455"/>
      <c r="OBI243" s="1455"/>
      <c r="OBJ243" s="1455"/>
      <c r="OBK243" s="1455"/>
      <c r="OBL243" s="1455"/>
      <c r="OBM243" s="1455"/>
      <c r="OBN243" s="1455"/>
      <c r="OBO243" s="1455"/>
      <c r="OBP243" s="1455"/>
      <c r="OBQ243" s="1455"/>
      <c r="OBR243" s="1455"/>
      <c r="OBS243" s="1455"/>
      <c r="OBT243" s="1455"/>
      <c r="OBU243" s="1455"/>
      <c r="OBV243" s="1455"/>
      <c r="OBW243" s="1455"/>
      <c r="OBX243" s="1455"/>
      <c r="OBY243" s="1455"/>
      <c r="OBZ243" s="1455"/>
      <c r="OCA243" s="1455"/>
      <c r="OCB243" s="1455"/>
      <c r="OCC243" s="1455"/>
      <c r="OCD243" s="1455"/>
      <c r="OCE243" s="1455"/>
      <c r="OCF243" s="1455"/>
      <c r="OCG243" s="1455"/>
      <c r="OCH243" s="1455"/>
      <c r="OCI243" s="1455"/>
      <c r="OCJ243" s="1455"/>
      <c r="OCK243" s="1455"/>
      <c r="OCL243" s="1455"/>
      <c r="OCM243" s="1455"/>
      <c r="OCN243" s="1455"/>
      <c r="OCO243" s="1455"/>
      <c r="OCP243" s="1455"/>
      <c r="OCQ243" s="1455"/>
      <c r="OCR243" s="1455"/>
      <c r="OCS243" s="1455"/>
      <c r="OCT243" s="1455"/>
      <c r="OCU243" s="1455"/>
      <c r="OCV243" s="1455"/>
      <c r="OCW243" s="1455"/>
      <c r="OCX243" s="1455"/>
      <c r="OCY243" s="1455"/>
      <c r="OCZ243" s="1455"/>
      <c r="ODA243" s="1455"/>
      <c r="ODB243" s="1455"/>
      <c r="ODC243" s="1455"/>
      <c r="ODD243" s="1455"/>
      <c r="ODE243" s="1455"/>
      <c r="ODF243" s="1455"/>
      <c r="ODG243" s="1455"/>
      <c r="ODH243" s="1455"/>
      <c r="ODI243" s="1455"/>
      <c r="ODJ243" s="1455"/>
      <c r="ODK243" s="1455"/>
      <c r="ODL243" s="1455"/>
      <c r="ODM243" s="1455"/>
      <c r="ODN243" s="1455"/>
      <c r="ODO243" s="1455"/>
      <c r="ODP243" s="1455"/>
      <c r="ODQ243" s="1455"/>
      <c r="ODR243" s="1455"/>
      <c r="ODS243" s="1455"/>
      <c r="ODT243" s="1455"/>
      <c r="ODU243" s="1455"/>
      <c r="ODV243" s="1455"/>
      <c r="ODW243" s="1455"/>
      <c r="ODX243" s="1455"/>
      <c r="ODY243" s="1455"/>
      <c r="ODZ243" s="1455"/>
      <c r="OEA243" s="1455"/>
      <c r="OEB243" s="1455"/>
      <c r="OEC243" s="1455"/>
      <c r="OED243" s="1455"/>
      <c r="OEE243" s="1455"/>
      <c r="OEF243" s="1455"/>
      <c r="OEG243" s="1455"/>
      <c r="OEH243" s="1455"/>
      <c r="OEI243" s="1455"/>
      <c r="OEJ243" s="1455"/>
      <c r="OEK243" s="1455"/>
      <c r="OEL243" s="1455"/>
      <c r="OEM243" s="1455"/>
      <c r="OEN243" s="1455"/>
      <c r="OEO243" s="1455"/>
      <c r="OEP243" s="1455"/>
      <c r="OEQ243" s="1455"/>
      <c r="OER243" s="1455"/>
      <c r="OES243" s="1455"/>
      <c r="OET243" s="1455"/>
      <c r="OEU243" s="1455"/>
      <c r="OEV243" s="1455"/>
      <c r="OEW243" s="1455"/>
      <c r="OEX243" s="1455"/>
      <c r="OEY243" s="1455"/>
      <c r="OEZ243" s="1455"/>
      <c r="OFA243" s="1455"/>
      <c r="OFB243" s="1455"/>
      <c r="OFC243" s="1455"/>
      <c r="OFD243" s="1455"/>
      <c r="OFE243" s="1455"/>
      <c r="OFF243" s="1455"/>
      <c r="OFG243" s="1455"/>
      <c r="OFH243" s="1455"/>
      <c r="OFI243" s="1455"/>
      <c r="OFJ243" s="1455"/>
      <c r="OFK243" s="1455"/>
      <c r="OFL243" s="1455"/>
      <c r="OFM243" s="1455"/>
      <c r="OFN243" s="1455"/>
      <c r="OFO243" s="1455"/>
      <c r="OFP243" s="1455"/>
      <c r="OFQ243" s="1455"/>
      <c r="OFR243" s="1455"/>
      <c r="OFS243" s="1455"/>
      <c r="OFT243" s="1455"/>
      <c r="OFU243" s="1455"/>
      <c r="OFV243" s="1455"/>
      <c r="OFW243" s="1455"/>
      <c r="OFX243" s="1455"/>
      <c r="OFY243" s="1455"/>
      <c r="OFZ243" s="1455"/>
      <c r="OGA243" s="1455"/>
      <c r="OGB243" s="1455"/>
      <c r="OGC243" s="1455"/>
      <c r="OGD243" s="1455"/>
      <c r="OGE243" s="1455"/>
      <c r="OGF243" s="1455"/>
      <c r="OGG243" s="1455"/>
      <c r="OGH243" s="1455"/>
      <c r="OGI243" s="1455"/>
      <c r="OGJ243" s="1455"/>
      <c r="OGK243" s="1455"/>
      <c r="OGL243" s="1455"/>
      <c r="OGM243" s="1455"/>
      <c r="OGN243" s="1455"/>
      <c r="OGO243" s="1455"/>
      <c r="OGP243" s="1455"/>
      <c r="OGQ243" s="1455"/>
      <c r="OGR243" s="1455"/>
      <c r="OGS243" s="1455"/>
      <c r="OGT243" s="1455"/>
      <c r="OGU243" s="1455"/>
      <c r="OGV243" s="1455"/>
      <c r="OGW243" s="1455"/>
      <c r="OGX243" s="1455"/>
      <c r="OGY243" s="1455"/>
      <c r="OGZ243" s="1455"/>
      <c r="OHA243" s="1455"/>
      <c r="OHB243" s="1455"/>
      <c r="OHC243" s="1455"/>
      <c r="OHD243" s="1455"/>
      <c r="OHE243" s="1455"/>
      <c r="OHF243" s="1455"/>
      <c r="OHG243" s="1455"/>
      <c r="OHH243" s="1455"/>
      <c r="OHI243" s="1455"/>
      <c r="OHJ243" s="1455"/>
      <c r="OHK243" s="1455"/>
      <c r="OHL243" s="1455"/>
      <c r="OHM243" s="1455"/>
      <c r="OHN243" s="1455"/>
      <c r="OHO243" s="1455"/>
      <c r="OHP243" s="1455"/>
      <c r="OHQ243" s="1455"/>
      <c r="OHR243" s="1455"/>
      <c r="OHS243" s="1455"/>
      <c r="OHT243" s="1455"/>
      <c r="OHU243" s="1455"/>
      <c r="OHV243" s="1455"/>
      <c r="OHW243" s="1455"/>
      <c r="OHX243" s="1455"/>
      <c r="OHY243" s="1455"/>
      <c r="OHZ243" s="1455"/>
      <c r="OIA243" s="1455"/>
      <c r="OIB243" s="1455"/>
      <c r="OIC243" s="1455"/>
      <c r="OID243" s="1455"/>
      <c r="OIE243" s="1455"/>
      <c r="OIF243" s="1455"/>
      <c r="OIG243" s="1455"/>
      <c r="OIH243" s="1455"/>
      <c r="OII243" s="1455"/>
      <c r="OIJ243" s="1455"/>
      <c r="OIK243" s="1455"/>
      <c r="OIL243" s="1455"/>
      <c r="OIM243" s="1455"/>
      <c r="OIN243" s="1455"/>
      <c r="OIO243" s="1455"/>
      <c r="OIP243" s="1455"/>
      <c r="OIQ243" s="1455"/>
      <c r="OIR243" s="1455"/>
      <c r="OIS243" s="1455"/>
      <c r="OIT243" s="1455"/>
      <c r="OIU243" s="1455"/>
      <c r="OIV243" s="1455"/>
      <c r="OIW243" s="1455"/>
      <c r="OIX243" s="1455"/>
      <c r="OIY243" s="1455"/>
      <c r="OIZ243" s="1455"/>
      <c r="OJA243" s="1455"/>
      <c r="OJB243" s="1455"/>
      <c r="OJC243" s="1455"/>
      <c r="OJD243" s="1455"/>
      <c r="OJE243" s="1455"/>
      <c r="OJF243" s="1455"/>
      <c r="OJG243" s="1455"/>
      <c r="OJH243" s="1455"/>
      <c r="OJI243" s="1455"/>
      <c r="OJJ243" s="1455"/>
      <c r="OJK243" s="1455"/>
      <c r="OJL243" s="1455"/>
      <c r="OJM243" s="1455"/>
      <c r="OJN243" s="1455"/>
      <c r="OJO243" s="1455"/>
      <c r="OJP243" s="1455"/>
      <c r="OJQ243" s="1455"/>
      <c r="OJR243" s="1455"/>
      <c r="OJS243" s="1455"/>
      <c r="OJT243" s="1455"/>
      <c r="OJU243" s="1455"/>
      <c r="OJV243" s="1455"/>
      <c r="OJW243" s="1455"/>
      <c r="OJX243" s="1455"/>
      <c r="OJY243" s="1455"/>
      <c r="OJZ243" s="1455"/>
      <c r="OKA243" s="1455"/>
      <c r="OKB243" s="1455"/>
      <c r="OKC243" s="1455"/>
      <c r="OKD243" s="1455"/>
      <c r="OKE243" s="1455"/>
      <c r="OKF243" s="1455"/>
      <c r="OKG243" s="1455"/>
      <c r="OKH243" s="1455"/>
      <c r="OKI243" s="1455"/>
      <c r="OKJ243" s="1455"/>
      <c r="OKK243" s="1455"/>
      <c r="OKL243" s="1455"/>
      <c r="OKM243" s="1455"/>
      <c r="OKN243" s="1455"/>
      <c r="OKO243" s="1455"/>
      <c r="OKP243" s="1455"/>
      <c r="OKQ243" s="1455"/>
      <c r="OKR243" s="1455"/>
      <c r="OKS243" s="1455"/>
      <c r="OKT243" s="1455"/>
      <c r="OKU243" s="1455"/>
      <c r="OKV243" s="1455"/>
      <c r="OKW243" s="1455"/>
      <c r="OKX243" s="1455"/>
      <c r="OKY243" s="1455"/>
      <c r="OKZ243" s="1455"/>
      <c r="OLA243" s="1455"/>
      <c r="OLB243" s="1455"/>
      <c r="OLC243" s="1455"/>
      <c r="OLD243" s="1455"/>
      <c r="OLE243" s="1455"/>
      <c r="OLF243" s="1455"/>
      <c r="OLG243" s="1455"/>
      <c r="OLH243" s="1455"/>
      <c r="OLI243" s="1455"/>
      <c r="OLJ243" s="1455"/>
      <c r="OLK243" s="1455"/>
      <c r="OLL243" s="1455"/>
      <c r="OLM243" s="1455"/>
      <c r="OLN243" s="1455"/>
      <c r="OLO243" s="1455"/>
      <c r="OLP243" s="1455"/>
      <c r="OLQ243" s="1455"/>
      <c r="OLR243" s="1455"/>
      <c r="OLS243" s="1455"/>
      <c r="OLT243" s="1455"/>
      <c r="OLU243" s="1455"/>
      <c r="OLV243" s="1455"/>
      <c r="OLW243" s="1455"/>
      <c r="OLX243" s="1455"/>
      <c r="OLY243" s="1455"/>
      <c r="OLZ243" s="1455"/>
      <c r="OMA243" s="1455"/>
      <c r="OMB243" s="1455"/>
      <c r="OMC243" s="1455"/>
      <c r="OMD243" s="1455"/>
      <c r="OME243" s="1455"/>
      <c r="OMF243" s="1455"/>
      <c r="OMG243" s="1455"/>
      <c r="OMH243" s="1455"/>
      <c r="OMI243" s="1455"/>
      <c r="OMJ243" s="1455"/>
      <c r="OMK243" s="1455"/>
      <c r="OML243" s="1455"/>
      <c r="OMM243" s="1455"/>
      <c r="OMN243" s="1455"/>
      <c r="OMO243" s="1455"/>
      <c r="OMP243" s="1455"/>
      <c r="OMQ243" s="1455"/>
      <c r="OMR243" s="1455"/>
      <c r="OMS243" s="1455"/>
      <c r="OMT243" s="1455"/>
      <c r="OMU243" s="1455"/>
      <c r="OMV243" s="1455"/>
      <c r="OMW243" s="1455"/>
      <c r="OMX243" s="1455"/>
      <c r="OMY243" s="1455"/>
      <c r="OMZ243" s="1455"/>
      <c r="ONA243" s="1455"/>
      <c r="ONB243" s="1455"/>
      <c r="ONC243" s="1455"/>
      <c r="OND243" s="1455"/>
      <c r="ONE243" s="1455"/>
      <c r="ONF243" s="1455"/>
      <c r="ONG243" s="1455"/>
      <c r="ONH243" s="1455"/>
      <c r="ONI243" s="1455"/>
      <c r="ONJ243" s="1455"/>
      <c r="ONK243" s="1455"/>
      <c r="ONL243" s="1455"/>
      <c r="ONM243" s="1455"/>
      <c r="ONN243" s="1455"/>
      <c r="ONO243" s="1455"/>
      <c r="ONP243" s="1455"/>
      <c r="ONQ243" s="1455"/>
      <c r="ONR243" s="1455"/>
      <c r="ONS243" s="1455"/>
      <c r="ONT243" s="1455"/>
      <c r="ONU243" s="1455"/>
      <c r="ONV243" s="1455"/>
      <c r="ONW243" s="1455"/>
      <c r="ONX243" s="1455"/>
      <c r="ONY243" s="1455"/>
      <c r="ONZ243" s="1455"/>
      <c r="OOA243" s="1455"/>
      <c r="OOB243" s="1455"/>
      <c r="OOC243" s="1455"/>
      <c r="OOD243" s="1455"/>
      <c r="OOE243" s="1455"/>
      <c r="OOF243" s="1455"/>
      <c r="OOG243" s="1455"/>
      <c r="OOH243" s="1455"/>
      <c r="OOI243" s="1455"/>
      <c r="OOJ243" s="1455"/>
      <c r="OOK243" s="1455"/>
      <c r="OOL243" s="1455"/>
      <c r="OOM243" s="1455"/>
      <c r="OON243" s="1455"/>
      <c r="OOO243" s="1455"/>
      <c r="OOP243" s="1455"/>
      <c r="OOQ243" s="1455"/>
      <c r="OOR243" s="1455"/>
      <c r="OOS243" s="1455"/>
      <c r="OOT243" s="1455"/>
      <c r="OOU243" s="1455"/>
      <c r="OOV243" s="1455"/>
      <c r="OOW243" s="1455"/>
      <c r="OOX243" s="1455"/>
      <c r="OOY243" s="1455"/>
      <c r="OOZ243" s="1455"/>
      <c r="OPA243" s="1455"/>
      <c r="OPB243" s="1455"/>
      <c r="OPC243" s="1455"/>
      <c r="OPD243" s="1455"/>
      <c r="OPE243" s="1455"/>
      <c r="OPF243" s="1455"/>
      <c r="OPG243" s="1455"/>
      <c r="OPH243" s="1455"/>
      <c r="OPI243" s="1455"/>
      <c r="OPJ243" s="1455"/>
      <c r="OPK243" s="1455"/>
      <c r="OPL243" s="1455"/>
      <c r="OPM243" s="1455"/>
      <c r="OPN243" s="1455"/>
      <c r="OPO243" s="1455"/>
      <c r="OPP243" s="1455"/>
      <c r="OPQ243" s="1455"/>
      <c r="OPR243" s="1455"/>
      <c r="OPS243" s="1455"/>
      <c r="OPT243" s="1455"/>
      <c r="OPU243" s="1455"/>
      <c r="OPV243" s="1455"/>
      <c r="OPW243" s="1455"/>
      <c r="OPX243" s="1455"/>
      <c r="OPY243" s="1455"/>
      <c r="OPZ243" s="1455"/>
      <c r="OQA243" s="1455"/>
      <c r="OQB243" s="1455"/>
      <c r="OQC243" s="1455"/>
      <c r="OQD243" s="1455"/>
      <c r="OQE243" s="1455"/>
      <c r="OQF243" s="1455"/>
      <c r="OQG243" s="1455"/>
      <c r="OQH243" s="1455"/>
      <c r="OQI243" s="1455"/>
      <c r="OQJ243" s="1455"/>
      <c r="OQK243" s="1455"/>
      <c r="OQL243" s="1455"/>
      <c r="OQM243" s="1455"/>
      <c r="OQN243" s="1455"/>
      <c r="OQO243" s="1455"/>
      <c r="OQP243" s="1455"/>
      <c r="OQQ243" s="1455"/>
      <c r="OQR243" s="1455"/>
      <c r="OQS243" s="1455"/>
      <c r="OQT243" s="1455"/>
      <c r="OQU243" s="1455"/>
      <c r="OQV243" s="1455"/>
      <c r="OQW243" s="1455"/>
      <c r="OQX243" s="1455"/>
      <c r="OQY243" s="1455"/>
      <c r="OQZ243" s="1455"/>
      <c r="ORA243" s="1455"/>
      <c r="ORB243" s="1455"/>
      <c r="ORC243" s="1455"/>
      <c r="ORD243" s="1455"/>
      <c r="ORE243" s="1455"/>
      <c r="ORF243" s="1455"/>
      <c r="ORG243" s="1455"/>
      <c r="ORH243" s="1455"/>
      <c r="ORI243" s="1455"/>
      <c r="ORJ243" s="1455"/>
      <c r="ORK243" s="1455"/>
      <c r="ORL243" s="1455"/>
      <c r="ORM243" s="1455"/>
      <c r="ORN243" s="1455"/>
      <c r="ORO243" s="1455"/>
      <c r="ORP243" s="1455"/>
      <c r="ORQ243" s="1455"/>
      <c r="ORR243" s="1455"/>
      <c r="ORS243" s="1455"/>
      <c r="ORT243" s="1455"/>
      <c r="ORU243" s="1455"/>
      <c r="ORV243" s="1455"/>
      <c r="ORW243" s="1455"/>
      <c r="ORX243" s="1455"/>
      <c r="ORY243" s="1455"/>
      <c r="ORZ243" s="1455"/>
      <c r="OSA243" s="1455"/>
      <c r="OSB243" s="1455"/>
      <c r="OSC243" s="1455"/>
      <c r="OSD243" s="1455"/>
      <c r="OSE243" s="1455"/>
      <c r="OSF243" s="1455"/>
      <c r="OSG243" s="1455"/>
      <c r="OSH243" s="1455"/>
      <c r="OSI243" s="1455"/>
      <c r="OSJ243" s="1455"/>
      <c r="OSK243" s="1455"/>
      <c r="OSL243" s="1455"/>
      <c r="OSM243" s="1455"/>
      <c r="OSN243" s="1455"/>
      <c r="OSO243" s="1455"/>
      <c r="OSP243" s="1455"/>
      <c r="OSQ243" s="1455"/>
      <c r="OSR243" s="1455"/>
      <c r="OSS243" s="1455"/>
      <c r="OST243" s="1455"/>
      <c r="OSU243" s="1455"/>
      <c r="OSV243" s="1455"/>
      <c r="OSW243" s="1455"/>
      <c r="OSX243" s="1455"/>
      <c r="OSY243" s="1455"/>
      <c r="OSZ243" s="1455"/>
      <c r="OTA243" s="1455"/>
      <c r="OTB243" s="1455"/>
      <c r="OTC243" s="1455"/>
      <c r="OTD243" s="1455"/>
      <c r="OTE243" s="1455"/>
      <c r="OTF243" s="1455"/>
      <c r="OTG243" s="1455"/>
      <c r="OTH243" s="1455"/>
      <c r="OTI243" s="1455"/>
      <c r="OTJ243" s="1455"/>
      <c r="OTK243" s="1455"/>
      <c r="OTL243" s="1455"/>
      <c r="OTM243" s="1455"/>
      <c r="OTN243" s="1455"/>
      <c r="OTO243" s="1455"/>
      <c r="OTP243" s="1455"/>
      <c r="OTQ243" s="1455"/>
      <c r="OTR243" s="1455"/>
      <c r="OTS243" s="1455"/>
      <c r="OTT243" s="1455"/>
      <c r="OTU243" s="1455"/>
      <c r="OTV243" s="1455"/>
      <c r="OTW243" s="1455"/>
      <c r="OTX243" s="1455"/>
      <c r="OTY243" s="1455"/>
      <c r="OTZ243" s="1455"/>
      <c r="OUA243" s="1455"/>
      <c r="OUB243" s="1455"/>
      <c r="OUC243" s="1455"/>
      <c r="OUD243" s="1455"/>
      <c r="OUE243" s="1455"/>
      <c r="OUF243" s="1455"/>
      <c r="OUG243" s="1455"/>
      <c r="OUH243" s="1455"/>
      <c r="OUI243" s="1455"/>
      <c r="OUJ243" s="1455"/>
      <c r="OUK243" s="1455"/>
      <c r="OUL243" s="1455"/>
      <c r="OUM243" s="1455"/>
      <c r="OUN243" s="1455"/>
      <c r="OUO243" s="1455"/>
      <c r="OUP243" s="1455"/>
      <c r="OUQ243" s="1455"/>
      <c r="OUR243" s="1455"/>
      <c r="OUS243" s="1455"/>
      <c r="OUT243" s="1455"/>
      <c r="OUU243" s="1455"/>
      <c r="OUV243" s="1455"/>
      <c r="OUW243" s="1455"/>
      <c r="OUX243" s="1455"/>
      <c r="OUY243" s="1455"/>
      <c r="OUZ243" s="1455"/>
      <c r="OVA243" s="1455"/>
      <c r="OVB243" s="1455"/>
      <c r="OVC243" s="1455"/>
      <c r="OVD243" s="1455"/>
      <c r="OVE243" s="1455"/>
      <c r="OVF243" s="1455"/>
      <c r="OVG243" s="1455"/>
      <c r="OVH243" s="1455"/>
      <c r="OVI243" s="1455"/>
      <c r="OVJ243" s="1455"/>
      <c r="OVK243" s="1455"/>
      <c r="OVL243" s="1455"/>
      <c r="OVM243" s="1455"/>
      <c r="OVN243" s="1455"/>
      <c r="OVO243" s="1455"/>
      <c r="OVP243" s="1455"/>
      <c r="OVQ243" s="1455"/>
      <c r="OVR243" s="1455"/>
      <c r="OVS243" s="1455"/>
      <c r="OVT243" s="1455"/>
      <c r="OVU243" s="1455"/>
      <c r="OVV243" s="1455"/>
      <c r="OVW243" s="1455"/>
      <c r="OVX243" s="1455"/>
      <c r="OVY243" s="1455"/>
      <c r="OVZ243" s="1455"/>
      <c r="OWA243" s="1455"/>
      <c r="OWB243" s="1455"/>
      <c r="OWC243" s="1455"/>
      <c r="OWD243" s="1455"/>
      <c r="OWE243" s="1455"/>
      <c r="OWF243" s="1455"/>
      <c r="OWG243" s="1455"/>
      <c r="OWH243" s="1455"/>
      <c r="OWI243" s="1455"/>
      <c r="OWJ243" s="1455"/>
      <c r="OWK243" s="1455"/>
      <c r="OWL243" s="1455"/>
      <c r="OWM243" s="1455"/>
      <c r="OWN243" s="1455"/>
      <c r="OWO243" s="1455"/>
      <c r="OWP243" s="1455"/>
      <c r="OWQ243" s="1455"/>
      <c r="OWR243" s="1455"/>
      <c r="OWS243" s="1455"/>
      <c r="OWT243" s="1455"/>
      <c r="OWU243" s="1455"/>
      <c r="OWV243" s="1455"/>
      <c r="OWW243" s="1455"/>
      <c r="OWX243" s="1455"/>
      <c r="OWY243" s="1455"/>
      <c r="OWZ243" s="1455"/>
      <c r="OXA243" s="1455"/>
      <c r="OXB243" s="1455"/>
      <c r="OXC243" s="1455"/>
      <c r="OXD243" s="1455"/>
      <c r="OXE243" s="1455"/>
      <c r="OXF243" s="1455"/>
      <c r="OXG243" s="1455"/>
      <c r="OXH243" s="1455"/>
      <c r="OXI243" s="1455"/>
      <c r="OXJ243" s="1455"/>
      <c r="OXK243" s="1455"/>
      <c r="OXL243" s="1455"/>
      <c r="OXM243" s="1455"/>
      <c r="OXN243" s="1455"/>
      <c r="OXO243" s="1455"/>
      <c r="OXP243" s="1455"/>
      <c r="OXQ243" s="1455"/>
      <c r="OXR243" s="1455"/>
      <c r="OXS243" s="1455"/>
      <c r="OXT243" s="1455"/>
      <c r="OXU243" s="1455"/>
      <c r="OXV243" s="1455"/>
      <c r="OXW243" s="1455"/>
      <c r="OXX243" s="1455"/>
      <c r="OXY243" s="1455"/>
      <c r="OXZ243" s="1455"/>
      <c r="OYA243" s="1455"/>
      <c r="OYB243" s="1455"/>
      <c r="OYC243" s="1455"/>
      <c r="OYD243" s="1455"/>
      <c r="OYE243" s="1455"/>
      <c r="OYF243" s="1455"/>
      <c r="OYG243" s="1455"/>
      <c r="OYH243" s="1455"/>
      <c r="OYI243" s="1455"/>
      <c r="OYJ243" s="1455"/>
      <c r="OYK243" s="1455"/>
      <c r="OYL243" s="1455"/>
      <c r="OYM243" s="1455"/>
      <c r="OYN243" s="1455"/>
      <c r="OYO243" s="1455"/>
      <c r="OYP243" s="1455"/>
      <c r="OYQ243" s="1455"/>
      <c r="OYR243" s="1455"/>
      <c r="OYS243" s="1455"/>
      <c r="OYT243" s="1455"/>
      <c r="OYU243" s="1455"/>
      <c r="OYV243" s="1455"/>
      <c r="OYW243" s="1455"/>
      <c r="OYX243" s="1455"/>
      <c r="OYY243" s="1455"/>
      <c r="OYZ243" s="1455"/>
      <c r="OZA243" s="1455"/>
      <c r="OZB243" s="1455"/>
      <c r="OZC243" s="1455"/>
      <c r="OZD243" s="1455"/>
      <c r="OZE243" s="1455"/>
      <c r="OZF243" s="1455"/>
      <c r="OZG243" s="1455"/>
      <c r="OZH243" s="1455"/>
      <c r="OZI243" s="1455"/>
      <c r="OZJ243" s="1455"/>
      <c r="OZK243" s="1455"/>
      <c r="OZL243" s="1455"/>
      <c r="OZM243" s="1455"/>
      <c r="OZN243" s="1455"/>
      <c r="OZO243" s="1455"/>
      <c r="OZP243" s="1455"/>
      <c r="OZQ243" s="1455"/>
      <c r="OZR243" s="1455"/>
      <c r="OZS243" s="1455"/>
      <c r="OZT243" s="1455"/>
      <c r="OZU243" s="1455"/>
      <c r="OZV243" s="1455"/>
      <c r="OZW243" s="1455"/>
      <c r="OZX243" s="1455"/>
      <c r="OZY243" s="1455"/>
      <c r="OZZ243" s="1455"/>
      <c r="PAA243" s="1455"/>
      <c r="PAB243" s="1455"/>
      <c r="PAC243" s="1455"/>
      <c r="PAD243" s="1455"/>
      <c r="PAE243" s="1455"/>
      <c r="PAF243" s="1455"/>
      <c r="PAG243" s="1455"/>
      <c r="PAH243" s="1455"/>
      <c r="PAI243" s="1455"/>
      <c r="PAJ243" s="1455"/>
      <c r="PAK243" s="1455"/>
      <c r="PAL243" s="1455"/>
      <c r="PAM243" s="1455"/>
      <c r="PAN243" s="1455"/>
      <c r="PAO243" s="1455"/>
      <c r="PAP243" s="1455"/>
      <c r="PAQ243" s="1455"/>
      <c r="PAR243" s="1455"/>
      <c r="PAS243" s="1455"/>
      <c r="PAT243" s="1455"/>
      <c r="PAU243" s="1455"/>
      <c r="PAV243" s="1455"/>
      <c r="PAW243" s="1455"/>
      <c r="PAX243" s="1455"/>
      <c r="PAY243" s="1455"/>
      <c r="PAZ243" s="1455"/>
      <c r="PBA243" s="1455"/>
      <c r="PBB243" s="1455"/>
      <c r="PBC243" s="1455"/>
      <c r="PBD243" s="1455"/>
      <c r="PBE243" s="1455"/>
      <c r="PBF243" s="1455"/>
      <c r="PBG243" s="1455"/>
      <c r="PBH243" s="1455"/>
      <c r="PBI243" s="1455"/>
      <c r="PBJ243" s="1455"/>
      <c r="PBK243" s="1455"/>
      <c r="PBL243" s="1455"/>
      <c r="PBM243" s="1455"/>
      <c r="PBN243" s="1455"/>
      <c r="PBO243" s="1455"/>
      <c r="PBP243" s="1455"/>
      <c r="PBQ243" s="1455"/>
      <c r="PBR243" s="1455"/>
      <c r="PBS243" s="1455"/>
      <c r="PBT243" s="1455"/>
      <c r="PBU243" s="1455"/>
      <c r="PBV243" s="1455"/>
      <c r="PBW243" s="1455"/>
      <c r="PBX243" s="1455"/>
      <c r="PBY243" s="1455"/>
      <c r="PBZ243" s="1455"/>
      <c r="PCA243" s="1455"/>
      <c r="PCB243" s="1455"/>
      <c r="PCC243" s="1455"/>
      <c r="PCD243" s="1455"/>
      <c r="PCE243" s="1455"/>
      <c r="PCF243" s="1455"/>
      <c r="PCG243" s="1455"/>
      <c r="PCH243" s="1455"/>
      <c r="PCI243" s="1455"/>
      <c r="PCJ243" s="1455"/>
      <c r="PCK243" s="1455"/>
      <c r="PCL243" s="1455"/>
      <c r="PCM243" s="1455"/>
      <c r="PCN243" s="1455"/>
      <c r="PCO243" s="1455"/>
      <c r="PCP243" s="1455"/>
      <c r="PCQ243" s="1455"/>
      <c r="PCR243" s="1455"/>
      <c r="PCS243" s="1455"/>
      <c r="PCT243" s="1455"/>
      <c r="PCU243" s="1455"/>
      <c r="PCV243" s="1455"/>
      <c r="PCW243" s="1455"/>
      <c r="PCX243" s="1455"/>
      <c r="PCY243" s="1455"/>
      <c r="PCZ243" s="1455"/>
      <c r="PDA243" s="1455"/>
      <c r="PDB243" s="1455"/>
      <c r="PDC243" s="1455"/>
      <c r="PDD243" s="1455"/>
      <c r="PDE243" s="1455"/>
      <c r="PDF243" s="1455"/>
      <c r="PDG243" s="1455"/>
      <c r="PDH243" s="1455"/>
      <c r="PDI243" s="1455"/>
      <c r="PDJ243" s="1455"/>
      <c r="PDK243" s="1455"/>
      <c r="PDL243" s="1455"/>
      <c r="PDM243" s="1455"/>
      <c r="PDN243" s="1455"/>
      <c r="PDO243" s="1455"/>
      <c r="PDP243" s="1455"/>
      <c r="PDQ243" s="1455"/>
      <c r="PDR243" s="1455"/>
      <c r="PDS243" s="1455"/>
      <c r="PDT243" s="1455"/>
      <c r="PDU243" s="1455"/>
      <c r="PDV243" s="1455"/>
      <c r="PDW243" s="1455"/>
      <c r="PDX243" s="1455"/>
      <c r="PDY243" s="1455"/>
      <c r="PDZ243" s="1455"/>
      <c r="PEA243" s="1455"/>
      <c r="PEB243" s="1455"/>
      <c r="PEC243" s="1455"/>
      <c r="PED243" s="1455"/>
      <c r="PEE243" s="1455"/>
      <c r="PEF243" s="1455"/>
      <c r="PEG243" s="1455"/>
      <c r="PEH243" s="1455"/>
      <c r="PEI243" s="1455"/>
      <c r="PEJ243" s="1455"/>
      <c r="PEK243" s="1455"/>
      <c r="PEL243" s="1455"/>
      <c r="PEM243" s="1455"/>
      <c r="PEN243" s="1455"/>
      <c r="PEO243" s="1455"/>
      <c r="PEP243" s="1455"/>
      <c r="PEQ243" s="1455"/>
      <c r="PER243" s="1455"/>
      <c r="PES243" s="1455"/>
      <c r="PET243" s="1455"/>
      <c r="PEU243" s="1455"/>
      <c r="PEV243" s="1455"/>
      <c r="PEW243" s="1455"/>
      <c r="PEX243" s="1455"/>
      <c r="PEY243" s="1455"/>
      <c r="PEZ243" s="1455"/>
      <c r="PFA243" s="1455"/>
      <c r="PFB243" s="1455"/>
      <c r="PFC243" s="1455"/>
      <c r="PFD243" s="1455"/>
      <c r="PFE243" s="1455"/>
      <c r="PFF243" s="1455"/>
      <c r="PFG243" s="1455"/>
      <c r="PFH243" s="1455"/>
      <c r="PFI243" s="1455"/>
      <c r="PFJ243" s="1455"/>
      <c r="PFK243" s="1455"/>
      <c r="PFL243" s="1455"/>
      <c r="PFM243" s="1455"/>
      <c r="PFN243" s="1455"/>
      <c r="PFO243" s="1455"/>
      <c r="PFP243" s="1455"/>
      <c r="PFQ243" s="1455"/>
      <c r="PFR243" s="1455"/>
      <c r="PFS243" s="1455"/>
      <c r="PFT243" s="1455"/>
      <c r="PFU243" s="1455"/>
      <c r="PFV243" s="1455"/>
      <c r="PFW243" s="1455"/>
      <c r="PFX243" s="1455"/>
      <c r="PFY243" s="1455"/>
      <c r="PFZ243" s="1455"/>
      <c r="PGA243" s="1455"/>
      <c r="PGB243" s="1455"/>
      <c r="PGC243" s="1455"/>
      <c r="PGD243" s="1455"/>
      <c r="PGE243" s="1455"/>
      <c r="PGF243" s="1455"/>
      <c r="PGG243" s="1455"/>
      <c r="PGH243" s="1455"/>
      <c r="PGI243" s="1455"/>
      <c r="PGJ243" s="1455"/>
      <c r="PGK243" s="1455"/>
      <c r="PGL243" s="1455"/>
      <c r="PGM243" s="1455"/>
      <c r="PGN243" s="1455"/>
      <c r="PGO243" s="1455"/>
      <c r="PGP243" s="1455"/>
      <c r="PGQ243" s="1455"/>
      <c r="PGR243" s="1455"/>
      <c r="PGS243" s="1455"/>
      <c r="PGT243" s="1455"/>
      <c r="PGU243" s="1455"/>
      <c r="PGV243" s="1455"/>
      <c r="PGW243" s="1455"/>
      <c r="PGX243" s="1455"/>
      <c r="PGY243" s="1455"/>
      <c r="PGZ243" s="1455"/>
      <c r="PHA243" s="1455"/>
      <c r="PHB243" s="1455"/>
      <c r="PHC243" s="1455"/>
      <c r="PHD243" s="1455"/>
      <c r="PHE243" s="1455"/>
      <c r="PHF243" s="1455"/>
      <c r="PHG243" s="1455"/>
      <c r="PHH243" s="1455"/>
      <c r="PHI243" s="1455"/>
      <c r="PHJ243" s="1455"/>
      <c r="PHK243" s="1455"/>
      <c r="PHL243" s="1455"/>
      <c r="PHM243" s="1455"/>
      <c r="PHN243" s="1455"/>
      <c r="PHO243" s="1455"/>
      <c r="PHP243" s="1455"/>
      <c r="PHQ243" s="1455"/>
      <c r="PHR243" s="1455"/>
      <c r="PHS243" s="1455"/>
      <c r="PHT243" s="1455"/>
      <c r="PHU243" s="1455"/>
      <c r="PHV243" s="1455"/>
      <c r="PHW243" s="1455"/>
      <c r="PHX243" s="1455"/>
      <c r="PHY243" s="1455"/>
      <c r="PHZ243" s="1455"/>
      <c r="PIA243" s="1455"/>
      <c r="PIB243" s="1455"/>
      <c r="PIC243" s="1455"/>
      <c r="PID243" s="1455"/>
      <c r="PIE243" s="1455"/>
      <c r="PIF243" s="1455"/>
      <c r="PIG243" s="1455"/>
      <c r="PIH243" s="1455"/>
      <c r="PII243" s="1455"/>
      <c r="PIJ243" s="1455"/>
      <c r="PIK243" s="1455"/>
      <c r="PIL243" s="1455"/>
      <c r="PIM243" s="1455"/>
      <c r="PIN243" s="1455"/>
      <c r="PIO243" s="1455"/>
      <c r="PIP243" s="1455"/>
      <c r="PIQ243" s="1455"/>
      <c r="PIR243" s="1455"/>
      <c r="PIS243" s="1455"/>
      <c r="PIT243" s="1455"/>
      <c r="PIU243" s="1455"/>
      <c r="PIV243" s="1455"/>
      <c r="PIW243" s="1455"/>
      <c r="PIX243" s="1455"/>
      <c r="PIY243" s="1455"/>
      <c r="PIZ243" s="1455"/>
      <c r="PJA243" s="1455"/>
      <c r="PJB243" s="1455"/>
      <c r="PJC243" s="1455"/>
      <c r="PJD243" s="1455"/>
      <c r="PJE243" s="1455"/>
      <c r="PJF243" s="1455"/>
      <c r="PJG243" s="1455"/>
      <c r="PJH243" s="1455"/>
      <c r="PJI243" s="1455"/>
      <c r="PJJ243" s="1455"/>
      <c r="PJK243" s="1455"/>
      <c r="PJL243" s="1455"/>
      <c r="PJM243" s="1455"/>
      <c r="PJN243" s="1455"/>
      <c r="PJO243" s="1455"/>
      <c r="PJP243" s="1455"/>
      <c r="PJQ243" s="1455"/>
      <c r="PJR243" s="1455"/>
      <c r="PJS243" s="1455"/>
      <c r="PJT243" s="1455"/>
      <c r="PJU243" s="1455"/>
      <c r="PJV243" s="1455"/>
      <c r="PJW243" s="1455"/>
      <c r="PJX243" s="1455"/>
      <c r="PJY243" s="1455"/>
      <c r="PJZ243" s="1455"/>
      <c r="PKA243" s="1455"/>
      <c r="PKB243" s="1455"/>
      <c r="PKC243" s="1455"/>
      <c r="PKD243" s="1455"/>
      <c r="PKE243" s="1455"/>
      <c r="PKF243" s="1455"/>
      <c r="PKG243" s="1455"/>
      <c r="PKH243" s="1455"/>
      <c r="PKI243" s="1455"/>
      <c r="PKJ243" s="1455"/>
      <c r="PKK243" s="1455"/>
      <c r="PKL243" s="1455"/>
      <c r="PKM243" s="1455"/>
      <c r="PKN243" s="1455"/>
      <c r="PKO243" s="1455"/>
      <c r="PKP243" s="1455"/>
      <c r="PKQ243" s="1455"/>
      <c r="PKR243" s="1455"/>
      <c r="PKS243" s="1455"/>
      <c r="PKT243" s="1455"/>
      <c r="PKU243" s="1455"/>
      <c r="PKV243" s="1455"/>
      <c r="PKW243" s="1455"/>
      <c r="PKX243" s="1455"/>
      <c r="PKY243" s="1455"/>
      <c r="PKZ243" s="1455"/>
      <c r="PLA243" s="1455"/>
      <c r="PLB243" s="1455"/>
      <c r="PLC243" s="1455"/>
      <c r="PLD243" s="1455"/>
      <c r="PLE243" s="1455"/>
      <c r="PLF243" s="1455"/>
      <c r="PLG243" s="1455"/>
      <c r="PLH243" s="1455"/>
      <c r="PLI243" s="1455"/>
      <c r="PLJ243" s="1455"/>
      <c r="PLK243" s="1455"/>
      <c r="PLL243" s="1455"/>
      <c r="PLM243" s="1455"/>
      <c r="PLN243" s="1455"/>
      <c r="PLO243" s="1455"/>
      <c r="PLP243" s="1455"/>
      <c r="PLQ243" s="1455"/>
      <c r="PLR243" s="1455"/>
      <c r="PLS243" s="1455"/>
      <c r="PLT243" s="1455"/>
      <c r="PLU243" s="1455"/>
      <c r="PLV243" s="1455"/>
      <c r="PLW243" s="1455"/>
      <c r="PLX243" s="1455"/>
      <c r="PLY243" s="1455"/>
      <c r="PLZ243" s="1455"/>
      <c r="PMA243" s="1455"/>
      <c r="PMB243" s="1455"/>
      <c r="PMC243" s="1455"/>
      <c r="PMD243" s="1455"/>
      <c r="PME243" s="1455"/>
      <c r="PMF243" s="1455"/>
      <c r="PMG243" s="1455"/>
      <c r="PMH243" s="1455"/>
      <c r="PMI243" s="1455"/>
      <c r="PMJ243" s="1455"/>
      <c r="PMK243" s="1455"/>
      <c r="PML243" s="1455"/>
      <c r="PMM243" s="1455"/>
      <c r="PMN243" s="1455"/>
      <c r="PMO243" s="1455"/>
      <c r="PMP243" s="1455"/>
      <c r="PMQ243" s="1455"/>
      <c r="PMR243" s="1455"/>
      <c r="PMS243" s="1455"/>
      <c r="PMT243" s="1455"/>
      <c r="PMU243" s="1455"/>
      <c r="PMV243" s="1455"/>
      <c r="PMW243" s="1455"/>
      <c r="PMX243" s="1455"/>
      <c r="PMY243" s="1455"/>
      <c r="PMZ243" s="1455"/>
      <c r="PNA243" s="1455"/>
      <c r="PNB243" s="1455"/>
      <c r="PNC243" s="1455"/>
      <c r="PND243" s="1455"/>
      <c r="PNE243" s="1455"/>
      <c r="PNF243" s="1455"/>
      <c r="PNG243" s="1455"/>
      <c r="PNH243" s="1455"/>
      <c r="PNI243" s="1455"/>
      <c r="PNJ243" s="1455"/>
      <c r="PNK243" s="1455"/>
      <c r="PNL243" s="1455"/>
      <c r="PNM243" s="1455"/>
      <c r="PNN243" s="1455"/>
      <c r="PNO243" s="1455"/>
      <c r="PNP243" s="1455"/>
      <c r="PNQ243" s="1455"/>
      <c r="PNR243" s="1455"/>
      <c r="PNS243" s="1455"/>
      <c r="PNT243" s="1455"/>
      <c r="PNU243" s="1455"/>
      <c r="PNV243" s="1455"/>
      <c r="PNW243" s="1455"/>
      <c r="PNX243" s="1455"/>
      <c r="PNY243" s="1455"/>
      <c r="PNZ243" s="1455"/>
      <c r="POA243" s="1455"/>
      <c r="POB243" s="1455"/>
      <c r="POC243" s="1455"/>
      <c r="POD243" s="1455"/>
      <c r="POE243" s="1455"/>
      <c r="POF243" s="1455"/>
      <c r="POG243" s="1455"/>
      <c r="POH243" s="1455"/>
      <c r="POI243" s="1455"/>
      <c r="POJ243" s="1455"/>
      <c r="POK243" s="1455"/>
      <c r="POL243" s="1455"/>
      <c r="POM243" s="1455"/>
      <c r="PON243" s="1455"/>
      <c r="POO243" s="1455"/>
      <c r="POP243" s="1455"/>
      <c r="POQ243" s="1455"/>
      <c r="POR243" s="1455"/>
      <c r="POS243" s="1455"/>
      <c r="POT243" s="1455"/>
      <c r="POU243" s="1455"/>
      <c r="POV243" s="1455"/>
      <c r="POW243" s="1455"/>
      <c r="POX243" s="1455"/>
      <c r="POY243" s="1455"/>
      <c r="POZ243" s="1455"/>
      <c r="PPA243" s="1455"/>
      <c r="PPB243" s="1455"/>
      <c r="PPC243" s="1455"/>
      <c r="PPD243" s="1455"/>
      <c r="PPE243" s="1455"/>
      <c r="PPF243" s="1455"/>
      <c r="PPG243" s="1455"/>
      <c r="PPH243" s="1455"/>
      <c r="PPI243" s="1455"/>
      <c r="PPJ243" s="1455"/>
      <c r="PPK243" s="1455"/>
      <c r="PPL243" s="1455"/>
      <c r="PPM243" s="1455"/>
      <c r="PPN243" s="1455"/>
      <c r="PPO243" s="1455"/>
      <c r="PPP243" s="1455"/>
      <c r="PPQ243" s="1455"/>
      <c r="PPR243" s="1455"/>
      <c r="PPS243" s="1455"/>
      <c r="PPT243" s="1455"/>
      <c r="PPU243" s="1455"/>
      <c r="PPV243" s="1455"/>
      <c r="PPW243" s="1455"/>
      <c r="PPX243" s="1455"/>
      <c r="PPY243" s="1455"/>
      <c r="PPZ243" s="1455"/>
      <c r="PQA243" s="1455"/>
      <c r="PQB243" s="1455"/>
      <c r="PQC243" s="1455"/>
      <c r="PQD243" s="1455"/>
      <c r="PQE243" s="1455"/>
      <c r="PQF243" s="1455"/>
      <c r="PQG243" s="1455"/>
      <c r="PQH243" s="1455"/>
      <c r="PQI243" s="1455"/>
      <c r="PQJ243" s="1455"/>
      <c r="PQK243" s="1455"/>
      <c r="PQL243" s="1455"/>
      <c r="PQM243" s="1455"/>
      <c r="PQN243" s="1455"/>
      <c r="PQO243" s="1455"/>
      <c r="PQP243" s="1455"/>
      <c r="PQQ243" s="1455"/>
      <c r="PQR243" s="1455"/>
      <c r="PQS243" s="1455"/>
      <c r="PQT243" s="1455"/>
      <c r="PQU243" s="1455"/>
      <c r="PQV243" s="1455"/>
      <c r="PQW243" s="1455"/>
      <c r="PQX243" s="1455"/>
      <c r="PQY243" s="1455"/>
      <c r="PQZ243" s="1455"/>
      <c r="PRA243" s="1455"/>
      <c r="PRB243" s="1455"/>
      <c r="PRC243" s="1455"/>
      <c r="PRD243" s="1455"/>
      <c r="PRE243" s="1455"/>
      <c r="PRF243" s="1455"/>
      <c r="PRG243" s="1455"/>
      <c r="PRH243" s="1455"/>
      <c r="PRI243" s="1455"/>
      <c r="PRJ243" s="1455"/>
      <c r="PRK243" s="1455"/>
      <c r="PRL243" s="1455"/>
      <c r="PRM243" s="1455"/>
      <c r="PRN243" s="1455"/>
      <c r="PRO243" s="1455"/>
      <c r="PRP243" s="1455"/>
      <c r="PRQ243" s="1455"/>
      <c r="PRR243" s="1455"/>
      <c r="PRS243" s="1455"/>
      <c r="PRT243" s="1455"/>
      <c r="PRU243" s="1455"/>
      <c r="PRV243" s="1455"/>
      <c r="PRW243" s="1455"/>
      <c r="PRX243" s="1455"/>
      <c r="PRY243" s="1455"/>
      <c r="PRZ243" s="1455"/>
      <c r="PSA243" s="1455"/>
      <c r="PSB243" s="1455"/>
      <c r="PSC243" s="1455"/>
      <c r="PSD243" s="1455"/>
      <c r="PSE243" s="1455"/>
      <c r="PSF243" s="1455"/>
      <c r="PSG243" s="1455"/>
      <c r="PSH243" s="1455"/>
      <c r="PSI243" s="1455"/>
      <c r="PSJ243" s="1455"/>
      <c r="PSK243" s="1455"/>
      <c r="PSL243" s="1455"/>
      <c r="PSM243" s="1455"/>
      <c r="PSN243" s="1455"/>
      <c r="PSO243" s="1455"/>
      <c r="PSP243" s="1455"/>
      <c r="PSQ243" s="1455"/>
      <c r="PSR243" s="1455"/>
      <c r="PSS243" s="1455"/>
      <c r="PST243" s="1455"/>
      <c r="PSU243" s="1455"/>
      <c r="PSV243" s="1455"/>
      <c r="PSW243" s="1455"/>
      <c r="PSX243" s="1455"/>
      <c r="PSY243" s="1455"/>
      <c r="PSZ243" s="1455"/>
      <c r="PTA243" s="1455"/>
      <c r="PTB243" s="1455"/>
      <c r="PTC243" s="1455"/>
      <c r="PTD243" s="1455"/>
      <c r="PTE243" s="1455"/>
      <c r="PTF243" s="1455"/>
      <c r="PTG243" s="1455"/>
      <c r="PTH243" s="1455"/>
      <c r="PTI243" s="1455"/>
      <c r="PTJ243" s="1455"/>
      <c r="PTK243" s="1455"/>
      <c r="PTL243" s="1455"/>
      <c r="PTM243" s="1455"/>
      <c r="PTN243" s="1455"/>
      <c r="PTO243" s="1455"/>
      <c r="PTP243" s="1455"/>
      <c r="PTQ243" s="1455"/>
      <c r="PTR243" s="1455"/>
      <c r="PTS243" s="1455"/>
      <c r="PTT243" s="1455"/>
      <c r="PTU243" s="1455"/>
      <c r="PTV243" s="1455"/>
      <c r="PTW243" s="1455"/>
      <c r="PTX243" s="1455"/>
      <c r="PTY243" s="1455"/>
      <c r="PTZ243" s="1455"/>
      <c r="PUA243" s="1455"/>
      <c r="PUB243" s="1455"/>
      <c r="PUC243" s="1455"/>
      <c r="PUD243" s="1455"/>
      <c r="PUE243" s="1455"/>
      <c r="PUF243" s="1455"/>
      <c r="PUG243" s="1455"/>
      <c r="PUH243" s="1455"/>
      <c r="PUI243" s="1455"/>
      <c r="PUJ243" s="1455"/>
      <c r="PUK243" s="1455"/>
      <c r="PUL243" s="1455"/>
      <c r="PUM243" s="1455"/>
      <c r="PUN243" s="1455"/>
      <c r="PUO243" s="1455"/>
      <c r="PUP243" s="1455"/>
      <c r="PUQ243" s="1455"/>
      <c r="PUR243" s="1455"/>
      <c r="PUS243" s="1455"/>
      <c r="PUT243" s="1455"/>
      <c r="PUU243" s="1455"/>
      <c r="PUV243" s="1455"/>
      <c r="PUW243" s="1455"/>
      <c r="PUX243" s="1455"/>
      <c r="PUY243" s="1455"/>
      <c r="PUZ243" s="1455"/>
      <c r="PVA243" s="1455"/>
      <c r="PVB243" s="1455"/>
      <c r="PVC243" s="1455"/>
      <c r="PVD243" s="1455"/>
      <c r="PVE243" s="1455"/>
      <c r="PVF243" s="1455"/>
      <c r="PVG243" s="1455"/>
      <c r="PVH243" s="1455"/>
      <c r="PVI243" s="1455"/>
      <c r="PVJ243" s="1455"/>
      <c r="PVK243" s="1455"/>
      <c r="PVL243" s="1455"/>
      <c r="PVM243" s="1455"/>
      <c r="PVN243" s="1455"/>
      <c r="PVO243" s="1455"/>
      <c r="PVP243" s="1455"/>
      <c r="PVQ243" s="1455"/>
      <c r="PVR243" s="1455"/>
      <c r="PVS243" s="1455"/>
      <c r="PVT243" s="1455"/>
      <c r="PVU243" s="1455"/>
      <c r="PVV243" s="1455"/>
      <c r="PVW243" s="1455"/>
      <c r="PVX243" s="1455"/>
      <c r="PVY243" s="1455"/>
      <c r="PVZ243" s="1455"/>
      <c r="PWA243" s="1455"/>
      <c r="PWB243" s="1455"/>
      <c r="PWC243" s="1455"/>
      <c r="PWD243" s="1455"/>
      <c r="PWE243" s="1455"/>
      <c r="PWF243" s="1455"/>
      <c r="PWG243" s="1455"/>
      <c r="PWH243" s="1455"/>
      <c r="PWI243" s="1455"/>
      <c r="PWJ243" s="1455"/>
      <c r="PWK243" s="1455"/>
      <c r="PWL243" s="1455"/>
      <c r="PWM243" s="1455"/>
      <c r="PWN243" s="1455"/>
      <c r="PWO243" s="1455"/>
      <c r="PWP243" s="1455"/>
      <c r="PWQ243" s="1455"/>
      <c r="PWR243" s="1455"/>
      <c r="PWS243" s="1455"/>
      <c r="PWT243" s="1455"/>
      <c r="PWU243" s="1455"/>
      <c r="PWV243" s="1455"/>
      <c r="PWW243" s="1455"/>
      <c r="PWX243" s="1455"/>
      <c r="PWY243" s="1455"/>
      <c r="PWZ243" s="1455"/>
      <c r="PXA243" s="1455"/>
      <c r="PXB243" s="1455"/>
      <c r="PXC243" s="1455"/>
      <c r="PXD243" s="1455"/>
      <c r="PXE243" s="1455"/>
      <c r="PXF243" s="1455"/>
      <c r="PXG243" s="1455"/>
      <c r="PXH243" s="1455"/>
      <c r="PXI243" s="1455"/>
      <c r="PXJ243" s="1455"/>
      <c r="PXK243" s="1455"/>
      <c r="PXL243" s="1455"/>
      <c r="PXM243" s="1455"/>
      <c r="PXN243" s="1455"/>
      <c r="PXO243" s="1455"/>
      <c r="PXP243" s="1455"/>
      <c r="PXQ243" s="1455"/>
      <c r="PXR243" s="1455"/>
      <c r="PXS243" s="1455"/>
      <c r="PXT243" s="1455"/>
      <c r="PXU243" s="1455"/>
      <c r="PXV243" s="1455"/>
      <c r="PXW243" s="1455"/>
      <c r="PXX243" s="1455"/>
      <c r="PXY243" s="1455"/>
      <c r="PXZ243" s="1455"/>
      <c r="PYA243" s="1455"/>
      <c r="PYB243" s="1455"/>
      <c r="PYC243" s="1455"/>
      <c r="PYD243" s="1455"/>
      <c r="PYE243" s="1455"/>
      <c r="PYF243" s="1455"/>
      <c r="PYG243" s="1455"/>
      <c r="PYH243" s="1455"/>
      <c r="PYI243" s="1455"/>
      <c r="PYJ243" s="1455"/>
      <c r="PYK243" s="1455"/>
      <c r="PYL243" s="1455"/>
      <c r="PYM243" s="1455"/>
      <c r="PYN243" s="1455"/>
      <c r="PYO243" s="1455"/>
      <c r="PYP243" s="1455"/>
      <c r="PYQ243" s="1455"/>
      <c r="PYR243" s="1455"/>
      <c r="PYS243" s="1455"/>
      <c r="PYT243" s="1455"/>
      <c r="PYU243" s="1455"/>
      <c r="PYV243" s="1455"/>
      <c r="PYW243" s="1455"/>
      <c r="PYX243" s="1455"/>
      <c r="PYY243" s="1455"/>
      <c r="PYZ243" s="1455"/>
      <c r="PZA243" s="1455"/>
      <c r="PZB243" s="1455"/>
      <c r="PZC243" s="1455"/>
      <c r="PZD243" s="1455"/>
      <c r="PZE243" s="1455"/>
      <c r="PZF243" s="1455"/>
      <c r="PZG243" s="1455"/>
      <c r="PZH243" s="1455"/>
      <c r="PZI243" s="1455"/>
      <c r="PZJ243" s="1455"/>
      <c r="PZK243" s="1455"/>
      <c r="PZL243" s="1455"/>
      <c r="PZM243" s="1455"/>
      <c r="PZN243" s="1455"/>
      <c r="PZO243" s="1455"/>
      <c r="PZP243" s="1455"/>
      <c r="PZQ243" s="1455"/>
      <c r="PZR243" s="1455"/>
      <c r="PZS243" s="1455"/>
      <c r="PZT243" s="1455"/>
      <c r="PZU243" s="1455"/>
      <c r="PZV243" s="1455"/>
      <c r="PZW243" s="1455"/>
      <c r="PZX243" s="1455"/>
      <c r="PZY243" s="1455"/>
      <c r="PZZ243" s="1455"/>
      <c r="QAA243" s="1455"/>
      <c r="QAB243" s="1455"/>
      <c r="QAC243" s="1455"/>
      <c r="QAD243" s="1455"/>
      <c r="QAE243" s="1455"/>
      <c r="QAF243" s="1455"/>
      <c r="QAG243" s="1455"/>
      <c r="QAH243" s="1455"/>
      <c r="QAI243" s="1455"/>
      <c r="QAJ243" s="1455"/>
      <c r="QAK243" s="1455"/>
      <c r="QAL243" s="1455"/>
      <c r="QAM243" s="1455"/>
      <c r="QAN243" s="1455"/>
      <c r="QAO243" s="1455"/>
      <c r="QAP243" s="1455"/>
      <c r="QAQ243" s="1455"/>
      <c r="QAR243" s="1455"/>
      <c r="QAS243" s="1455"/>
      <c r="QAT243" s="1455"/>
      <c r="QAU243" s="1455"/>
      <c r="QAV243" s="1455"/>
      <c r="QAW243" s="1455"/>
      <c r="QAX243" s="1455"/>
      <c r="QAY243" s="1455"/>
      <c r="QAZ243" s="1455"/>
      <c r="QBA243" s="1455"/>
      <c r="QBB243" s="1455"/>
      <c r="QBC243" s="1455"/>
      <c r="QBD243" s="1455"/>
      <c r="QBE243" s="1455"/>
      <c r="QBF243" s="1455"/>
      <c r="QBG243" s="1455"/>
      <c r="QBH243" s="1455"/>
      <c r="QBI243" s="1455"/>
      <c r="QBJ243" s="1455"/>
      <c r="QBK243" s="1455"/>
      <c r="QBL243" s="1455"/>
      <c r="QBM243" s="1455"/>
      <c r="QBN243" s="1455"/>
      <c r="QBO243" s="1455"/>
      <c r="QBP243" s="1455"/>
      <c r="QBQ243" s="1455"/>
      <c r="QBR243" s="1455"/>
      <c r="QBS243" s="1455"/>
      <c r="QBT243" s="1455"/>
      <c r="QBU243" s="1455"/>
      <c r="QBV243" s="1455"/>
      <c r="QBW243" s="1455"/>
      <c r="QBX243" s="1455"/>
      <c r="QBY243" s="1455"/>
      <c r="QBZ243" s="1455"/>
      <c r="QCA243" s="1455"/>
      <c r="QCB243" s="1455"/>
      <c r="QCC243" s="1455"/>
      <c r="QCD243" s="1455"/>
      <c r="QCE243" s="1455"/>
      <c r="QCF243" s="1455"/>
      <c r="QCG243" s="1455"/>
      <c r="QCH243" s="1455"/>
      <c r="QCI243" s="1455"/>
      <c r="QCJ243" s="1455"/>
      <c r="QCK243" s="1455"/>
      <c r="QCL243" s="1455"/>
      <c r="QCM243" s="1455"/>
      <c r="QCN243" s="1455"/>
      <c r="QCO243" s="1455"/>
      <c r="QCP243" s="1455"/>
      <c r="QCQ243" s="1455"/>
      <c r="QCR243" s="1455"/>
      <c r="QCS243" s="1455"/>
      <c r="QCT243" s="1455"/>
      <c r="QCU243" s="1455"/>
      <c r="QCV243" s="1455"/>
      <c r="QCW243" s="1455"/>
      <c r="QCX243" s="1455"/>
      <c r="QCY243" s="1455"/>
      <c r="QCZ243" s="1455"/>
      <c r="QDA243" s="1455"/>
      <c r="QDB243" s="1455"/>
      <c r="QDC243" s="1455"/>
      <c r="QDD243" s="1455"/>
      <c r="QDE243" s="1455"/>
      <c r="QDF243" s="1455"/>
      <c r="QDG243" s="1455"/>
      <c r="QDH243" s="1455"/>
      <c r="QDI243" s="1455"/>
      <c r="QDJ243" s="1455"/>
      <c r="QDK243" s="1455"/>
      <c r="QDL243" s="1455"/>
      <c r="QDM243" s="1455"/>
      <c r="QDN243" s="1455"/>
      <c r="QDO243" s="1455"/>
      <c r="QDP243" s="1455"/>
      <c r="QDQ243" s="1455"/>
      <c r="QDR243" s="1455"/>
      <c r="QDS243" s="1455"/>
      <c r="QDT243" s="1455"/>
      <c r="QDU243" s="1455"/>
      <c r="QDV243" s="1455"/>
      <c r="QDW243" s="1455"/>
      <c r="QDX243" s="1455"/>
      <c r="QDY243" s="1455"/>
      <c r="QDZ243" s="1455"/>
      <c r="QEA243" s="1455"/>
      <c r="QEB243" s="1455"/>
      <c r="QEC243" s="1455"/>
      <c r="QED243" s="1455"/>
      <c r="QEE243" s="1455"/>
      <c r="QEF243" s="1455"/>
      <c r="QEG243" s="1455"/>
      <c r="QEH243" s="1455"/>
      <c r="QEI243" s="1455"/>
      <c r="QEJ243" s="1455"/>
      <c r="QEK243" s="1455"/>
      <c r="QEL243" s="1455"/>
      <c r="QEM243" s="1455"/>
      <c r="QEN243" s="1455"/>
      <c r="QEO243" s="1455"/>
      <c r="QEP243" s="1455"/>
      <c r="QEQ243" s="1455"/>
      <c r="QER243" s="1455"/>
      <c r="QES243" s="1455"/>
      <c r="QET243" s="1455"/>
      <c r="QEU243" s="1455"/>
      <c r="QEV243" s="1455"/>
      <c r="QEW243" s="1455"/>
      <c r="QEX243" s="1455"/>
      <c r="QEY243" s="1455"/>
      <c r="QEZ243" s="1455"/>
      <c r="QFA243" s="1455"/>
      <c r="QFB243" s="1455"/>
      <c r="QFC243" s="1455"/>
      <c r="QFD243" s="1455"/>
      <c r="QFE243" s="1455"/>
      <c r="QFF243" s="1455"/>
      <c r="QFG243" s="1455"/>
      <c r="QFH243" s="1455"/>
      <c r="QFI243" s="1455"/>
      <c r="QFJ243" s="1455"/>
      <c r="QFK243" s="1455"/>
      <c r="QFL243" s="1455"/>
      <c r="QFM243" s="1455"/>
      <c r="QFN243" s="1455"/>
      <c r="QFO243" s="1455"/>
      <c r="QFP243" s="1455"/>
      <c r="QFQ243" s="1455"/>
      <c r="QFR243" s="1455"/>
      <c r="QFS243" s="1455"/>
      <c r="QFT243" s="1455"/>
      <c r="QFU243" s="1455"/>
      <c r="QFV243" s="1455"/>
      <c r="QFW243" s="1455"/>
      <c r="QFX243" s="1455"/>
      <c r="QFY243" s="1455"/>
      <c r="QFZ243" s="1455"/>
      <c r="QGA243" s="1455"/>
      <c r="QGB243" s="1455"/>
      <c r="QGC243" s="1455"/>
      <c r="QGD243" s="1455"/>
      <c r="QGE243" s="1455"/>
      <c r="QGF243" s="1455"/>
      <c r="QGG243" s="1455"/>
      <c r="QGH243" s="1455"/>
      <c r="QGI243" s="1455"/>
      <c r="QGJ243" s="1455"/>
      <c r="QGK243" s="1455"/>
      <c r="QGL243" s="1455"/>
      <c r="QGM243" s="1455"/>
      <c r="QGN243" s="1455"/>
      <c r="QGO243" s="1455"/>
      <c r="QGP243" s="1455"/>
      <c r="QGQ243" s="1455"/>
      <c r="QGR243" s="1455"/>
      <c r="QGS243" s="1455"/>
      <c r="QGT243" s="1455"/>
      <c r="QGU243" s="1455"/>
      <c r="QGV243" s="1455"/>
      <c r="QGW243" s="1455"/>
      <c r="QGX243" s="1455"/>
      <c r="QGY243" s="1455"/>
      <c r="QGZ243" s="1455"/>
      <c r="QHA243" s="1455"/>
      <c r="QHB243" s="1455"/>
      <c r="QHC243" s="1455"/>
      <c r="QHD243" s="1455"/>
      <c r="QHE243" s="1455"/>
      <c r="QHF243" s="1455"/>
      <c r="QHG243" s="1455"/>
      <c r="QHH243" s="1455"/>
      <c r="QHI243" s="1455"/>
      <c r="QHJ243" s="1455"/>
      <c r="QHK243" s="1455"/>
      <c r="QHL243" s="1455"/>
      <c r="QHM243" s="1455"/>
      <c r="QHN243" s="1455"/>
      <c r="QHO243" s="1455"/>
      <c r="QHP243" s="1455"/>
      <c r="QHQ243" s="1455"/>
      <c r="QHR243" s="1455"/>
      <c r="QHS243" s="1455"/>
      <c r="QHT243" s="1455"/>
      <c r="QHU243" s="1455"/>
      <c r="QHV243" s="1455"/>
      <c r="QHW243" s="1455"/>
      <c r="QHX243" s="1455"/>
      <c r="QHY243" s="1455"/>
      <c r="QHZ243" s="1455"/>
      <c r="QIA243" s="1455"/>
      <c r="QIB243" s="1455"/>
      <c r="QIC243" s="1455"/>
      <c r="QID243" s="1455"/>
      <c r="QIE243" s="1455"/>
      <c r="QIF243" s="1455"/>
      <c r="QIG243" s="1455"/>
      <c r="QIH243" s="1455"/>
      <c r="QII243" s="1455"/>
      <c r="QIJ243" s="1455"/>
      <c r="QIK243" s="1455"/>
      <c r="QIL243" s="1455"/>
      <c r="QIM243" s="1455"/>
      <c r="QIN243" s="1455"/>
      <c r="QIO243" s="1455"/>
      <c r="QIP243" s="1455"/>
      <c r="QIQ243" s="1455"/>
      <c r="QIR243" s="1455"/>
      <c r="QIS243" s="1455"/>
      <c r="QIT243" s="1455"/>
      <c r="QIU243" s="1455"/>
      <c r="QIV243" s="1455"/>
      <c r="QIW243" s="1455"/>
      <c r="QIX243" s="1455"/>
      <c r="QIY243" s="1455"/>
      <c r="QIZ243" s="1455"/>
      <c r="QJA243" s="1455"/>
      <c r="QJB243" s="1455"/>
      <c r="QJC243" s="1455"/>
      <c r="QJD243" s="1455"/>
      <c r="QJE243" s="1455"/>
      <c r="QJF243" s="1455"/>
      <c r="QJG243" s="1455"/>
      <c r="QJH243" s="1455"/>
      <c r="QJI243" s="1455"/>
      <c r="QJJ243" s="1455"/>
      <c r="QJK243" s="1455"/>
      <c r="QJL243" s="1455"/>
      <c r="QJM243" s="1455"/>
      <c r="QJN243" s="1455"/>
      <c r="QJO243" s="1455"/>
      <c r="QJP243" s="1455"/>
      <c r="QJQ243" s="1455"/>
      <c r="QJR243" s="1455"/>
      <c r="QJS243" s="1455"/>
      <c r="QJT243" s="1455"/>
      <c r="QJU243" s="1455"/>
      <c r="QJV243" s="1455"/>
      <c r="QJW243" s="1455"/>
      <c r="QJX243" s="1455"/>
      <c r="QJY243" s="1455"/>
      <c r="QJZ243" s="1455"/>
      <c r="QKA243" s="1455"/>
      <c r="QKB243" s="1455"/>
      <c r="QKC243" s="1455"/>
      <c r="QKD243" s="1455"/>
      <c r="QKE243" s="1455"/>
      <c r="QKF243" s="1455"/>
      <c r="QKG243" s="1455"/>
      <c r="QKH243" s="1455"/>
      <c r="QKI243" s="1455"/>
      <c r="QKJ243" s="1455"/>
      <c r="QKK243" s="1455"/>
      <c r="QKL243" s="1455"/>
      <c r="QKM243" s="1455"/>
      <c r="QKN243" s="1455"/>
      <c r="QKO243" s="1455"/>
      <c r="QKP243" s="1455"/>
      <c r="QKQ243" s="1455"/>
      <c r="QKR243" s="1455"/>
      <c r="QKS243" s="1455"/>
      <c r="QKT243" s="1455"/>
      <c r="QKU243" s="1455"/>
      <c r="QKV243" s="1455"/>
      <c r="QKW243" s="1455"/>
      <c r="QKX243" s="1455"/>
      <c r="QKY243" s="1455"/>
      <c r="QKZ243" s="1455"/>
      <c r="QLA243" s="1455"/>
      <c r="QLB243" s="1455"/>
      <c r="QLC243" s="1455"/>
      <c r="QLD243" s="1455"/>
      <c r="QLE243" s="1455"/>
      <c r="QLF243" s="1455"/>
      <c r="QLG243" s="1455"/>
      <c r="QLH243" s="1455"/>
      <c r="QLI243" s="1455"/>
      <c r="QLJ243" s="1455"/>
      <c r="QLK243" s="1455"/>
      <c r="QLL243" s="1455"/>
      <c r="QLM243" s="1455"/>
      <c r="QLN243" s="1455"/>
      <c r="QLO243" s="1455"/>
      <c r="QLP243" s="1455"/>
      <c r="QLQ243" s="1455"/>
      <c r="QLR243" s="1455"/>
      <c r="QLS243" s="1455"/>
      <c r="QLT243" s="1455"/>
      <c r="QLU243" s="1455"/>
      <c r="QLV243" s="1455"/>
      <c r="QLW243" s="1455"/>
      <c r="QLX243" s="1455"/>
      <c r="QLY243" s="1455"/>
      <c r="QLZ243" s="1455"/>
      <c r="QMA243" s="1455"/>
      <c r="QMB243" s="1455"/>
      <c r="QMC243" s="1455"/>
      <c r="QMD243" s="1455"/>
      <c r="QME243" s="1455"/>
      <c r="QMF243" s="1455"/>
      <c r="QMG243" s="1455"/>
      <c r="QMH243" s="1455"/>
      <c r="QMI243" s="1455"/>
      <c r="QMJ243" s="1455"/>
      <c r="QMK243" s="1455"/>
      <c r="QML243" s="1455"/>
      <c r="QMM243" s="1455"/>
      <c r="QMN243" s="1455"/>
      <c r="QMO243" s="1455"/>
      <c r="QMP243" s="1455"/>
      <c r="QMQ243" s="1455"/>
      <c r="QMR243" s="1455"/>
      <c r="QMS243" s="1455"/>
      <c r="QMT243" s="1455"/>
      <c r="QMU243" s="1455"/>
      <c r="QMV243" s="1455"/>
      <c r="QMW243" s="1455"/>
      <c r="QMX243" s="1455"/>
      <c r="QMY243" s="1455"/>
      <c r="QMZ243" s="1455"/>
      <c r="QNA243" s="1455"/>
      <c r="QNB243" s="1455"/>
      <c r="QNC243" s="1455"/>
      <c r="QND243" s="1455"/>
      <c r="QNE243" s="1455"/>
      <c r="QNF243" s="1455"/>
      <c r="QNG243" s="1455"/>
      <c r="QNH243" s="1455"/>
      <c r="QNI243" s="1455"/>
      <c r="QNJ243" s="1455"/>
      <c r="QNK243" s="1455"/>
      <c r="QNL243" s="1455"/>
      <c r="QNM243" s="1455"/>
      <c r="QNN243" s="1455"/>
      <c r="QNO243" s="1455"/>
      <c r="QNP243" s="1455"/>
      <c r="QNQ243" s="1455"/>
      <c r="QNR243" s="1455"/>
      <c r="QNS243" s="1455"/>
      <c r="QNT243" s="1455"/>
      <c r="QNU243" s="1455"/>
      <c r="QNV243" s="1455"/>
      <c r="QNW243" s="1455"/>
      <c r="QNX243" s="1455"/>
      <c r="QNY243" s="1455"/>
      <c r="QNZ243" s="1455"/>
      <c r="QOA243" s="1455"/>
      <c r="QOB243" s="1455"/>
      <c r="QOC243" s="1455"/>
      <c r="QOD243" s="1455"/>
      <c r="QOE243" s="1455"/>
      <c r="QOF243" s="1455"/>
      <c r="QOG243" s="1455"/>
      <c r="QOH243" s="1455"/>
      <c r="QOI243" s="1455"/>
      <c r="QOJ243" s="1455"/>
      <c r="QOK243" s="1455"/>
      <c r="QOL243" s="1455"/>
      <c r="QOM243" s="1455"/>
      <c r="QON243" s="1455"/>
      <c r="QOO243" s="1455"/>
      <c r="QOP243" s="1455"/>
      <c r="QOQ243" s="1455"/>
      <c r="QOR243" s="1455"/>
      <c r="QOS243" s="1455"/>
      <c r="QOT243" s="1455"/>
      <c r="QOU243" s="1455"/>
      <c r="QOV243" s="1455"/>
      <c r="QOW243" s="1455"/>
      <c r="QOX243" s="1455"/>
      <c r="QOY243" s="1455"/>
      <c r="QOZ243" s="1455"/>
      <c r="QPA243" s="1455"/>
      <c r="QPB243" s="1455"/>
      <c r="QPC243" s="1455"/>
      <c r="QPD243" s="1455"/>
      <c r="QPE243" s="1455"/>
      <c r="QPF243" s="1455"/>
      <c r="QPG243" s="1455"/>
      <c r="QPH243" s="1455"/>
      <c r="QPI243" s="1455"/>
      <c r="QPJ243" s="1455"/>
      <c r="QPK243" s="1455"/>
      <c r="QPL243" s="1455"/>
      <c r="QPM243" s="1455"/>
      <c r="QPN243" s="1455"/>
      <c r="QPO243" s="1455"/>
      <c r="QPP243" s="1455"/>
      <c r="QPQ243" s="1455"/>
      <c r="QPR243" s="1455"/>
      <c r="QPS243" s="1455"/>
      <c r="QPT243" s="1455"/>
      <c r="QPU243" s="1455"/>
      <c r="QPV243" s="1455"/>
      <c r="QPW243" s="1455"/>
      <c r="QPX243" s="1455"/>
      <c r="QPY243" s="1455"/>
      <c r="QPZ243" s="1455"/>
      <c r="QQA243" s="1455"/>
      <c r="QQB243" s="1455"/>
      <c r="QQC243" s="1455"/>
      <c r="QQD243" s="1455"/>
      <c r="QQE243" s="1455"/>
      <c r="QQF243" s="1455"/>
      <c r="QQG243" s="1455"/>
      <c r="QQH243" s="1455"/>
      <c r="QQI243" s="1455"/>
      <c r="QQJ243" s="1455"/>
      <c r="QQK243" s="1455"/>
      <c r="QQL243" s="1455"/>
      <c r="QQM243" s="1455"/>
      <c r="QQN243" s="1455"/>
      <c r="QQO243" s="1455"/>
      <c r="QQP243" s="1455"/>
      <c r="QQQ243" s="1455"/>
      <c r="QQR243" s="1455"/>
      <c r="QQS243" s="1455"/>
      <c r="QQT243" s="1455"/>
      <c r="QQU243" s="1455"/>
      <c r="QQV243" s="1455"/>
      <c r="QQW243" s="1455"/>
      <c r="QQX243" s="1455"/>
      <c r="QQY243" s="1455"/>
      <c r="QQZ243" s="1455"/>
      <c r="QRA243" s="1455"/>
      <c r="QRB243" s="1455"/>
      <c r="QRC243" s="1455"/>
      <c r="QRD243" s="1455"/>
      <c r="QRE243" s="1455"/>
      <c r="QRF243" s="1455"/>
      <c r="QRG243" s="1455"/>
      <c r="QRH243" s="1455"/>
      <c r="QRI243" s="1455"/>
      <c r="QRJ243" s="1455"/>
      <c r="QRK243" s="1455"/>
      <c r="QRL243" s="1455"/>
      <c r="QRM243" s="1455"/>
      <c r="QRN243" s="1455"/>
      <c r="QRO243" s="1455"/>
      <c r="QRP243" s="1455"/>
      <c r="QRQ243" s="1455"/>
      <c r="QRR243" s="1455"/>
      <c r="QRS243" s="1455"/>
      <c r="QRT243" s="1455"/>
      <c r="QRU243" s="1455"/>
      <c r="QRV243" s="1455"/>
      <c r="QRW243" s="1455"/>
      <c r="QRX243" s="1455"/>
      <c r="QRY243" s="1455"/>
      <c r="QRZ243" s="1455"/>
      <c r="QSA243" s="1455"/>
      <c r="QSB243" s="1455"/>
      <c r="QSC243" s="1455"/>
      <c r="QSD243" s="1455"/>
      <c r="QSE243" s="1455"/>
      <c r="QSF243" s="1455"/>
      <c r="QSG243" s="1455"/>
      <c r="QSH243" s="1455"/>
      <c r="QSI243" s="1455"/>
      <c r="QSJ243" s="1455"/>
      <c r="QSK243" s="1455"/>
      <c r="QSL243" s="1455"/>
      <c r="QSM243" s="1455"/>
      <c r="QSN243" s="1455"/>
      <c r="QSO243" s="1455"/>
      <c r="QSP243" s="1455"/>
      <c r="QSQ243" s="1455"/>
      <c r="QSR243" s="1455"/>
      <c r="QSS243" s="1455"/>
      <c r="QST243" s="1455"/>
      <c r="QSU243" s="1455"/>
      <c r="QSV243" s="1455"/>
      <c r="QSW243" s="1455"/>
      <c r="QSX243" s="1455"/>
      <c r="QSY243" s="1455"/>
      <c r="QSZ243" s="1455"/>
      <c r="QTA243" s="1455"/>
      <c r="QTB243" s="1455"/>
      <c r="QTC243" s="1455"/>
      <c r="QTD243" s="1455"/>
      <c r="QTE243" s="1455"/>
      <c r="QTF243" s="1455"/>
      <c r="QTG243" s="1455"/>
      <c r="QTH243" s="1455"/>
      <c r="QTI243" s="1455"/>
      <c r="QTJ243" s="1455"/>
      <c r="QTK243" s="1455"/>
      <c r="QTL243" s="1455"/>
      <c r="QTM243" s="1455"/>
      <c r="QTN243" s="1455"/>
      <c r="QTO243" s="1455"/>
      <c r="QTP243" s="1455"/>
      <c r="QTQ243" s="1455"/>
      <c r="QTR243" s="1455"/>
      <c r="QTS243" s="1455"/>
      <c r="QTT243" s="1455"/>
      <c r="QTU243" s="1455"/>
      <c r="QTV243" s="1455"/>
      <c r="QTW243" s="1455"/>
      <c r="QTX243" s="1455"/>
      <c r="QTY243" s="1455"/>
      <c r="QTZ243" s="1455"/>
      <c r="QUA243" s="1455"/>
      <c r="QUB243" s="1455"/>
      <c r="QUC243" s="1455"/>
      <c r="QUD243" s="1455"/>
      <c r="QUE243" s="1455"/>
      <c r="QUF243" s="1455"/>
      <c r="QUG243" s="1455"/>
      <c r="QUH243" s="1455"/>
      <c r="QUI243" s="1455"/>
      <c r="QUJ243" s="1455"/>
      <c r="QUK243" s="1455"/>
      <c r="QUL243" s="1455"/>
      <c r="QUM243" s="1455"/>
      <c r="QUN243" s="1455"/>
      <c r="QUO243" s="1455"/>
      <c r="QUP243" s="1455"/>
      <c r="QUQ243" s="1455"/>
      <c r="QUR243" s="1455"/>
      <c r="QUS243" s="1455"/>
      <c r="QUT243" s="1455"/>
      <c r="QUU243" s="1455"/>
      <c r="QUV243" s="1455"/>
      <c r="QUW243" s="1455"/>
      <c r="QUX243" s="1455"/>
      <c r="QUY243" s="1455"/>
      <c r="QUZ243" s="1455"/>
      <c r="QVA243" s="1455"/>
      <c r="QVB243" s="1455"/>
      <c r="QVC243" s="1455"/>
      <c r="QVD243" s="1455"/>
      <c r="QVE243" s="1455"/>
      <c r="QVF243" s="1455"/>
      <c r="QVG243" s="1455"/>
      <c r="QVH243" s="1455"/>
      <c r="QVI243" s="1455"/>
      <c r="QVJ243" s="1455"/>
      <c r="QVK243" s="1455"/>
      <c r="QVL243" s="1455"/>
      <c r="QVM243" s="1455"/>
      <c r="QVN243" s="1455"/>
      <c r="QVO243" s="1455"/>
      <c r="QVP243" s="1455"/>
      <c r="QVQ243" s="1455"/>
      <c r="QVR243" s="1455"/>
      <c r="QVS243" s="1455"/>
      <c r="QVT243" s="1455"/>
      <c r="QVU243" s="1455"/>
      <c r="QVV243" s="1455"/>
      <c r="QVW243" s="1455"/>
      <c r="QVX243" s="1455"/>
      <c r="QVY243" s="1455"/>
      <c r="QVZ243" s="1455"/>
      <c r="QWA243" s="1455"/>
      <c r="QWB243" s="1455"/>
      <c r="QWC243" s="1455"/>
      <c r="QWD243" s="1455"/>
      <c r="QWE243" s="1455"/>
      <c r="QWF243" s="1455"/>
      <c r="QWG243" s="1455"/>
      <c r="QWH243" s="1455"/>
      <c r="QWI243" s="1455"/>
      <c r="QWJ243" s="1455"/>
      <c r="QWK243" s="1455"/>
      <c r="QWL243" s="1455"/>
      <c r="QWM243" s="1455"/>
      <c r="QWN243" s="1455"/>
      <c r="QWO243" s="1455"/>
      <c r="QWP243" s="1455"/>
      <c r="QWQ243" s="1455"/>
      <c r="QWR243" s="1455"/>
      <c r="QWS243" s="1455"/>
      <c r="QWT243" s="1455"/>
      <c r="QWU243" s="1455"/>
      <c r="QWV243" s="1455"/>
      <c r="QWW243" s="1455"/>
      <c r="QWX243" s="1455"/>
      <c r="QWY243" s="1455"/>
      <c r="QWZ243" s="1455"/>
      <c r="QXA243" s="1455"/>
      <c r="QXB243" s="1455"/>
      <c r="QXC243" s="1455"/>
      <c r="QXD243" s="1455"/>
      <c r="QXE243" s="1455"/>
      <c r="QXF243" s="1455"/>
      <c r="QXG243" s="1455"/>
      <c r="QXH243" s="1455"/>
      <c r="QXI243" s="1455"/>
      <c r="QXJ243" s="1455"/>
      <c r="QXK243" s="1455"/>
      <c r="QXL243" s="1455"/>
      <c r="QXM243" s="1455"/>
      <c r="QXN243" s="1455"/>
      <c r="QXO243" s="1455"/>
      <c r="QXP243" s="1455"/>
      <c r="QXQ243" s="1455"/>
      <c r="QXR243" s="1455"/>
      <c r="QXS243" s="1455"/>
      <c r="QXT243" s="1455"/>
      <c r="QXU243" s="1455"/>
      <c r="QXV243" s="1455"/>
      <c r="QXW243" s="1455"/>
      <c r="QXX243" s="1455"/>
      <c r="QXY243" s="1455"/>
      <c r="QXZ243" s="1455"/>
      <c r="QYA243" s="1455"/>
      <c r="QYB243" s="1455"/>
      <c r="QYC243" s="1455"/>
      <c r="QYD243" s="1455"/>
      <c r="QYE243" s="1455"/>
      <c r="QYF243" s="1455"/>
      <c r="QYG243" s="1455"/>
      <c r="QYH243" s="1455"/>
      <c r="QYI243" s="1455"/>
      <c r="QYJ243" s="1455"/>
      <c r="QYK243" s="1455"/>
      <c r="QYL243" s="1455"/>
      <c r="QYM243" s="1455"/>
      <c r="QYN243" s="1455"/>
      <c r="QYO243" s="1455"/>
      <c r="QYP243" s="1455"/>
      <c r="QYQ243" s="1455"/>
      <c r="QYR243" s="1455"/>
      <c r="QYS243" s="1455"/>
      <c r="QYT243" s="1455"/>
      <c r="QYU243" s="1455"/>
      <c r="QYV243" s="1455"/>
      <c r="QYW243" s="1455"/>
      <c r="QYX243" s="1455"/>
      <c r="QYY243" s="1455"/>
      <c r="QYZ243" s="1455"/>
      <c r="QZA243" s="1455"/>
      <c r="QZB243" s="1455"/>
      <c r="QZC243" s="1455"/>
      <c r="QZD243" s="1455"/>
      <c r="QZE243" s="1455"/>
      <c r="QZF243" s="1455"/>
      <c r="QZG243" s="1455"/>
      <c r="QZH243" s="1455"/>
      <c r="QZI243" s="1455"/>
      <c r="QZJ243" s="1455"/>
      <c r="QZK243" s="1455"/>
      <c r="QZL243" s="1455"/>
      <c r="QZM243" s="1455"/>
      <c r="QZN243" s="1455"/>
      <c r="QZO243" s="1455"/>
      <c r="QZP243" s="1455"/>
      <c r="QZQ243" s="1455"/>
      <c r="QZR243" s="1455"/>
      <c r="QZS243" s="1455"/>
      <c r="QZT243" s="1455"/>
      <c r="QZU243" s="1455"/>
      <c r="QZV243" s="1455"/>
      <c r="QZW243" s="1455"/>
      <c r="QZX243" s="1455"/>
      <c r="QZY243" s="1455"/>
      <c r="QZZ243" s="1455"/>
      <c r="RAA243" s="1455"/>
      <c r="RAB243" s="1455"/>
      <c r="RAC243" s="1455"/>
      <c r="RAD243" s="1455"/>
      <c r="RAE243" s="1455"/>
      <c r="RAF243" s="1455"/>
      <c r="RAG243" s="1455"/>
      <c r="RAH243" s="1455"/>
      <c r="RAI243" s="1455"/>
      <c r="RAJ243" s="1455"/>
      <c r="RAK243" s="1455"/>
      <c r="RAL243" s="1455"/>
      <c r="RAM243" s="1455"/>
      <c r="RAN243" s="1455"/>
      <c r="RAO243" s="1455"/>
      <c r="RAP243" s="1455"/>
      <c r="RAQ243" s="1455"/>
      <c r="RAR243" s="1455"/>
      <c r="RAS243" s="1455"/>
      <c r="RAT243" s="1455"/>
      <c r="RAU243" s="1455"/>
      <c r="RAV243" s="1455"/>
      <c r="RAW243" s="1455"/>
      <c r="RAX243" s="1455"/>
      <c r="RAY243" s="1455"/>
      <c r="RAZ243" s="1455"/>
      <c r="RBA243" s="1455"/>
      <c r="RBB243" s="1455"/>
      <c r="RBC243" s="1455"/>
      <c r="RBD243" s="1455"/>
      <c r="RBE243" s="1455"/>
      <c r="RBF243" s="1455"/>
      <c r="RBG243" s="1455"/>
      <c r="RBH243" s="1455"/>
      <c r="RBI243" s="1455"/>
      <c r="RBJ243" s="1455"/>
      <c r="RBK243" s="1455"/>
      <c r="RBL243" s="1455"/>
      <c r="RBM243" s="1455"/>
      <c r="RBN243" s="1455"/>
      <c r="RBO243" s="1455"/>
      <c r="RBP243" s="1455"/>
      <c r="RBQ243" s="1455"/>
      <c r="RBR243" s="1455"/>
      <c r="RBS243" s="1455"/>
      <c r="RBT243" s="1455"/>
      <c r="RBU243" s="1455"/>
      <c r="RBV243" s="1455"/>
      <c r="RBW243" s="1455"/>
      <c r="RBX243" s="1455"/>
      <c r="RBY243" s="1455"/>
      <c r="RBZ243" s="1455"/>
      <c r="RCA243" s="1455"/>
      <c r="RCB243" s="1455"/>
      <c r="RCC243" s="1455"/>
      <c r="RCD243" s="1455"/>
      <c r="RCE243" s="1455"/>
      <c r="RCF243" s="1455"/>
      <c r="RCG243" s="1455"/>
      <c r="RCH243" s="1455"/>
      <c r="RCI243" s="1455"/>
      <c r="RCJ243" s="1455"/>
      <c r="RCK243" s="1455"/>
      <c r="RCL243" s="1455"/>
      <c r="RCM243" s="1455"/>
      <c r="RCN243" s="1455"/>
      <c r="RCO243" s="1455"/>
      <c r="RCP243" s="1455"/>
      <c r="RCQ243" s="1455"/>
      <c r="RCR243" s="1455"/>
      <c r="RCS243" s="1455"/>
      <c r="RCT243" s="1455"/>
      <c r="RCU243" s="1455"/>
      <c r="RCV243" s="1455"/>
      <c r="RCW243" s="1455"/>
      <c r="RCX243" s="1455"/>
      <c r="RCY243" s="1455"/>
      <c r="RCZ243" s="1455"/>
      <c r="RDA243" s="1455"/>
      <c r="RDB243" s="1455"/>
      <c r="RDC243" s="1455"/>
      <c r="RDD243" s="1455"/>
      <c r="RDE243" s="1455"/>
      <c r="RDF243" s="1455"/>
      <c r="RDG243" s="1455"/>
      <c r="RDH243" s="1455"/>
      <c r="RDI243" s="1455"/>
      <c r="RDJ243" s="1455"/>
      <c r="RDK243" s="1455"/>
      <c r="RDL243" s="1455"/>
      <c r="RDM243" s="1455"/>
      <c r="RDN243" s="1455"/>
      <c r="RDO243" s="1455"/>
      <c r="RDP243" s="1455"/>
      <c r="RDQ243" s="1455"/>
      <c r="RDR243" s="1455"/>
      <c r="RDS243" s="1455"/>
      <c r="RDT243" s="1455"/>
      <c r="RDU243" s="1455"/>
      <c r="RDV243" s="1455"/>
      <c r="RDW243" s="1455"/>
      <c r="RDX243" s="1455"/>
      <c r="RDY243" s="1455"/>
      <c r="RDZ243" s="1455"/>
      <c r="REA243" s="1455"/>
      <c r="REB243" s="1455"/>
      <c r="REC243" s="1455"/>
      <c r="RED243" s="1455"/>
      <c r="REE243" s="1455"/>
      <c r="REF243" s="1455"/>
      <c r="REG243" s="1455"/>
      <c r="REH243" s="1455"/>
      <c r="REI243" s="1455"/>
      <c r="REJ243" s="1455"/>
      <c r="REK243" s="1455"/>
      <c r="REL243" s="1455"/>
      <c r="REM243" s="1455"/>
      <c r="REN243" s="1455"/>
      <c r="REO243" s="1455"/>
      <c r="REP243" s="1455"/>
      <c r="REQ243" s="1455"/>
      <c r="RER243" s="1455"/>
      <c r="RES243" s="1455"/>
      <c r="RET243" s="1455"/>
      <c r="REU243" s="1455"/>
      <c r="REV243" s="1455"/>
      <c r="REW243" s="1455"/>
      <c r="REX243" s="1455"/>
      <c r="REY243" s="1455"/>
      <c r="REZ243" s="1455"/>
      <c r="RFA243" s="1455"/>
      <c r="RFB243" s="1455"/>
      <c r="RFC243" s="1455"/>
      <c r="RFD243" s="1455"/>
      <c r="RFE243" s="1455"/>
      <c r="RFF243" s="1455"/>
      <c r="RFG243" s="1455"/>
      <c r="RFH243" s="1455"/>
      <c r="RFI243" s="1455"/>
      <c r="RFJ243" s="1455"/>
      <c r="RFK243" s="1455"/>
      <c r="RFL243" s="1455"/>
      <c r="RFM243" s="1455"/>
      <c r="RFN243" s="1455"/>
      <c r="RFO243" s="1455"/>
      <c r="RFP243" s="1455"/>
      <c r="RFQ243" s="1455"/>
      <c r="RFR243" s="1455"/>
      <c r="RFS243" s="1455"/>
      <c r="RFT243" s="1455"/>
      <c r="RFU243" s="1455"/>
      <c r="RFV243" s="1455"/>
      <c r="RFW243" s="1455"/>
      <c r="RFX243" s="1455"/>
      <c r="RFY243" s="1455"/>
      <c r="RFZ243" s="1455"/>
      <c r="RGA243" s="1455"/>
      <c r="RGB243" s="1455"/>
      <c r="RGC243" s="1455"/>
      <c r="RGD243" s="1455"/>
      <c r="RGE243" s="1455"/>
      <c r="RGF243" s="1455"/>
      <c r="RGG243" s="1455"/>
      <c r="RGH243" s="1455"/>
      <c r="RGI243" s="1455"/>
      <c r="RGJ243" s="1455"/>
      <c r="RGK243" s="1455"/>
      <c r="RGL243" s="1455"/>
      <c r="RGM243" s="1455"/>
      <c r="RGN243" s="1455"/>
      <c r="RGO243" s="1455"/>
      <c r="RGP243" s="1455"/>
      <c r="RGQ243" s="1455"/>
      <c r="RGR243" s="1455"/>
      <c r="RGS243" s="1455"/>
      <c r="RGT243" s="1455"/>
      <c r="RGU243" s="1455"/>
      <c r="RGV243" s="1455"/>
      <c r="RGW243" s="1455"/>
      <c r="RGX243" s="1455"/>
      <c r="RGY243" s="1455"/>
      <c r="RGZ243" s="1455"/>
      <c r="RHA243" s="1455"/>
      <c r="RHB243" s="1455"/>
      <c r="RHC243" s="1455"/>
      <c r="RHD243" s="1455"/>
      <c r="RHE243" s="1455"/>
      <c r="RHF243" s="1455"/>
      <c r="RHG243" s="1455"/>
      <c r="RHH243" s="1455"/>
      <c r="RHI243" s="1455"/>
      <c r="RHJ243" s="1455"/>
      <c r="RHK243" s="1455"/>
      <c r="RHL243" s="1455"/>
      <c r="RHM243" s="1455"/>
      <c r="RHN243" s="1455"/>
      <c r="RHO243" s="1455"/>
      <c r="RHP243" s="1455"/>
      <c r="RHQ243" s="1455"/>
      <c r="RHR243" s="1455"/>
      <c r="RHS243" s="1455"/>
      <c r="RHT243" s="1455"/>
      <c r="RHU243" s="1455"/>
      <c r="RHV243" s="1455"/>
      <c r="RHW243" s="1455"/>
      <c r="RHX243" s="1455"/>
      <c r="RHY243" s="1455"/>
      <c r="RHZ243" s="1455"/>
      <c r="RIA243" s="1455"/>
      <c r="RIB243" s="1455"/>
      <c r="RIC243" s="1455"/>
      <c r="RID243" s="1455"/>
      <c r="RIE243" s="1455"/>
      <c r="RIF243" s="1455"/>
      <c r="RIG243" s="1455"/>
      <c r="RIH243" s="1455"/>
      <c r="RII243" s="1455"/>
      <c r="RIJ243" s="1455"/>
      <c r="RIK243" s="1455"/>
      <c r="RIL243" s="1455"/>
      <c r="RIM243" s="1455"/>
      <c r="RIN243" s="1455"/>
      <c r="RIO243" s="1455"/>
      <c r="RIP243" s="1455"/>
      <c r="RIQ243" s="1455"/>
      <c r="RIR243" s="1455"/>
      <c r="RIS243" s="1455"/>
      <c r="RIT243" s="1455"/>
      <c r="RIU243" s="1455"/>
      <c r="RIV243" s="1455"/>
      <c r="RIW243" s="1455"/>
      <c r="RIX243" s="1455"/>
      <c r="RIY243" s="1455"/>
      <c r="RIZ243" s="1455"/>
      <c r="RJA243" s="1455"/>
      <c r="RJB243" s="1455"/>
      <c r="RJC243" s="1455"/>
      <c r="RJD243" s="1455"/>
      <c r="RJE243" s="1455"/>
      <c r="RJF243" s="1455"/>
      <c r="RJG243" s="1455"/>
      <c r="RJH243" s="1455"/>
      <c r="RJI243" s="1455"/>
      <c r="RJJ243" s="1455"/>
      <c r="RJK243" s="1455"/>
      <c r="RJL243" s="1455"/>
      <c r="RJM243" s="1455"/>
      <c r="RJN243" s="1455"/>
      <c r="RJO243" s="1455"/>
      <c r="RJP243" s="1455"/>
      <c r="RJQ243" s="1455"/>
      <c r="RJR243" s="1455"/>
      <c r="RJS243" s="1455"/>
      <c r="RJT243" s="1455"/>
      <c r="RJU243" s="1455"/>
      <c r="RJV243" s="1455"/>
      <c r="RJW243" s="1455"/>
      <c r="RJX243" s="1455"/>
      <c r="RJY243" s="1455"/>
      <c r="RJZ243" s="1455"/>
      <c r="RKA243" s="1455"/>
      <c r="RKB243" s="1455"/>
      <c r="RKC243" s="1455"/>
      <c r="RKD243" s="1455"/>
      <c r="RKE243" s="1455"/>
      <c r="RKF243" s="1455"/>
      <c r="RKG243" s="1455"/>
      <c r="RKH243" s="1455"/>
      <c r="RKI243" s="1455"/>
      <c r="RKJ243" s="1455"/>
      <c r="RKK243" s="1455"/>
      <c r="RKL243" s="1455"/>
      <c r="RKM243" s="1455"/>
      <c r="RKN243" s="1455"/>
      <c r="RKO243" s="1455"/>
      <c r="RKP243" s="1455"/>
      <c r="RKQ243" s="1455"/>
      <c r="RKR243" s="1455"/>
      <c r="RKS243" s="1455"/>
      <c r="RKT243" s="1455"/>
      <c r="RKU243" s="1455"/>
      <c r="RKV243" s="1455"/>
      <c r="RKW243" s="1455"/>
      <c r="RKX243" s="1455"/>
      <c r="RKY243" s="1455"/>
      <c r="RKZ243" s="1455"/>
      <c r="RLA243" s="1455"/>
      <c r="RLB243" s="1455"/>
      <c r="RLC243" s="1455"/>
      <c r="RLD243" s="1455"/>
      <c r="RLE243" s="1455"/>
      <c r="RLF243" s="1455"/>
      <c r="RLG243" s="1455"/>
      <c r="RLH243" s="1455"/>
      <c r="RLI243" s="1455"/>
      <c r="RLJ243" s="1455"/>
      <c r="RLK243" s="1455"/>
      <c r="RLL243" s="1455"/>
      <c r="RLM243" s="1455"/>
      <c r="RLN243" s="1455"/>
      <c r="RLO243" s="1455"/>
      <c r="RLP243" s="1455"/>
      <c r="RLQ243" s="1455"/>
      <c r="RLR243" s="1455"/>
      <c r="RLS243" s="1455"/>
      <c r="RLT243" s="1455"/>
      <c r="RLU243" s="1455"/>
      <c r="RLV243" s="1455"/>
      <c r="RLW243" s="1455"/>
      <c r="RLX243" s="1455"/>
      <c r="RLY243" s="1455"/>
      <c r="RLZ243" s="1455"/>
      <c r="RMA243" s="1455"/>
      <c r="RMB243" s="1455"/>
      <c r="RMC243" s="1455"/>
      <c r="RMD243" s="1455"/>
      <c r="RME243" s="1455"/>
      <c r="RMF243" s="1455"/>
      <c r="RMG243" s="1455"/>
      <c r="RMH243" s="1455"/>
      <c r="RMI243" s="1455"/>
      <c r="RMJ243" s="1455"/>
      <c r="RMK243" s="1455"/>
      <c r="RML243" s="1455"/>
      <c r="RMM243" s="1455"/>
      <c r="RMN243" s="1455"/>
      <c r="RMO243" s="1455"/>
      <c r="RMP243" s="1455"/>
      <c r="RMQ243" s="1455"/>
      <c r="RMR243" s="1455"/>
      <c r="RMS243" s="1455"/>
      <c r="RMT243" s="1455"/>
      <c r="RMU243" s="1455"/>
      <c r="RMV243" s="1455"/>
      <c r="RMW243" s="1455"/>
      <c r="RMX243" s="1455"/>
      <c r="RMY243" s="1455"/>
      <c r="RMZ243" s="1455"/>
      <c r="RNA243" s="1455"/>
      <c r="RNB243" s="1455"/>
      <c r="RNC243" s="1455"/>
      <c r="RND243" s="1455"/>
      <c r="RNE243" s="1455"/>
      <c r="RNF243" s="1455"/>
      <c r="RNG243" s="1455"/>
      <c r="RNH243" s="1455"/>
      <c r="RNI243" s="1455"/>
      <c r="RNJ243" s="1455"/>
      <c r="RNK243" s="1455"/>
      <c r="RNL243" s="1455"/>
      <c r="RNM243" s="1455"/>
      <c r="RNN243" s="1455"/>
      <c r="RNO243" s="1455"/>
      <c r="RNP243" s="1455"/>
      <c r="RNQ243" s="1455"/>
      <c r="RNR243" s="1455"/>
      <c r="RNS243" s="1455"/>
      <c r="RNT243" s="1455"/>
      <c r="RNU243" s="1455"/>
      <c r="RNV243" s="1455"/>
      <c r="RNW243" s="1455"/>
      <c r="RNX243" s="1455"/>
      <c r="RNY243" s="1455"/>
      <c r="RNZ243" s="1455"/>
      <c r="ROA243" s="1455"/>
      <c r="ROB243" s="1455"/>
      <c r="ROC243" s="1455"/>
      <c r="ROD243" s="1455"/>
      <c r="ROE243" s="1455"/>
      <c r="ROF243" s="1455"/>
      <c r="ROG243" s="1455"/>
      <c r="ROH243" s="1455"/>
      <c r="ROI243" s="1455"/>
      <c r="ROJ243" s="1455"/>
      <c r="ROK243" s="1455"/>
      <c r="ROL243" s="1455"/>
      <c r="ROM243" s="1455"/>
      <c r="RON243" s="1455"/>
      <c r="ROO243" s="1455"/>
      <c r="ROP243" s="1455"/>
      <c r="ROQ243" s="1455"/>
      <c r="ROR243" s="1455"/>
      <c r="ROS243" s="1455"/>
      <c r="ROT243" s="1455"/>
      <c r="ROU243" s="1455"/>
      <c r="ROV243" s="1455"/>
      <c r="ROW243" s="1455"/>
      <c r="ROX243" s="1455"/>
      <c r="ROY243" s="1455"/>
      <c r="ROZ243" s="1455"/>
      <c r="RPA243" s="1455"/>
      <c r="RPB243" s="1455"/>
      <c r="RPC243" s="1455"/>
      <c r="RPD243" s="1455"/>
      <c r="RPE243" s="1455"/>
      <c r="RPF243" s="1455"/>
      <c r="RPG243" s="1455"/>
      <c r="RPH243" s="1455"/>
      <c r="RPI243" s="1455"/>
      <c r="RPJ243" s="1455"/>
      <c r="RPK243" s="1455"/>
      <c r="RPL243" s="1455"/>
      <c r="RPM243" s="1455"/>
      <c r="RPN243" s="1455"/>
      <c r="RPO243" s="1455"/>
      <c r="RPP243" s="1455"/>
      <c r="RPQ243" s="1455"/>
      <c r="RPR243" s="1455"/>
      <c r="RPS243" s="1455"/>
      <c r="RPT243" s="1455"/>
      <c r="RPU243" s="1455"/>
      <c r="RPV243" s="1455"/>
      <c r="RPW243" s="1455"/>
      <c r="RPX243" s="1455"/>
      <c r="RPY243" s="1455"/>
      <c r="RPZ243" s="1455"/>
      <c r="RQA243" s="1455"/>
      <c r="RQB243" s="1455"/>
      <c r="RQC243" s="1455"/>
      <c r="RQD243" s="1455"/>
      <c r="RQE243" s="1455"/>
      <c r="RQF243" s="1455"/>
      <c r="RQG243" s="1455"/>
      <c r="RQH243" s="1455"/>
      <c r="RQI243" s="1455"/>
      <c r="RQJ243" s="1455"/>
      <c r="RQK243" s="1455"/>
      <c r="RQL243" s="1455"/>
      <c r="RQM243" s="1455"/>
      <c r="RQN243" s="1455"/>
      <c r="RQO243" s="1455"/>
      <c r="RQP243" s="1455"/>
      <c r="RQQ243" s="1455"/>
      <c r="RQR243" s="1455"/>
      <c r="RQS243" s="1455"/>
      <c r="RQT243" s="1455"/>
      <c r="RQU243" s="1455"/>
      <c r="RQV243" s="1455"/>
      <c r="RQW243" s="1455"/>
      <c r="RQX243" s="1455"/>
      <c r="RQY243" s="1455"/>
      <c r="RQZ243" s="1455"/>
      <c r="RRA243" s="1455"/>
      <c r="RRB243" s="1455"/>
      <c r="RRC243" s="1455"/>
      <c r="RRD243" s="1455"/>
      <c r="RRE243" s="1455"/>
      <c r="RRF243" s="1455"/>
      <c r="RRG243" s="1455"/>
      <c r="RRH243" s="1455"/>
      <c r="RRI243" s="1455"/>
      <c r="RRJ243" s="1455"/>
      <c r="RRK243" s="1455"/>
      <c r="RRL243" s="1455"/>
      <c r="RRM243" s="1455"/>
      <c r="RRN243" s="1455"/>
      <c r="RRO243" s="1455"/>
      <c r="RRP243" s="1455"/>
      <c r="RRQ243" s="1455"/>
      <c r="RRR243" s="1455"/>
      <c r="RRS243" s="1455"/>
      <c r="RRT243" s="1455"/>
      <c r="RRU243" s="1455"/>
      <c r="RRV243" s="1455"/>
      <c r="RRW243" s="1455"/>
      <c r="RRX243" s="1455"/>
      <c r="RRY243" s="1455"/>
      <c r="RRZ243" s="1455"/>
      <c r="RSA243" s="1455"/>
      <c r="RSB243" s="1455"/>
      <c r="RSC243" s="1455"/>
      <c r="RSD243" s="1455"/>
      <c r="RSE243" s="1455"/>
      <c r="RSF243" s="1455"/>
      <c r="RSG243" s="1455"/>
      <c r="RSH243" s="1455"/>
      <c r="RSI243" s="1455"/>
      <c r="RSJ243" s="1455"/>
      <c r="RSK243" s="1455"/>
      <c r="RSL243" s="1455"/>
      <c r="RSM243" s="1455"/>
      <c r="RSN243" s="1455"/>
      <c r="RSO243" s="1455"/>
      <c r="RSP243" s="1455"/>
      <c r="RSQ243" s="1455"/>
      <c r="RSR243" s="1455"/>
      <c r="RSS243" s="1455"/>
      <c r="RST243" s="1455"/>
      <c r="RSU243" s="1455"/>
      <c r="RSV243" s="1455"/>
      <c r="RSW243" s="1455"/>
      <c r="RSX243" s="1455"/>
      <c r="RSY243" s="1455"/>
      <c r="RSZ243" s="1455"/>
      <c r="RTA243" s="1455"/>
      <c r="RTB243" s="1455"/>
      <c r="RTC243" s="1455"/>
      <c r="RTD243" s="1455"/>
      <c r="RTE243" s="1455"/>
      <c r="RTF243" s="1455"/>
      <c r="RTG243" s="1455"/>
      <c r="RTH243" s="1455"/>
      <c r="RTI243" s="1455"/>
      <c r="RTJ243" s="1455"/>
      <c r="RTK243" s="1455"/>
      <c r="RTL243" s="1455"/>
      <c r="RTM243" s="1455"/>
      <c r="RTN243" s="1455"/>
      <c r="RTO243" s="1455"/>
      <c r="RTP243" s="1455"/>
      <c r="RTQ243" s="1455"/>
      <c r="RTR243" s="1455"/>
      <c r="RTS243" s="1455"/>
      <c r="RTT243" s="1455"/>
      <c r="RTU243" s="1455"/>
      <c r="RTV243" s="1455"/>
      <c r="RTW243" s="1455"/>
      <c r="RTX243" s="1455"/>
      <c r="RTY243" s="1455"/>
      <c r="RTZ243" s="1455"/>
      <c r="RUA243" s="1455"/>
      <c r="RUB243" s="1455"/>
      <c r="RUC243" s="1455"/>
      <c r="RUD243" s="1455"/>
      <c r="RUE243" s="1455"/>
      <c r="RUF243" s="1455"/>
      <c r="RUG243" s="1455"/>
      <c r="RUH243" s="1455"/>
      <c r="RUI243" s="1455"/>
      <c r="RUJ243" s="1455"/>
      <c r="RUK243" s="1455"/>
      <c r="RUL243" s="1455"/>
      <c r="RUM243" s="1455"/>
      <c r="RUN243" s="1455"/>
      <c r="RUO243" s="1455"/>
      <c r="RUP243" s="1455"/>
      <c r="RUQ243" s="1455"/>
      <c r="RUR243" s="1455"/>
      <c r="RUS243" s="1455"/>
      <c r="RUT243" s="1455"/>
      <c r="RUU243" s="1455"/>
      <c r="RUV243" s="1455"/>
      <c r="RUW243" s="1455"/>
      <c r="RUX243" s="1455"/>
      <c r="RUY243" s="1455"/>
      <c r="RUZ243" s="1455"/>
      <c r="RVA243" s="1455"/>
      <c r="RVB243" s="1455"/>
      <c r="RVC243" s="1455"/>
      <c r="RVD243" s="1455"/>
      <c r="RVE243" s="1455"/>
      <c r="RVF243" s="1455"/>
      <c r="RVG243" s="1455"/>
      <c r="RVH243" s="1455"/>
      <c r="RVI243" s="1455"/>
      <c r="RVJ243" s="1455"/>
      <c r="RVK243" s="1455"/>
      <c r="RVL243" s="1455"/>
      <c r="RVM243" s="1455"/>
      <c r="RVN243" s="1455"/>
      <c r="RVO243" s="1455"/>
      <c r="RVP243" s="1455"/>
      <c r="RVQ243" s="1455"/>
      <c r="RVR243" s="1455"/>
      <c r="RVS243" s="1455"/>
      <c r="RVT243" s="1455"/>
      <c r="RVU243" s="1455"/>
      <c r="RVV243" s="1455"/>
      <c r="RVW243" s="1455"/>
      <c r="RVX243" s="1455"/>
      <c r="RVY243" s="1455"/>
      <c r="RVZ243" s="1455"/>
      <c r="RWA243" s="1455"/>
      <c r="RWB243" s="1455"/>
      <c r="RWC243" s="1455"/>
      <c r="RWD243" s="1455"/>
      <c r="RWE243" s="1455"/>
      <c r="RWF243" s="1455"/>
      <c r="RWG243" s="1455"/>
      <c r="RWH243" s="1455"/>
      <c r="RWI243" s="1455"/>
      <c r="RWJ243" s="1455"/>
      <c r="RWK243" s="1455"/>
      <c r="RWL243" s="1455"/>
      <c r="RWM243" s="1455"/>
      <c r="RWN243" s="1455"/>
      <c r="RWO243" s="1455"/>
      <c r="RWP243" s="1455"/>
      <c r="RWQ243" s="1455"/>
      <c r="RWR243" s="1455"/>
      <c r="RWS243" s="1455"/>
      <c r="RWT243" s="1455"/>
      <c r="RWU243" s="1455"/>
      <c r="RWV243" s="1455"/>
      <c r="RWW243" s="1455"/>
      <c r="RWX243" s="1455"/>
      <c r="RWY243" s="1455"/>
      <c r="RWZ243" s="1455"/>
      <c r="RXA243" s="1455"/>
      <c r="RXB243" s="1455"/>
      <c r="RXC243" s="1455"/>
      <c r="RXD243" s="1455"/>
      <c r="RXE243" s="1455"/>
      <c r="RXF243" s="1455"/>
      <c r="RXG243" s="1455"/>
      <c r="RXH243" s="1455"/>
      <c r="RXI243" s="1455"/>
      <c r="RXJ243" s="1455"/>
      <c r="RXK243" s="1455"/>
      <c r="RXL243" s="1455"/>
      <c r="RXM243" s="1455"/>
      <c r="RXN243" s="1455"/>
      <c r="RXO243" s="1455"/>
      <c r="RXP243" s="1455"/>
      <c r="RXQ243" s="1455"/>
      <c r="RXR243" s="1455"/>
      <c r="RXS243" s="1455"/>
      <c r="RXT243" s="1455"/>
      <c r="RXU243" s="1455"/>
      <c r="RXV243" s="1455"/>
      <c r="RXW243" s="1455"/>
      <c r="RXX243" s="1455"/>
      <c r="RXY243" s="1455"/>
      <c r="RXZ243" s="1455"/>
      <c r="RYA243" s="1455"/>
      <c r="RYB243" s="1455"/>
      <c r="RYC243" s="1455"/>
      <c r="RYD243" s="1455"/>
      <c r="RYE243" s="1455"/>
      <c r="RYF243" s="1455"/>
      <c r="RYG243" s="1455"/>
      <c r="RYH243" s="1455"/>
      <c r="RYI243" s="1455"/>
      <c r="RYJ243" s="1455"/>
      <c r="RYK243" s="1455"/>
      <c r="RYL243" s="1455"/>
      <c r="RYM243" s="1455"/>
      <c r="RYN243" s="1455"/>
      <c r="RYO243" s="1455"/>
      <c r="RYP243" s="1455"/>
      <c r="RYQ243" s="1455"/>
      <c r="RYR243" s="1455"/>
      <c r="RYS243" s="1455"/>
      <c r="RYT243" s="1455"/>
      <c r="RYU243" s="1455"/>
      <c r="RYV243" s="1455"/>
      <c r="RYW243" s="1455"/>
      <c r="RYX243" s="1455"/>
      <c r="RYY243" s="1455"/>
      <c r="RYZ243" s="1455"/>
      <c r="RZA243" s="1455"/>
      <c r="RZB243" s="1455"/>
      <c r="RZC243" s="1455"/>
      <c r="RZD243" s="1455"/>
      <c r="RZE243" s="1455"/>
      <c r="RZF243" s="1455"/>
      <c r="RZG243" s="1455"/>
      <c r="RZH243" s="1455"/>
      <c r="RZI243" s="1455"/>
      <c r="RZJ243" s="1455"/>
      <c r="RZK243" s="1455"/>
      <c r="RZL243" s="1455"/>
      <c r="RZM243" s="1455"/>
      <c r="RZN243" s="1455"/>
      <c r="RZO243" s="1455"/>
      <c r="RZP243" s="1455"/>
      <c r="RZQ243" s="1455"/>
      <c r="RZR243" s="1455"/>
      <c r="RZS243" s="1455"/>
      <c r="RZT243" s="1455"/>
      <c r="RZU243" s="1455"/>
      <c r="RZV243" s="1455"/>
      <c r="RZW243" s="1455"/>
      <c r="RZX243" s="1455"/>
      <c r="RZY243" s="1455"/>
      <c r="RZZ243" s="1455"/>
      <c r="SAA243" s="1455"/>
      <c r="SAB243" s="1455"/>
      <c r="SAC243" s="1455"/>
      <c r="SAD243" s="1455"/>
      <c r="SAE243" s="1455"/>
      <c r="SAF243" s="1455"/>
      <c r="SAG243" s="1455"/>
      <c r="SAH243" s="1455"/>
      <c r="SAI243" s="1455"/>
      <c r="SAJ243" s="1455"/>
      <c r="SAK243" s="1455"/>
      <c r="SAL243" s="1455"/>
      <c r="SAM243" s="1455"/>
      <c r="SAN243" s="1455"/>
      <c r="SAO243" s="1455"/>
      <c r="SAP243" s="1455"/>
      <c r="SAQ243" s="1455"/>
      <c r="SAR243" s="1455"/>
      <c r="SAS243" s="1455"/>
      <c r="SAT243" s="1455"/>
      <c r="SAU243" s="1455"/>
      <c r="SAV243" s="1455"/>
      <c r="SAW243" s="1455"/>
      <c r="SAX243" s="1455"/>
      <c r="SAY243" s="1455"/>
      <c r="SAZ243" s="1455"/>
      <c r="SBA243" s="1455"/>
      <c r="SBB243" s="1455"/>
      <c r="SBC243" s="1455"/>
      <c r="SBD243" s="1455"/>
      <c r="SBE243" s="1455"/>
      <c r="SBF243" s="1455"/>
      <c r="SBG243" s="1455"/>
      <c r="SBH243" s="1455"/>
      <c r="SBI243" s="1455"/>
      <c r="SBJ243" s="1455"/>
      <c r="SBK243" s="1455"/>
      <c r="SBL243" s="1455"/>
      <c r="SBM243" s="1455"/>
      <c r="SBN243" s="1455"/>
      <c r="SBO243" s="1455"/>
      <c r="SBP243" s="1455"/>
      <c r="SBQ243" s="1455"/>
      <c r="SBR243" s="1455"/>
      <c r="SBS243" s="1455"/>
      <c r="SBT243" s="1455"/>
      <c r="SBU243" s="1455"/>
      <c r="SBV243" s="1455"/>
      <c r="SBW243" s="1455"/>
      <c r="SBX243" s="1455"/>
      <c r="SBY243" s="1455"/>
      <c r="SBZ243" s="1455"/>
      <c r="SCA243" s="1455"/>
      <c r="SCB243" s="1455"/>
      <c r="SCC243" s="1455"/>
      <c r="SCD243" s="1455"/>
      <c r="SCE243" s="1455"/>
      <c r="SCF243" s="1455"/>
      <c r="SCG243" s="1455"/>
      <c r="SCH243" s="1455"/>
      <c r="SCI243" s="1455"/>
      <c r="SCJ243" s="1455"/>
      <c r="SCK243" s="1455"/>
      <c r="SCL243" s="1455"/>
      <c r="SCM243" s="1455"/>
      <c r="SCN243" s="1455"/>
      <c r="SCO243" s="1455"/>
      <c r="SCP243" s="1455"/>
      <c r="SCQ243" s="1455"/>
      <c r="SCR243" s="1455"/>
      <c r="SCS243" s="1455"/>
      <c r="SCT243" s="1455"/>
      <c r="SCU243" s="1455"/>
      <c r="SCV243" s="1455"/>
      <c r="SCW243" s="1455"/>
      <c r="SCX243" s="1455"/>
      <c r="SCY243" s="1455"/>
      <c r="SCZ243" s="1455"/>
      <c r="SDA243" s="1455"/>
      <c r="SDB243" s="1455"/>
      <c r="SDC243" s="1455"/>
      <c r="SDD243" s="1455"/>
      <c r="SDE243" s="1455"/>
      <c r="SDF243" s="1455"/>
      <c r="SDG243" s="1455"/>
      <c r="SDH243" s="1455"/>
      <c r="SDI243" s="1455"/>
      <c r="SDJ243" s="1455"/>
      <c r="SDK243" s="1455"/>
      <c r="SDL243" s="1455"/>
      <c r="SDM243" s="1455"/>
      <c r="SDN243" s="1455"/>
      <c r="SDO243" s="1455"/>
      <c r="SDP243" s="1455"/>
      <c r="SDQ243" s="1455"/>
      <c r="SDR243" s="1455"/>
      <c r="SDS243" s="1455"/>
      <c r="SDT243" s="1455"/>
      <c r="SDU243" s="1455"/>
      <c r="SDV243" s="1455"/>
      <c r="SDW243" s="1455"/>
      <c r="SDX243" s="1455"/>
      <c r="SDY243" s="1455"/>
      <c r="SDZ243" s="1455"/>
      <c r="SEA243" s="1455"/>
      <c r="SEB243" s="1455"/>
      <c r="SEC243" s="1455"/>
      <c r="SED243" s="1455"/>
      <c r="SEE243" s="1455"/>
      <c r="SEF243" s="1455"/>
      <c r="SEG243" s="1455"/>
      <c r="SEH243" s="1455"/>
      <c r="SEI243" s="1455"/>
      <c r="SEJ243" s="1455"/>
      <c r="SEK243" s="1455"/>
      <c r="SEL243" s="1455"/>
      <c r="SEM243" s="1455"/>
      <c r="SEN243" s="1455"/>
      <c r="SEO243" s="1455"/>
      <c r="SEP243" s="1455"/>
      <c r="SEQ243" s="1455"/>
      <c r="SER243" s="1455"/>
      <c r="SES243" s="1455"/>
      <c r="SET243" s="1455"/>
      <c r="SEU243" s="1455"/>
      <c r="SEV243" s="1455"/>
      <c r="SEW243" s="1455"/>
      <c r="SEX243" s="1455"/>
      <c r="SEY243" s="1455"/>
      <c r="SEZ243" s="1455"/>
      <c r="SFA243" s="1455"/>
      <c r="SFB243" s="1455"/>
      <c r="SFC243" s="1455"/>
      <c r="SFD243" s="1455"/>
      <c r="SFE243" s="1455"/>
      <c r="SFF243" s="1455"/>
      <c r="SFG243" s="1455"/>
      <c r="SFH243" s="1455"/>
      <c r="SFI243" s="1455"/>
      <c r="SFJ243" s="1455"/>
      <c r="SFK243" s="1455"/>
      <c r="SFL243" s="1455"/>
      <c r="SFM243" s="1455"/>
      <c r="SFN243" s="1455"/>
      <c r="SFO243" s="1455"/>
      <c r="SFP243" s="1455"/>
      <c r="SFQ243" s="1455"/>
      <c r="SFR243" s="1455"/>
      <c r="SFS243" s="1455"/>
      <c r="SFT243" s="1455"/>
      <c r="SFU243" s="1455"/>
      <c r="SFV243" s="1455"/>
      <c r="SFW243" s="1455"/>
      <c r="SFX243" s="1455"/>
      <c r="SFY243" s="1455"/>
      <c r="SFZ243" s="1455"/>
      <c r="SGA243" s="1455"/>
      <c r="SGB243" s="1455"/>
      <c r="SGC243" s="1455"/>
      <c r="SGD243" s="1455"/>
      <c r="SGE243" s="1455"/>
      <c r="SGF243" s="1455"/>
      <c r="SGG243" s="1455"/>
      <c r="SGH243" s="1455"/>
      <c r="SGI243" s="1455"/>
      <c r="SGJ243" s="1455"/>
      <c r="SGK243" s="1455"/>
      <c r="SGL243" s="1455"/>
      <c r="SGM243" s="1455"/>
      <c r="SGN243" s="1455"/>
      <c r="SGO243" s="1455"/>
      <c r="SGP243" s="1455"/>
      <c r="SGQ243" s="1455"/>
      <c r="SGR243" s="1455"/>
      <c r="SGS243" s="1455"/>
      <c r="SGT243" s="1455"/>
      <c r="SGU243" s="1455"/>
      <c r="SGV243" s="1455"/>
      <c r="SGW243" s="1455"/>
      <c r="SGX243" s="1455"/>
      <c r="SGY243" s="1455"/>
      <c r="SGZ243" s="1455"/>
      <c r="SHA243" s="1455"/>
      <c r="SHB243" s="1455"/>
      <c r="SHC243" s="1455"/>
      <c r="SHD243" s="1455"/>
      <c r="SHE243" s="1455"/>
      <c r="SHF243" s="1455"/>
      <c r="SHG243" s="1455"/>
      <c r="SHH243" s="1455"/>
      <c r="SHI243" s="1455"/>
      <c r="SHJ243" s="1455"/>
      <c r="SHK243" s="1455"/>
      <c r="SHL243" s="1455"/>
      <c r="SHM243" s="1455"/>
      <c r="SHN243" s="1455"/>
      <c r="SHO243" s="1455"/>
      <c r="SHP243" s="1455"/>
      <c r="SHQ243" s="1455"/>
      <c r="SHR243" s="1455"/>
      <c r="SHS243" s="1455"/>
      <c r="SHT243" s="1455"/>
      <c r="SHU243" s="1455"/>
      <c r="SHV243" s="1455"/>
      <c r="SHW243" s="1455"/>
      <c r="SHX243" s="1455"/>
      <c r="SHY243" s="1455"/>
      <c r="SHZ243" s="1455"/>
      <c r="SIA243" s="1455"/>
      <c r="SIB243" s="1455"/>
      <c r="SIC243" s="1455"/>
      <c r="SID243" s="1455"/>
      <c r="SIE243" s="1455"/>
      <c r="SIF243" s="1455"/>
      <c r="SIG243" s="1455"/>
      <c r="SIH243" s="1455"/>
      <c r="SII243" s="1455"/>
      <c r="SIJ243" s="1455"/>
      <c r="SIK243" s="1455"/>
      <c r="SIL243" s="1455"/>
      <c r="SIM243" s="1455"/>
      <c r="SIN243" s="1455"/>
      <c r="SIO243" s="1455"/>
      <c r="SIP243" s="1455"/>
      <c r="SIQ243" s="1455"/>
      <c r="SIR243" s="1455"/>
      <c r="SIS243" s="1455"/>
      <c r="SIT243" s="1455"/>
      <c r="SIU243" s="1455"/>
      <c r="SIV243" s="1455"/>
      <c r="SIW243" s="1455"/>
      <c r="SIX243" s="1455"/>
      <c r="SIY243" s="1455"/>
      <c r="SIZ243" s="1455"/>
      <c r="SJA243" s="1455"/>
      <c r="SJB243" s="1455"/>
      <c r="SJC243" s="1455"/>
      <c r="SJD243" s="1455"/>
      <c r="SJE243" s="1455"/>
      <c r="SJF243" s="1455"/>
      <c r="SJG243" s="1455"/>
      <c r="SJH243" s="1455"/>
      <c r="SJI243" s="1455"/>
      <c r="SJJ243" s="1455"/>
      <c r="SJK243" s="1455"/>
      <c r="SJL243" s="1455"/>
      <c r="SJM243" s="1455"/>
      <c r="SJN243" s="1455"/>
      <c r="SJO243" s="1455"/>
      <c r="SJP243" s="1455"/>
      <c r="SJQ243" s="1455"/>
      <c r="SJR243" s="1455"/>
      <c r="SJS243" s="1455"/>
      <c r="SJT243" s="1455"/>
      <c r="SJU243" s="1455"/>
      <c r="SJV243" s="1455"/>
      <c r="SJW243" s="1455"/>
      <c r="SJX243" s="1455"/>
      <c r="SJY243" s="1455"/>
      <c r="SJZ243" s="1455"/>
      <c r="SKA243" s="1455"/>
      <c r="SKB243" s="1455"/>
      <c r="SKC243" s="1455"/>
      <c r="SKD243" s="1455"/>
      <c r="SKE243" s="1455"/>
      <c r="SKF243" s="1455"/>
      <c r="SKG243" s="1455"/>
      <c r="SKH243" s="1455"/>
      <c r="SKI243" s="1455"/>
      <c r="SKJ243" s="1455"/>
      <c r="SKK243" s="1455"/>
      <c r="SKL243" s="1455"/>
      <c r="SKM243" s="1455"/>
      <c r="SKN243" s="1455"/>
      <c r="SKO243" s="1455"/>
      <c r="SKP243" s="1455"/>
      <c r="SKQ243" s="1455"/>
      <c r="SKR243" s="1455"/>
      <c r="SKS243" s="1455"/>
      <c r="SKT243" s="1455"/>
      <c r="SKU243" s="1455"/>
      <c r="SKV243" s="1455"/>
      <c r="SKW243" s="1455"/>
      <c r="SKX243" s="1455"/>
      <c r="SKY243" s="1455"/>
      <c r="SKZ243" s="1455"/>
      <c r="SLA243" s="1455"/>
      <c r="SLB243" s="1455"/>
      <c r="SLC243" s="1455"/>
      <c r="SLD243" s="1455"/>
      <c r="SLE243" s="1455"/>
      <c r="SLF243" s="1455"/>
      <c r="SLG243" s="1455"/>
      <c r="SLH243" s="1455"/>
      <c r="SLI243" s="1455"/>
      <c r="SLJ243" s="1455"/>
      <c r="SLK243" s="1455"/>
      <c r="SLL243" s="1455"/>
      <c r="SLM243" s="1455"/>
      <c r="SLN243" s="1455"/>
      <c r="SLO243" s="1455"/>
      <c r="SLP243" s="1455"/>
      <c r="SLQ243" s="1455"/>
      <c r="SLR243" s="1455"/>
      <c r="SLS243" s="1455"/>
      <c r="SLT243" s="1455"/>
      <c r="SLU243" s="1455"/>
      <c r="SLV243" s="1455"/>
      <c r="SLW243" s="1455"/>
      <c r="SLX243" s="1455"/>
      <c r="SLY243" s="1455"/>
      <c r="SLZ243" s="1455"/>
      <c r="SMA243" s="1455"/>
      <c r="SMB243" s="1455"/>
      <c r="SMC243" s="1455"/>
      <c r="SMD243" s="1455"/>
      <c r="SME243" s="1455"/>
      <c r="SMF243" s="1455"/>
      <c r="SMG243" s="1455"/>
      <c r="SMH243" s="1455"/>
      <c r="SMI243" s="1455"/>
      <c r="SMJ243" s="1455"/>
      <c r="SMK243" s="1455"/>
      <c r="SML243" s="1455"/>
      <c r="SMM243" s="1455"/>
      <c r="SMN243" s="1455"/>
      <c r="SMO243" s="1455"/>
      <c r="SMP243" s="1455"/>
      <c r="SMQ243" s="1455"/>
      <c r="SMR243" s="1455"/>
      <c r="SMS243" s="1455"/>
      <c r="SMT243" s="1455"/>
      <c r="SMU243" s="1455"/>
      <c r="SMV243" s="1455"/>
      <c r="SMW243" s="1455"/>
      <c r="SMX243" s="1455"/>
      <c r="SMY243" s="1455"/>
      <c r="SMZ243" s="1455"/>
      <c r="SNA243" s="1455"/>
      <c r="SNB243" s="1455"/>
      <c r="SNC243" s="1455"/>
      <c r="SND243" s="1455"/>
      <c r="SNE243" s="1455"/>
      <c r="SNF243" s="1455"/>
      <c r="SNG243" s="1455"/>
      <c r="SNH243" s="1455"/>
      <c r="SNI243" s="1455"/>
      <c r="SNJ243" s="1455"/>
      <c r="SNK243" s="1455"/>
      <c r="SNL243" s="1455"/>
      <c r="SNM243" s="1455"/>
      <c r="SNN243" s="1455"/>
      <c r="SNO243" s="1455"/>
      <c r="SNP243" s="1455"/>
      <c r="SNQ243" s="1455"/>
      <c r="SNR243" s="1455"/>
      <c r="SNS243" s="1455"/>
      <c r="SNT243" s="1455"/>
      <c r="SNU243" s="1455"/>
      <c r="SNV243" s="1455"/>
      <c r="SNW243" s="1455"/>
      <c r="SNX243" s="1455"/>
      <c r="SNY243" s="1455"/>
      <c r="SNZ243" s="1455"/>
      <c r="SOA243" s="1455"/>
      <c r="SOB243" s="1455"/>
      <c r="SOC243" s="1455"/>
      <c r="SOD243" s="1455"/>
      <c r="SOE243" s="1455"/>
      <c r="SOF243" s="1455"/>
      <c r="SOG243" s="1455"/>
      <c r="SOH243" s="1455"/>
      <c r="SOI243" s="1455"/>
      <c r="SOJ243" s="1455"/>
      <c r="SOK243" s="1455"/>
      <c r="SOL243" s="1455"/>
      <c r="SOM243" s="1455"/>
      <c r="SON243" s="1455"/>
      <c r="SOO243" s="1455"/>
      <c r="SOP243" s="1455"/>
      <c r="SOQ243" s="1455"/>
      <c r="SOR243" s="1455"/>
      <c r="SOS243" s="1455"/>
      <c r="SOT243" s="1455"/>
      <c r="SOU243" s="1455"/>
      <c r="SOV243" s="1455"/>
      <c r="SOW243" s="1455"/>
      <c r="SOX243" s="1455"/>
      <c r="SOY243" s="1455"/>
      <c r="SOZ243" s="1455"/>
      <c r="SPA243" s="1455"/>
      <c r="SPB243" s="1455"/>
      <c r="SPC243" s="1455"/>
      <c r="SPD243" s="1455"/>
      <c r="SPE243" s="1455"/>
      <c r="SPF243" s="1455"/>
      <c r="SPG243" s="1455"/>
      <c r="SPH243" s="1455"/>
      <c r="SPI243" s="1455"/>
      <c r="SPJ243" s="1455"/>
      <c r="SPK243" s="1455"/>
      <c r="SPL243" s="1455"/>
      <c r="SPM243" s="1455"/>
      <c r="SPN243" s="1455"/>
      <c r="SPO243" s="1455"/>
      <c r="SPP243" s="1455"/>
      <c r="SPQ243" s="1455"/>
      <c r="SPR243" s="1455"/>
      <c r="SPS243" s="1455"/>
      <c r="SPT243" s="1455"/>
      <c r="SPU243" s="1455"/>
      <c r="SPV243" s="1455"/>
      <c r="SPW243" s="1455"/>
      <c r="SPX243" s="1455"/>
      <c r="SPY243" s="1455"/>
      <c r="SPZ243" s="1455"/>
      <c r="SQA243" s="1455"/>
      <c r="SQB243" s="1455"/>
      <c r="SQC243" s="1455"/>
      <c r="SQD243" s="1455"/>
      <c r="SQE243" s="1455"/>
      <c r="SQF243" s="1455"/>
      <c r="SQG243" s="1455"/>
      <c r="SQH243" s="1455"/>
      <c r="SQI243" s="1455"/>
      <c r="SQJ243" s="1455"/>
      <c r="SQK243" s="1455"/>
      <c r="SQL243" s="1455"/>
      <c r="SQM243" s="1455"/>
      <c r="SQN243" s="1455"/>
      <c r="SQO243" s="1455"/>
      <c r="SQP243" s="1455"/>
      <c r="SQQ243" s="1455"/>
      <c r="SQR243" s="1455"/>
      <c r="SQS243" s="1455"/>
      <c r="SQT243" s="1455"/>
      <c r="SQU243" s="1455"/>
      <c r="SQV243" s="1455"/>
      <c r="SQW243" s="1455"/>
      <c r="SQX243" s="1455"/>
      <c r="SQY243" s="1455"/>
      <c r="SQZ243" s="1455"/>
      <c r="SRA243" s="1455"/>
      <c r="SRB243" s="1455"/>
      <c r="SRC243" s="1455"/>
      <c r="SRD243" s="1455"/>
      <c r="SRE243" s="1455"/>
      <c r="SRF243" s="1455"/>
      <c r="SRG243" s="1455"/>
      <c r="SRH243" s="1455"/>
      <c r="SRI243" s="1455"/>
      <c r="SRJ243" s="1455"/>
      <c r="SRK243" s="1455"/>
      <c r="SRL243" s="1455"/>
      <c r="SRM243" s="1455"/>
      <c r="SRN243" s="1455"/>
      <c r="SRO243" s="1455"/>
      <c r="SRP243" s="1455"/>
      <c r="SRQ243" s="1455"/>
      <c r="SRR243" s="1455"/>
      <c r="SRS243" s="1455"/>
      <c r="SRT243" s="1455"/>
      <c r="SRU243" s="1455"/>
      <c r="SRV243" s="1455"/>
      <c r="SRW243" s="1455"/>
      <c r="SRX243" s="1455"/>
      <c r="SRY243" s="1455"/>
      <c r="SRZ243" s="1455"/>
      <c r="SSA243" s="1455"/>
      <c r="SSB243" s="1455"/>
      <c r="SSC243" s="1455"/>
      <c r="SSD243" s="1455"/>
      <c r="SSE243" s="1455"/>
      <c r="SSF243" s="1455"/>
      <c r="SSG243" s="1455"/>
      <c r="SSH243" s="1455"/>
      <c r="SSI243" s="1455"/>
      <c r="SSJ243" s="1455"/>
      <c r="SSK243" s="1455"/>
      <c r="SSL243" s="1455"/>
      <c r="SSM243" s="1455"/>
      <c r="SSN243" s="1455"/>
      <c r="SSO243" s="1455"/>
      <c r="SSP243" s="1455"/>
      <c r="SSQ243" s="1455"/>
      <c r="SSR243" s="1455"/>
      <c r="SSS243" s="1455"/>
      <c r="SST243" s="1455"/>
      <c r="SSU243" s="1455"/>
      <c r="SSV243" s="1455"/>
      <c r="SSW243" s="1455"/>
      <c r="SSX243" s="1455"/>
      <c r="SSY243" s="1455"/>
      <c r="SSZ243" s="1455"/>
      <c r="STA243" s="1455"/>
      <c r="STB243" s="1455"/>
      <c r="STC243" s="1455"/>
      <c r="STD243" s="1455"/>
      <c r="STE243" s="1455"/>
      <c r="STF243" s="1455"/>
      <c r="STG243" s="1455"/>
      <c r="STH243" s="1455"/>
      <c r="STI243" s="1455"/>
      <c r="STJ243" s="1455"/>
      <c r="STK243" s="1455"/>
      <c r="STL243" s="1455"/>
      <c r="STM243" s="1455"/>
      <c r="STN243" s="1455"/>
      <c r="STO243" s="1455"/>
      <c r="STP243" s="1455"/>
      <c r="STQ243" s="1455"/>
      <c r="STR243" s="1455"/>
      <c r="STS243" s="1455"/>
      <c r="STT243" s="1455"/>
      <c r="STU243" s="1455"/>
      <c r="STV243" s="1455"/>
      <c r="STW243" s="1455"/>
      <c r="STX243" s="1455"/>
      <c r="STY243" s="1455"/>
      <c r="STZ243" s="1455"/>
      <c r="SUA243" s="1455"/>
      <c r="SUB243" s="1455"/>
      <c r="SUC243" s="1455"/>
      <c r="SUD243" s="1455"/>
      <c r="SUE243" s="1455"/>
      <c r="SUF243" s="1455"/>
      <c r="SUG243" s="1455"/>
      <c r="SUH243" s="1455"/>
      <c r="SUI243" s="1455"/>
      <c r="SUJ243" s="1455"/>
      <c r="SUK243" s="1455"/>
      <c r="SUL243" s="1455"/>
      <c r="SUM243" s="1455"/>
      <c r="SUN243" s="1455"/>
      <c r="SUO243" s="1455"/>
      <c r="SUP243" s="1455"/>
      <c r="SUQ243" s="1455"/>
      <c r="SUR243" s="1455"/>
      <c r="SUS243" s="1455"/>
      <c r="SUT243" s="1455"/>
      <c r="SUU243" s="1455"/>
      <c r="SUV243" s="1455"/>
      <c r="SUW243" s="1455"/>
      <c r="SUX243" s="1455"/>
      <c r="SUY243" s="1455"/>
      <c r="SUZ243" s="1455"/>
      <c r="SVA243" s="1455"/>
      <c r="SVB243" s="1455"/>
      <c r="SVC243" s="1455"/>
      <c r="SVD243" s="1455"/>
      <c r="SVE243" s="1455"/>
      <c r="SVF243" s="1455"/>
      <c r="SVG243" s="1455"/>
      <c r="SVH243" s="1455"/>
      <c r="SVI243" s="1455"/>
      <c r="SVJ243" s="1455"/>
      <c r="SVK243" s="1455"/>
      <c r="SVL243" s="1455"/>
      <c r="SVM243" s="1455"/>
      <c r="SVN243" s="1455"/>
      <c r="SVO243" s="1455"/>
      <c r="SVP243" s="1455"/>
      <c r="SVQ243" s="1455"/>
      <c r="SVR243" s="1455"/>
      <c r="SVS243" s="1455"/>
      <c r="SVT243" s="1455"/>
      <c r="SVU243" s="1455"/>
      <c r="SVV243" s="1455"/>
      <c r="SVW243" s="1455"/>
      <c r="SVX243" s="1455"/>
      <c r="SVY243" s="1455"/>
      <c r="SVZ243" s="1455"/>
      <c r="SWA243" s="1455"/>
      <c r="SWB243" s="1455"/>
      <c r="SWC243" s="1455"/>
      <c r="SWD243" s="1455"/>
      <c r="SWE243" s="1455"/>
      <c r="SWF243" s="1455"/>
      <c r="SWG243" s="1455"/>
      <c r="SWH243" s="1455"/>
      <c r="SWI243" s="1455"/>
      <c r="SWJ243" s="1455"/>
      <c r="SWK243" s="1455"/>
      <c r="SWL243" s="1455"/>
      <c r="SWM243" s="1455"/>
      <c r="SWN243" s="1455"/>
      <c r="SWO243" s="1455"/>
      <c r="SWP243" s="1455"/>
      <c r="SWQ243" s="1455"/>
      <c r="SWR243" s="1455"/>
      <c r="SWS243" s="1455"/>
      <c r="SWT243" s="1455"/>
      <c r="SWU243" s="1455"/>
      <c r="SWV243" s="1455"/>
      <c r="SWW243" s="1455"/>
      <c r="SWX243" s="1455"/>
      <c r="SWY243" s="1455"/>
      <c r="SWZ243" s="1455"/>
      <c r="SXA243" s="1455"/>
      <c r="SXB243" s="1455"/>
      <c r="SXC243" s="1455"/>
      <c r="SXD243" s="1455"/>
      <c r="SXE243" s="1455"/>
      <c r="SXF243" s="1455"/>
      <c r="SXG243" s="1455"/>
      <c r="SXH243" s="1455"/>
      <c r="SXI243" s="1455"/>
      <c r="SXJ243" s="1455"/>
      <c r="SXK243" s="1455"/>
      <c r="SXL243" s="1455"/>
      <c r="SXM243" s="1455"/>
      <c r="SXN243" s="1455"/>
      <c r="SXO243" s="1455"/>
      <c r="SXP243" s="1455"/>
      <c r="SXQ243" s="1455"/>
      <c r="SXR243" s="1455"/>
      <c r="SXS243" s="1455"/>
      <c r="SXT243" s="1455"/>
      <c r="SXU243" s="1455"/>
      <c r="SXV243" s="1455"/>
      <c r="SXW243" s="1455"/>
      <c r="SXX243" s="1455"/>
      <c r="SXY243" s="1455"/>
      <c r="SXZ243" s="1455"/>
      <c r="SYA243" s="1455"/>
      <c r="SYB243" s="1455"/>
      <c r="SYC243" s="1455"/>
      <c r="SYD243" s="1455"/>
      <c r="SYE243" s="1455"/>
      <c r="SYF243" s="1455"/>
      <c r="SYG243" s="1455"/>
      <c r="SYH243" s="1455"/>
      <c r="SYI243" s="1455"/>
      <c r="SYJ243" s="1455"/>
      <c r="SYK243" s="1455"/>
      <c r="SYL243" s="1455"/>
      <c r="SYM243" s="1455"/>
      <c r="SYN243" s="1455"/>
      <c r="SYO243" s="1455"/>
      <c r="SYP243" s="1455"/>
      <c r="SYQ243" s="1455"/>
      <c r="SYR243" s="1455"/>
      <c r="SYS243" s="1455"/>
      <c r="SYT243" s="1455"/>
      <c r="SYU243" s="1455"/>
      <c r="SYV243" s="1455"/>
      <c r="SYW243" s="1455"/>
      <c r="SYX243" s="1455"/>
      <c r="SYY243" s="1455"/>
      <c r="SYZ243" s="1455"/>
      <c r="SZA243" s="1455"/>
      <c r="SZB243" s="1455"/>
      <c r="SZC243" s="1455"/>
      <c r="SZD243" s="1455"/>
      <c r="SZE243" s="1455"/>
      <c r="SZF243" s="1455"/>
      <c r="SZG243" s="1455"/>
      <c r="SZH243" s="1455"/>
      <c r="SZI243" s="1455"/>
      <c r="SZJ243" s="1455"/>
      <c r="SZK243" s="1455"/>
      <c r="SZL243" s="1455"/>
      <c r="SZM243" s="1455"/>
      <c r="SZN243" s="1455"/>
      <c r="SZO243" s="1455"/>
      <c r="SZP243" s="1455"/>
      <c r="SZQ243" s="1455"/>
      <c r="SZR243" s="1455"/>
      <c r="SZS243" s="1455"/>
      <c r="SZT243" s="1455"/>
      <c r="SZU243" s="1455"/>
      <c r="SZV243" s="1455"/>
      <c r="SZW243" s="1455"/>
      <c r="SZX243" s="1455"/>
      <c r="SZY243" s="1455"/>
      <c r="SZZ243" s="1455"/>
      <c r="TAA243" s="1455"/>
      <c r="TAB243" s="1455"/>
      <c r="TAC243" s="1455"/>
      <c r="TAD243" s="1455"/>
      <c r="TAE243" s="1455"/>
      <c r="TAF243" s="1455"/>
      <c r="TAG243" s="1455"/>
      <c r="TAH243" s="1455"/>
      <c r="TAI243" s="1455"/>
      <c r="TAJ243" s="1455"/>
      <c r="TAK243" s="1455"/>
      <c r="TAL243" s="1455"/>
      <c r="TAM243" s="1455"/>
      <c r="TAN243" s="1455"/>
      <c r="TAO243" s="1455"/>
      <c r="TAP243" s="1455"/>
      <c r="TAQ243" s="1455"/>
      <c r="TAR243" s="1455"/>
      <c r="TAS243" s="1455"/>
      <c r="TAT243" s="1455"/>
      <c r="TAU243" s="1455"/>
      <c r="TAV243" s="1455"/>
      <c r="TAW243" s="1455"/>
      <c r="TAX243" s="1455"/>
      <c r="TAY243" s="1455"/>
      <c r="TAZ243" s="1455"/>
      <c r="TBA243" s="1455"/>
      <c r="TBB243" s="1455"/>
      <c r="TBC243" s="1455"/>
      <c r="TBD243" s="1455"/>
      <c r="TBE243" s="1455"/>
      <c r="TBF243" s="1455"/>
      <c r="TBG243" s="1455"/>
      <c r="TBH243" s="1455"/>
      <c r="TBI243" s="1455"/>
      <c r="TBJ243" s="1455"/>
      <c r="TBK243" s="1455"/>
      <c r="TBL243" s="1455"/>
      <c r="TBM243" s="1455"/>
      <c r="TBN243" s="1455"/>
      <c r="TBO243" s="1455"/>
      <c r="TBP243" s="1455"/>
      <c r="TBQ243" s="1455"/>
      <c r="TBR243" s="1455"/>
      <c r="TBS243" s="1455"/>
      <c r="TBT243" s="1455"/>
      <c r="TBU243" s="1455"/>
      <c r="TBV243" s="1455"/>
      <c r="TBW243" s="1455"/>
      <c r="TBX243" s="1455"/>
      <c r="TBY243" s="1455"/>
      <c r="TBZ243" s="1455"/>
      <c r="TCA243" s="1455"/>
      <c r="TCB243" s="1455"/>
      <c r="TCC243" s="1455"/>
      <c r="TCD243" s="1455"/>
      <c r="TCE243" s="1455"/>
      <c r="TCF243" s="1455"/>
      <c r="TCG243" s="1455"/>
      <c r="TCH243" s="1455"/>
      <c r="TCI243" s="1455"/>
      <c r="TCJ243" s="1455"/>
      <c r="TCK243" s="1455"/>
      <c r="TCL243" s="1455"/>
      <c r="TCM243" s="1455"/>
      <c r="TCN243" s="1455"/>
      <c r="TCO243" s="1455"/>
      <c r="TCP243" s="1455"/>
      <c r="TCQ243" s="1455"/>
      <c r="TCR243" s="1455"/>
      <c r="TCS243" s="1455"/>
      <c r="TCT243" s="1455"/>
      <c r="TCU243" s="1455"/>
      <c r="TCV243" s="1455"/>
      <c r="TCW243" s="1455"/>
      <c r="TCX243" s="1455"/>
      <c r="TCY243" s="1455"/>
      <c r="TCZ243" s="1455"/>
      <c r="TDA243" s="1455"/>
      <c r="TDB243" s="1455"/>
      <c r="TDC243" s="1455"/>
      <c r="TDD243" s="1455"/>
      <c r="TDE243" s="1455"/>
      <c r="TDF243" s="1455"/>
      <c r="TDG243" s="1455"/>
      <c r="TDH243" s="1455"/>
      <c r="TDI243" s="1455"/>
      <c r="TDJ243" s="1455"/>
      <c r="TDK243" s="1455"/>
      <c r="TDL243" s="1455"/>
      <c r="TDM243" s="1455"/>
      <c r="TDN243" s="1455"/>
      <c r="TDO243" s="1455"/>
      <c r="TDP243" s="1455"/>
      <c r="TDQ243" s="1455"/>
      <c r="TDR243" s="1455"/>
      <c r="TDS243" s="1455"/>
      <c r="TDT243" s="1455"/>
      <c r="TDU243" s="1455"/>
      <c r="TDV243" s="1455"/>
      <c r="TDW243" s="1455"/>
      <c r="TDX243" s="1455"/>
      <c r="TDY243" s="1455"/>
      <c r="TDZ243" s="1455"/>
      <c r="TEA243" s="1455"/>
      <c r="TEB243" s="1455"/>
      <c r="TEC243" s="1455"/>
      <c r="TED243" s="1455"/>
      <c r="TEE243" s="1455"/>
      <c r="TEF243" s="1455"/>
      <c r="TEG243" s="1455"/>
      <c r="TEH243" s="1455"/>
      <c r="TEI243" s="1455"/>
      <c r="TEJ243" s="1455"/>
      <c r="TEK243" s="1455"/>
      <c r="TEL243" s="1455"/>
      <c r="TEM243" s="1455"/>
      <c r="TEN243" s="1455"/>
      <c r="TEO243" s="1455"/>
      <c r="TEP243" s="1455"/>
      <c r="TEQ243" s="1455"/>
      <c r="TER243" s="1455"/>
      <c r="TES243" s="1455"/>
      <c r="TET243" s="1455"/>
      <c r="TEU243" s="1455"/>
      <c r="TEV243" s="1455"/>
      <c r="TEW243" s="1455"/>
      <c r="TEX243" s="1455"/>
      <c r="TEY243" s="1455"/>
      <c r="TEZ243" s="1455"/>
      <c r="TFA243" s="1455"/>
      <c r="TFB243" s="1455"/>
      <c r="TFC243" s="1455"/>
      <c r="TFD243" s="1455"/>
      <c r="TFE243" s="1455"/>
      <c r="TFF243" s="1455"/>
      <c r="TFG243" s="1455"/>
      <c r="TFH243" s="1455"/>
      <c r="TFI243" s="1455"/>
      <c r="TFJ243" s="1455"/>
      <c r="TFK243" s="1455"/>
      <c r="TFL243" s="1455"/>
      <c r="TFM243" s="1455"/>
      <c r="TFN243" s="1455"/>
      <c r="TFO243" s="1455"/>
      <c r="TFP243" s="1455"/>
      <c r="TFQ243" s="1455"/>
      <c r="TFR243" s="1455"/>
      <c r="TFS243" s="1455"/>
      <c r="TFT243" s="1455"/>
      <c r="TFU243" s="1455"/>
      <c r="TFV243" s="1455"/>
      <c r="TFW243" s="1455"/>
      <c r="TFX243" s="1455"/>
      <c r="TFY243" s="1455"/>
      <c r="TFZ243" s="1455"/>
      <c r="TGA243" s="1455"/>
      <c r="TGB243" s="1455"/>
      <c r="TGC243" s="1455"/>
      <c r="TGD243" s="1455"/>
      <c r="TGE243" s="1455"/>
      <c r="TGF243" s="1455"/>
      <c r="TGG243" s="1455"/>
      <c r="TGH243" s="1455"/>
      <c r="TGI243" s="1455"/>
      <c r="TGJ243" s="1455"/>
      <c r="TGK243" s="1455"/>
      <c r="TGL243" s="1455"/>
      <c r="TGM243" s="1455"/>
      <c r="TGN243" s="1455"/>
      <c r="TGO243" s="1455"/>
      <c r="TGP243" s="1455"/>
      <c r="TGQ243" s="1455"/>
      <c r="TGR243" s="1455"/>
      <c r="TGS243" s="1455"/>
      <c r="TGT243" s="1455"/>
      <c r="TGU243" s="1455"/>
      <c r="TGV243" s="1455"/>
      <c r="TGW243" s="1455"/>
      <c r="TGX243" s="1455"/>
      <c r="TGY243" s="1455"/>
      <c r="TGZ243" s="1455"/>
      <c r="THA243" s="1455"/>
      <c r="THB243" s="1455"/>
      <c r="THC243" s="1455"/>
      <c r="THD243" s="1455"/>
      <c r="THE243" s="1455"/>
      <c r="THF243" s="1455"/>
      <c r="THG243" s="1455"/>
      <c r="THH243" s="1455"/>
      <c r="THI243" s="1455"/>
      <c r="THJ243" s="1455"/>
      <c r="THK243" s="1455"/>
      <c r="THL243" s="1455"/>
      <c r="THM243" s="1455"/>
      <c r="THN243" s="1455"/>
      <c r="THO243" s="1455"/>
      <c r="THP243" s="1455"/>
      <c r="THQ243" s="1455"/>
      <c r="THR243" s="1455"/>
      <c r="THS243" s="1455"/>
      <c r="THT243" s="1455"/>
      <c r="THU243" s="1455"/>
      <c r="THV243" s="1455"/>
      <c r="THW243" s="1455"/>
      <c r="THX243" s="1455"/>
      <c r="THY243" s="1455"/>
      <c r="THZ243" s="1455"/>
      <c r="TIA243" s="1455"/>
      <c r="TIB243" s="1455"/>
      <c r="TIC243" s="1455"/>
      <c r="TID243" s="1455"/>
      <c r="TIE243" s="1455"/>
      <c r="TIF243" s="1455"/>
      <c r="TIG243" s="1455"/>
      <c r="TIH243" s="1455"/>
      <c r="TII243" s="1455"/>
      <c r="TIJ243" s="1455"/>
      <c r="TIK243" s="1455"/>
      <c r="TIL243" s="1455"/>
      <c r="TIM243" s="1455"/>
      <c r="TIN243" s="1455"/>
      <c r="TIO243" s="1455"/>
      <c r="TIP243" s="1455"/>
      <c r="TIQ243" s="1455"/>
      <c r="TIR243" s="1455"/>
      <c r="TIS243" s="1455"/>
      <c r="TIT243" s="1455"/>
      <c r="TIU243" s="1455"/>
      <c r="TIV243" s="1455"/>
      <c r="TIW243" s="1455"/>
      <c r="TIX243" s="1455"/>
      <c r="TIY243" s="1455"/>
      <c r="TIZ243" s="1455"/>
      <c r="TJA243" s="1455"/>
      <c r="TJB243" s="1455"/>
      <c r="TJC243" s="1455"/>
      <c r="TJD243" s="1455"/>
      <c r="TJE243" s="1455"/>
      <c r="TJF243" s="1455"/>
      <c r="TJG243" s="1455"/>
      <c r="TJH243" s="1455"/>
      <c r="TJI243" s="1455"/>
      <c r="TJJ243" s="1455"/>
      <c r="TJK243" s="1455"/>
      <c r="TJL243" s="1455"/>
      <c r="TJM243" s="1455"/>
      <c r="TJN243" s="1455"/>
      <c r="TJO243" s="1455"/>
      <c r="TJP243" s="1455"/>
      <c r="TJQ243" s="1455"/>
      <c r="TJR243" s="1455"/>
      <c r="TJS243" s="1455"/>
      <c r="TJT243" s="1455"/>
      <c r="TJU243" s="1455"/>
      <c r="TJV243" s="1455"/>
      <c r="TJW243" s="1455"/>
      <c r="TJX243" s="1455"/>
      <c r="TJY243" s="1455"/>
      <c r="TJZ243" s="1455"/>
      <c r="TKA243" s="1455"/>
      <c r="TKB243" s="1455"/>
      <c r="TKC243" s="1455"/>
      <c r="TKD243" s="1455"/>
      <c r="TKE243" s="1455"/>
      <c r="TKF243" s="1455"/>
      <c r="TKG243" s="1455"/>
      <c r="TKH243" s="1455"/>
      <c r="TKI243" s="1455"/>
      <c r="TKJ243" s="1455"/>
      <c r="TKK243" s="1455"/>
      <c r="TKL243" s="1455"/>
      <c r="TKM243" s="1455"/>
      <c r="TKN243" s="1455"/>
      <c r="TKO243" s="1455"/>
      <c r="TKP243" s="1455"/>
      <c r="TKQ243" s="1455"/>
      <c r="TKR243" s="1455"/>
      <c r="TKS243" s="1455"/>
      <c r="TKT243" s="1455"/>
      <c r="TKU243" s="1455"/>
      <c r="TKV243" s="1455"/>
      <c r="TKW243" s="1455"/>
      <c r="TKX243" s="1455"/>
      <c r="TKY243" s="1455"/>
      <c r="TKZ243" s="1455"/>
      <c r="TLA243" s="1455"/>
      <c r="TLB243" s="1455"/>
      <c r="TLC243" s="1455"/>
      <c r="TLD243" s="1455"/>
      <c r="TLE243" s="1455"/>
      <c r="TLF243" s="1455"/>
      <c r="TLG243" s="1455"/>
      <c r="TLH243" s="1455"/>
      <c r="TLI243" s="1455"/>
      <c r="TLJ243" s="1455"/>
      <c r="TLK243" s="1455"/>
      <c r="TLL243" s="1455"/>
      <c r="TLM243" s="1455"/>
      <c r="TLN243" s="1455"/>
      <c r="TLO243" s="1455"/>
      <c r="TLP243" s="1455"/>
      <c r="TLQ243" s="1455"/>
      <c r="TLR243" s="1455"/>
      <c r="TLS243" s="1455"/>
      <c r="TLT243" s="1455"/>
      <c r="TLU243" s="1455"/>
      <c r="TLV243" s="1455"/>
      <c r="TLW243" s="1455"/>
      <c r="TLX243" s="1455"/>
      <c r="TLY243" s="1455"/>
      <c r="TLZ243" s="1455"/>
      <c r="TMA243" s="1455"/>
      <c r="TMB243" s="1455"/>
      <c r="TMC243" s="1455"/>
      <c r="TMD243" s="1455"/>
      <c r="TME243" s="1455"/>
      <c r="TMF243" s="1455"/>
      <c r="TMG243" s="1455"/>
      <c r="TMH243" s="1455"/>
      <c r="TMI243" s="1455"/>
      <c r="TMJ243" s="1455"/>
      <c r="TMK243" s="1455"/>
      <c r="TML243" s="1455"/>
      <c r="TMM243" s="1455"/>
      <c r="TMN243" s="1455"/>
      <c r="TMO243" s="1455"/>
      <c r="TMP243" s="1455"/>
      <c r="TMQ243" s="1455"/>
      <c r="TMR243" s="1455"/>
      <c r="TMS243" s="1455"/>
      <c r="TMT243" s="1455"/>
      <c r="TMU243" s="1455"/>
      <c r="TMV243" s="1455"/>
      <c r="TMW243" s="1455"/>
      <c r="TMX243" s="1455"/>
      <c r="TMY243" s="1455"/>
      <c r="TMZ243" s="1455"/>
      <c r="TNA243" s="1455"/>
      <c r="TNB243" s="1455"/>
      <c r="TNC243" s="1455"/>
      <c r="TND243" s="1455"/>
      <c r="TNE243" s="1455"/>
      <c r="TNF243" s="1455"/>
      <c r="TNG243" s="1455"/>
      <c r="TNH243" s="1455"/>
      <c r="TNI243" s="1455"/>
      <c r="TNJ243" s="1455"/>
      <c r="TNK243" s="1455"/>
      <c r="TNL243" s="1455"/>
      <c r="TNM243" s="1455"/>
      <c r="TNN243" s="1455"/>
      <c r="TNO243" s="1455"/>
      <c r="TNP243" s="1455"/>
      <c r="TNQ243" s="1455"/>
      <c r="TNR243" s="1455"/>
      <c r="TNS243" s="1455"/>
      <c r="TNT243" s="1455"/>
      <c r="TNU243" s="1455"/>
      <c r="TNV243" s="1455"/>
      <c r="TNW243" s="1455"/>
      <c r="TNX243" s="1455"/>
      <c r="TNY243" s="1455"/>
      <c r="TNZ243" s="1455"/>
      <c r="TOA243" s="1455"/>
      <c r="TOB243" s="1455"/>
      <c r="TOC243" s="1455"/>
      <c r="TOD243" s="1455"/>
      <c r="TOE243" s="1455"/>
      <c r="TOF243" s="1455"/>
      <c r="TOG243" s="1455"/>
      <c r="TOH243" s="1455"/>
      <c r="TOI243" s="1455"/>
      <c r="TOJ243" s="1455"/>
      <c r="TOK243" s="1455"/>
      <c r="TOL243" s="1455"/>
      <c r="TOM243" s="1455"/>
      <c r="TON243" s="1455"/>
      <c r="TOO243" s="1455"/>
      <c r="TOP243" s="1455"/>
      <c r="TOQ243" s="1455"/>
      <c r="TOR243" s="1455"/>
      <c r="TOS243" s="1455"/>
      <c r="TOT243" s="1455"/>
      <c r="TOU243" s="1455"/>
      <c r="TOV243" s="1455"/>
      <c r="TOW243" s="1455"/>
      <c r="TOX243" s="1455"/>
      <c r="TOY243" s="1455"/>
      <c r="TOZ243" s="1455"/>
      <c r="TPA243" s="1455"/>
      <c r="TPB243" s="1455"/>
      <c r="TPC243" s="1455"/>
      <c r="TPD243" s="1455"/>
      <c r="TPE243" s="1455"/>
      <c r="TPF243" s="1455"/>
      <c r="TPG243" s="1455"/>
      <c r="TPH243" s="1455"/>
      <c r="TPI243" s="1455"/>
      <c r="TPJ243" s="1455"/>
      <c r="TPK243" s="1455"/>
      <c r="TPL243" s="1455"/>
      <c r="TPM243" s="1455"/>
      <c r="TPN243" s="1455"/>
      <c r="TPO243" s="1455"/>
      <c r="TPP243" s="1455"/>
      <c r="TPQ243" s="1455"/>
      <c r="TPR243" s="1455"/>
      <c r="TPS243" s="1455"/>
      <c r="TPT243" s="1455"/>
      <c r="TPU243" s="1455"/>
      <c r="TPV243" s="1455"/>
      <c r="TPW243" s="1455"/>
      <c r="TPX243" s="1455"/>
      <c r="TPY243" s="1455"/>
      <c r="TPZ243" s="1455"/>
      <c r="TQA243" s="1455"/>
      <c r="TQB243" s="1455"/>
      <c r="TQC243" s="1455"/>
      <c r="TQD243" s="1455"/>
      <c r="TQE243" s="1455"/>
      <c r="TQF243" s="1455"/>
      <c r="TQG243" s="1455"/>
      <c r="TQH243" s="1455"/>
      <c r="TQI243" s="1455"/>
      <c r="TQJ243" s="1455"/>
      <c r="TQK243" s="1455"/>
      <c r="TQL243" s="1455"/>
      <c r="TQM243" s="1455"/>
      <c r="TQN243" s="1455"/>
      <c r="TQO243" s="1455"/>
      <c r="TQP243" s="1455"/>
      <c r="TQQ243" s="1455"/>
      <c r="TQR243" s="1455"/>
      <c r="TQS243" s="1455"/>
      <c r="TQT243" s="1455"/>
      <c r="TQU243" s="1455"/>
      <c r="TQV243" s="1455"/>
      <c r="TQW243" s="1455"/>
      <c r="TQX243" s="1455"/>
      <c r="TQY243" s="1455"/>
      <c r="TQZ243" s="1455"/>
      <c r="TRA243" s="1455"/>
      <c r="TRB243" s="1455"/>
      <c r="TRC243" s="1455"/>
      <c r="TRD243" s="1455"/>
      <c r="TRE243" s="1455"/>
      <c r="TRF243" s="1455"/>
      <c r="TRG243" s="1455"/>
      <c r="TRH243" s="1455"/>
      <c r="TRI243" s="1455"/>
      <c r="TRJ243" s="1455"/>
      <c r="TRK243" s="1455"/>
      <c r="TRL243" s="1455"/>
      <c r="TRM243" s="1455"/>
      <c r="TRN243" s="1455"/>
      <c r="TRO243" s="1455"/>
      <c r="TRP243" s="1455"/>
      <c r="TRQ243" s="1455"/>
      <c r="TRR243" s="1455"/>
      <c r="TRS243" s="1455"/>
      <c r="TRT243" s="1455"/>
      <c r="TRU243" s="1455"/>
      <c r="TRV243" s="1455"/>
      <c r="TRW243" s="1455"/>
      <c r="TRX243" s="1455"/>
      <c r="TRY243" s="1455"/>
      <c r="TRZ243" s="1455"/>
      <c r="TSA243" s="1455"/>
      <c r="TSB243" s="1455"/>
      <c r="TSC243" s="1455"/>
      <c r="TSD243" s="1455"/>
      <c r="TSE243" s="1455"/>
      <c r="TSF243" s="1455"/>
      <c r="TSG243" s="1455"/>
      <c r="TSH243" s="1455"/>
      <c r="TSI243" s="1455"/>
      <c r="TSJ243" s="1455"/>
      <c r="TSK243" s="1455"/>
      <c r="TSL243" s="1455"/>
      <c r="TSM243" s="1455"/>
      <c r="TSN243" s="1455"/>
      <c r="TSO243" s="1455"/>
      <c r="TSP243" s="1455"/>
      <c r="TSQ243" s="1455"/>
      <c r="TSR243" s="1455"/>
      <c r="TSS243" s="1455"/>
      <c r="TST243" s="1455"/>
      <c r="TSU243" s="1455"/>
      <c r="TSV243" s="1455"/>
      <c r="TSW243" s="1455"/>
      <c r="TSX243" s="1455"/>
      <c r="TSY243" s="1455"/>
      <c r="TSZ243" s="1455"/>
      <c r="TTA243" s="1455"/>
      <c r="TTB243" s="1455"/>
      <c r="TTC243" s="1455"/>
      <c r="TTD243" s="1455"/>
      <c r="TTE243" s="1455"/>
      <c r="TTF243" s="1455"/>
      <c r="TTG243" s="1455"/>
      <c r="TTH243" s="1455"/>
      <c r="TTI243" s="1455"/>
      <c r="TTJ243" s="1455"/>
      <c r="TTK243" s="1455"/>
      <c r="TTL243" s="1455"/>
      <c r="TTM243" s="1455"/>
      <c r="TTN243" s="1455"/>
      <c r="TTO243" s="1455"/>
      <c r="TTP243" s="1455"/>
      <c r="TTQ243" s="1455"/>
      <c r="TTR243" s="1455"/>
      <c r="TTS243" s="1455"/>
      <c r="TTT243" s="1455"/>
      <c r="TTU243" s="1455"/>
      <c r="TTV243" s="1455"/>
      <c r="TTW243" s="1455"/>
      <c r="TTX243" s="1455"/>
      <c r="TTY243" s="1455"/>
      <c r="TTZ243" s="1455"/>
      <c r="TUA243" s="1455"/>
      <c r="TUB243" s="1455"/>
      <c r="TUC243" s="1455"/>
      <c r="TUD243" s="1455"/>
      <c r="TUE243" s="1455"/>
      <c r="TUF243" s="1455"/>
      <c r="TUG243" s="1455"/>
      <c r="TUH243" s="1455"/>
      <c r="TUI243" s="1455"/>
      <c r="TUJ243" s="1455"/>
      <c r="TUK243" s="1455"/>
      <c r="TUL243" s="1455"/>
      <c r="TUM243" s="1455"/>
      <c r="TUN243" s="1455"/>
      <c r="TUO243" s="1455"/>
      <c r="TUP243" s="1455"/>
      <c r="TUQ243" s="1455"/>
      <c r="TUR243" s="1455"/>
      <c r="TUS243" s="1455"/>
      <c r="TUT243" s="1455"/>
      <c r="TUU243" s="1455"/>
      <c r="TUV243" s="1455"/>
      <c r="TUW243" s="1455"/>
      <c r="TUX243" s="1455"/>
      <c r="TUY243" s="1455"/>
      <c r="TUZ243" s="1455"/>
      <c r="TVA243" s="1455"/>
      <c r="TVB243" s="1455"/>
      <c r="TVC243" s="1455"/>
      <c r="TVD243" s="1455"/>
      <c r="TVE243" s="1455"/>
      <c r="TVF243" s="1455"/>
      <c r="TVG243" s="1455"/>
      <c r="TVH243" s="1455"/>
      <c r="TVI243" s="1455"/>
      <c r="TVJ243" s="1455"/>
      <c r="TVK243" s="1455"/>
      <c r="TVL243" s="1455"/>
      <c r="TVM243" s="1455"/>
      <c r="TVN243" s="1455"/>
      <c r="TVO243" s="1455"/>
      <c r="TVP243" s="1455"/>
      <c r="TVQ243" s="1455"/>
      <c r="TVR243" s="1455"/>
      <c r="TVS243" s="1455"/>
      <c r="TVT243" s="1455"/>
      <c r="TVU243" s="1455"/>
      <c r="TVV243" s="1455"/>
      <c r="TVW243" s="1455"/>
      <c r="TVX243" s="1455"/>
      <c r="TVY243" s="1455"/>
      <c r="TVZ243" s="1455"/>
      <c r="TWA243" s="1455"/>
      <c r="TWB243" s="1455"/>
      <c r="TWC243" s="1455"/>
      <c r="TWD243" s="1455"/>
      <c r="TWE243" s="1455"/>
      <c r="TWF243" s="1455"/>
      <c r="TWG243" s="1455"/>
      <c r="TWH243" s="1455"/>
      <c r="TWI243" s="1455"/>
      <c r="TWJ243" s="1455"/>
      <c r="TWK243" s="1455"/>
      <c r="TWL243" s="1455"/>
      <c r="TWM243" s="1455"/>
      <c r="TWN243" s="1455"/>
      <c r="TWO243" s="1455"/>
      <c r="TWP243" s="1455"/>
      <c r="TWQ243" s="1455"/>
      <c r="TWR243" s="1455"/>
      <c r="TWS243" s="1455"/>
      <c r="TWT243" s="1455"/>
      <c r="TWU243" s="1455"/>
      <c r="TWV243" s="1455"/>
      <c r="TWW243" s="1455"/>
      <c r="TWX243" s="1455"/>
      <c r="TWY243" s="1455"/>
      <c r="TWZ243" s="1455"/>
      <c r="TXA243" s="1455"/>
      <c r="TXB243" s="1455"/>
      <c r="TXC243" s="1455"/>
      <c r="TXD243" s="1455"/>
      <c r="TXE243" s="1455"/>
      <c r="TXF243" s="1455"/>
      <c r="TXG243" s="1455"/>
      <c r="TXH243" s="1455"/>
      <c r="TXI243" s="1455"/>
      <c r="TXJ243" s="1455"/>
      <c r="TXK243" s="1455"/>
      <c r="TXL243" s="1455"/>
      <c r="TXM243" s="1455"/>
      <c r="TXN243" s="1455"/>
      <c r="TXO243" s="1455"/>
      <c r="TXP243" s="1455"/>
      <c r="TXQ243" s="1455"/>
      <c r="TXR243" s="1455"/>
      <c r="TXS243" s="1455"/>
      <c r="TXT243" s="1455"/>
      <c r="TXU243" s="1455"/>
      <c r="TXV243" s="1455"/>
      <c r="TXW243" s="1455"/>
      <c r="TXX243" s="1455"/>
      <c r="TXY243" s="1455"/>
      <c r="TXZ243" s="1455"/>
      <c r="TYA243" s="1455"/>
      <c r="TYB243" s="1455"/>
      <c r="TYC243" s="1455"/>
      <c r="TYD243" s="1455"/>
      <c r="TYE243" s="1455"/>
      <c r="TYF243" s="1455"/>
      <c r="TYG243" s="1455"/>
      <c r="TYH243" s="1455"/>
      <c r="TYI243" s="1455"/>
      <c r="TYJ243" s="1455"/>
      <c r="TYK243" s="1455"/>
      <c r="TYL243" s="1455"/>
      <c r="TYM243" s="1455"/>
      <c r="TYN243" s="1455"/>
      <c r="TYO243" s="1455"/>
      <c r="TYP243" s="1455"/>
      <c r="TYQ243" s="1455"/>
      <c r="TYR243" s="1455"/>
      <c r="TYS243" s="1455"/>
      <c r="TYT243" s="1455"/>
      <c r="TYU243" s="1455"/>
      <c r="TYV243" s="1455"/>
      <c r="TYW243" s="1455"/>
      <c r="TYX243" s="1455"/>
      <c r="TYY243" s="1455"/>
      <c r="TYZ243" s="1455"/>
      <c r="TZA243" s="1455"/>
      <c r="TZB243" s="1455"/>
      <c r="TZC243" s="1455"/>
      <c r="TZD243" s="1455"/>
      <c r="TZE243" s="1455"/>
      <c r="TZF243" s="1455"/>
      <c r="TZG243" s="1455"/>
      <c r="TZH243" s="1455"/>
      <c r="TZI243" s="1455"/>
      <c r="TZJ243" s="1455"/>
      <c r="TZK243" s="1455"/>
      <c r="TZL243" s="1455"/>
      <c r="TZM243" s="1455"/>
      <c r="TZN243" s="1455"/>
      <c r="TZO243" s="1455"/>
      <c r="TZP243" s="1455"/>
      <c r="TZQ243" s="1455"/>
      <c r="TZR243" s="1455"/>
      <c r="TZS243" s="1455"/>
      <c r="TZT243" s="1455"/>
      <c r="TZU243" s="1455"/>
      <c r="TZV243" s="1455"/>
      <c r="TZW243" s="1455"/>
      <c r="TZX243" s="1455"/>
      <c r="TZY243" s="1455"/>
      <c r="TZZ243" s="1455"/>
      <c r="UAA243" s="1455"/>
      <c r="UAB243" s="1455"/>
      <c r="UAC243" s="1455"/>
      <c r="UAD243" s="1455"/>
      <c r="UAE243" s="1455"/>
      <c r="UAF243" s="1455"/>
      <c r="UAG243" s="1455"/>
      <c r="UAH243" s="1455"/>
      <c r="UAI243" s="1455"/>
      <c r="UAJ243" s="1455"/>
      <c r="UAK243" s="1455"/>
      <c r="UAL243" s="1455"/>
      <c r="UAM243" s="1455"/>
      <c r="UAN243" s="1455"/>
      <c r="UAO243" s="1455"/>
      <c r="UAP243" s="1455"/>
      <c r="UAQ243" s="1455"/>
      <c r="UAR243" s="1455"/>
      <c r="UAS243" s="1455"/>
      <c r="UAT243" s="1455"/>
      <c r="UAU243" s="1455"/>
      <c r="UAV243" s="1455"/>
      <c r="UAW243" s="1455"/>
      <c r="UAX243" s="1455"/>
      <c r="UAY243" s="1455"/>
      <c r="UAZ243" s="1455"/>
      <c r="UBA243" s="1455"/>
      <c r="UBB243" s="1455"/>
      <c r="UBC243" s="1455"/>
      <c r="UBD243" s="1455"/>
      <c r="UBE243" s="1455"/>
      <c r="UBF243" s="1455"/>
      <c r="UBG243" s="1455"/>
      <c r="UBH243" s="1455"/>
      <c r="UBI243" s="1455"/>
      <c r="UBJ243" s="1455"/>
      <c r="UBK243" s="1455"/>
      <c r="UBL243" s="1455"/>
      <c r="UBM243" s="1455"/>
      <c r="UBN243" s="1455"/>
      <c r="UBO243" s="1455"/>
      <c r="UBP243" s="1455"/>
      <c r="UBQ243" s="1455"/>
      <c r="UBR243" s="1455"/>
      <c r="UBS243" s="1455"/>
      <c r="UBT243" s="1455"/>
      <c r="UBU243" s="1455"/>
      <c r="UBV243" s="1455"/>
      <c r="UBW243" s="1455"/>
      <c r="UBX243" s="1455"/>
      <c r="UBY243" s="1455"/>
      <c r="UBZ243" s="1455"/>
      <c r="UCA243" s="1455"/>
      <c r="UCB243" s="1455"/>
      <c r="UCC243" s="1455"/>
      <c r="UCD243" s="1455"/>
      <c r="UCE243" s="1455"/>
      <c r="UCF243" s="1455"/>
      <c r="UCG243" s="1455"/>
      <c r="UCH243" s="1455"/>
      <c r="UCI243" s="1455"/>
      <c r="UCJ243" s="1455"/>
      <c r="UCK243" s="1455"/>
      <c r="UCL243" s="1455"/>
      <c r="UCM243" s="1455"/>
      <c r="UCN243" s="1455"/>
      <c r="UCO243" s="1455"/>
      <c r="UCP243" s="1455"/>
      <c r="UCQ243" s="1455"/>
      <c r="UCR243" s="1455"/>
      <c r="UCS243" s="1455"/>
      <c r="UCT243" s="1455"/>
      <c r="UCU243" s="1455"/>
      <c r="UCV243" s="1455"/>
      <c r="UCW243" s="1455"/>
      <c r="UCX243" s="1455"/>
      <c r="UCY243" s="1455"/>
      <c r="UCZ243" s="1455"/>
      <c r="UDA243" s="1455"/>
      <c r="UDB243" s="1455"/>
      <c r="UDC243" s="1455"/>
      <c r="UDD243" s="1455"/>
      <c r="UDE243" s="1455"/>
      <c r="UDF243" s="1455"/>
      <c r="UDG243" s="1455"/>
      <c r="UDH243" s="1455"/>
      <c r="UDI243" s="1455"/>
      <c r="UDJ243" s="1455"/>
      <c r="UDK243" s="1455"/>
      <c r="UDL243" s="1455"/>
      <c r="UDM243" s="1455"/>
      <c r="UDN243" s="1455"/>
      <c r="UDO243" s="1455"/>
      <c r="UDP243" s="1455"/>
      <c r="UDQ243" s="1455"/>
      <c r="UDR243" s="1455"/>
      <c r="UDS243" s="1455"/>
      <c r="UDT243" s="1455"/>
      <c r="UDU243" s="1455"/>
      <c r="UDV243" s="1455"/>
      <c r="UDW243" s="1455"/>
      <c r="UDX243" s="1455"/>
      <c r="UDY243" s="1455"/>
      <c r="UDZ243" s="1455"/>
      <c r="UEA243" s="1455"/>
      <c r="UEB243" s="1455"/>
      <c r="UEC243" s="1455"/>
      <c r="UED243" s="1455"/>
      <c r="UEE243" s="1455"/>
      <c r="UEF243" s="1455"/>
      <c r="UEG243" s="1455"/>
      <c r="UEH243" s="1455"/>
      <c r="UEI243" s="1455"/>
      <c r="UEJ243" s="1455"/>
      <c r="UEK243" s="1455"/>
      <c r="UEL243" s="1455"/>
      <c r="UEM243" s="1455"/>
      <c r="UEN243" s="1455"/>
      <c r="UEO243" s="1455"/>
      <c r="UEP243" s="1455"/>
      <c r="UEQ243" s="1455"/>
      <c r="UER243" s="1455"/>
      <c r="UES243" s="1455"/>
      <c r="UET243" s="1455"/>
      <c r="UEU243" s="1455"/>
      <c r="UEV243" s="1455"/>
      <c r="UEW243" s="1455"/>
      <c r="UEX243" s="1455"/>
      <c r="UEY243" s="1455"/>
      <c r="UEZ243" s="1455"/>
      <c r="UFA243" s="1455"/>
      <c r="UFB243" s="1455"/>
      <c r="UFC243" s="1455"/>
      <c r="UFD243" s="1455"/>
      <c r="UFE243" s="1455"/>
      <c r="UFF243" s="1455"/>
      <c r="UFG243" s="1455"/>
      <c r="UFH243" s="1455"/>
      <c r="UFI243" s="1455"/>
      <c r="UFJ243" s="1455"/>
      <c r="UFK243" s="1455"/>
      <c r="UFL243" s="1455"/>
      <c r="UFM243" s="1455"/>
      <c r="UFN243" s="1455"/>
      <c r="UFO243" s="1455"/>
      <c r="UFP243" s="1455"/>
      <c r="UFQ243" s="1455"/>
      <c r="UFR243" s="1455"/>
      <c r="UFS243" s="1455"/>
      <c r="UFT243" s="1455"/>
      <c r="UFU243" s="1455"/>
      <c r="UFV243" s="1455"/>
      <c r="UFW243" s="1455"/>
      <c r="UFX243" s="1455"/>
      <c r="UFY243" s="1455"/>
      <c r="UFZ243" s="1455"/>
      <c r="UGA243" s="1455"/>
      <c r="UGB243" s="1455"/>
      <c r="UGC243" s="1455"/>
      <c r="UGD243" s="1455"/>
      <c r="UGE243" s="1455"/>
      <c r="UGF243" s="1455"/>
      <c r="UGG243" s="1455"/>
      <c r="UGH243" s="1455"/>
      <c r="UGI243" s="1455"/>
      <c r="UGJ243" s="1455"/>
      <c r="UGK243" s="1455"/>
      <c r="UGL243" s="1455"/>
      <c r="UGM243" s="1455"/>
      <c r="UGN243" s="1455"/>
      <c r="UGO243" s="1455"/>
      <c r="UGP243" s="1455"/>
      <c r="UGQ243" s="1455"/>
      <c r="UGR243" s="1455"/>
      <c r="UGS243" s="1455"/>
      <c r="UGT243" s="1455"/>
      <c r="UGU243" s="1455"/>
      <c r="UGV243" s="1455"/>
      <c r="UGW243" s="1455"/>
      <c r="UGX243" s="1455"/>
      <c r="UGY243" s="1455"/>
      <c r="UGZ243" s="1455"/>
      <c r="UHA243" s="1455"/>
      <c r="UHB243" s="1455"/>
      <c r="UHC243" s="1455"/>
      <c r="UHD243" s="1455"/>
      <c r="UHE243" s="1455"/>
      <c r="UHF243" s="1455"/>
      <c r="UHG243" s="1455"/>
      <c r="UHH243" s="1455"/>
      <c r="UHI243" s="1455"/>
      <c r="UHJ243" s="1455"/>
      <c r="UHK243" s="1455"/>
      <c r="UHL243" s="1455"/>
      <c r="UHM243" s="1455"/>
      <c r="UHN243" s="1455"/>
      <c r="UHO243" s="1455"/>
      <c r="UHP243" s="1455"/>
      <c r="UHQ243" s="1455"/>
      <c r="UHR243" s="1455"/>
      <c r="UHS243" s="1455"/>
      <c r="UHT243" s="1455"/>
      <c r="UHU243" s="1455"/>
      <c r="UHV243" s="1455"/>
      <c r="UHW243" s="1455"/>
      <c r="UHX243" s="1455"/>
      <c r="UHY243" s="1455"/>
      <c r="UHZ243" s="1455"/>
      <c r="UIA243" s="1455"/>
      <c r="UIB243" s="1455"/>
      <c r="UIC243" s="1455"/>
      <c r="UID243" s="1455"/>
      <c r="UIE243" s="1455"/>
      <c r="UIF243" s="1455"/>
      <c r="UIG243" s="1455"/>
      <c r="UIH243" s="1455"/>
      <c r="UII243" s="1455"/>
      <c r="UIJ243" s="1455"/>
      <c r="UIK243" s="1455"/>
      <c r="UIL243" s="1455"/>
      <c r="UIM243" s="1455"/>
      <c r="UIN243" s="1455"/>
      <c r="UIO243" s="1455"/>
      <c r="UIP243" s="1455"/>
      <c r="UIQ243" s="1455"/>
      <c r="UIR243" s="1455"/>
      <c r="UIS243" s="1455"/>
      <c r="UIT243" s="1455"/>
      <c r="UIU243" s="1455"/>
      <c r="UIV243" s="1455"/>
      <c r="UIW243" s="1455"/>
      <c r="UIX243" s="1455"/>
      <c r="UIY243" s="1455"/>
      <c r="UIZ243" s="1455"/>
      <c r="UJA243" s="1455"/>
      <c r="UJB243" s="1455"/>
      <c r="UJC243" s="1455"/>
      <c r="UJD243" s="1455"/>
      <c r="UJE243" s="1455"/>
      <c r="UJF243" s="1455"/>
      <c r="UJG243" s="1455"/>
      <c r="UJH243" s="1455"/>
      <c r="UJI243" s="1455"/>
      <c r="UJJ243" s="1455"/>
      <c r="UJK243" s="1455"/>
      <c r="UJL243" s="1455"/>
      <c r="UJM243" s="1455"/>
      <c r="UJN243" s="1455"/>
      <c r="UJO243" s="1455"/>
      <c r="UJP243" s="1455"/>
      <c r="UJQ243" s="1455"/>
      <c r="UJR243" s="1455"/>
      <c r="UJS243" s="1455"/>
      <c r="UJT243" s="1455"/>
      <c r="UJU243" s="1455"/>
      <c r="UJV243" s="1455"/>
      <c r="UJW243" s="1455"/>
      <c r="UJX243" s="1455"/>
      <c r="UJY243" s="1455"/>
      <c r="UJZ243" s="1455"/>
      <c r="UKA243" s="1455"/>
      <c r="UKB243" s="1455"/>
      <c r="UKC243" s="1455"/>
      <c r="UKD243" s="1455"/>
      <c r="UKE243" s="1455"/>
      <c r="UKF243" s="1455"/>
      <c r="UKG243" s="1455"/>
      <c r="UKH243" s="1455"/>
      <c r="UKI243" s="1455"/>
      <c r="UKJ243" s="1455"/>
      <c r="UKK243" s="1455"/>
      <c r="UKL243" s="1455"/>
      <c r="UKM243" s="1455"/>
      <c r="UKN243" s="1455"/>
      <c r="UKO243" s="1455"/>
      <c r="UKP243" s="1455"/>
      <c r="UKQ243" s="1455"/>
      <c r="UKR243" s="1455"/>
      <c r="UKS243" s="1455"/>
      <c r="UKT243" s="1455"/>
      <c r="UKU243" s="1455"/>
      <c r="UKV243" s="1455"/>
      <c r="UKW243" s="1455"/>
      <c r="UKX243" s="1455"/>
      <c r="UKY243" s="1455"/>
      <c r="UKZ243" s="1455"/>
      <c r="ULA243" s="1455"/>
      <c r="ULB243" s="1455"/>
      <c r="ULC243" s="1455"/>
      <c r="ULD243" s="1455"/>
      <c r="ULE243" s="1455"/>
      <c r="ULF243" s="1455"/>
      <c r="ULG243" s="1455"/>
      <c r="ULH243" s="1455"/>
      <c r="ULI243" s="1455"/>
      <c r="ULJ243" s="1455"/>
      <c r="ULK243" s="1455"/>
      <c r="ULL243" s="1455"/>
      <c r="ULM243" s="1455"/>
      <c r="ULN243" s="1455"/>
      <c r="ULO243" s="1455"/>
      <c r="ULP243" s="1455"/>
      <c r="ULQ243" s="1455"/>
      <c r="ULR243" s="1455"/>
      <c r="ULS243" s="1455"/>
      <c r="ULT243" s="1455"/>
      <c r="ULU243" s="1455"/>
      <c r="ULV243" s="1455"/>
      <c r="ULW243" s="1455"/>
      <c r="ULX243" s="1455"/>
      <c r="ULY243" s="1455"/>
      <c r="ULZ243" s="1455"/>
      <c r="UMA243" s="1455"/>
      <c r="UMB243" s="1455"/>
      <c r="UMC243" s="1455"/>
      <c r="UMD243" s="1455"/>
      <c r="UME243" s="1455"/>
      <c r="UMF243" s="1455"/>
      <c r="UMG243" s="1455"/>
      <c r="UMH243" s="1455"/>
      <c r="UMI243" s="1455"/>
      <c r="UMJ243" s="1455"/>
      <c r="UMK243" s="1455"/>
      <c r="UML243" s="1455"/>
      <c r="UMM243" s="1455"/>
      <c r="UMN243" s="1455"/>
      <c r="UMO243" s="1455"/>
      <c r="UMP243" s="1455"/>
      <c r="UMQ243" s="1455"/>
      <c r="UMR243" s="1455"/>
      <c r="UMS243" s="1455"/>
      <c r="UMT243" s="1455"/>
      <c r="UMU243" s="1455"/>
      <c r="UMV243" s="1455"/>
      <c r="UMW243" s="1455"/>
      <c r="UMX243" s="1455"/>
      <c r="UMY243" s="1455"/>
      <c r="UMZ243" s="1455"/>
      <c r="UNA243" s="1455"/>
      <c r="UNB243" s="1455"/>
      <c r="UNC243" s="1455"/>
      <c r="UND243" s="1455"/>
      <c r="UNE243" s="1455"/>
      <c r="UNF243" s="1455"/>
      <c r="UNG243" s="1455"/>
      <c r="UNH243" s="1455"/>
      <c r="UNI243" s="1455"/>
      <c r="UNJ243" s="1455"/>
      <c r="UNK243" s="1455"/>
      <c r="UNL243" s="1455"/>
      <c r="UNM243" s="1455"/>
      <c r="UNN243" s="1455"/>
      <c r="UNO243" s="1455"/>
      <c r="UNP243" s="1455"/>
      <c r="UNQ243" s="1455"/>
      <c r="UNR243" s="1455"/>
      <c r="UNS243" s="1455"/>
      <c r="UNT243" s="1455"/>
      <c r="UNU243" s="1455"/>
      <c r="UNV243" s="1455"/>
      <c r="UNW243" s="1455"/>
      <c r="UNX243" s="1455"/>
      <c r="UNY243" s="1455"/>
      <c r="UNZ243" s="1455"/>
      <c r="UOA243" s="1455"/>
      <c r="UOB243" s="1455"/>
      <c r="UOC243" s="1455"/>
      <c r="UOD243" s="1455"/>
      <c r="UOE243" s="1455"/>
      <c r="UOF243" s="1455"/>
      <c r="UOG243" s="1455"/>
      <c r="UOH243" s="1455"/>
      <c r="UOI243" s="1455"/>
      <c r="UOJ243" s="1455"/>
      <c r="UOK243" s="1455"/>
      <c r="UOL243" s="1455"/>
      <c r="UOM243" s="1455"/>
      <c r="UON243" s="1455"/>
      <c r="UOO243" s="1455"/>
      <c r="UOP243" s="1455"/>
      <c r="UOQ243" s="1455"/>
      <c r="UOR243" s="1455"/>
      <c r="UOS243" s="1455"/>
      <c r="UOT243" s="1455"/>
      <c r="UOU243" s="1455"/>
      <c r="UOV243" s="1455"/>
      <c r="UOW243" s="1455"/>
      <c r="UOX243" s="1455"/>
      <c r="UOY243" s="1455"/>
      <c r="UOZ243" s="1455"/>
      <c r="UPA243" s="1455"/>
      <c r="UPB243" s="1455"/>
      <c r="UPC243" s="1455"/>
      <c r="UPD243" s="1455"/>
      <c r="UPE243" s="1455"/>
      <c r="UPF243" s="1455"/>
      <c r="UPG243" s="1455"/>
      <c r="UPH243" s="1455"/>
      <c r="UPI243" s="1455"/>
      <c r="UPJ243" s="1455"/>
      <c r="UPK243" s="1455"/>
      <c r="UPL243" s="1455"/>
      <c r="UPM243" s="1455"/>
      <c r="UPN243" s="1455"/>
      <c r="UPO243" s="1455"/>
      <c r="UPP243" s="1455"/>
      <c r="UPQ243" s="1455"/>
      <c r="UPR243" s="1455"/>
      <c r="UPS243" s="1455"/>
      <c r="UPT243" s="1455"/>
      <c r="UPU243" s="1455"/>
      <c r="UPV243" s="1455"/>
      <c r="UPW243" s="1455"/>
      <c r="UPX243" s="1455"/>
      <c r="UPY243" s="1455"/>
      <c r="UPZ243" s="1455"/>
      <c r="UQA243" s="1455"/>
      <c r="UQB243" s="1455"/>
      <c r="UQC243" s="1455"/>
      <c r="UQD243" s="1455"/>
      <c r="UQE243" s="1455"/>
      <c r="UQF243" s="1455"/>
      <c r="UQG243" s="1455"/>
      <c r="UQH243" s="1455"/>
      <c r="UQI243" s="1455"/>
      <c r="UQJ243" s="1455"/>
      <c r="UQK243" s="1455"/>
      <c r="UQL243" s="1455"/>
      <c r="UQM243" s="1455"/>
      <c r="UQN243" s="1455"/>
      <c r="UQO243" s="1455"/>
      <c r="UQP243" s="1455"/>
      <c r="UQQ243" s="1455"/>
      <c r="UQR243" s="1455"/>
      <c r="UQS243" s="1455"/>
      <c r="UQT243" s="1455"/>
      <c r="UQU243" s="1455"/>
      <c r="UQV243" s="1455"/>
      <c r="UQW243" s="1455"/>
      <c r="UQX243" s="1455"/>
      <c r="UQY243" s="1455"/>
      <c r="UQZ243" s="1455"/>
      <c r="URA243" s="1455"/>
      <c r="URB243" s="1455"/>
      <c r="URC243" s="1455"/>
      <c r="URD243" s="1455"/>
      <c r="URE243" s="1455"/>
      <c r="URF243" s="1455"/>
      <c r="URG243" s="1455"/>
      <c r="URH243" s="1455"/>
      <c r="URI243" s="1455"/>
      <c r="URJ243" s="1455"/>
      <c r="URK243" s="1455"/>
      <c r="URL243" s="1455"/>
      <c r="URM243" s="1455"/>
      <c r="URN243" s="1455"/>
      <c r="URO243" s="1455"/>
      <c r="URP243" s="1455"/>
      <c r="URQ243" s="1455"/>
      <c r="URR243" s="1455"/>
      <c r="URS243" s="1455"/>
      <c r="URT243" s="1455"/>
      <c r="URU243" s="1455"/>
      <c r="URV243" s="1455"/>
      <c r="URW243" s="1455"/>
      <c r="URX243" s="1455"/>
      <c r="URY243" s="1455"/>
      <c r="URZ243" s="1455"/>
      <c r="USA243" s="1455"/>
      <c r="USB243" s="1455"/>
      <c r="USC243" s="1455"/>
      <c r="USD243" s="1455"/>
      <c r="USE243" s="1455"/>
      <c r="USF243" s="1455"/>
      <c r="USG243" s="1455"/>
      <c r="USH243" s="1455"/>
      <c r="USI243" s="1455"/>
      <c r="USJ243" s="1455"/>
      <c r="USK243" s="1455"/>
      <c r="USL243" s="1455"/>
      <c r="USM243" s="1455"/>
      <c r="USN243" s="1455"/>
      <c r="USO243" s="1455"/>
      <c r="USP243" s="1455"/>
      <c r="USQ243" s="1455"/>
      <c r="USR243" s="1455"/>
      <c r="USS243" s="1455"/>
      <c r="UST243" s="1455"/>
      <c r="USU243" s="1455"/>
      <c r="USV243" s="1455"/>
      <c r="USW243" s="1455"/>
      <c r="USX243" s="1455"/>
      <c r="USY243" s="1455"/>
      <c r="USZ243" s="1455"/>
      <c r="UTA243" s="1455"/>
      <c r="UTB243" s="1455"/>
      <c r="UTC243" s="1455"/>
      <c r="UTD243" s="1455"/>
      <c r="UTE243" s="1455"/>
      <c r="UTF243" s="1455"/>
      <c r="UTG243" s="1455"/>
      <c r="UTH243" s="1455"/>
      <c r="UTI243" s="1455"/>
      <c r="UTJ243" s="1455"/>
      <c r="UTK243" s="1455"/>
      <c r="UTL243" s="1455"/>
      <c r="UTM243" s="1455"/>
      <c r="UTN243" s="1455"/>
      <c r="UTO243" s="1455"/>
      <c r="UTP243" s="1455"/>
      <c r="UTQ243" s="1455"/>
      <c r="UTR243" s="1455"/>
      <c r="UTS243" s="1455"/>
      <c r="UTT243" s="1455"/>
      <c r="UTU243" s="1455"/>
      <c r="UTV243" s="1455"/>
      <c r="UTW243" s="1455"/>
      <c r="UTX243" s="1455"/>
      <c r="UTY243" s="1455"/>
      <c r="UTZ243" s="1455"/>
      <c r="UUA243" s="1455"/>
      <c r="UUB243" s="1455"/>
      <c r="UUC243" s="1455"/>
      <c r="UUD243" s="1455"/>
      <c r="UUE243" s="1455"/>
      <c r="UUF243" s="1455"/>
      <c r="UUG243" s="1455"/>
      <c r="UUH243" s="1455"/>
      <c r="UUI243" s="1455"/>
      <c r="UUJ243" s="1455"/>
      <c r="UUK243" s="1455"/>
      <c r="UUL243" s="1455"/>
      <c r="UUM243" s="1455"/>
      <c r="UUN243" s="1455"/>
      <c r="UUO243" s="1455"/>
      <c r="UUP243" s="1455"/>
      <c r="UUQ243" s="1455"/>
      <c r="UUR243" s="1455"/>
      <c r="UUS243" s="1455"/>
      <c r="UUT243" s="1455"/>
      <c r="UUU243" s="1455"/>
      <c r="UUV243" s="1455"/>
      <c r="UUW243" s="1455"/>
      <c r="UUX243" s="1455"/>
      <c r="UUY243" s="1455"/>
      <c r="UUZ243" s="1455"/>
      <c r="UVA243" s="1455"/>
      <c r="UVB243" s="1455"/>
      <c r="UVC243" s="1455"/>
      <c r="UVD243" s="1455"/>
      <c r="UVE243" s="1455"/>
      <c r="UVF243" s="1455"/>
      <c r="UVG243" s="1455"/>
      <c r="UVH243" s="1455"/>
      <c r="UVI243" s="1455"/>
      <c r="UVJ243" s="1455"/>
      <c r="UVK243" s="1455"/>
      <c r="UVL243" s="1455"/>
      <c r="UVM243" s="1455"/>
      <c r="UVN243" s="1455"/>
      <c r="UVO243" s="1455"/>
      <c r="UVP243" s="1455"/>
      <c r="UVQ243" s="1455"/>
      <c r="UVR243" s="1455"/>
      <c r="UVS243" s="1455"/>
      <c r="UVT243" s="1455"/>
      <c r="UVU243" s="1455"/>
      <c r="UVV243" s="1455"/>
      <c r="UVW243" s="1455"/>
      <c r="UVX243" s="1455"/>
      <c r="UVY243" s="1455"/>
      <c r="UVZ243" s="1455"/>
      <c r="UWA243" s="1455"/>
      <c r="UWB243" s="1455"/>
      <c r="UWC243" s="1455"/>
      <c r="UWD243" s="1455"/>
      <c r="UWE243" s="1455"/>
      <c r="UWF243" s="1455"/>
      <c r="UWG243" s="1455"/>
      <c r="UWH243" s="1455"/>
      <c r="UWI243" s="1455"/>
      <c r="UWJ243" s="1455"/>
      <c r="UWK243" s="1455"/>
      <c r="UWL243" s="1455"/>
      <c r="UWM243" s="1455"/>
      <c r="UWN243" s="1455"/>
      <c r="UWO243" s="1455"/>
      <c r="UWP243" s="1455"/>
      <c r="UWQ243" s="1455"/>
      <c r="UWR243" s="1455"/>
      <c r="UWS243" s="1455"/>
      <c r="UWT243" s="1455"/>
      <c r="UWU243" s="1455"/>
      <c r="UWV243" s="1455"/>
      <c r="UWW243" s="1455"/>
      <c r="UWX243" s="1455"/>
      <c r="UWY243" s="1455"/>
      <c r="UWZ243" s="1455"/>
      <c r="UXA243" s="1455"/>
      <c r="UXB243" s="1455"/>
      <c r="UXC243" s="1455"/>
      <c r="UXD243" s="1455"/>
      <c r="UXE243" s="1455"/>
      <c r="UXF243" s="1455"/>
      <c r="UXG243" s="1455"/>
      <c r="UXH243" s="1455"/>
      <c r="UXI243" s="1455"/>
      <c r="UXJ243" s="1455"/>
      <c r="UXK243" s="1455"/>
      <c r="UXL243" s="1455"/>
      <c r="UXM243" s="1455"/>
      <c r="UXN243" s="1455"/>
      <c r="UXO243" s="1455"/>
      <c r="UXP243" s="1455"/>
      <c r="UXQ243" s="1455"/>
      <c r="UXR243" s="1455"/>
      <c r="UXS243" s="1455"/>
      <c r="UXT243" s="1455"/>
      <c r="UXU243" s="1455"/>
      <c r="UXV243" s="1455"/>
      <c r="UXW243" s="1455"/>
      <c r="UXX243" s="1455"/>
      <c r="UXY243" s="1455"/>
      <c r="UXZ243" s="1455"/>
      <c r="UYA243" s="1455"/>
      <c r="UYB243" s="1455"/>
      <c r="UYC243" s="1455"/>
      <c r="UYD243" s="1455"/>
      <c r="UYE243" s="1455"/>
      <c r="UYF243" s="1455"/>
      <c r="UYG243" s="1455"/>
      <c r="UYH243" s="1455"/>
      <c r="UYI243" s="1455"/>
      <c r="UYJ243" s="1455"/>
      <c r="UYK243" s="1455"/>
      <c r="UYL243" s="1455"/>
      <c r="UYM243" s="1455"/>
      <c r="UYN243" s="1455"/>
      <c r="UYO243" s="1455"/>
      <c r="UYP243" s="1455"/>
      <c r="UYQ243" s="1455"/>
      <c r="UYR243" s="1455"/>
      <c r="UYS243" s="1455"/>
      <c r="UYT243" s="1455"/>
      <c r="UYU243" s="1455"/>
      <c r="UYV243" s="1455"/>
      <c r="UYW243" s="1455"/>
      <c r="UYX243" s="1455"/>
      <c r="UYY243" s="1455"/>
      <c r="UYZ243" s="1455"/>
      <c r="UZA243" s="1455"/>
      <c r="UZB243" s="1455"/>
      <c r="UZC243" s="1455"/>
      <c r="UZD243" s="1455"/>
      <c r="UZE243" s="1455"/>
      <c r="UZF243" s="1455"/>
      <c r="UZG243" s="1455"/>
      <c r="UZH243" s="1455"/>
      <c r="UZI243" s="1455"/>
      <c r="UZJ243" s="1455"/>
      <c r="UZK243" s="1455"/>
      <c r="UZL243" s="1455"/>
      <c r="UZM243" s="1455"/>
      <c r="UZN243" s="1455"/>
      <c r="UZO243" s="1455"/>
      <c r="UZP243" s="1455"/>
      <c r="UZQ243" s="1455"/>
      <c r="UZR243" s="1455"/>
      <c r="UZS243" s="1455"/>
      <c r="UZT243" s="1455"/>
      <c r="UZU243" s="1455"/>
      <c r="UZV243" s="1455"/>
      <c r="UZW243" s="1455"/>
      <c r="UZX243" s="1455"/>
      <c r="UZY243" s="1455"/>
      <c r="UZZ243" s="1455"/>
      <c r="VAA243" s="1455"/>
      <c r="VAB243" s="1455"/>
      <c r="VAC243" s="1455"/>
      <c r="VAD243" s="1455"/>
      <c r="VAE243" s="1455"/>
      <c r="VAF243" s="1455"/>
      <c r="VAG243" s="1455"/>
      <c r="VAH243" s="1455"/>
      <c r="VAI243" s="1455"/>
      <c r="VAJ243" s="1455"/>
      <c r="VAK243" s="1455"/>
      <c r="VAL243" s="1455"/>
      <c r="VAM243" s="1455"/>
      <c r="VAN243" s="1455"/>
      <c r="VAO243" s="1455"/>
      <c r="VAP243" s="1455"/>
      <c r="VAQ243" s="1455"/>
      <c r="VAR243" s="1455"/>
      <c r="VAS243" s="1455"/>
      <c r="VAT243" s="1455"/>
      <c r="VAU243" s="1455"/>
      <c r="VAV243" s="1455"/>
      <c r="VAW243" s="1455"/>
      <c r="VAX243" s="1455"/>
      <c r="VAY243" s="1455"/>
      <c r="VAZ243" s="1455"/>
      <c r="VBA243" s="1455"/>
      <c r="VBB243" s="1455"/>
      <c r="VBC243" s="1455"/>
      <c r="VBD243" s="1455"/>
      <c r="VBE243" s="1455"/>
      <c r="VBF243" s="1455"/>
      <c r="VBG243" s="1455"/>
      <c r="VBH243" s="1455"/>
      <c r="VBI243" s="1455"/>
      <c r="VBJ243" s="1455"/>
      <c r="VBK243" s="1455"/>
      <c r="VBL243" s="1455"/>
      <c r="VBM243" s="1455"/>
      <c r="VBN243" s="1455"/>
      <c r="VBO243" s="1455"/>
      <c r="VBP243" s="1455"/>
      <c r="VBQ243" s="1455"/>
      <c r="VBR243" s="1455"/>
      <c r="VBS243" s="1455"/>
      <c r="VBT243" s="1455"/>
      <c r="VBU243" s="1455"/>
      <c r="VBV243" s="1455"/>
      <c r="VBW243" s="1455"/>
      <c r="VBX243" s="1455"/>
      <c r="VBY243" s="1455"/>
      <c r="VBZ243" s="1455"/>
      <c r="VCA243" s="1455"/>
      <c r="VCB243" s="1455"/>
      <c r="VCC243" s="1455"/>
      <c r="VCD243" s="1455"/>
      <c r="VCE243" s="1455"/>
      <c r="VCF243" s="1455"/>
      <c r="VCG243" s="1455"/>
      <c r="VCH243" s="1455"/>
      <c r="VCI243" s="1455"/>
      <c r="VCJ243" s="1455"/>
      <c r="VCK243" s="1455"/>
      <c r="VCL243" s="1455"/>
      <c r="VCM243" s="1455"/>
      <c r="VCN243" s="1455"/>
      <c r="VCO243" s="1455"/>
      <c r="VCP243" s="1455"/>
      <c r="VCQ243" s="1455"/>
      <c r="VCR243" s="1455"/>
      <c r="VCS243" s="1455"/>
      <c r="VCT243" s="1455"/>
      <c r="VCU243" s="1455"/>
      <c r="VCV243" s="1455"/>
      <c r="VCW243" s="1455"/>
      <c r="VCX243" s="1455"/>
      <c r="VCY243" s="1455"/>
      <c r="VCZ243" s="1455"/>
      <c r="VDA243" s="1455"/>
      <c r="VDB243" s="1455"/>
      <c r="VDC243" s="1455"/>
      <c r="VDD243" s="1455"/>
      <c r="VDE243" s="1455"/>
      <c r="VDF243" s="1455"/>
      <c r="VDG243" s="1455"/>
      <c r="VDH243" s="1455"/>
      <c r="VDI243" s="1455"/>
      <c r="VDJ243" s="1455"/>
      <c r="VDK243" s="1455"/>
      <c r="VDL243" s="1455"/>
      <c r="VDM243" s="1455"/>
      <c r="VDN243" s="1455"/>
      <c r="VDO243" s="1455"/>
      <c r="VDP243" s="1455"/>
      <c r="VDQ243" s="1455"/>
      <c r="VDR243" s="1455"/>
      <c r="VDS243" s="1455"/>
      <c r="VDT243" s="1455"/>
      <c r="VDU243" s="1455"/>
      <c r="VDV243" s="1455"/>
      <c r="VDW243" s="1455"/>
      <c r="VDX243" s="1455"/>
      <c r="VDY243" s="1455"/>
      <c r="VDZ243" s="1455"/>
      <c r="VEA243" s="1455"/>
      <c r="VEB243" s="1455"/>
      <c r="VEC243" s="1455"/>
      <c r="VED243" s="1455"/>
      <c r="VEE243" s="1455"/>
      <c r="VEF243" s="1455"/>
      <c r="VEG243" s="1455"/>
      <c r="VEH243" s="1455"/>
      <c r="VEI243" s="1455"/>
      <c r="VEJ243" s="1455"/>
      <c r="VEK243" s="1455"/>
      <c r="VEL243" s="1455"/>
      <c r="VEM243" s="1455"/>
      <c r="VEN243" s="1455"/>
      <c r="VEO243" s="1455"/>
      <c r="VEP243" s="1455"/>
      <c r="VEQ243" s="1455"/>
      <c r="VER243" s="1455"/>
      <c r="VES243" s="1455"/>
      <c r="VET243" s="1455"/>
      <c r="VEU243" s="1455"/>
      <c r="VEV243" s="1455"/>
      <c r="VEW243" s="1455"/>
      <c r="VEX243" s="1455"/>
      <c r="VEY243" s="1455"/>
      <c r="VEZ243" s="1455"/>
      <c r="VFA243" s="1455"/>
      <c r="VFB243" s="1455"/>
      <c r="VFC243" s="1455"/>
      <c r="VFD243" s="1455"/>
      <c r="VFE243" s="1455"/>
      <c r="VFF243" s="1455"/>
      <c r="VFG243" s="1455"/>
      <c r="VFH243" s="1455"/>
      <c r="VFI243" s="1455"/>
      <c r="VFJ243" s="1455"/>
      <c r="VFK243" s="1455"/>
      <c r="VFL243" s="1455"/>
      <c r="VFM243" s="1455"/>
      <c r="VFN243" s="1455"/>
      <c r="VFO243" s="1455"/>
      <c r="VFP243" s="1455"/>
      <c r="VFQ243" s="1455"/>
      <c r="VFR243" s="1455"/>
      <c r="VFS243" s="1455"/>
      <c r="VFT243" s="1455"/>
      <c r="VFU243" s="1455"/>
      <c r="VFV243" s="1455"/>
      <c r="VFW243" s="1455"/>
      <c r="VFX243" s="1455"/>
      <c r="VFY243" s="1455"/>
      <c r="VFZ243" s="1455"/>
      <c r="VGA243" s="1455"/>
      <c r="VGB243" s="1455"/>
      <c r="VGC243" s="1455"/>
      <c r="VGD243" s="1455"/>
      <c r="VGE243" s="1455"/>
      <c r="VGF243" s="1455"/>
      <c r="VGG243" s="1455"/>
      <c r="VGH243" s="1455"/>
      <c r="VGI243" s="1455"/>
      <c r="VGJ243" s="1455"/>
      <c r="VGK243" s="1455"/>
      <c r="VGL243" s="1455"/>
      <c r="VGM243" s="1455"/>
      <c r="VGN243" s="1455"/>
      <c r="VGO243" s="1455"/>
      <c r="VGP243" s="1455"/>
      <c r="VGQ243" s="1455"/>
      <c r="VGR243" s="1455"/>
      <c r="VGS243" s="1455"/>
      <c r="VGT243" s="1455"/>
      <c r="VGU243" s="1455"/>
      <c r="VGV243" s="1455"/>
      <c r="VGW243" s="1455"/>
      <c r="VGX243" s="1455"/>
      <c r="VGY243" s="1455"/>
      <c r="VGZ243" s="1455"/>
      <c r="VHA243" s="1455"/>
      <c r="VHB243" s="1455"/>
      <c r="VHC243" s="1455"/>
      <c r="VHD243" s="1455"/>
      <c r="VHE243" s="1455"/>
      <c r="VHF243" s="1455"/>
      <c r="VHG243" s="1455"/>
      <c r="VHH243" s="1455"/>
      <c r="VHI243" s="1455"/>
      <c r="VHJ243" s="1455"/>
      <c r="VHK243" s="1455"/>
      <c r="VHL243" s="1455"/>
      <c r="VHM243" s="1455"/>
      <c r="VHN243" s="1455"/>
      <c r="VHO243" s="1455"/>
      <c r="VHP243" s="1455"/>
      <c r="VHQ243" s="1455"/>
      <c r="VHR243" s="1455"/>
      <c r="VHS243" s="1455"/>
      <c r="VHT243" s="1455"/>
      <c r="VHU243" s="1455"/>
      <c r="VHV243" s="1455"/>
      <c r="VHW243" s="1455"/>
      <c r="VHX243" s="1455"/>
      <c r="VHY243" s="1455"/>
      <c r="VHZ243" s="1455"/>
      <c r="VIA243" s="1455"/>
      <c r="VIB243" s="1455"/>
      <c r="VIC243" s="1455"/>
      <c r="VID243" s="1455"/>
      <c r="VIE243" s="1455"/>
      <c r="VIF243" s="1455"/>
      <c r="VIG243" s="1455"/>
      <c r="VIH243" s="1455"/>
      <c r="VII243" s="1455"/>
      <c r="VIJ243" s="1455"/>
      <c r="VIK243" s="1455"/>
      <c r="VIL243" s="1455"/>
      <c r="VIM243" s="1455"/>
      <c r="VIN243" s="1455"/>
      <c r="VIO243" s="1455"/>
      <c r="VIP243" s="1455"/>
      <c r="VIQ243" s="1455"/>
      <c r="VIR243" s="1455"/>
      <c r="VIS243" s="1455"/>
      <c r="VIT243" s="1455"/>
      <c r="VIU243" s="1455"/>
      <c r="VIV243" s="1455"/>
      <c r="VIW243" s="1455"/>
      <c r="VIX243" s="1455"/>
      <c r="VIY243" s="1455"/>
      <c r="VIZ243" s="1455"/>
      <c r="VJA243" s="1455"/>
      <c r="VJB243" s="1455"/>
      <c r="VJC243" s="1455"/>
      <c r="VJD243" s="1455"/>
      <c r="VJE243" s="1455"/>
      <c r="VJF243" s="1455"/>
      <c r="VJG243" s="1455"/>
      <c r="VJH243" s="1455"/>
      <c r="VJI243" s="1455"/>
      <c r="VJJ243" s="1455"/>
      <c r="VJK243" s="1455"/>
      <c r="VJL243" s="1455"/>
      <c r="VJM243" s="1455"/>
      <c r="VJN243" s="1455"/>
      <c r="VJO243" s="1455"/>
      <c r="VJP243" s="1455"/>
      <c r="VJQ243" s="1455"/>
      <c r="VJR243" s="1455"/>
      <c r="VJS243" s="1455"/>
      <c r="VJT243" s="1455"/>
      <c r="VJU243" s="1455"/>
      <c r="VJV243" s="1455"/>
      <c r="VJW243" s="1455"/>
      <c r="VJX243" s="1455"/>
      <c r="VJY243" s="1455"/>
      <c r="VJZ243" s="1455"/>
      <c r="VKA243" s="1455"/>
      <c r="VKB243" s="1455"/>
      <c r="VKC243" s="1455"/>
      <c r="VKD243" s="1455"/>
      <c r="VKE243" s="1455"/>
      <c r="VKF243" s="1455"/>
      <c r="VKG243" s="1455"/>
      <c r="VKH243" s="1455"/>
      <c r="VKI243" s="1455"/>
      <c r="VKJ243" s="1455"/>
      <c r="VKK243" s="1455"/>
      <c r="VKL243" s="1455"/>
      <c r="VKM243" s="1455"/>
      <c r="VKN243" s="1455"/>
      <c r="VKO243" s="1455"/>
      <c r="VKP243" s="1455"/>
      <c r="VKQ243" s="1455"/>
      <c r="VKR243" s="1455"/>
      <c r="VKS243" s="1455"/>
      <c r="VKT243" s="1455"/>
      <c r="VKU243" s="1455"/>
      <c r="VKV243" s="1455"/>
      <c r="VKW243" s="1455"/>
      <c r="VKX243" s="1455"/>
      <c r="VKY243" s="1455"/>
      <c r="VKZ243" s="1455"/>
      <c r="VLA243" s="1455"/>
      <c r="VLB243" s="1455"/>
      <c r="VLC243" s="1455"/>
      <c r="VLD243" s="1455"/>
      <c r="VLE243" s="1455"/>
      <c r="VLF243" s="1455"/>
      <c r="VLG243" s="1455"/>
      <c r="VLH243" s="1455"/>
      <c r="VLI243" s="1455"/>
      <c r="VLJ243" s="1455"/>
      <c r="VLK243" s="1455"/>
      <c r="VLL243" s="1455"/>
      <c r="VLM243" s="1455"/>
      <c r="VLN243" s="1455"/>
      <c r="VLO243" s="1455"/>
      <c r="VLP243" s="1455"/>
      <c r="VLQ243" s="1455"/>
      <c r="VLR243" s="1455"/>
      <c r="VLS243" s="1455"/>
      <c r="VLT243" s="1455"/>
      <c r="VLU243" s="1455"/>
      <c r="VLV243" s="1455"/>
      <c r="VLW243" s="1455"/>
      <c r="VLX243" s="1455"/>
      <c r="VLY243" s="1455"/>
      <c r="VLZ243" s="1455"/>
      <c r="VMA243" s="1455"/>
      <c r="VMB243" s="1455"/>
      <c r="VMC243" s="1455"/>
      <c r="VMD243" s="1455"/>
      <c r="VME243" s="1455"/>
      <c r="VMF243" s="1455"/>
      <c r="VMG243" s="1455"/>
      <c r="VMH243" s="1455"/>
      <c r="VMI243" s="1455"/>
      <c r="VMJ243" s="1455"/>
      <c r="VMK243" s="1455"/>
      <c r="VML243" s="1455"/>
      <c r="VMM243" s="1455"/>
      <c r="VMN243" s="1455"/>
      <c r="VMO243" s="1455"/>
      <c r="VMP243" s="1455"/>
      <c r="VMQ243" s="1455"/>
      <c r="VMR243" s="1455"/>
      <c r="VMS243" s="1455"/>
      <c r="VMT243" s="1455"/>
      <c r="VMU243" s="1455"/>
      <c r="VMV243" s="1455"/>
      <c r="VMW243" s="1455"/>
      <c r="VMX243" s="1455"/>
      <c r="VMY243" s="1455"/>
      <c r="VMZ243" s="1455"/>
      <c r="VNA243" s="1455"/>
      <c r="VNB243" s="1455"/>
      <c r="VNC243" s="1455"/>
      <c r="VND243" s="1455"/>
      <c r="VNE243" s="1455"/>
      <c r="VNF243" s="1455"/>
      <c r="VNG243" s="1455"/>
      <c r="VNH243" s="1455"/>
      <c r="VNI243" s="1455"/>
      <c r="VNJ243" s="1455"/>
      <c r="VNK243" s="1455"/>
      <c r="VNL243" s="1455"/>
      <c r="VNM243" s="1455"/>
      <c r="VNN243" s="1455"/>
      <c r="VNO243" s="1455"/>
      <c r="VNP243" s="1455"/>
      <c r="VNQ243" s="1455"/>
      <c r="VNR243" s="1455"/>
      <c r="VNS243" s="1455"/>
      <c r="VNT243" s="1455"/>
      <c r="VNU243" s="1455"/>
      <c r="VNV243" s="1455"/>
      <c r="VNW243" s="1455"/>
      <c r="VNX243" s="1455"/>
      <c r="VNY243" s="1455"/>
      <c r="VNZ243" s="1455"/>
      <c r="VOA243" s="1455"/>
      <c r="VOB243" s="1455"/>
      <c r="VOC243" s="1455"/>
      <c r="VOD243" s="1455"/>
      <c r="VOE243" s="1455"/>
      <c r="VOF243" s="1455"/>
      <c r="VOG243" s="1455"/>
      <c r="VOH243" s="1455"/>
      <c r="VOI243" s="1455"/>
      <c r="VOJ243" s="1455"/>
      <c r="VOK243" s="1455"/>
      <c r="VOL243" s="1455"/>
      <c r="VOM243" s="1455"/>
      <c r="VON243" s="1455"/>
      <c r="VOO243" s="1455"/>
      <c r="VOP243" s="1455"/>
      <c r="VOQ243" s="1455"/>
      <c r="VOR243" s="1455"/>
      <c r="VOS243" s="1455"/>
      <c r="VOT243" s="1455"/>
      <c r="VOU243" s="1455"/>
      <c r="VOV243" s="1455"/>
      <c r="VOW243" s="1455"/>
      <c r="VOX243" s="1455"/>
      <c r="VOY243" s="1455"/>
      <c r="VOZ243" s="1455"/>
      <c r="VPA243" s="1455"/>
      <c r="VPB243" s="1455"/>
      <c r="VPC243" s="1455"/>
      <c r="VPD243" s="1455"/>
      <c r="VPE243" s="1455"/>
      <c r="VPF243" s="1455"/>
      <c r="VPG243" s="1455"/>
      <c r="VPH243" s="1455"/>
      <c r="VPI243" s="1455"/>
      <c r="VPJ243" s="1455"/>
      <c r="VPK243" s="1455"/>
      <c r="VPL243" s="1455"/>
      <c r="VPM243" s="1455"/>
      <c r="VPN243" s="1455"/>
      <c r="VPO243" s="1455"/>
      <c r="VPP243" s="1455"/>
      <c r="VPQ243" s="1455"/>
      <c r="VPR243" s="1455"/>
      <c r="VPS243" s="1455"/>
      <c r="VPT243" s="1455"/>
      <c r="VPU243" s="1455"/>
      <c r="VPV243" s="1455"/>
      <c r="VPW243" s="1455"/>
      <c r="VPX243" s="1455"/>
      <c r="VPY243" s="1455"/>
      <c r="VPZ243" s="1455"/>
      <c r="VQA243" s="1455"/>
      <c r="VQB243" s="1455"/>
      <c r="VQC243" s="1455"/>
      <c r="VQD243" s="1455"/>
      <c r="VQE243" s="1455"/>
      <c r="VQF243" s="1455"/>
      <c r="VQG243" s="1455"/>
      <c r="VQH243" s="1455"/>
      <c r="VQI243" s="1455"/>
      <c r="VQJ243" s="1455"/>
      <c r="VQK243" s="1455"/>
      <c r="VQL243" s="1455"/>
      <c r="VQM243" s="1455"/>
      <c r="VQN243" s="1455"/>
      <c r="VQO243" s="1455"/>
      <c r="VQP243" s="1455"/>
      <c r="VQQ243" s="1455"/>
      <c r="VQR243" s="1455"/>
      <c r="VQS243" s="1455"/>
      <c r="VQT243" s="1455"/>
      <c r="VQU243" s="1455"/>
      <c r="VQV243" s="1455"/>
      <c r="VQW243" s="1455"/>
      <c r="VQX243" s="1455"/>
      <c r="VQY243" s="1455"/>
      <c r="VQZ243" s="1455"/>
      <c r="VRA243" s="1455"/>
      <c r="VRB243" s="1455"/>
      <c r="VRC243" s="1455"/>
      <c r="VRD243" s="1455"/>
      <c r="VRE243" s="1455"/>
      <c r="VRF243" s="1455"/>
      <c r="VRG243" s="1455"/>
      <c r="VRH243" s="1455"/>
      <c r="VRI243" s="1455"/>
      <c r="VRJ243" s="1455"/>
      <c r="VRK243" s="1455"/>
      <c r="VRL243" s="1455"/>
      <c r="VRM243" s="1455"/>
      <c r="VRN243" s="1455"/>
      <c r="VRO243" s="1455"/>
      <c r="VRP243" s="1455"/>
      <c r="VRQ243" s="1455"/>
      <c r="VRR243" s="1455"/>
      <c r="VRS243" s="1455"/>
      <c r="VRT243" s="1455"/>
      <c r="VRU243" s="1455"/>
      <c r="VRV243" s="1455"/>
      <c r="VRW243" s="1455"/>
      <c r="VRX243" s="1455"/>
      <c r="VRY243" s="1455"/>
      <c r="VRZ243" s="1455"/>
      <c r="VSA243" s="1455"/>
      <c r="VSB243" s="1455"/>
      <c r="VSC243" s="1455"/>
      <c r="VSD243" s="1455"/>
      <c r="VSE243" s="1455"/>
      <c r="VSF243" s="1455"/>
      <c r="VSG243" s="1455"/>
      <c r="VSH243" s="1455"/>
      <c r="VSI243" s="1455"/>
      <c r="VSJ243" s="1455"/>
      <c r="VSK243" s="1455"/>
      <c r="VSL243" s="1455"/>
      <c r="VSM243" s="1455"/>
      <c r="VSN243" s="1455"/>
      <c r="VSO243" s="1455"/>
      <c r="VSP243" s="1455"/>
      <c r="VSQ243" s="1455"/>
      <c r="VSR243" s="1455"/>
      <c r="VSS243" s="1455"/>
      <c r="VST243" s="1455"/>
      <c r="VSU243" s="1455"/>
      <c r="VSV243" s="1455"/>
      <c r="VSW243" s="1455"/>
      <c r="VSX243" s="1455"/>
      <c r="VSY243" s="1455"/>
      <c r="VSZ243" s="1455"/>
      <c r="VTA243" s="1455"/>
      <c r="VTB243" s="1455"/>
      <c r="VTC243" s="1455"/>
      <c r="VTD243" s="1455"/>
      <c r="VTE243" s="1455"/>
      <c r="VTF243" s="1455"/>
      <c r="VTG243" s="1455"/>
      <c r="VTH243" s="1455"/>
      <c r="VTI243" s="1455"/>
      <c r="VTJ243" s="1455"/>
      <c r="VTK243" s="1455"/>
      <c r="VTL243" s="1455"/>
      <c r="VTM243" s="1455"/>
      <c r="VTN243" s="1455"/>
      <c r="VTO243" s="1455"/>
      <c r="VTP243" s="1455"/>
      <c r="VTQ243" s="1455"/>
      <c r="VTR243" s="1455"/>
      <c r="VTS243" s="1455"/>
      <c r="VTT243" s="1455"/>
      <c r="VTU243" s="1455"/>
      <c r="VTV243" s="1455"/>
      <c r="VTW243" s="1455"/>
      <c r="VTX243" s="1455"/>
      <c r="VTY243" s="1455"/>
      <c r="VTZ243" s="1455"/>
      <c r="VUA243" s="1455"/>
      <c r="VUB243" s="1455"/>
      <c r="VUC243" s="1455"/>
      <c r="VUD243" s="1455"/>
      <c r="VUE243" s="1455"/>
      <c r="VUF243" s="1455"/>
      <c r="VUG243" s="1455"/>
      <c r="VUH243" s="1455"/>
      <c r="VUI243" s="1455"/>
      <c r="VUJ243" s="1455"/>
      <c r="VUK243" s="1455"/>
      <c r="VUL243" s="1455"/>
      <c r="VUM243" s="1455"/>
      <c r="VUN243" s="1455"/>
      <c r="VUO243" s="1455"/>
      <c r="VUP243" s="1455"/>
      <c r="VUQ243" s="1455"/>
      <c r="VUR243" s="1455"/>
      <c r="VUS243" s="1455"/>
      <c r="VUT243" s="1455"/>
      <c r="VUU243" s="1455"/>
      <c r="VUV243" s="1455"/>
      <c r="VUW243" s="1455"/>
      <c r="VUX243" s="1455"/>
      <c r="VUY243" s="1455"/>
      <c r="VUZ243" s="1455"/>
      <c r="VVA243" s="1455"/>
      <c r="VVB243" s="1455"/>
      <c r="VVC243" s="1455"/>
      <c r="VVD243" s="1455"/>
      <c r="VVE243" s="1455"/>
      <c r="VVF243" s="1455"/>
      <c r="VVG243" s="1455"/>
      <c r="VVH243" s="1455"/>
      <c r="VVI243" s="1455"/>
      <c r="VVJ243" s="1455"/>
      <c r="VVK243" s="1455"/>
      <c r="VVL243" s="1455"/>
      <c r="VVM243" s="1455"/>
      <c r="VVN243" s="1455"/>
      <c r="VVO243" s="1455"/>
      <c r="VVP243" s="1455"/>
      <c r="VVQ243" s="1455"/>
      <c r="VVR243" s="1455"/>
      <c r="VVS243" s="1455"/>
      <c r="VVT243" s="1455"/>
      <c r="VVU243" s="1455"/>
      <c r="VVV243" s="1455"/>
      <c r="VVW243" s="1455"/>
      <c r="VVX243" s="1455"/>
      <c r="VVY243" s="1455"/>
      <c r="VVZ243" s="1455"/>
      <c r="VWA243" s="1455"/>
      <c r="VWB243" s="1455"/>
      <c r="VWC243" s="1455"/>
      <c r="VWD243" s="1455"/>
      <c r="VWE243" s="1455"/>
      <c r="VWF243" s="1455"/>
      <c r="VWG243" s="1455"/>
      <c r="VWH243" s="1455"/>
      <c r="VWI243" s="1455"/>
      <c r="VWJ243" s="1455"/>
      <c r="VWK243" s="1455"/>
      <c r="VWL243" s="1455"/>
      <c r="VWM243" s="1455"/>
      <c r="VWN243" s="1455"/>
      <c r="VWO243" s="1455"/>
      <c r="VWP243" s="1455"/>
      <c r="VWQ243" s="1455"/>
      <c r="VWR243" s="1455"/>
      <c r="VWS243" s="1455"/>
      <c r="VWT243" s="1455"/>
      <c r="VWU243" s="1455"/>
      <c r="VWV243" s="1455"/>
      <c r="VWW243" s="1455"/>
      <c r="VWX243" s="1455"/>
      <c r="VWY243" s="1455"/>
      <c r="VWZ243" s="1455"/>
      <c r="VXA243" s="1455"/>
      <c r="VXB243" s="1455"/>
      <c r="VXC243" s="1455"/>
      <c r="VXD243" s="1455"/>
      <c r="VXE243" s="1455"/>
      <c r="VXF243" s="1455"/>
      <c r="VXG243" s="1455"/>
      <c r="VXH243" s="1455"/>
      <c r="VXI243" s="1455"/>
      <c r="VXJ243" s="1455"/>
      <c r="VXK243" s="1455"/>
      <c r="VXL243" s="1455"/>
      <c r="VXM243" s="1455"/>
      <c r="VXN243" s="1455"/>
      <c r="VXO243" s="1455"/>
      <c r="VXP243" s="1455"/>
      <c r="VXQ243" s="1455"/>
      <c r="VXR243" s="1455"/>
      <c r="VXS243" s="1455"/>
      <c r="VXT243" s="1455"/>
      <c r="VXU243" s="1455"/>
      <c r="VXV243" s="1455"/>
      <c r="VXW243" s="1455"/>
      <c r="VXX243" s="1455"/>
      <c r="VXY243" s="1455"/>
      <c r="VXZ243" s="1455"/>
      <c r="VYA243" s="1455"/>
      <c r="VYB243" s="1455"/>
      <c r="VYC243" s="1455"/>
      <c r="VYD243" s="1455"/>
      <c r="VYE243" s="1455"/>
      <c r="VYF243" s="1455"/>
      <c r="VYG243" s="1455"/>
      <c r="VYH243" s="1455"/>
      <c r="VYI243" s="1455"/>
      <c r="VYJ243" s="1455"/>
      <c r="VYK243" s="1455"/>
      <c r="VYL243" s="1455"/>
      <c r="VYM243" s="1455"/>
      <c r="VYN243" s="1455"/>
      <c r="VYO243" s="1455"/>
      <c r="VYP243" s="1455"/>
      <c r="VYQ243" s="1455"/>
      <c r="VYR243" s="1455"/>
      <c r="VYS243" s="1455"/>
      <c r="VYT243" s="1455"/>
      <c r="VYU243" s="1455"/>
      <c r="VYV243" s="1455"/>
      <c r="VYW243" s="1455"/>
      <c r="VYX243" s="1455"/>
      <c r="VYY243" s="1455"/>
      <c r="VYZ243" s="1455"/>
      <c r="VZA243" s="1455"/>
      <c r="VZB243" s="1455"/>
      <c r="VZC243" s="1455"/>
      <c r="VZD243" s="1455"/>
      <c r="VZE243" s="1455"/>
      <c r="VZF243" s="1455"/>
      <c r="VZG243" s="1455"/>
      <c r="VZH243" s="1455"/>
      <c r="VZI243" s="1455"/>
      <c r="VZJ243" s="1455"/>
      <c r="VZK243" s="1455"/>
      <c r="VZL243" s="1455"/>
      <c r="VZM243" s="1455"/>
      <c r="VZN243" s="1455"/>
      <c r="VZO243" s="1455"/>
      <c r="VZP243" s="1455"/>
      <c r="VZQ243" s="1455"/>
      <c r="VZR243" s="1455"/>
      <c r="VZS243" s="1455"/>
      <c r="VZT243" s="1455"/>
      <c r="VZU243" s="1455"/>
      <c r="VZV243" s="1455"/>
      <c r="VZW243" s="1455"/>
      <c r="VZX243" s="1455"/>
      <c r="VZY243" s="1455"/>
      <c r="VZZ243" s="1455"/>
      <c r="WAA243" s="1455"/>
      <c r="WAB243" s="1455"/>
      <c r="WAC243" s="1455"/>
      <c r="WAD243" s="1455"/>
      <c r="WAE243" s="1455"/>
      <c r="WAF243" s="1455"/>
      <c r="WAG243" s="1455"/>
      <c r="WAH243" s="1455"/>
      <c r="WAI243" s="1455"/>
      <c r="WAJ243" s="1455"/>
      <c r="WAK243" s="1455"/>
      <c r="WAL243" s="1455"/>
      <c r="WAM243" s="1455"/>
      <c r="WAN243" s="1455"/>
      <c r="WAO243" s="1455"/>
      <c r="WAP243" s="1455"/>
      <c r="WAQ243" s="1455"/>
      <c r="WAR243" s="1455"/>
      <c r="WAS243" s="1455"/>
      <c r="WAT243" s="1455"/>
      <c r="WAU243" s="1455"/>
      <c r="WAV243" s="1455"/>
      <c r="WAW243" s="1455"/>
      <c r="WAX243" s="1455"/>
      <c r="WAY243" s="1455"/>
      <c r="WAZ243" s="1455"/>
      <c r="WBA243" s="1455"/>
      <c r="WBB243" s="1455"/>
      <c r="WBC243" s="1455"/>
      <c r="WBD243" s="1455"/>
      <c r="WBE243" s="1455"/>
      <c r="WBF243" s="1455"/>
      <c r="WBG243" s="1455"/>
      <c r="WBH243" s="1455"/>
      <c r="WBI243" s="1455"/>
      <c r="WBJ243" s="1455"/>
      <c r="WBK243" s="1455"/>
      <c r="WBL243" s="1455"/>
      <c r="WBM243" s="1455"/>
      <c r="WBN243" s="1455"/>
      <c r="WBO243" s="1455"/>
      <c r="WBP243" s="1455"/>
      <c r="WBQ243" s="1455"/>
      <c r="WBR243" s="1455"/>
      <c r="WBS243" s="1455"/>
      <c r="WBT243" s="1455"/>
      <c r="WBU243" s="1455"/>
      <c r="WBV243" s="1455"/>
      <c r="WBW243" s="1455"/>
      <c r="WBX243" s="1455"/>
      <c r="WBY243" s="1455"/>
      <c r="WBZ243" s="1455"/>
      <c r="WCA243" s="1455"/>
      <c r="WCB243" s="1455"/>
      <c r="WCC243" s="1455"/>
      <c r="WCD243" s="1455"/>
      <c r="WCE243" s="1455"/>
      <c r="WCF243" s="1455"/>
      <c r="WCG243" s="1455"/>
      <c r="WCH243" s="1455"/>
      <c r="WCI243" s="1455"/>
      <c r="WCJ243" s="1455"/>
      <c r="WCK243" s="1455"/>
      <c r="WCL243" s="1455"/>
      <c r="WCM243" s="1455"/>
      <c r="WCN243" s="1455"/>
      <c r="WCO243" s="1455"/>
      <c r="WCP243" s="1455"/>
      <c r="WCQ243" s="1455"/>
      <c r="WCR243" s="1455"/>
      <c r="WCS243" s="1455"/>
      <c r="WCT243" s="1455"/>
      <c r="WCU243" s="1455"/>
      <c r="WCV243" s="1455"/>
      <c r="WCW243" s="1455"/>
      <c r="WCX243" s="1455"/>
      <c r="WCY243" s="1455"/>
      <c r="WCZ243" s="1455"/>
      <c r="WDA243" s="1455"/>
      <c r="WDB243" s="1455"/>
      <c r="WDC243" s="1455"/>
      <c r="WDD243" s="1455"/>
      <c r="WDE243" s="1455"/>
      <c r="WDF243" s="1455"/>
      <c r="WDG243" s="1455"/>
      <c r="WDH243" s="1455"/>
      <c r="WDI243" s="1455"/>
      <c r="WDJ243" s="1455"/>
      <c r="WDK243" s="1455"/>
      <c r="WDL243" s="1455"/>
      <c r="WDM243" s="1455"/>
      <c r="WDN243" s="1455"/>
      <c r="WDO243" s="1455"/>
      <c r="WDP243" s="1455"/>
      <c r="WDQ243" s="1455"/>
      <c r="WDR243" s="1455"/>
      <c r="WDS243" s="1455"/>
      <c r="WDT243" s="1455"/>
      <c r="WDU243" s="1455"/>
      <c r="WDV243" s="1455"/>
      <c r="WDW243" s="1455"/>
      <c r="WDX243" s="1455"/>
      <c r="WDY243" s="1455"/>
      <c r="WDZ243" s="1455"/>
      <c r="WEA243" s="1455"/>
      <c r="WEB243" s="1455"/>
      <c r="WEC243" s="1455"/>
      <c r="WED243" s="1455"/>
      <c r="WEE243" s="1455"/>
      <c r="WEF243" s="1455"/>
      <c r="WEG243" s="1455"/>
      <c r="WEH243" s="1455"/>
      <c r="WEI243" s="1455"/>
      <c r="WEJ243" s="1455"/>
      <c r="WEK243" s="1455"/>
      <c r="WEL243" s="1455"/>
      <c r="WEM243" s="1455"/>
      <c r="WEN243" s="1455"/>
      <c r="WEO243" s="1455"/>
      <c r="WEP243" s="1455"/>
      <c r="WEQ243" s="1455"/>
      <c r="WER243" s="1455"/>
      <c r="WES243" s="1455"/>
      <c r="WET243" s="1455"/>
      <c r="WEU243" s="1455"/>
      <c r="WEV243" s="1455"/>
      <c r="WEW243" s="1455"/>
      <c r="WEX243" s="1455"/>
      <c r="WEY243" s="1455"/>
      <c r="WEZ243" s="1455"/>
      <c r="WFA243" s="1455"/>
      <c r="WFB243" s="1455"/>
      <c r="WFC243" s="1455"/>
      <c r="WFD243" s="1455"/>
      <c r="WFE243" s="1455"/>
      <c r="WFF243" s="1455"/>
      <c r="WFG243" s="1455"/>
      <c r="WFH243" s="1455"/>
      <c r="WFI243" s="1455"/>
      <c r="WFJ243" s="1455"/>
      <c r="WFK243" s="1455"/>
      <c r="WFL243" s="1455"/>
      <c r="WFM243" s="1455"/>
      <c r="WFN243" s="1455"/>
      <c r="WFO243" s="1455"/>
      <c r="WFP243" s="1455"/>
      <c r="WFQ243" s="1455"/>
      <c r="WFR243" s="1455"/>
      <c r="WFS243" s="1455"/>
      <c r="WFT243" s="1455"/>
      <c r="WFU243" s="1455"/>
      <c r="WFV243" s="1455"/>
      <c r="WFW243" s="1455"/>
      <c r="WFX243" s="1455"/>
      <c r="WFY243" s="1455"/>
      <c r="WFZ243" s="1455"/>
      <c r="WGA243" s="1455"/>
      <c r="WGB243" s="1455"/>
      <c r="WGC243" s="1455"/>
      <c r="WGD243" s="1455"/>
      <c r="WGE243" s="1455"/>
      <c r="WGF243" s="1455"/>
      <c r="WGG243" s="1455"/>
      <c r="WGH243" s="1455"/>
      <c r="WGI243" s="1455"/>
      <c r="WGJ243" s="1455"/>
      <c r="WGK243" s="1455"/>
      <c r="WGL243" s="1455"/>
      <c r="WGM243" s="1455"/>
      <c r="WGN243" s="1455"/>
      <c r="WGO243" s="1455"/>
      <c r="WGP243" s="1455"/>
      <c r="WGQ243" s="1455"/>
      <c r="WGR243" s="1455"/>
      <c r="WGS243" s="1455"/>
      <c r="WGT243" s="1455"/>
      <c r="WGU243" s="1455"/>
      <c r="WGV243" s="1455"/>
      <c r="WGW243" s="1455"/>
      <c r="WGX243" s="1455"/>
      <c r="WGY243" s="1455"/>
      <c r="WGZ243" s="1455"/>
      <c r="WHA243" s="1455"/>
      <c r="WHB243" s="1455"/>
      <c r="WHC243" s="1455"/>
      <c r="WHD243" s="1455"/>
      <c r="WHE243" s="1455"/>
      <c r="WHF243" s="1455"/>
      <c r="WHG243" s="1455"/>
      <c r="WHH243" s="1455"/>
      <c r="WHI243" s="1455"/>
      <c r="WHJ243" s="1455"/>
      <c r="WHK243" s="1455"/>
      <c r="WHL243" s="1455"/>
      <c r="WHM243" s="1455"/>
      <c r="WHN243" s="1455"/>
      <c r="WHO243" s="1455"/>
      <c r="WHP243" s="1455"/>
      <c r="WHQ243" s="1455"/>
      <c r="WHR243" s="1455"/>
      <c r="WHS243" s="1455"/>
      <c r="WHT243" s="1455"/>
      <c r="WHU243" s="1455"/>
      <c r="WHV243" s="1455"/>
      <c r="WHW243" s="1455"/>
      <c r="WHX243" s="1455"/>
      <c r="WHY243" s="1455"/>
      <c r="WHZ243" s="1455"/>
      <c r="WIA243" s="1455"/>
      <c r="WIB243" s="1455"/>
      <c r="WIC243" s="1455"/>
      <c r="WID243" s="1455"/>
      <c r="WIE243" s="1455"/>
      <c r="WIF243" s="1455"/>
      <c r="WIG243" s="1455"/>
      <c r="WIH243" s="1455"/>
      <c r="WII243" s="1455"/>
      <c r="WIJ243" s="1455"/>
      <c r="WIK243" s="1455"/>
      <c r="WIL243" s="1455"/>
      <c r="WIM243" s="1455"/>
      <c r="WIN243" s="1455"/>
      <c r="WIO243" s="1455"/>
      <c r="WIP243" s="1455"/>
      <c r="WIQ243" s="1455"/>
      <c r="WIR243" s="1455"/>
      <c r="WIS243" s="1455"/>
      <c r="WIT243" s="1455"/>
      <c r="WIU243" s="1455"/>
      <c r="WIV243" s="1455"/>
      <c r="WIW243" s="1455"/>
      <c r="WIX243" s="1455"/>
      <c r="WIY243" s="1455"/>
      <c r="WIZ243" s="1455"/>
      <c r="WJA243" s="1455"/>
      <c r="WJB243" s="1455"/>
      <c r="WJC243" s="1455"/>
      <c r="WJD243" s="1455"/>
      <c r="WJE243" s="1455"/>
      <c r="WJF243" s="1455"/>
      <c r="WJG243" s="1455"/>
      <c r="WJH243" s="1455"/>
      <c r="WJI243" s="1455"/>
      <c r="WJJ243" s="1455"/>
      <c r="WJK243" s="1455"/>
      <c r="WJL243" s="1455"/>
      <c r="WJM243" s="1455"/>
      <c r="WJN243" s="1455"/>
      <c r="WJO243" s="1455"/>
      <c r="WJP243" s="1455"/>
      <c r="WJQ243" s="1455"/>
      <c r="WJR243" s="1455"/>
      <c r="WJS243" s="1455"/>
      <c r="WJT243" s="1455"/>
      <c r="WJU243" s="1455"/>
      <c r="WJV243" s="1455"/>
      <c r="WJW243" s="1455"/>
      <c r="WJX243" s="1455"/>
      <c r="WJY243" s="1455"/>
      <c r="WJZ243" s="1455"/>
      <c r="WKA243" s="1455"/>
      <c r="WKB243" s="1455"/>
      <c r="WKC243" s="1455"/>
      <c r="WKD243" s="1455"/>
      <c r="WKE243" s="1455"/>
      <c r="WKF243" s="1455"/>
      <c r="WKG243" s="1455"/>
      <c r="WKH243" s="1455"/>
      <c r="WKI243" s="1455"/>
      <c r="WKJ243" s="1455"/>
      <c r="WKK243" s="1455"/>
      <c r="WKL243" s="1455"/>
      <c r="WKM243" s="1455"/>
      <c r="WKN243" s="1455"/>
      <c r="WKO243" s="1455"/>
      <c r="WKP243" s="1455"/>
      <c r="WKQ243" s="1455"/>
      <c r="WKR243" s="1455"/>
      <c r="WKS243" s="1455"/>
      <c r="WKT243" s="1455"/>
      <c r="WKU243" s="1455"/>
      <c r="WKV243" s="1455"/>
      <c r="WKW243" s="1455"/>
      <c r="WKX243" s="1455"/>
      <c r="WKY243" s="1455"/>
      <c r="WKZ243" s="1455"/>
      <c r="WLA243" s="1455"/>
      <c r="WLB243" s="1455"/>
      <c r="WLC243" s="1455"/>
      <c r="WLD243" s="1455"/>
      <c r="WLE243" s="1455"/>
      <c r="WLF243" s="1455"/>
      <c r="WLG243" s="1455"/>
      <c r="WLH243" s="1455"/>
      <c r="WLI243" s="1455"/>
      <c r="WLJ243" s="1455"/>
      <c r="WLK243" s="1455"/>
      <c r="WLL243" s="1455"/>
      <c r="WLM243" s="1455"/>
      <c r="WLN243" s="1455"/>
      <c r="WLO243" s="1455"/>
      <c r="WLP243" s="1455"/>
      <c r="WLQ243" s="1455"/>
      <c r="WLR243" s="1455"/>
      <c r="WLS243" s="1455"/>
      <c r="WLT243" s="1455"/>
      <c r="WLU243" s="1455"/>
      <c r="WLV243" s="1455"/>
      <c r="WLW243" s="1455"/>
      <c r="WLX243" s="1455"/>
      <c r="WLY243" s="1455"/>
      <c r="WLZ243" s="1455"/>
      <c r="WMA243" s="1455"/>
      <c r="WMB243" s="1455"/>
      <c r="WMC243" s="1455"/>
      <c r="WMD243" s="1455"/>
      <c r="WME243" s="1455"/>
      <c r="WMF243" s="1455"/>
      <c r="WMG243" s="1455"/>
      <c r="WMH243" s="1455"/>
      <c r="WMI243" s="1455"/>
      <c r="WMJ243" s="1455"/>
      <c r="WMK243" s="1455"/>
      <c r="WML243" s="1455"/>
      <c r="WMM243" s="1455"/>
      <c r="WMN243" s="1455"/>
      <c r="WMO243" s="1455"/>
      <c r="WMP243" s="1455"/>
      <c r="WMQ243" s="1455"/>
      <c r="WMR243" s="1455"/>
      <c r="WMS243" s="1455"/>
      <c r="WMT243" s="1455"/>
      <c r="WMU243" s="1455"/>
      <c r="WMV243" s="1455"/>
      <c r="WMW243" s="1455"/>
      <c r="WMX243" s="1455"/>
      <c r="WMY243" s="1455"/>
      <c r="WMZ243" s="1455"/>
      <c r="WNA243" s="1455"/>
      <c r="WNB243" s="1455"/>
      <c r="WNC243" s="1455"/>
      <c r="WND243" s="1455"/>
      <c r="WNE243" s="1455"/>
      <c r="WNF243" s="1455"/>
      <c r="WNG243" s="1455"/>
      <c r="WNH243" s="1455"/>
      <c r="WNI243" s="1455"/>
      <c r="WNJ243" s="1455"/>
      <c r="WNK243" s="1455"/>
      <c r="WNL243" s="1455"/>
      <c r="WNM243" s="1455"/>
      <c r="WNN243" s="1455"/>
      <c r="WNO243" s="1455"/>
      <c r="WNP243" s="1455"/>
      <c r="WNQ243" s="1455"/>
      <c r="WNR243" s="1455"/>
      <c r="WNS243" s="1455"/>
      <c r="WNT243" s="1455"/>
      <c r="WNU243" s="1455"/>
      <c r="WNV243" s="1455"/>
      <c r="WNW243" s="1455"/>
      <c r="WNX243" s="1455"/>
      <c r="WNY243" s="1455"/>
      <c r="WNZ243" s="1455"/>
      <c r="WOA243" s="1455"/>
      <c r="WOB243" s="1455"/>
      <c r="WOC243" s="1455"/>
      <c r="WOD243" s="1455"/>
      <c r="WOE243" s="1455"/>
      <c r="WOF243" s="1455"/>
      <c r="WOG243" s="1455"/>
      <c r="WOH243" s="1455"/>
      <c r="WOI243" s="1455"/>
      <c r="WOJ243" s="1455"/>
      <c r="WOK243" s="1455"/>
      <c r="WOL243" s="1455"/>
      <c r="WOM243" s="1455"/>
      <c r="WON243" s="1455"/>
      <c r="WOO243" s="1455"/>
      <c r="WOP243" s="1455"/>
      <c r="WOQ243" s="1455"/>
      <c r="WOR243" s="1455"/>
      <c r="WOS243" s="1455"/>
      <c r="WOT243" s="1455"/>
      <c r="WOU243" s="1455"/>
      <c r="WOV243" s="1455"/>
      <c r="WOW243" s="1455"/>
      <c r="WOX243" s="1455"/>
      <c r="WOY243" s="1455"/>
      <c r="WOZ243" s="1455"/>
      <c r="WPA243" s="1455"/>
      <c r="WPB243" s="1455"/>
      <c r="WPC243" s="1455"/>
      <c r="WPD243" s="1455"/>
      <c r="WPE243" s="1455"/>
      <c r="WPF243" s="1455"/>
      <c r="WPG243" s="1455"/>
      <c r="WPH243" s="1455"/>
      <c r="WPI243" s="1455"/>
      <c r="WPJ243" s="1455"/>
      <c r="WPK243" s="1455"/>
      <c r="WPL243" s="1455"/>
      <c r="WPM243" s="1455"/>
      <c r="WPN243" s="1455"/>
      <c r="WPO243" s="1455"/>
      <c r="WPP243" s="1455"/>
      <c r="WPQ243" s="1455"/>
      <c r="WPR243" s="1455"/>
      <c r="WPS243" s="1455"/>
      <c r="WPT243" s="1455"/>
      <c r="WPU243" s="1455"/>
      <c r="WPV243" s="1455"/>
      <c r="WPW243" s="1455"/>
      <c r="WPX243" s="1455"/>
      <c r="WPY243" s="1455"/>
      <c r="WPZ243" s="1455"/>
      <c r="WQA243" s="1455"/>
      <c r="WQB243" s="1455"/>
      <c r="WQC243" s="1455"/>
      <c r="WQD243" s="1455"/>
      <c r="WQE243" s="1455"/>
      <c r="WQF243" s="1455"/>
      <c r="WQG243" s="1455"/>
      <c r="WQH243" s="1455"/>
      <c r="WQI243" s="1455"/>
      <c r="WQJ243" s="1455"/>
      <c r="WQK243" s="1455"/>
      <c r="WQL243" s="1455"/>
      <c r="WQM243" s="1455"/>
      <c r="WQN243" s="1455"/>
      <c r="WQO243" s="1455"/>
      <c r="WQP243" s="1455"/>
      <c r="WQQ243" s="1455"/>
      <c r="WQR243" s="1455"/>
      <c r="WQS243" s="1455"/>
      <c r="WQT243" s="1455"/>
      <c r="WQU243" s="1455"/>
      <c r="WQV243" s="1455"/>
      <c r="WQW243" s="1455"/>
      <c r="WQX243" s="1455"/>
      <c r="WQY243" s="1455"/>
      <c r="WQZ243" s="1455"/>
      <c r="WRA243" s="1455"/>
      <c r="WRB243" s="1455"/>
      <c r="WRC243" s="1455"/>
      <c r="WRD243" s="1455"/>
      <c r="WRE243" s="1455"/>
      <c r="WRF243" s="1455"/>
      <c r="WRG243" s="1455"/>
      <c r="WRH243" s="1455"/>
      <c r="WRI243" s="1455"/>
      <c r="WRJ243" s="1455"/>
      <c r="WRK243" s="1455"/>
      <c r="WRL243" s="1455"/>
      <c r="WRM243" s="1455"/>
      <c r="WRN243" s="1455"/>
      <c r="WRO243" s="1455"/>
      <c r="WRP243" s="1455"/>
      <c r="WRQ243" s="1455"/>
      <c r="WRR243" s="1455"/>
      <c r="WRS243" s="1455"/>
      <c r="WRT243" s="1455"/>
      <c r="WRU243" s="1455"/>
      <c r="WRV243" s="1455"/>
      <c r="WRW243" s="1455"/>
      <c r="WRX243" s="1455"/>
      <c r="WRY243" s="1455"/>
      <c r="WRZ243" s="1455"/>
      <c r="WSA243" s="1455"/>
      <c r="WSB243" s="1455"/>
      <c r="WSC243" s="1455"/>
      <c r="WSD243" s="1455"/>
      <c r="WSE243" s="1455"/>
      <c r="WSF243" s="1455"/>
      <c r="WSG243" s="1455"/>
      <c r="WSH243" s="1455"/>
      <c r="WSI243" s="1455"/>
      <c r="WSJ243" s="1455"/>
      <c r="WSK243" s="1455"/>
      <c r="WSL243" s="1455"/>
      <c r="WSM243" s="1455"/>
      <c r="WSN243" s="1455"/>
      <c r="WSO243" s="1455"/>
      <c r="WSP243" s="1455"/>
      <c r="WSQ243" s="1455"/>
      <c r="WSR243" s="1455"/>
      <c r="WSS243" s="1455"/>
      <c r="WST243" s="1455"/>
      <c r="WSU243" s="1455"/>
      <c r="WSV243" s="1455"/>
      <c r="WSW243" s="1455"/>
      <c r="WSX243" s="1455"/>
      <c r="WSY243" s="1455"/>
      <c r="WSZ243" s="1455"/>
      <c r="WTA243" s="1455"/>
      <c r="WTB243" s="1455"/>
      <c r="WTC243" s="1455"/>
      <c r="WTD243" s="1455"/>
      <c r="WTE243" s="1455"/>
      <c r="WTF243" s="1455"/>
      <c r="WTG243" s="1455"/>
      <c r="WTH243" s="1455"/>
      <c r="WTI243" s="1455"/>
      <c r="WTJ243" s="1455"/>
      <c r="WTK243" s="1455"/>
      <c r="WTL243" s="1455"/>
      <c r="WTM243" s="1455"/>
      <c r="WTN243" s="1455"/>
      <c r="WTO243" s="1455"/>
      <c r="WTP243" s="1455"/>
      <c r="WTQ243" s="1455"/>
      <c r="WTR243" s="1455"/>
      <c r="WTS243" s="1455"/>
      <c r="WTT243" s="1455"/>
      <c r="WTU243" s="1455"/>
      <c r="WTV243" s="1455"/>
      <c r="WTW243" s="1455"/>
      <c r="WTX243" s="1455"/>
      <c r="WTY243" s="1455"/>
      <c r="WTZ243" s="1455"/>
      <c r="WUA243" s="1455"/>
      <c r="WUB243" s="1455"/>
      <c r="WUC243" s="1455"/>
      <c r="WUD243" s="1455"/>
      <c r="WUE243" s="1455"/>
      <c r="WUF243" s="1455"/>
      <c r="WUG243" s="1455"/>
      <c r="WUH243" s="1455"/>
      <c r="WUI243" s="1455"/>
      <c r="WUJ243" s="1455"/>
      <c r="WUK243" s="1455"/>
      <c r="WUL243" s="1455"/>
      <c r="WUM243" s="1455"/>
      <c r="WUN243" s="1455"/>
      <c r="WUO243" s="1455"/>
      <c r="WUP243" s="1455"/>
      <c r="WUQ243" s="1455"/>
      <c r="WUR243" s="1455"/>
      <c r="WUS243" s="1455"/>
      <c r="WUT243" s="1455"/>
      <c r="WUU243" s="1455"/>
      <c r="WUV243" s="1455"/>
      <c r="WUW243" s="1455"/>
      <c r="WUX243" s="1455"/>
      <c r="WUY243" s="1455"/>
      <c r="WUZ243" s="1455"/>
      <c r="WVA243" s="1455"/>
      <c r="WVB243" s="1455"/>
      <c r="WVC243" s="1455"/>
      <c r="WVD243" s="1455"/>
      <c r="WVE243" s="1455"/>
      <c r="WVF243" s="1455"/>
      <c r="WVG243" s="1455"/>
      <c r="WVH243" s="1455"/>
      <c r="WVI243" s="1455"/>
      <c r="WVJ243" s="1455"/>
      <c r="WVK243" s="1455"/>
      <c r="WVL243" s="1455"/>
      <c r="WVM243" s="1455"/>
      <c r="WVN243" s="1455"/>
      <c r="WVO243" s="1455"/>
      <c r="WVP243" s="1455"/>
      <c r="WVQ243" s="1455"/>
      <c r="WVR243" s="1455"/>
      <c r="WVS243" s="1455"/>
      <c r="WVT243" s="1455"/>
      <c r="WVU243" s="1455"/>
      <c r="WVV243" s="1455"/>
      <c r="WVW243" s="1455"/>
      <c r="WVX243" s="1455"/>
      <c r="WVY243" s="1455"/>
      <c r="WVZ243" s="1455"/>
      <c r="WWA243" s="1455"/>
      <c r="WWB243" s="1455"/>
      <c r="WWC243" s="1455"/>
      <c r="WWD243" s="1455"/>
      <c r="WWE243" s="1455"/>
      <c r="WWF243" s="1455"/>
      <c r="WWG243" s="1455"/>
      <c r="WWH243" s="1455"/>
      <c r="WWI243" s="1455"/>
      <c r="WWJ243" s="1455"/>
      <c r="WWK243" s="1455"/>
      <c r="WWL243" s="1455"/>
      <c r="WWM243" s="1455"/>
      <c r="WWN243" s="1455"/>
      <c r="WWO243" s="1455"/>
      <c r="WWP243" s="1455"/>
      <c r="WWQ243" s="1455"/>
      <c r="WWR243" s="1455"/>
      <c r="WWS243" s="1455"/>
      <c r="WWT243" s="1455"/>
      <c r="WWU243" s="1455"/>
      <c r="WWV243" s="1455"/>
      <c r="WWW243" s="1455"/>
      <c r="WWX243" s="1455"/>
      <c r="WWY243" s="1455"/>
      <c r="WWZ243" s="1455"/>
      <c r="WXA243" s="1455"/>
      <c r="WXB243" s="1455"/>
      <c r="WXC243" s="1455"/>
      <c r="WXD243" s="1455"/>
      <c r="WXE243" s="1455"/>
      <c r="WXF243" s="1455"/>
      <c r="WXG243" s="1455"/>
      <c r="WXH243" s="1455"/>
      <c r="WXI243" s="1455"/>
      <c r="WXJ243" s="1455"/>
      <c r="WXK243" s="1455"/>
      <c r="WXL243" s="1455"/>
      <c r="WXM243" s="1455"/>
      <c r="WXN243" s="1455"/>
      <c r="WXO243" s="1455"/>
      <c r="WXP243" s="1455"/>
      <c r="WXQ243" s="1455"/>
      <c r="WXR243" s="1455"/>
      <c r="WXS243" s="1455"/>
      <c r="WXT243" s="1455"/>
      <c r="WXU243" s="1455"/>
      <c r="WXV243" s="1455"/>
      <c r="WXW243" s="1455"/>
      <c r="WXX243" s="1455"/>
      <c r="WXY243" s="1455"/>
      <c r="WXZ243" s="1455"/>
      <c r="WYA243" s="1455"/>
      <c r="WYB243" s="1455"/>
      <c r="WYC243" s="1455"/>
      <c r="WYD243" s="1455"/>
      <c r="WYE243" s="1455"/>
      <c r="WYF243" s="1455"/>
      <c r="WYG243" s="1455"/>
      <c r="WYH243" s="1455"/>
      <c r="WYI243" s="1455"/>
      <c r="WYJ243" s="1455"/>
      <c r="WYK243" s="1455"/>
      <c r="WYL243" s="1455"/>
      <c r="WYM243" s="1455"/>
      <c r="WYN243" s="1455"/>
      <c r="WYO243" s="1455"/>
      <c r="WYP243" s="1455"/>
      <c r="WYQ243" s="1455"/>
      <c r="WYR243" s="1455"/>
      <c r="WYS243" s="1455"/>
      <c r="WYT243" s="1455"/>
      <c r="WYU243" s="1455"/>
      <c r="WYV243" s="1455"/>
      <c r="WYW243" s="1455"/>
      <c r="WYX243" s="1455"/>
      <c r="WYY243" s="1455"/>
      <c r="WYZ243" s="1455"/>
      <c r="WZA243" s="1455"/>
      <c r="WZB243" s="1455"/>
      <c r="WZC243" s="1455"/>
      <c r="WZD243" s="1455"/>
      <c r="WZE243" s="1455"/>
      <c r="WZF243" s="1455"/>
      <c r="WZG243" s="1455"/>
      <c r="WZH243" s="1455"/>
      <c r="WZI243" s="1455"/>
      <c r="WZJ243" s="1455"/>
      <c r="WZK243" s="1455"/>
      <c r="WZL243" s="1455"/>
      <c r="WZM243" s="1455"/>
      <c r="WZN243" s="1455"/>
      <c r="WZO243" s="1455"/>
      <c r="WZP243" s="1455"/>
      <c r="WZQ243" s="1455"/>
      <c r="WZR243" s="1455"/>
      <c r="WZS243" s="1455"/>
      <c r="WZT243" s="1455"/>
      <c r="WZU243" s="1455"/>
      <c r="WZV243" s="1455"/>
      <c r="WZW243" s="1455"/>
      <c r="WZX243" s="1455"/>
      <c r="WZY243" s="1455"/>
      <c r="WZZ243" s="1455"/>
      <c r="XAA243" s="1455"/>
      <c r="XAB243" s="1455"/>
      <c r="XAC243" s="1455"/>
      <c r="XAD243" s="1455"/>
      <c r="XAE243" s="1455"/>
      <c r="XAF243" s="1455"/>
      <c r="XAG243" s="1455"/>
      <c r="XAH243" s="1455"/>
      <c r="XAI243" s="1455"/>
      <c r="XAJ243" s="1455"/>
      <c r="XAK243" s="1455"/>
      <c r="XAL243" s="1455"/>
      <c r="XAM243" s="1455"/>
      <c r="XAN243" s="1455"/>
      <c r="XAO243" s="1455"/>
      <c r="XAP243" s="1455"/>
      <c r="XAQ243" s="1455"/>
      <c r="XAR243" s="1455"/>
      <c r="XAS243" s="1455"/>
      <c r="XAT243" s="1455"/>
      <c r="XAU243" s="1455"/>
      <c r="XAV243" s="1455"/>
      <c r="XAW243" s="1455"/>
      <c r="XAX243" s="1455"/>
      <c r="XAY243" s="1455"/>
      <c r="XAZ243" s="1455"/>
      <c r="XBA243" s="1455"/>
      <c r="XBB243" s="1455"/>
      <c r="XBC243" s="1455"/>
      <c r="XBD243" s="1455"/>
      <c r="XBE243" s="1455"/>
      <c r="XBF243" s="1455"/>
      <c r="XBG243" s="1455"/>
      <c r="XBH243" s="1455"/>
      <c r="XBI243" s="1455"/>
      <c r="XBJ243" s="1455"/>
      <c r="XBK243" s="1455"/>
      <c r="XBL243" s="1455"/>
      <c r="XBM243" s="1455"/>
      <c r="XBN243" s="1455"/>
      <c r="XBO243" s="1455"/>
      <c r="XBP243" s="1455"/>
      <c r="XBQ243" s="1455"/>
      <c r="XBR243" s="1455"/>
      <c r="XBS243" s="1455"/>
      <c r="XBT243" s="1455"/>
      <c r="XBU243" s="1455"/>
      <c r="XBV243" s="1455"/>
      <c r="XBW243" s="1455"/>
      <c r="XBX243" s="1455"/>
      <c r="XBY243" s="1455"/>
      <c r="XBZ243" s="1455"/>
      <c r="XCA243" s="1455"/>
      <c r="XCB243" s="1455"/>
      <c r="XCC243" s="1455"/>
      <c r="XCD243" s="1455"/>
      <c r="XCE243" s="1455"/>
      <c r="XCF243" s="1455"/>
      <c r="XCG243" s="1455"/>
      <c r="XCH243" s="1455"/>
      <c r="XCI243" s="1455"/>
      <c r="XCJ243" s="1455"/>
      <c r="XCK243" s="1455"/>
      <c r="XCL243" s="1455"/>
      <c r="XCM243" s="1455"/>
      <c r="XCN243" s="1455"/>
      <c r="XCO243" s="1455"/>
      <c r="XCP243" s="1455"/>
      <c r="XCQ243" s="1455"/>
      <c r="XCR243" s="1455"/>
      <c r="XCS243" s="1455"/>
      <c r="XCT243" s="1455"/>
      <c r="XCU243" s="1455"/>
      <c r="XCV243" s="1455"/>
      <c r="XCW243" s="1455"/>
      <c r="XCX243" s="1455"/>
      <c r="XCY243" s="1455"/>
      <c r="XCZ243" s="1455"/>
      <c r="XDA243" s="1455"/>
      <c r="XDB243" s="1455"/>
      <c r="XDC243" s="1455"/>
      <c r="XDD243" s="1455"/>
      <c r="XDE243" s="1455"/>
      <c r="XDF243" s="1455"/>
      <c r="XDG243" s="1455"/>
      <c r="XDH243" s="1455"/>
      <c r="XDI243" s="1455"/>
      <c r="XDJ243" s="1455"/>
      <c r="XDK243" s="1455"/>
      <c r="XDL243" s="1455"/>
      <c r="XDM243" s="1455"/>
      <c r="XDN243" s="1455"/>
      <c r="XDO243" s="1455"/>
      <c r="XDP243" s="1455"/>
      <c r="XDQ243" s="1455"/>
      <c r="XDR243" s="1455"/>
      <c r="XDS243" s="1455"/>
      <c r="XDT243" s="1455"/>
      <c r="XDU243" s="1455"/>
      <c r="XDV243" s="1455"/>
      <c r="XDW243" s="1455"/>
      <c r="XDX243" s="1455"/>
      <c r="XDY243" s="1455"/>
      <c r="XDZ243" s="1455"/>
      <c r="XEA243" s="1455"/>
      <c r="XEB243" s="1455"/>
      <c r="XEC243" s="1455"/>
      <c r="XED243" s="1455"/>
      <c r="XEE243" s="1455"/>
      <c r="XEF243" s="1455"/>
      <c r="XEG243" s="1455"/>
      <c r="XEH243" s="1455"/>
      <c r="XEI243" s="1455"/>
      <c r="XEJ243" s="1455"/>
      <c r="XEK243" s="1455"/>
      <c r="XEL243" s="1455"/>
      <c r="XEM243" s="1455"/>
      <c r="XEN243" s="1455"/>
      <c r="XEO243" s="1455"/>
      <c r="XEP243" s="1455"/>
      <c r="XEQ243" s="1455"/>
      <c r="XER243" s="1455"/>
      <c r="XES243" s="1455"/>
      <c r="XET243" s="1455"/>
      <c r="XEU243" s="1455"/>
      <c r="XEV243" s="1455"/>
      <c r="XEW243" s="1455"/>
      <c r="XEX243" s="1455"/>
      <c r="XEY243" s="1455"/>
      <c r="XEZ243" s="1455"/>
      <c r="XFA243" s="1455"/>
      <c r="XFB243" s="1455"/>
      <c r="XFC243" s="1455"/>
      <c r="XFD243" s="1455"/>
    </row>
    <row r="244" spans="1:16384" x14ac:dyDescent="0.2">
      <c r="A244" s="1457" t="s">
        <v>4946</v>
      </c>
      <c r="B244" s="1458"/>
      <c r="C244" s="1458"/>
      <c r="D244" s="1458"/>
      <c r="E244" s="1458"/>
      <c r="F244" s="1458"/>
      <c r="G244" s="1458"/>
      <c r="H244" s="1458"/>
      <c r="I244" s="1458"/>
      <c r="J244" s="1458"/>
      <c r="K244" s="1458"/>
      <c r="L244" s="1458"/>
      <c r="M244" s="1458"/>
      <c r="N244" s="1458"/>
      <c r="O244" s="1458"/>
      <c r="P244" s="1458"/>
      <c r="Q244" s="1458"/>
      <c r="R244" s="1458"/>
      <c r="S244" s="1458"/>
      <c r="T244" s="1458"/>
      <c r="U244" s="1458"/>
      <c r="V244" s="1458"/>
      <c r="W244" s="1458"/>
      <c r="X244" s="1458"/>
      <c r="Y244" s="1458"/>
      <c r="Z244" s="1458"/>
      <c r="AA244" s="1458"/>
      <c r="AB244" s="1458"/>
      <c r="AC244" s="1458"/>
      <c r="AD244" s="1458"/>
      <c r="AE244" s="1458"/>
      <c r="AF244" s="1458"/>
      <c r="AG244" s="1458"/>
      <c r="AH244" s="1458"/>
      <c r="AI244" s="1458"/>
      <c r="AJ244" s="1458"/>
      <c r="AK244" s="1458"/>
      <c r="AL244" s="1458"/>
      <c r="AM244" s="1458"/>
      <c r="AN244" s="1458"/>
      <c r="AO244" s="1458"/>
      <c r="AP244" s="1458"/>
      <c r="AQ244" s="1458"/>
      <c r="AR244" s="1458"/>
      <c r="AS244" s="1458"/>
      <c r="AT244" s="1458"/>
      <c r="AU244" s="1458"/>
      <c r="AV244" s="1458"/>
      <c r="AW244" s="1458"/>
      <c r="AX244" s="1458"/>
      <c r="AY244" s="1458"/>
      <c r="AZ244" s="1458"/>
      <c r="BA244" s="1458"/>
      <c r="BB244" s="1458"/>
      <c r="BC244" s="1458"/>
      <c r="BD244" s="1458"/>
      <c r="BE244" s="1458"/>
      <c r="BF244" s="1458"/>
      <c r="BG244" s="1458"/>
      <c r="BH244" s="1458"/>
      <c r="BI244" s="1458"/>
      <c r="BJ244" s="1458"/>
      <c r="BK244" s="1458"/>
      <c r="BL244" s="1458"/>
      <c r="BM244" s="1458"/>
      <c r="BN244" s="1458"/>
      <c r="BO244" s="1458"/>
      <c r="BP244" s="1458"/>
      <c r="BQ244" s="1458"/>
      <c r="BR244" s="1458"/>
      <c r="BS244" s="1458"/>
      <c r="BT244" s="1458"/>
      <c r="BU244" s="1458"/>
      <c r="BV244" s="1458"/>
      <c r="BW244" s="1458"/>
      <c r="BX244" s="1458"/>
      <c r="BY244" s="1458"/>
      <c r="BZ244" s="1458"/>
      <c r="CA244" s="1458"/>
      <c r="CB244" s="1458"/>
      <c r="CC244" s="1458"/>
      <c r="CD244" s="1458"/>
      <c r="CE244" s="1458"/>
      <c r="CF244" s="1458"/>
      <c r="CG244" s="1458"/>
      <c r="CH244" s="1458"/>
      <c r="CI244" s="1458"/>
      <c r="CJ244" s="1458"/>
      <c r="CK244" s="1458"/>
      <c r="CL244" s="1458"/>
      <c r="CM244" s="1459"/>
    </row>
    <row r="245" spans="1:16384" x14ac:dyDescent="0.2">
      <c r="A245" s="711" t="s">
        <v>3254</v>
      </c>
      <c r="B245" s="355" t="s">
        <v>4947</v>
      </c>
      <c r="C245" s="356"/>
      <c r="D245" s="356"/>
      <c r="E245" s="356"/>
      <c r="F245" s="356"/>
      <c r="G245" s="356"/>
      <c r="H245" s="356"/>
      <c r="I245" s="356"/>
      <c r="J245" s="356"/>
      <c r="K245" s="356"/>
      <c r="L245" s="356"/>
      <c r="M245" s="356"/>
      <c r="N245" s="356"/>
      <c r="O245" s="356"/>
      <c r="P245" s="356"/>
      <c r="Q245" s="356"/>
      <c r="R245" s="356"/>
      <c r="S245" s="356"/>
      <c r="T245" s="356"/>
      <c r="U245" s="356"/>
      <c r="V245" s="356"/>
      <c r="W245" s="356"/>
      <c r="X245" s="356"/>
      <c r="Y245" s="356"/>
      <c r="Z245" s="356"/>
      <c r="AA245" s="356"/>
      <c r="AB245" s="356"/>
      <c r="AC245" s="356"/>
      <c r="AD245" s="356"/>
      <c r="AE245" s="356"/>
      <c r="AF245" s="356"/>
      <c r="AG245" s="356"/>
      <c r="AH245" s="356"/>
      <c r="AI245" s="356"/>
      <c r="AJ245" s="356"/>
      <c r="AK245" s="356"/>
      <c r="AL245" s="356"/>
      <c r="AM245" s="356"/>
      <c r="AN245" s="356"/>
      <c r="AO245" s="356"/>
      <c r="AP245" s="356"/>
      <c r="AQ245" s="356"/>
      <c r="AR245" s="356"/>
      <c r="AS245" s="356"/>
      <c r="AT245" s="356"/>
      <c r="AU245" s="356"/>
      <c r="AV245" s="356"/>
      <c r="AW245" s="356"/>
      <c r="AX245" s="356"/>
      <c r="AY245" s="356"/>
      <c r="AZ245" s="356"/>
      <c r="BA245" s="356"/>
      <c r="BB245" s="356"/>
      <c r="BC245" s="356"/>
      <c r="BD245" s="356"/>
      <c r="BE245" s="356"/>
      <c r="BF245" s="356"/>
      <c r="BG245" s="356"/>
      <c r="BH245" s="356"/>
      <c r="BI245" s="356"/>
      <c r="BJ245" s="356"/>
      <c r="BK245" s="356"/>
      <c r="BL245" s="356"/>
      <c r="BM245" s="356"/>
      <c r="BN245" s="356"/>
      <c r="BO245" s="356"/>
      <c r="BP245" s="356"/>
      <c r="BQ245" s="356"/>
      <c r="BR245" s="356"/>
      <c r="BS245" s="356"/>
      <c r="BT245" s="356"/>
      <c r="BU245" s="356"/>
      <c r="BV245" s="356"/>
      <c r="BW245" s="356"/>
      <c r="BX245" s="356"/>
      <c r="BY245" s="356"/>
      <c r="BZ245" s="356"/>
      <c r="CA245" s="356"/>
      <c r="CB245" s="356"/>
      <c r="CC245" s="356"/>
      <c r="CD245" s="356"/>
      <c r="CE245" s="356"/>
      <c r="CF245" s="356"/>
      <c r="CG245" s="356"/>
      <c r="CH245" s="356"/>
      <c r="CI245" s="356"/>
      <c r="CJ245" s="356"/>
      <c r="CK245" s="356"/>
      <c r="CL245" s="356"/>
      <c r="CM245" s="357"/>
    </row>
    <row r="246" spans="1:16384" ht="27" customHeight="1" x14ac:dyDescent="0.2">
      <c r="A246" s="1460"/>
      <c r="B246" s="1340" t="s">
        <v>3272</v>
      </c>
      <c r="C246" s="1340"/>
      <c r="D246" s="1054"/>
      <c r="E246" s="1053" t="s">
        <v>3577</v>
      </c>
      <c r="F246" s="1340"/>
      <c r="G246" s="1054"/>
      <c r="H246" s="1053" t="s">
        <v>3578</v>
      </c>
      <c r="I246" s="1340"/>
      <c r="J246" s="1054"/>
      <c r="K246" s="1053" t="s">
        <v>3579</v>
      </c>
      <c r="L246" s="1340"/>
      <c r="M246" s="1054"/>
      <c r="N246" s="1053" t="s">
        <v>4948</v>
      </c>
      <c r="O246" s="1340"/>
      <c r="P246" s="1054"/>
      <c r="Q246" s="1053" t="s">
        <v>4949</v>
      </c>
      <c r="R246" s="1340"/>
      <c r="S246" s="1054"/>
      <c r="T246" s="1053" t="s">
        <v>4310</v>
      </c>
      <c r="U246" s="1340"/>
      <c r="V246" s="1054"/>
      <c r="W246" s="1053" t="s">
        <v>4950</v>
      </c>
      <c r="X246" s="1340"/>
      <c r="Y246" s="1054"/>
      <c r="Z246" s="1053" t="s">
        <v>4951</v>
      </c>
      <c r="AA246" s="1340"/>
      <c r="AB246" s="1054"/>
      <c r="AC246" s="1053" t="s">
        <v>4952</v>
      </c>
      <c r="AD246" s="1340"/>
      <c r="AE246" s="1054"/>
      <c r="AF246" s="1053" t="s">
        <v>4953</v>
      </c>
      <c r="AG246" s="1340"/>
      <c r="AH246" s="1054"/>
      <c r="AI246" s="1053" t="s">
        <v>4954</v>
      </c>
      <c r="AJ246" s="1340"/>
      <c r="AK246" s="1054"/>
      <c r="AL246" s="1053" t="s">
        <v>4955</v>
      </c>
      <c r="AM246" s="1340"/>
      <c r="AN246" s="1054"/>
      <c r="AO246" s="1053" t="s">
        <v>4956</v>
      </c>
      <c r="AP246" s="1340"/>
      <c r="AQ246" s="1054"/>
      <c r="AR246" s="1461">
        <v>0.25</v>
      </c>
      <c r="AS246" s="1462"/>
      <c r="AT246" s="1463"/>
      <c r="AU246" s="1036" t="s">
        <v>3275</v>
      </c>
      <c r="AV246" s="1036"/>
      <c r="AW246" s="1036"/>
      <c r="AX246" s="1036" t="s">
        <v>4582</v>
      </c>
      <c r="AY246" s="1036"/>
      <c r="AZ246" s="1036"/>
      <c r="BA246" s="1036" t="s">
        <v>3276</v>
      </c>
      <c r="BB246" s="1036"/>
      <c r="BC246" s="1036"/>
      <c r="BD246" s="1036" t="s">
        <v>4957</v>
      </c>
      <c r="BE246" s="1036"/>
      <c r="BF246" s="1036"/>
      <c r="BG246" s="1036" t="s">
        <v>4958</v>
      </c>
      <c r="BH246" s="1036"/>
      <c r="BI246" s="1036"/>
      <c r="BJ246" s="1036" t="s">
        <v>4162</v>
      </c>
      <c r="BK246" s="1036"/>
      <c r="BL246" s="1036"/>
      <c r="BM246" s="1036" t="s">
        <v>4163</v>
      </c>
      <c r="BN246" s="1036"/>
      <c r="BO246" s="1036"/>
      <c r="BP246" s="1036" t="s">
        <v>4959</v>
      </c>
      <c r="BQ246" s="1036"/>
      <c r="BR246" s="1036"/>
      <c r="BS246" s="1036" t="s">
        <v>4170</v>
      </c>
      <c r="BT246" s="1036"/>
      <c r="BU246" s="1036"/>
      <c r="BV246" s="1036" t="s">
        <v>4960</v>
      </c>
      <c r="BW246" s="1036"/>
      <c r="BX246" s="1036"/>
      <c r="BY246" s="1036" t="s">
        <v>4961</v>
      </c>
      <c r="BZ246" s="1036"/>
      <c r="CA246" s="1036"/>
      <c r="CB246" s="1036" t="s">
        <v>4962</v>
      </c>
      <c r="CC246" s="1036"/>
      <c r="CD246" s="1036"/>
      <c r="CE246" s="1036" t="s">
        <v>4963</v>
      </c>
      <c r="CF246" s="1036"/>
      <c r="CG246" s="1036"/>
      <c r="CH246" s="1036" t="s">
        <v>4169</v>
      </c>
      <c r="CI246" s="1036"/>
      <c r="CJ246" s="1036"/>
      <c r="CK246" s="1464" t="s">
        <v>4174</v>
      </c>
      <c r="CL246" s="1464"/>
      <c r="CM246" s="1464"/>
    </row>
    <row r="247" spans="1:16384" x14ac:dyDescent="0.2">
      <c r="A247" s="715"/>
      <c r="B247" s="1353" t="s">
        <v>4177</v>
      </c>
      <c r="C247" s="1053" t="s">
        <v>3374</v>
      </c>
      <c r="D247" s="1054"/>
      <c r="E247" s="1037" t="s">
        <v>4177</v>
      </c>
      <c r="F247" s="1053" t="s">
        <v>3374</v>
      </c>
      <c r="G247" s="1054"/>
      <c r="H247" s="1037" t="s">
        <v>4177</v>
      </c>
      <c r="I247" s="1053" t="s">
        <v>3374</v>
      </c>
      <c r="J247" s="1054"/>
      <c r="K247" s="1037" t="s">
        <v>4177</v>
      </c>
      <c r="L247" s="1053" t="s">
        <v>3374</v>
      </c>
      <c r="M247" s="1054"/>
      <c r="N247" s="1037" t="s">
        <v>4177</v>
      </c>
      <c r="O247" s="1053" t="s">
        <v>3374</v>
      </c>
      <c r="P247" s="1054"/>
      <c r="Q247" s="1037" t="s">
        <v>4177</v>
      </c>
      <c r="R247" s="1053" t="s">
        <v>3374</v>
      </c>
      <c r="S247" s="1054"/>
      <c r="T247" s="1037" t="s">
        <v>4177</v>
      </c>
      <c r="U247" s="1053" t="s">
        <v>3374</v>
      </c>
      <c r="V247" s="1054"/>
      <c r="W247" s="1037" t="s">
        <v>4177</v>
      </c>
      <c r="X247" s="1053" t="s">
        <v>3374</v>
      </c>
      <c r="Y247" s="1054"/>
      <c r="Z247" s="1037" t="s">
        <v>4177</v>
      </c>
      <c r="AA247" s="1053" t="s">
        <v>3374</v>
      </c>
      <c r="AB247" s="1054"/>
      <c r="AC247" s="1037" t="s">
        <v>4177</v>
      </c>
      <c r="AD247" s="1053" t="s">
        <v>3374</v>
      </c>
      <c r="AE247" s="1054"/>
      <c r="AF247" s="1037" t="s">
        <v>4177</v>
      </c>
      <c r="AG247" s="1053" t="s">
        <v>3374</v>
      </c>
      <c r="AH247" s="1054"/>
      <c r="AI247" s="1037" t="s">
        <v>4177</v>
      </c>
      <c r="AJ247" s="1053" t="s">
        <v>3374</v>
      </c>
      <c r="AK247" s="1054"/>
      <c r="AL247" s="1037" t="s">
        <v>4177</v>
      </c>
      <c r="AM247" s="1053" t="s">
        <v>3374</v>
      </c>
      <c r="AN247" s="1054"/>
      <c r="AO247" s="1037" t="s">
        <v>4177</v>
      </c>
      <c r="AP247" s="1053" t="s">
        <v>3374</v>
      </c>
      <c r="AQ247" s="1054"/>
      <c r="AR247" s="1037" t="s">
        <v>4177</v>
      </c>
      <c r="AS247" s="1053" t="s">
        <v>3374</v>
      </c>
      <c r="AT247" s="1054"/>
      <c r="AU247" s="1037" t="s">
        <v>4177</v>
      </c>
      <c r="AV247" s="1036" t="s">
        <v>3374</v>
      </c>
      <c r="AW247" s="1036"/>
      <c r="AX247" s="1037" t="s">
        <v>4177</v>
      </c>
      <c r="AY247" s="1036" t="s">
        <v>3374</v>
      </c>
      <c r="AZ247" s="1036"/>
      <c r="BA247" s="1037" t="s">
        <v>4177</v>
      </c>
      <c r="BB247" s="1036" t="s">
        <v>3374</v>
      </c>
      <c r="BC247" s="1036"/>
      <c r="BD247" s="1037" t="s">
        <v>4177</v>
      </c>
      <c r="BE247" s="1036" t="s">
        <v>3374</v>
      </c>
      <c r="BF247" s="1036"/>
      <c r="BG247" s="1037" t="s">
        <v>4177</v>
      </c>
      <c r="BH247" s="1036" t="s">
        <v>3374</v>
      </c>
      <c r="BI247" s="1036"/>
      <c r="BJ247" s="1037" t="s">
        <v>4177</v>
      </c>
      <c r="BK247" s="1036" t="s">
        <v>3374</v>
      </c>
      <c r="BL247" s="1036"/>
      <c r="BM247" s="1037" t="s">
        <v>4177</v>
      </c>
      <c r="BN247" s="1036" t="s">
        <v>3374</v>
      </c>
      <c r="BO247" s="1036"/>
      <c r="BP247" s="1037" t="s">
        <v>4177</v>
      </c>
      <c r="BQ247" s="1036" t="s">
        <v>3374</v>
      </c>
      <c r="BR247" s="1036"/>
      <c r="BS247" s="1037" t="s">
        <v>4177</v>
      </c>
      <c r="BT247" s="1036" t="s">
        <v>3374</v>
      </c>
      <c r="BU247" s="1036"/>
      <c r="BV247" s="1037" t="s">
        <v>4177</v>
      </c>
      <c r="BW247" s="1036" t="s">
        <v>3374</v>
      </c>
      <c r="BX247" s="1036"/>
      <c r="BY247" s="1037" t="s">
        <v>4177</v>
      </c>
      <c r="BZ247" s="1036" t="s">
        <v>3374</v>
      </c>
      <c r="CA247" s="1036"/>
      <c r="CB247" s="1037" t="s">
        <v>4177</v>
      </c>
      <c r="CC247" s="1036" t="s">
        <v>3374</v>
      </c>
      <c r="CD247" s="1036"/>
      <c r="CE247" s="1037" t="s">
        <v>4177</v>
      </c>
      <c r="CF247" s="1036" t="s">
        <v>3374</v>
      </c>
      <c r="CG247" s="1036"/>
      <c r="CH247" s="1037" t="s">
        <v>4177</v>
      </c>
      <c r="CI247" s="1036" t="s">
        <v>3374</v>
      </c>
      <c r="CJ247" s="1036"/>
      <c r="CK247" s="1037" t="s">
        <v>4177</v>
      </c>
      <c r="CL247" s="1036" t="s">
        <v>3374</v>
      </c>
      <c r="CM247" s="1036"/>
    </row>
    <row r="248" spans="1:16384" x14ac:dyDescent="0.2">
      <c r="A248" s="533" t="s">
        <v>3668</v>
      </c>
      <c r="B248" s="145">
        <v>16633</v>
      </c>
      <c r="C248" s="145">
        <v>95</v>
      </c>
      <c r="D248" s="180"/>
      <c r="E248" s="349">
        <v>16322</v>
      </c>
      <c r="F248" s="350">
        <v>50</v>
      </c>
      <c r="G248" s="352"/>
      <c r="H248" s="349">
        <v>140062</v>
      </c>
      <c r="I248" s="350">
        <v>35</v>
      </c>
      <c r="J248" s="352"/>
      <c r="K248" s="349">
        <v>105319</v>
      </c>
      <c r="L248" s="350">
        <v>40</v>
      </c>
      <c r="M248" s="352"/>
      <c r="N248" s="349">
        <v>214517</v>
      </c>
      <c r="O248" s="350">
        <v>55</v>
      </c>
      <c r="P248" s="352"/>
      <c r="Q248" s="349">
        <v>102849</v>
      </c>
      <c r="R248" s="350">
        <v>70</v>
      </c>
      <c r="S248" s="352"/>
      <c r="T248" s="349">
        <v>398896</v>
      </c>
      <c r="U248" s="350">
        <v>25</v>
      </c>
      <c r="V248" s="352"/>
      <c r="W248" s="349">
        <v>459620</v>
      </c>
      <c r="X248" s="350">
        <v>55</v>
      </c>
      <c r="Y248" s="352"/>
      <c r="Z248" s="349">
        <v>1017094</v>
      </c>
      <c r="AA248" s="350">
        <v>40</v>
      </c>
      <c r="AB248" s="352"/>
      <c r="AC248" s="349">
        <v>37804</v>
      </c>
      <c r="AD248" s="350">
        <v>45</v>
      </c>
      <c r="AE248" s="352"/>
      <c r="AF248" s="349">
        <v>111552</v>
      </c>
      <c r="AG248" s="350">
        <v>10</v>
      </c>
      <c r="AH248" s="352"/>
      <c r="AI248" s="349">
        <v>145861</v>
      </c>
      <c r="AJ248" s="350">
        <v>35</v>
      </c>
      <c r="AK248" s="352"/>
      <c r="AL248" s="349">
        <v>333726</v>
      </c>
      <c r="AM248" s="350">
        <v>55</v>
      </c>
      <c r="AN248" s="352"/>
      <c r="AO248" s="349">
        <v>198775</v>
      </c>
      <c r="AP248" s="350"/>
      <c r="AQ248" s="352"/>
      <c r="AR248" s="349">
        <v>816951</v>
      </c>
      <c r="AS248" s="350"/>
      <c r="AT248" s="352"/>
      <c r="AU248" s="349">
        <v>22</v>
      </c>
      <c r="AV248" s="350">
        <v>20</v>
      </c>
      <c r="AW248" s="352"/>
      <c r="AX248" s="349"/>
      <c r="AY248" s="350"/>
      <c r="AZ248" s="352"/>
      <c r="BA248" s="349">
        <v>4111009</v>
      </c>
      <c r="BB248" s="350">
        <v>40</v>
      </c>
      <c r="BC248" s="352"/>
      <c r="BD248" s="349">
        <v>35578</v>
      </c>
      <c r="BE248" s="350"/>
      <c r="BF248" s="352"/>
      <c r="BG248" s="349">
        <v>10537</v>
      </c>
      <c r="BH248" s="350">
        <v>90</v>
      </c>
      <c r="BI248" s="352"/>
      <c r="BJ248" s="349">
        <v>751</v>
      </c>
      <c r="BK248" s="350">
        <v>65</v>
      </c>
      <c r="BL248" s="352"/>
      <c r="BM248" s="349"/>
      <c r="BN248" s="350"/>
      <c r="BO248" s="352"/>
      <c r="BP248" s="349"/>
      <c r="BQ248" s="350"/>
      <c r="BR248" s="352"/>
      <c r="BS248" s="349"/>
      <c r="BT248" s="350"/>
      <c r="BU248" s="352"/>
      <c r="BV248" s="349"/>
      <c r="BW248" s="350"/>
      <c r="BX248" s="352"/>
      <c r="BY248" s="349"/>
      <c r="BZ248" s="350"/>
      <c r="CA248" s="352"/>
      <c r="CB248" s="349"/>
      <c r="CC248" s="350"/>
      <c r="CD248" s="352"/>
      <c r="CE248" s="349"/>
      <c r="CF248" s="350"/>
      <c r="CG248" s="352"/>
      <c r="CH248" s="349">
        <v>11360</v>
      </c>
      <c r="CI248" s="350">
        <v>10</v>
      </c>
      <c r="CJ248" s="352"/>
      <c r="CK248" s="349">
        <v>4169237</v>
      </c>
      <c r="CL248" s="350">
        <v>5</v>
      </c>
      <c r="CM248" s="352"/>
    </row>
    <row r="249" spans="1:16384" x14ac:dyDescent="0.2">
      <c r="A249" s="533" t="s">
        <v>1517</v>
      </c>
      <c r="B249" s="145">
        <v>368</v>
      </c>
      <c r="C249" s="145">
        <v>85</v>
      </c>
      <c r="D249" s="180"/>
      <c r="E249" s="131">
        <v>2011</v>
      </c>
      <c r="F249" s="145">
        <v>65</v>
      </c>
      <c r="G249" s="133"/>
      <c r="H249" s="131">
        <v>14343</v>
      </c>
      <c r="I249" s="145">
        <v>80</v>
      </c>
      <c r="J249" s="133"/>
      <c r="K249" s="131">
        <v>7491</v>
      </c>
      <c r="L249" s="145"/>
      <c r="M249" s="133"/>
      <c r="N249" s="131">
        <v>23191</v>
      </c>
      <c r="O249" s="145">
        <v>20</v>
      </c>
      <c r="P249" s="133"/>
      <c r="Q249" s="131">
        <v>11403</v>
      </c>
      <c r="R249" s="145">
        <v>70</v>
      </c>
      <c r="S249" s="133"/>
      <c r="T249" s="131">
        <v>41364</v>
      </c>
      <c r="U249" s="145">
        <v>95</v>
      </c>
      <c r="V249" s="133"/>
      <c r="W249" s="131">
        <v>37129</v>
      </c>
      <c r="X249" s="145">
        <v>85</v>
      </c>
      <c r="Y249" s="133"/>
      <c r="Z249" s="131">
        <v>73877</v>
      </c>
      <c r="AA249" s="145">
        <v>85</v>
      </c>
      <c r="AB249" s="133"/>
      <c r="AC249" s="131">
        <v>2097</v>
      </c>
      <c r="AD249" s="145">
        <v>50</v>
      </c>
      <c r="AE249" s="133"/>
      <c r="AF249" s="131">
        <v>10948</v>
      </c>
      <c r="AG249" s="145">
        <v>60</v>
      </c>
      <c r="AH249" s="133"/>
      <c r="AI249" s="131">
        <v>16521</v>
      </c>
      <c r="AJ249" s="145">
        <v>30</v>
      </c>
      <c r="AK249" s="133"/>
      <c r="AL249" s="131">
        <v>23625</v>
      </c>
      <c r="AM249" s="145">
        <v>90</v>
      </c>
      <c r="AN249" s="133"/>
      <c r="AO249" s="131">
        <v>27182</v>
      </c>
      <c r="AP249" s="145">
        <v>80</v>
      </c>
      <c r="AQ249" s="133"/>
      <c r="AR249" s="131">
        <v>71915</v>
      </c>
      <c r="AS249" s="145">
        <v>25</v>
      </c>
      <c r="AT249" s="133"/>
      <c r="AU249" s="131"/>
      <c r="AV249" s="145"/>
      <c r="AW249" s="133"/>
      <c r="AX249" s="131">
        <v>24175</v>
      </c>
      <c r="AY249" s="145">
        <v>80</v>
      </c>
      <c r="AZ249" s="133"/>
      <c r="BA249" s="131">
        <v>339298</v>
      </c>
      <c r="BB249" s="145">
        <v>50</v>
      </c>
      <c r="BC249" s="133"/>
      <c r="BD249" s="131"/>
      <c r="BE249" s="145"/>
      <c r="BF249" s="133"/>
      <c r="BG249" s="131">
        <v>2431</v>
      </c>
      <c r="BH249" s="145">
        <v>40</v>
      </c>
      <c r="BI249" s="133"/>
      <c r="BJ249" s="131">
        <v>42</v>
      </c>
      <c r="BK249" s="145">
        <v>90</v>
      </c>
      <c r="BL249" s="133"/>
      <c r="BM249" s="131">
        <v>12</v>
      </c>
      <c r="BN249" s="145"/>
      <c r="BO249" s="133"/>
      <c r="BP249" s="131">
        <v>30</v>
      </c>
      <c r="BQ249" s="145"/>
      <c r="BR249" s="133"/>
      <c r="BS249" s="131"/>
      <c r="BT249" s="145"/>
      <c r="BU249" s="133"/>
      <c r="BV249" s="131"/>
      <c r="BW249" s="145"/>
      <c r="BX249" s="133"/>
      <c r="BY249" s="131"/>
      <c r="BZ249" s="145"/>
      <c r="CA249" s="133"/>
      <c r="CB249" s="131"/>
      <c r="CC249" s="145"/>
      <c r="CD249" s="133"/>
      <c r="CE249" s="131"/>
      <c r="CF249" s="145"/>
      <c r="CG249" s="133"/>
      <c r="CH249" s="131">
        <v>5273</v>
      </c>
      <c r="CI249" s="145">
        <v>35</v>
      </c>
      <c r="CJ249" s="133"/>
      <c r="CK249" s="131">
        <v>347088</v>
      </c>
      <c r="CL249" s="145">
        <v>15</v>
      </c>
      <c r="CM249" s="133"/>
    </row>
    <row r="250" spans="1:16384" x14ac:dyDescent="0.2">
      <c r="A250" s="533" t="s">
        <v>4033</v>
      </c>
      <c r="B250" s="145">
        <v>19499</v>
      </c>
      <c r="C250" s="145">
        <v>25</v>
      </c>
      <c r="D250" s="180"/>
      <c r="E250" s="131">
        <v>15336</v>
      </c>
      <c r="F250" s="145">
        <v>35</v>
      </c>
      <c r="G250" s="133"/>
      <c r="H250" s="131">
        <v>127584</v>
      </c>
      <c r="I250" s="145">
        <v>5</v>
      </c>
      <c r="J250" s="133"/>
      <c r="K250" s="131">
        <v>96115</v>
      </c>
      <c r="L250" s="145">
        <v>70</v>
      </c>
      <c r="M250" s="133"/>
      <c r="N250" s="131">
        <v>104077</v>
      </c>
      <c r="O250" s="145">
        <v>80</v>
      </c>
      <c r="P250" s="133"/>
      <c r="Q250" s="131">
        <v>44899</v>
      </c>
      <c r="R250" s="145">
        <v>50</v>
      </c>
      <c r="S250" s="133"/>
      <c r="T250" s="131">
        <v>120715</v>
      </c>
      <c r="U250" s="145">
        <v>60</v>
      </c>
      <c r="V250" s="133"/>
      <c r="W250" s="131">
        <v>221053</v>
      </c>
      <c r="X250" s="145">
        <v>50</v>
      </c>
      <c r="Y250" s="133"/>
      <c r="Z250" s="131">
        <v>350595</v>
      </c>
      <c r="AA250" s="145">
        <v>40</v>
      </c>
      <c r="AB250" s="133"/>
      <c r="AC250" s="131">
        <v>19157</v>
      </c>
      <c r="AD250" s="145">
        <v>60</v>
      </c>
      <c r="AE250" s="133"/>
      <c r="AF250" s="131">
        <v>48401</v>
      </c>
      <c r="AG250" s="145">
        <v>60</v>
      </c>
      <c r="AH250" s="133"/>
      <c r="AI250" s="131">
        <v>66559</v>
      </c>
      <c r="AJ250" s="145">
        <v>50</v>
      </c>
      <c r="AK250" s="133"/>
      <c r="AL250" s="131">
        <v>112794</v>
      </c>
      <c r="AM250" s="145"/>
      <c r="AN250" s="133"/>
      <c r="AO250" s="131">
        <v>57174</v>
      </c>
      <c r="AP250" s="145"/>
      <c r="AQ250" s="133"/>
      <c r="AR250" s="131">
        <v>342474</v>
      </c>
      <c r="AS250" s="145">
        <v>95</v>
      </c>
      <c r="AT250" s="133"/>
      <c r="AU250" s="131"/>
      <c r="AV250" s="145"/>
      <c r="AW250" s="133"/>
      <c r="AX250" s="131">
        <v>935</v>
      </c>
      <c r="AY250" s="145"/>
      <c r="AZ250" s="133"/>
      <c r="BA250" s="131">
        <v>1745503</v>
      </c>
      <c r="BB250" s="145">
        <v>80</v>
      </c>
      <c r="BC250" s="133"/>
      <c r="BD250" s="131"/>
      <c r="BE250" s="145"/>
      <c r="BF250" s="133"/>
      <c r="BG250" s="131">
        <v>558</v>
      </c>
      <c r="BH250" s="145">
        <v>5</v>
      </c>
      <c r="BI250" s="133"/>
      <c r="BJ250" s="131">
        <v>421</v>
      </c>
      <c r="BK250" s="145">
        <v>45</v>
      </c>
      <c r="BL250" s="133"/>
      <c r="BM250" s="131">
        <v>72</v>
      </c>
      <c r="BN250" s="145"/>
      <c r="BO250" s="133"/>
      <c r="BP250" s="131">
        <v>59</v>
      </c>
      <c r="BQ250" s="145"/>
      <c r="BR250" s="133"/>
      <c r="BS250" s="131">
        <v>226</v>
      </c>
      <c r="BT250" s="145">
        <v>80</v>
      </c>
      <c r="BU250" s="133"/>
      <c r="BV250" s="131"/>
      <c r="BW250" s="145"/>
      <c r="BX250" s="133"/>
      <c r="BY250" s="131"/>
      <c r="BZ250" s="145"/>
      <c r="CA250" s="133"/>
      <c r="CB250" s="131"/>
      <c r="CC250" s="145"/>
      <c r="CD250" s="133"/>
      <c r="CE250" s="131">
        <v>2778</v>
      </c>
      <c r="CF250" s="145">
        <v>10</v>
      </c>
      <c r="CG250" s="133"/>
      <c r="CH250" s="131">
        <v>116</v>
      </c>
      <c r="CI250" s="145">
        <v>30</v>
      </c>
      <c r="CJ250" s="133"/>
      <c r="CK250" s="131">
        <v>1749735</v>
      </c>
      <c r="CL250" s="145">
        <v>50</v>
      </c>
      <c r="CM250" s="133"/>
    </row>
    <row r="251" spans="1:16384" x14ac:dyDescent="0.2">
      <c r="A251" s="533" t="s">
        <v>1519</v>
      </c>
      <c r="B251" s="145">
        <v>1452</v>
      </c>
      <c r="C251" s="145">
        <v>25</v>
      </c>
      <c r="D251" s="180"/>
      <c r="E251" s="131">
        <v>1831</v>
      </c>
      <c r="F251" s="145">
        <v>25</v>
      </c>
      <c r="G251" s="133"/>
      <c r="H251" s="131">
        <v>53129</v>
      </c>
      <c r="I251" s="145">
        <v>65</v>
      </c>
      <c r="J251" s="133"/>
      <c r="K251" s="131">
        <v>10322</v>
      </c>
      <c r="L251" s="145">
        <v>50</v>
      </c>
      <c r="M251" s="133"/>
      <c r="N251" s="131">
        <v>34474</v>
      </c>
      <c r="O251" s="145">
        <v>75</v>
      </c>
      <c r="P251" s="133"/>
      <c r="Q251" s="131">
        <v>13475</v>
      </c>
      <c r="R251" s="145">
        <v>75</v>
      </c>
      <c r="S251" s="133"/>
      <c r="T251" s="131">
        <v>32719</v>
      </c>
      <c r="U251" s="145">
        <v>30</v>
      </c>
      <c r="V251" s="133"/>
      <c r="W251" s="131">
        <v>21170</v>
      </c>
      <c r="X251" s="145">
        <v>80</v>
      </c>
      <c r="Y251" s="133"/>
      <c r="Z251" s="131">
        <v>72644</v>
      </c>
      <c r="AA251" s="145">
        <v>70</v>
      </c>
      <c r="AB251" s="133"/>
      <c r="AC251" s="131">
        <v>10614</v>
      </c>
      <c r="AD251" s="145">
        <v>15</v>
      </c>
      <c r="AE251" s="133"/>
      <c r="AF251" s="131">
        <v>12573</v>
      </c>
      <c r="AG251" s="145">
        <v>70</v>
      </c>
      <c r="AH251" s="133"/>
      <c r="AI251" s="131">
        <v>14583</v>
      </c>
      <c r="AJ251" s="145">
        <v>25</v>
      </c>
      <c r="AK251" s="133"/>
      <c r="AL251" s="131">
        <v>22451</v>
      </c>
      <c r="AM251" s="145">
        <v>25</v>
      </c>
      <c r="AN251" s="133"/>
      <c r="AO251" s="131">
        <v>17761</v>
      </c>
      <c r="AP251" s="145">
        <v>55</v>
      </c>
      <c r="AQ251" s="133"/>
      <c r="AR251" s="131">
        <v>83379</v>
      </c>
      <c r="AS251" s="145"/>
      <c r="AT251" s="133"/>
      <c r="AU251" s="131">
        <v>44416</v>
      </c>
      <c r="AV251" s="145">
        <v>40</v>
      </c>
      <c r="AW251" s="133"/>
      <c r="AX251" s="131"/>
      <c r="AY251" s="145"/>
      <c r="AZ251" s="133"/>
      <c r="BA251" s="131">
        <v>447081</v>
      </c>
      <c r="BB251" s="145">
        <v>85</v>
      </c>
      <c r="BC251" s="133"/>
      <c r="BD251" s="131"/>
      <c r="BE251" s="145"/>
      <c r="BF251" s="133"/>
      <c r="BG251" s="131"/>
      <c r="BH251" s="145"/>
      <c r="BI251" s="133"/>
      <c r="BJ251" s="131"/>
      <c r="BK251" s="145"/>
      <c r="BL251" s="133"/>
      <c r="BM251" s="131"/>
      <c r="BN251" s="145"/>
      <c r="BO251" s="133"/>
      <c r="BP251" s="131"/>
      <c r="BQ251" s="145"/>
      <c r="BR251" s="133"/>
      <c r="BS251" s="131"/>
      <c r="BT251" s="145"/>
      <c r="BU251" s="133"/>
      <c r="BV251" s="131">
        <v>1134</v>
      </c>
      <c r="BW251" s="145">
        <v>95</v>
      </c>
      <c r="BX251" s="133"/>
      <c r="BY251" s="131">
        <v>327</v>
      </c>
      <c r="BZ251" s="145">
        <v>70</v>
      </c>
      <c r="CA251" s="133"/>
      <c r="CB251" s="131"/>
      <c r="CC251" s="145"/>
      <c r="CD251" s="133"/>
      <c r="CE251" s="131">
        <v>4048</v>
      </c>
      <c r="CF251" s="145">
        <v>90</v>
      </c>
      <c r="CG251" s="133"/>
      <c r="CH251" s="131">
        <v>151</v>
      </c>
      <c r="CI251" s="145">
        <v>45</v>
      </c>
      <c r="CJ251" s="133"/>
      <c r="CK251" s="131">
        <v>452744</v>
      </c>
      <c r="CL251" s="145">
        <v>85</v>
      </c>
      <c r="CM251" s="133"/>
    </row>
    <row r="252" spans="1:16384" x14ac:dyDescent="0.2">
      <c r="A252" s="533" t="s">
        <v>4553</v>
      </c>
      <c r="B252" s="145">
        <v>130</v>
      </c>
      <c r="C252" s="145">
        <v>20</v>
      </c>
      <c r="D252" s="180"/>
      <c r="E252" s="131"/>
      <c r="F252" s="145"/>
      <c r="G252" s="133"/>
      <c r="H252" s="131">
        <v>810</v>
      </c>
      <c r="I252" s="145"/>
      <c r="J252" s="133"/>
      <c r="K252" s="131">
        <v>176</v>
      </c>
      <c r="L252" s="145">
        <v>65</v>
      </c>
      <c r="M252" s="133"/>
      <c r="N252" s="131">
        <v>606</v>
      </c>
      <c r="O252" s="145">
        <v>85</v>
      </c>
      <c r="P252" s="133"/>
      <c r="Q252" s="131">
        <v>36</v>
      </c>
      <c r="R252" s="145">
        <v>60</v>
      </c>
      <c r="S252" s="133"/>
      <c r="T252" s="131">
        <v>48</v>
      </c>
      <c r="U252" s="145">
        <v>30</v>
      </c>
      <c r="V252" s="133"/>
      <c r="W252" s="131">
        <v>1625</v>
      </c>
      <c r="X252" s="145">
        <v>5</v>
      </c>
      <c r="Y252" s="133"/>
      <c r="Z252" s="131">
        <v>247</v>
      </c>
      <c r="AA252" s="145">
        <v>80</v>
      </c>
      <c r="AB252" s="133"/>
      <c r="AC252" s="131">
        <v>1</v>
      </c>
      <c r="AD252" s="145">
        <v>40</v>
      </c>
      <c r="AE252" s="133"/>
      <c r="AF252" s="131">
        <v>81</v>
      </c>
      <c r="AG252" s="145">
        <v>20</v>
      </c>
      <c r="AH252" s="133"/>
      <c r="AI252" s="131">
        <v>37</v>
      </c>
      <c r="AJ252" s="145">
        <v>35</v>
      </c>
      <c r="AK252" s="133"/>
      <c r="AL252" s="131">
        <v>97</v>
      </c>
      <c r="AM252" s="145">
        <v>70</v>
      </c>
      <c r="AN252" s="133"/>
      <c r="AO252" s="131"/>
      <c r="AP252" s="145">
        <v>60</v>
      </c>
      <c r="AQ252" s="133"/>
      <c r="AR252" s="131">
        <v>984</v>
      </c>
      <c r="AS252" s="145">
        <v>45</v>
      </c>
      <c r="AT252" s="133"/>
      <c r="AU252" s="131">
        <v>35</v>
      </c>
      <c r="AV252" s="145"/>
      <c r="AW252" s="133"/>
      <c r="AX252" s="131"/>
      <c r="AY252" s="145"/>
      <c r="AZ252" s="133"/>
      <c r="BA252" s="131">
        <v>4919</v>
      </c>
      <c r="BB252" s="145">
        <v>15</v>
      </c>
      <c r="BC252" s="133"/>
      <c r="BD252" s="131"/>
      <c r="BE252" s="145"/>
      <c r="BF252" s="133"/>
      <c r="BG252" s="131"/>
      <c r="BH252" s="145"/>
      <c r="BI252" s="133"/>
      <c r="BJ252" s="131"/>
      <c r="BK252" s="145"/>
      <c r="BL252" s="133"/>
      <c r="BM252" s="131"/>
      <c r="BN252" s="145"/>
      <c r="BO252" s="133"/>
      <c r="BP252" s="131"/>
      <c r="BQ252" s="145"/>
      <c r="BR252" s="133"/>
      <c r="BS252" s="131"/>
      <c r="BT252" s="145"/>
      <c r="BU252" s="133"/>
      <c r="BV252" s="131"/>
      <c r="BW252" s="145"/>
      <c r="BX252" s="133"/>
      <c r="BY252" s="131"/>
      <c r="BZ252" s="145"/>
      <c r="CA252" s="133"/>
      <c r="CB252" s="131"/>
      <c r="CC252" s="145"/>
      <c r="CD252" s="133"/>
      <c r="CE252" s="131"/>
      <c r="CF252" s="145"/>
      <c r="CG252" s="133"/>
      <c r="CH252" s="131"/>
      <c r="CI252" s="145"/>
      <c r="CJ252" s="133"/>
      <c r="CK252" s="131">
        <v>4919</v>
      </c>
      <c r="CL252" s="145">
        <v>15</v>
      </c>
      <c r="CM252" s="133"/>
    </row>
    <row r="253" spans="1:16384" x14ac:dyDescent="0.2">
      <c r="A253" s="533" t="s">
        <v>4828</v>
      </c>
      <c r="B253" s="145">
        <v>33</v>
      </c>
      <c r="C253" s="145">
        <v>87</v>
      </c>
      <c r="D253" s="180">
        <v>0.5</v>
      </c>
      <c r="E253" s="131">
        <v>29</v>
      </c>
      <c r="F253" s="145">
        <v>2</v>
      </c>
      <c r="G253" s="133">
        <v>0.5</v>
      </c>
      <c r="H253" s="131">
        <v>1181</v>
      </c>
      <c r="I253" s="145">
        <v>65</v>
      </c>
      <c r="J253" s="133">
        <v>0.5</v>
      </c>
      <c r="K253" s="131">
        <v>764</v>
      </c>
      <c r="L253" s="145">
        <v>40</v>
      </c>
      <c r="M253" s="133">
        <v>0.5</v>
      </c>
      <c r="N253" s="131">
        <v>474</v>
      </c>
      <c r="O253" s="145">
        <v>71</v>
      </c>
      <c r="P253" s="133">
        <v>0.25</v>
      </c>
      <c r="Q253" s="131">
        <v>453</v>
      </c>
      <c r="R253" s="145">
        <v>34</v>
      </c>
      <c r="S253" s="133"/>
      <c r="T253" s="131">
        <v>1323</v>
      </c>
      <c r="U253" s="145">
        <v>82</v>
      </c>
      <c r="V253" s="133">
        <v>0.75</v>
      </c>
      <c r="W253" s="131">
        <v>1337</v>
      </c>
      <c r="X253" s="145">
        <v>78</v>
      </c>
      <c r="Y253" s="133">
        <v>0.25</v>
      </c>
      <c r="Z253" s="131">
        <v>550</v>
      </c>
      <c r="AA253" s="145">
        <v>34</v>
      </c>
      <c r="AB253" s="133">
        <v>0.25</v>
      </c>
      <c r="AC253" s="131">
        <v>315</v>
      </c>
      <c r="AD253" s="145"/>
      <c r="AE253" s="133"/>
      <c r="AF253" s="131">
        <v>19</v>
      </c>
      <c r="AG253" s="145">
        <v>30</v>
      </c>
      <c r="AH253" s="133"/>
      <c r="AI253" s="131">
        <v>508</v>
      </c>
      <c r="AJ253" s="145">
        <v>90</v>
      </c>
      <c r="AK253" s="133"/>
      <c r="AL253" s="131">
        <v>384</v>
      </c>
      <c r="AM253" s="145">
        <v>6</v>
      </c>
      <c r="AN253" s="133"/>
      <c r="AO253" s="131">
        <v>2328</v>
      </c>
      <c r="AP253" s="145">
        <v>64</v>
      </c>
      <c r="AQ253" s="133"/>
      <c r="AR253" s="131">
        <v>25</v>
      </c>
      <c r="AS253" s="145">
        <v>80</v>
      </c>
      <c r="AT253" s="133"/>
      <c r="AU253" s="131"/>
      <c r="AV253" s="145"/>
      <c r="AW253" s="133"/>
      <c r="AX253" s="131"/>
      <c r="AY253" s="145"/>
      <c r="AZ253" s="133"/>
      <c r="BA253" s="131">
        <v>9730</v>
      </c>
      <c r="BB253" s="145">
        <v>21</v>
      </c>
      <c r="BC253" s="133">
        <v>0.5</v>
      </c>
      <c r="BD253" s="131"/>
      <c r="BE253" s="145"/>
      <c r="BF253" s="133"/>
      <c r="BG253" s="131"/>
      <c r="BH253" s="145"/>
      <c r="BI253" s="133"/>
      <c r="BJ253" s="131"/>
      <c r="BK253" s="145"/>
      <c r="BL253" s="133"/>
      <c r="BM253" s="131"/>
      <c r="BN253" s="145"/>
      <c r="BO253" s="133"/>
      <c r="BP253" s="131"/>
      <c r="BQ253" s="145"/>
      <c r="BR253" s="133"/>
      <c r="BS253" s="131"/>
      <c r="BT253" s="145"/>
      <c r="BU253" s="133"/>
      <c r="BV253" s="131"/>
      <c r="BW253" s="145"/>
      <c r="BX253" s="133"/>
      <c r="BY253" s="131"/>
      <c r="BZ253" s="145"/>
      <c r="CA253" s="133"/>
      <c r="CB253" s="131"/>
      <c r="CC253" s="145"/>
      <c r="CD253" s="133"/>
      <c r="CE253" s="131"/>
      <c r="CF253" s="145"/>
      <c r="CG253" s="133"/>
      <c r="CH253" s="131"/>
      <c r="CI253" s="145"/>
      <c r="CJ253" s="133"/>
      <c r="CK253" s="131">
        <v>9730</v>
      </c>
      <c r="CL253" s="145">
        <v>21</v>
      </c>
      <c r="CM253" s="133">
        <v>0.5</v>
      </c>
    </row>
    <row r="254" spans="1:16384" x14ac:dyDescent="0.2">
      <c r="A254" s="533" t="s">
        <v>1526</v>
      </c>
      <c r="B254" s="145">
        <v>2205</v>
      </c>
      <c r="C254" s="145">
        <v>25</v>
      </c>
      <c r="D254" s="180"/>
      <c r="E254" s="131">
        <v>160</v>
      </c>
      <c r="F254" s="145">
        <v>65</v>
      </c>
      <c r="G254" s="133"/>
      <c r="H254" s="131">
        <v>5998</v>
      </c>
      <c r="I254" s="145">
        <v>65</v>
      </c>
      <c r="J254" s="133"/>
      <c r="K254" s="131">
        <v>4407</v>
      </c>
      <c r="L254" s="145">
        <v>10</v>
      </c>
      <c r="M254" s="133"/>
      <c r="N254" s="131">
        <v>3627</v>
      </c>
      <c r="O254" s="145">
        <v>40</v>
      </c>
      <c r="P254" s="133"/>
      <c r="Q254" s="131">
        <v>4438</v>
      </c>
      <c r="R254" s="145">
        <v>5</v>
      </c>
      <c r="S254" s="133"/>
      <c r="T254" s="131">
        <v>9903</v>
      </c>
      <c r="U254" s="145">
        <v>75</v>
      </c>
      <c r="V254" s="133"/>
      <c r="W254" s="131">
        <v>6848</v>
      </c>
      <c r="X254" s="145">
        <v>25</v>
      </c>
      <c r="Y254" s="133"/>
      <c r="Z254" s="131">
        <v>8426</v>
      </c>
      <c r="AA254" s="145">
        <v>95</v>
      </c>
      <c r="AB254" s="133"/>
      <c r="AC254" s="131">
        <v>131</v>
      </c>
      <c r="AD254" s="145">
        <v>45</v>
      </c>
      <c r="AE254" s="133"/>
      <c r="AF254" s="131">
        <v>415</v>
      </c>
      <c r="AG254" s="145">
        <v>20</v>
      </c>
      <c r="AH254" s="133"/>
      <c r="AI254" s="131">
        <v>1255</v>
      </c>
      <c r="AJ254" s="145">
        <v>95</v>
      </c>
      <c r="AK254" s="133"/>
      <c r="AL254" s="131">
        <v>702</v>
      </c>
      <c r="AM254" s="145"/>
      <c r="AN254" s="133"/>
      <c r="AO254" s="131">
        <v>798</v>
      </c>
      <c r="AP254" s="145">
        <v>20</v>
      </c>
      <c r="AQ254" s="133"/>
      <c r="AR254" s="131">
        <v>12207</v>
      </c>
      <c r="AS254" s="145">
        <v>80</v>
      </c>
      <c r="AT254" s="133"/>
      <c r="AU254" s="131"/>
      <c r="AV254" s="145"/>
      <c r="AW254" s="133"/>
      <c r="AX254" s="131">
        <v>404</v>
      </c>
      <c r="AY254" s="145">
        <v>60</v>
      </c>
      <c r="AZ254" s="133"/>
      <c r="BA254" s="131">
        <v>61121</v>
      </c>
      <c r="BB254" s="145">
        <v>5</v>
      </c>
      <c r="BC254" s="133"/>
      <c r="BD254" s="131"/>
      <c r="BE254" s="145"/>
      <c r="BF254" s="133"/>
      <c r="BG254" s="131">
        <v>129</v>
      </c>
      <c r="BH254" s="145">
        <v>45</v>
      </c>
      <c r="BI254" s="133"/>
      <c r="BJ254" s="131">
        <v>504</v>
      </c>
      <c r="BK254" s="145">
        <v>70</v>
      </c>
      <c r="BL254" s="133"/>
      <c r="BM254" s="131"/>
      <c r="BN254" s="145"/>
      <c r="BO254" s="133"/>
      <c r="BP254" s="131"/>
      <c r="BQ254" s="145"/>
      <c r="BR254" s="133"/>
      <c r="BS254" s="131"/>
      <c r="BT254" s="145"/>
      <c r="BU254" s="133"/>
      <c r="BV254" s="131"/>
      <c r="BW254" s="145"/>
      <c r="BX254" s="133"/>
      <c r="BY254" s="131">
        <v>262</v>
      </c>
      <c r="BZ254" s="145">
        <v>80</v>
      </c>
      <c r="CA254" s="133"/>
      <c r="CB254" s="131"/>
      <c r="CC254" s="145"/>
      <c r="CD254" s="133"/>
      <c r="CE254" s="131"/>
      <c r="CF254" s="145"/>
      <c r="CG254" s="133"/>
      <c r="CH254" s="131"/>
      <c r="CI254" s="145"/>
      <c r="CJ254" s="133"/>
      <c r="CK254" s="131">
        <v>62018</v>
      </c>
      <c r="CL254" s="145"/>
      <c r="CM254" s="133"/>
    </row>
    <row r="255" spans="1:16384" x14ac:dyDescent="0.2">
      <c r="A255" s="533" t="s">
        <v>4827</v>
      </c>
      <c r="B255" s="145">
        <v>1933</v>
      </c>
      <c r="C255" s="145">
        <v>65</v>
      </c>
      <c r="D255" s="180"/>
      <c r="E255" s="131">
        <v>190</v>
      </c>
      <c r="F255" s="145">
        <v>55</v>
      </c>
      <c r="G255" s="133"/>
      <c r="H255" s="131">
        <v>3673</v>
      </c>
      <c r="I255" s="145">
        <v>10</v>
      </c>
      <c r="J255" s="133"/>
      <c r="K255" s="131">
        <v>2537</v>
      </c>
      <c r="L255" s="145">
        <v>65</v>
      </c>
      <c r="M255" s="133"/>
      <c r="N255" s="131">
        <v>2637</v>
      </c>
      <c r="O255" s="145">
        <v>90</v>
      </c>
      <c r="P255" s="133"/>
      <c r="Q255" s="131">
        <v>724</v>
      </c>
      <c r="R255" s="145">
        <v>95</v>
      </c>
      <c r="S255" s="133"/>
      <c r="T255" s="131">
        <v>1200</v>
      </c>
      <c r="U255" s="145"/>
      <c r="V255" s="133"/>
      <c r="W255" s="131">
        <v>2168</v>
      </c>
      <c r="X255" s="145"/>
      <c r="Y255" s="133"/>
      <c r="Z255" s="131">
        <v>2334</v>
      </c>
      <c r="AA255" s="145">
        <v>60</v>
      </c>
      <c r="AB255" s="133"/>
      <c r="AC255" s="131">
        <v>131</v>
      </c>
      <c r="AD255" s="145">
        <v>95</v>
      </c>
      <c r="AE255" s="133"/>
      <c r="AF255" s="131">
        <v>559</v>
      </c>
      <c r="AG255" s="145">
        <v>20</v>
      </c>
      <c r="AH255" s="133"/>
      <c r="AI255" s="131">
        <v>358</v>
      </c>
      <c r="AJ255" s="145">
        <v>20</v>
      </c>
      <c r="AK255" s="133"/>
      <c r="AL255" s="131">
        <v>770</v>
      </c>
      <c r="AM255" s="145"/>
      <c r="AN255" s="133"/>
      <c r="AO255" s="131">
        <v>1063</v>
      </c>
      <c r="AP255" s="145">
        <v>50</v>
      </c>
      <c r="AQ255" s="133"/>
      <c r="AR255" s="131">
        <v>5112</v>
      </c>
      <c r="AS255" s="145">
        <v>40</v>
      </c>
      <c r="AT255" s="133"/>
      <c r="AU255" s="131"/>
      <c r="AV255" s="145"/>
      <c r="AW255" s="133"/>
      <c r="AX255" s="131">
        <v>6</v>
      </c>
      <c r="AY255" s="145">
        <v>65</v>
      </c>
      <c r="AZ255" s="133"/>
      <c r="BA255" s="131">
        <v>25389</v>
      </c>
      <c r="BB255" s="145">
        <v>10</v>
      </c>
      <c r="BC255" s="133"/>
      <c r="BD255" s="131">
        <v>354</v>
      </c>
      <c r="BE255" s="145">
        <v>25</v>
      </c>
      <c r="BF255" s="133"/>
      <c r="BG255" s="131">
        <v>172</v>
      </c>
      <c r="BH255" s="145">
        <v>75</v>
      </c>
      <c r="BI255" s="133"/>
      <c r="BJ255" s="131"/>
      <c r="BK255" s="145"/>
      <c r="BL255" s="133"/>
      <c r="BM255" s="131"/>
      <c r="BN255" s="145"/>
      <c r="BO255" s="133"/>
      <c r="BP255" s="131"/>
      <c r="BQ255" s="145"/>
      <c r="BR255" s="133"/>
      <c r="BS255" s="131"/>
      <c r="BT255" s="145"/>
      <c r="BU255" s="133"/>
      <c r="BV255" s="131"/>
      <c r="BW255" s="145"/>
      <c r="BX255" s="133"/>
      <c r="BY255" s="131"/>
      <c r="BZ255" s="145"/>
      <c r="CA255" s="133"/>
      <c r="CB255" s="131"/>
      <c r="CC255" s="145"/>
      <c r="CD255" s="133"/>
      <c r="CE255" s="131"/>
      <c r="CF255" s="145"/>
      <c r="CG255" s="133"/>
      <c r="CH255" s="131"/>
      <c r="CI255" s="145"/>
      <c r="CJ255" s="133"/>
      <c r="CK255" s="131">
        <v>25916</v>
      </c>
      <c r="CL255" s="145">
        <v>10</v>
      </c>
      <c r="CM255" s="133"/>
    </row>
    <row r="256" spans="1:16384" x14ac:dyDescent="0.2">
      <c r="A256" s="533" t="s">
        <v>1527</v>
      </c>
      <c r="B256" s="145">
        <v>280</v>
      </c>
      <c r="C256" s="145">
        <v>40</v>
      </c>
      <c r="D256" s="180"/>
      <c r="E256" s="131">
        <v>1669</v>
      </c>
      <c r="F256" s="145">
        <v>90</v>
      </c>
      <c r="G256" s="133"/>
      <c r="H256" s="131">
        <v>6340</v>
      </c>
      <c r="I256" s="145">
        <v>5</v>
      </c>
      <c r="J256" s="133"/>
      <c r="K256" s="131">
        <v>6329</v>
      </c>
      <c r="L256" s="145">
        <v>50</v>
      </c>
      <c r="M256" s="133"/>
      <c r="N256" s="131">
        <v>6758</v>
      </c>
      <c r="O256" s="145">
        <v>60</v>
      </c>
      <c r="P256" s="133"/>
      <c r="Q256" s="131">
        <v>2587</v>
      </c>
      <c r="R256" s="145">
        <v>80</v>
      </c>
      <c r="S256" s="133"/>
      <c r="T256" s="131">
        <v>3296</v>
      </c>
      <c r="U256" s="145"/>
      <c r="V256" s="133"/>
      <c r="W256" s="131">
        <v>6915</v>
      </c>
      <c r="X256" s="145">
        <v>50</v>
      </c>
      <c r="Y256" s="133"/>
      <c r="Z256" s="131">
        <v>15339</v>
      </c>
      <c r="AA256" s="145">
        <v>60</v>
      </c>
      <c r="AB256" s="133"/>
      <c r="AC256" s="131">
        <v>784</v>
      </c>
      <c r="AD256" s="145">
        <v>70</v>
      </c>
      <c r="AE256" s="133"/>
      <c r="AF256" s="131">
        <v>894</v>
      </c>
      <c r="AG256" s="145"/>
      <c r="AH256" s="133"/>
      <c r="AI256" s="131">
        <v>1748</v>
      </c>
      <c r="AJ256" s="145">
        <v>70</v>
      </c>
      <c r="AK256" s="133"/>
      <c r="AL256" s="131">
        <v>2151</v>
      </c>
      <c r="AM256" s="145"/>
      <c r="AN256" s="133"/>
      <c r="AO256" s="131">
        <v>2800</v>
      </c>
      <c r="AP256" s="145"/>
      <c r="AQ256" s="133"/>
      <c r="AR256" s="131">
        <v>12714</v>
      </c>
      <c r="AS256" s="145">
        <v>60</v>
      </c>
      <c r="AT256" s="133"/>
      <c r="AU256" s="131"/>
      <c r="AV256" s="145"/>
      <c r="AW256" s="133"/>
      <c r="AX256" s="131">
        <v>6152</v>
      </c>
      <c r="AY256" s="145">
        <v>60</v>
      </c>
      <c r="AZ256" s="133"/>
      <c r="BA256" s="131">
        <v>63958</v>
      </c>
      <c r="BB256" s="145">
        <v>55</v>
      </c>
      <c r="BC256" s="133"/>
      <c r="BD256" s="131"/>
      <c r="BE256" s="145"/>
      <c r="BF256" s="133"/>
      <c r="BG256" s="131">
        <v>824</v>
      </c>
      <c r="BH256" s="145">
        <v>45</v>
      </c>
      <c r="BI256" s="133"/>
      <c r="BJ256" s="131"/>
      <c r="BK256" s="145"/>
      <c r="BL256" s="133"/>
      <c r="BM256" s="131"/>
      <c r="BN256" s="145"/>
      <c r="BO256" s="133"/>
      <c r="BP256" s="131">
        <v>9</v>
      </c>
      <c r="BQ256" s="145">
        <v>20</v>
      </c>
      <c r="BR256" s="133"/>
      <c r="BS256" s="131"/>
      <c r="BT256" s="145"/>
      <c r="BU256" s="133"/>
      <c r="BV256" s="131"/>
      <c r="BW256" s="145"/>
      <c r="BX256" s="133"/>
      <c r="BY256" s="131"/>
      <c r="BZ256" s="145"/>
      <c r="CA256" s="133"/>
      <c r="CB256" s="131">
        <v>135</v>
      </c>
      <c r="CC256" s="145">
        <v>80</v>
      </c>
      <c r="CD256" s="133"/>
      <c r="CE256" s="131">
        <v>857</v>
      </c>
      <c r="CF256" s="145">
        <v>10</v>
      </c>
      <c r="CG256" s="133"/>
      <c r="CH256" s="131">
        <v>239</v>
      </c>
      <c r="CI256" s="145">
        <v>90</v>
      </c>
      <c r="CJ256" s="133"/>
      <c r="CK256" s="131">
        <v>66025</v>
      </c>
      <c r="CL256" s="145"/>
      <c r="CM256" s="133"/>
    </row>
    <row r="257" spans="1:94" x14ac:dyDescent="0.2">
      <c r="A257" s="785" t="s">
        <v>4964</v>
      </c>
      <c r="B257" s="240">
        <v>37537</v>
      </c>
      <c r="C257" s="318">
        <v>58</v>
      </c>
      <c r="D257" s="319">
        <v>0.5</v>
      </c>
      <c r="E257" s="240">
        <v>37551</v>
      </c>
      <c r="F257" s="318">
        <v>87</v>
      </c>
      <c r="G257" s="241">
        <v>0.5</v>
      </c>
      <c r="H257" s="240">
        <v>353123</v>
      </c>
      <c r="I257" s="318">
        <v>30</v>
      </c>
      <c r="J257" s="241">
        <v>0.5</v>
      </c>
      <c r="K257" s="240">
        <v>233463</v>
      </c>
      <c r="L257" s="318">
        <v>54</v>
      </c>
      <c r="M257" s="241">
        <v>0.5</v>
      </c>
      <c r="N257" s="240">
        <v>390366</v>
      </c>
      <c r="O257" s="318">
        <v>76</v>
      </c>
      <c r="P257" s="241">
        <v>0.25</v>
      </c>
      <c r="Q257" s="240">
        <v>180869</v>
      </c>
      <c r="R257" s="318">
        <v>39</v>
      </c>
      <c r="S257" s="241"/>
      <c r="T257" s="240">
        <v>609467</v>
      </c>
      <c r="U257" s="318">
        <v>97</v>
      </c>
      <c r="V257" s="241">
        <v>0.75</v>
      </c>
      <c r="W257" s="240">
        <v>757869</v>
      </c>
      <c r="X257" s="318">
        <v>38</v>
      </c>
      <c r="Y257" s="241">
        <v>0.25</v>
      </c>
      <c r="Z257" s="240">
        <v>1551110</v>
      </c>
      <c r="AA257" s="318">
        <v>64</v>
      </c>
      <c r="AB257" s="241">
        <v>0.25</v>
      </c>
      <c r="AC257" s="240">
        <v>71038</v>
      </c>
      <c r="AD257" s="318">
        <v>20</v>
      </c>
      <c r="AE257" s="241"/>
      <c r="AF257" s="240">
        <v>185444</v>
      </c>
      <c r="AG257" s="318">
        <v>95</v>
      </c>
      <c r="AH257" s="241"/>
      <c r="AI257" s="240">
        <v>247434</v>
      </c>
      <c r="AJ257" s="318">
        <v>50</v>
      </c>
      <c r="AK257" s="241"/>
      <c r="AL257" s="240">
        <v>496702</v>
      </c>
      <c r="AM257" s="318">
        <v>16</v>
      </c>
      <c r="AN257" s="241"/>
      <c r="AO257" s="240">
        <v>307884</v>
      </c>
      <c r="AP257" s="318">
        <v>29</v>
      </c>
      <c r="AQ257" s="241"/>
      <c r="AR257" s="240">
        <v>1345765</v>
      </c>
      <c r="AS257" s="318">
        <v>35</v>
      </c>
      <c r="AT257" s="241"/>
      <c r="AU257" s="240">
        <v>44473</v>
      </c>
      <c r="AV257" s="318">
        <v>60</v>
      </c>
      <c r="AW257" s="241"/>
      <c r="AX257" s="240">
        <v>31674</v>
      </c>
      <c r="AY257" s="318">
        <v>55</v>
      </c>
      <c r="AZ257" s="241"/>
      <c r="BA257" s="240">
        <v>6808011</v>
      </c>
      <c r="BB257" s="318">
        <v>61</v>
      </c>
      <c r="BC257" s="241">
        <v>0.5</v>
      </c>
      <c r="BD257" s="240">
        <v>35932</v>
      </c>
      <c r="BE257" s="318">
        <v>25</v>
      </c>
      <c r="BF257" s="241"/>
      <c r="BG257" s="240">
        <v>14654</v>
      </c>
      <c r="BH257" s="318"/>
      <c r="BI257" s="241"/>
      <c r="BJ257" s="240">
        <v>1720</v>
      </c>
      <c r="BK257" s="318">
        <v>70</v>
      </c>
      <c r="BL257" s="241"/>
      <c r="BM257" s="240">
        <v>84</v>
      </c>
      <c r="BN257" s="318"/>
      <c r="BO257" s="241"/>
      <c r="BP257" s="240">
        <v>98</v>
      </c>
      <c r="BQ257" s="318">
        <v>20</v>
      </c>
      <c r="BR257" s="241"/>
      <c r="BS257" s="240">
        <v>226</v>
      </c>
      <c r="BT257" s="318">
        <v>80</v>
      </c>
      <c r="BU257" s="241"/>
      <c r="BV257" s="240">
        <v>1134</v>
      </c>
      <c r="BW257" s="318">
        <v>95</v>
      </c>
      <c r="BX257" s="241"/>
      <c r="BY257" s="240">
        <v>590</v>
      </c>
      <c r="BZ257" s="318">
        <v>50</v>
      </c>
      <c r="CA257" s="241"/>
      <c r="CB257" s="240">
        <v>135</v>
      </c>
      <c r="CC257" s="318">
        <v>80</v>
      </c>
      <c r="CD257" s="241"/>
      <c r="CE257" s="240">
        <v>7684</v>
      </c>
      <c r="CF257" s="318">
        <v>10</v>
      </c>
      <c r="CG257" s="241"/>
      <c r="CH257" s="240">
        <v>17141</v>
      </c>
      <c r="CI257" s="318">
        <v>10</v>
      </c>
      <c r="CJ257" s="241"/>
      <c r="CK257" s="240">
        <v>6887414</v>
      </c>
      <c r="CL257" s="318">
        <v>1</v>
      </c>
      <c r="CM257" s="241">
        <v>0.5</v>
      </c>
    </row>
    <row r="258" spans="1:94" x14ac:dyDescent="0.2">
      <c r="B258" s="1137">
        <f>+SUM(B248:B256)</f>
        <v>42533</v>
      </c>
      <c r="C258" s="1137">
        <f t="shared" ref="C258:BN258" si="14">+SUM(C248:C256)</f>
        <v>467</v>
      </c>
      <c r="D258" s="1078">
        <f t="shared" si="14"/>
        <v>0.5</v>
      </c>
      <c r="E258" s="393">
        <f t="shared" si="14"/>
        <v>37548</v>
      </c>
      <c r="F258" s="393">
        <f t="shared" si="14"/>
        <v>387</v>
      </c>
      <c r="G258" s="1078">
        <f t="shared" si="14"/>
        <v>0.5</v>
      </c>
      <c r="H258" s="393">
        <f t="shared" si="14"/>
        <v>353120</v>
      </c>
      <c r="I258" s="393">
        <f t="shared" si="14"/>
        <v>330</v>
      </c>
      <c r="J258" s="1078">
        <f t="shared" si="14"/>
        <v>0.5</v>
      </c>
      <c r="K258" s="393">
        <f t="shared" si="14"/>
        <v>233460</v>
      </c>
      <c r="L258" s="1137">
        <f t="shared" si="14"/>
        <v>390</v>
      </c>
      <c r="M258" s="1078">
        <f t="shared" si="14"/>
        <v>0.5</v>
      </c>
      <c r="N258" s="393">
        <f t="shared" si="14"/>
        <v>390361</v>
      </c>
      <c r="O258" s="393">
        <f t="shared" si="14"/>
        <v>576</v>
      </c>
      <c r="P258" s="1078">
        <f t="shared" si="14"/>
        <v>0.25</v>
      </c>
      <c r="Q258" s="393">
        <f t="shared" si="14"/>
        <v>180864</v>
      </c>
      <c r="R258" s="393">
        <f t="shared" si="14"/>
        <v>539</v>
      </c>
      <c r="S258" s="1078">
        <f t="shared" si="14"/>
        <v>0</v>
      </c>
      <c r="T258" s="393">
        <f t="shared" si="14"/>
        <v>609464</v>
      </c>
      <c r="U258" s="393">
        <f t="shared" si="14"/>
        <v>397</v>
      </c>
      <c r="V258" s="1078">
        <f t="shared" si="14"/>
        <v>0.75</v>
      </c>
      <c r="W258" s="393">
        <f t="shared" si="14"/>
        <v>757865</v>
      </c>
      <c r="X258" s="1137">
        <f t="shared" si="14"/>
        <v>428</v>
      </c>
      <c r="Y258" s="1078">
        <f t="shared" si="14"/>
        <v>0.25</v>
      </c>
      <c r="Z258" s="1137">
        <f t="shared" si="14"/>
        <v>1541106</v>
      </c>
      <c r="AA258" s="1137">
        <f t="shared" si="14"/>
        <v>564</v>
      </c>
      <c r="AB258" s="1078">
        <f t="shared" si="14"/>
        <v>0.25</v>
      </c>
      <c r="AC258" s="393">
        <f t="shared" si="14"/>
        <v>71034</v>
      </c>
      <c r="AD258" s="393">
        <f t="shared" si="14"/>
        <v>420</v>
      </c>
      <c r="AE258" s="1078">
        <f t="shared" si="14"/>
        <v>0</v>
      </c>
      <c r="AF258" s="393">
        <f t="shared" si="14"/>
        <v>185442</v>
      </c>
      <c r="AG258" s="1137">
        <f t="shared" si="14"/>
        <v>290</v>
      </c>
      <c r="AH258" s="1078">
        <f t="shared" si="14"/>
        <v>0</v>
      </c>
      <c r="AI258" s="393">
        <f t="shared" si="14"/>
        <v>247430</v>
      </c>
      <c r="AJ258" s="393">
        <f t="shared" si="14"/>
        <v>450</v>
      </c>
      <c r="AK258" s="1078">
        <f t="shared" si="14"/>
        <v>0</v>
      </c>
      <c r="AL258" s="393">
        <f t="shared" si="14"/>
        <v>496700</v>
      </c>
      <c r="AM258" s="1137">
        <f t="shared" si="14"/>
        <v>246</v>
      </c>
      <c r="AN258" s="1078">
        <f t="shared" si="14"/>
        <v>0</v>
      </c>
      <c r="AO258" s="393">
        <f t="shared" si="14"/>
        <v>307881</v>
      </c>
      <c r="AP258" s="393">
        <f t="shared" si="14"/>
        <v>329</v>
      </c>
      <c r="AQ258" s="1078">
        <f t="shared" si="14"/>
        <v>0</v>
      </c>
      <c r="AR258" s="393">
        <f t="shared" si="14"/>
        <v>1345761</v>
      </c>
      <c r="AS258" s="393">
        <f t="shared" si="14"/>
        <v>425</v>
      </c>
      <c r="AT258" s="1078">
        <f t="shared" si="14"/>
        <v>0</v>
      </c>
      <c r="AU258" s="393">
        <f t="shared" si="14"/>
        <v>44473</v>
      </c>
      <c r="AV258" s="393">
        <f t="shared" si="14"/>
        <v>60</v>
      </c>
      <c r="AW258" s="1078">
        <f t="shared" si="14"/>
        <v>0</v>
      </c>
      <c r="AX258" s="393">
        <f t="shared" si="14"/>
        <v>31672</v>
      </c>
      <c r="AY258" s="393">
        <f t="shared" si="14"/>
        <v>265</v>
      </c>
      <c r="AZ258" s="1078">
        <f t="shared" si="14"/>
        <v>0</v>
      </c>
      <c r="BA258" s="393">
        <f t="shared" si="14"/>
        <v>6808008</v>
      </c>
      <c r="BB258" s="393">
        <f t="shared" si="14"/>
        <v>361</v>
      </c>
      <c r="BC258" s="1078">
        <f t="shared" si="14"/>
        <v>0.5</v>
      </c>
      <c r="BD258" s="393">
        <f t="shared" si="14"/>
        <v>35932</v>
      </c>
      <c r="BE258" s="393">
        <f t="shared" si="14"/>
        <v>25</v>
      </c>
      <c r="BF258" s="1078">
        <f t="shared" si="14"/>
        <v>0</v>
      </c>
      <c r="BG258" s="393">
        <f t="shared" si="14"/>
        <v>14651</v>
      </c>
      <c r="BH258" s="393">
        <f t="shared" si="14"/>
        <v>300</v>
      </c>
      <c r="BI258" s="1078">
        <f t="shared" si="14"/>
        <v>0</v>
      </c>
      <c r="BJ258" s="393">
        <f t="shared" si="14"/>
        <v>1718</v>
      </c>
      <c r="BK258" s="393">
        <f t="shared" si="14"/>
        <v>270</v>
      </c>
      <c r="BL258" s="1078">
        <f t="shared" si="14"/>
        <v>0</v>
      </c>
      <c r="BM258" s="393">
        <f t="shared" si="14"/>
        <v>84</v>
      </c>
      <c r="BN258" s="393">
        <f t="shared" si="14"/>
        <v>0</v>
      </c>
      <c r="BO258" s="1078">
        <f t="shared" ref="BO258:CM258" si="15">+SUM(BO248:BO256)</f>
        <v>0</v>
      </c>
      <c r="BP258" s="393">
        <f t="shared" si="15"/>
        <v>98</v>
      </c>
      <c r="BQ258" s="393">
        <f t="shared" si="15"/>
        <v>20</v>
      </c>
      <c r="BR258" s="1078">
        <f t="shared" si="15"/>
        <v>0</v>
      </c>
      <c r="BS258" s="393">
        <f t="shared" si="15"/>
        <v>226</v>
      </c>
      <c r="BT258" s="393">
        <f t="shared" si="15"/>
        <v>80</v>
      </c>
      <c r="BU258" s="1078">
        <f t="shared" si="15"/>
        <v>0</v>
      </c>
      <c r="BV258" s="393">
        <f t="shared" si="15"/>
        <v>1134</v>
      </c>
      <c r="BW258" s="393">
        <f t="shared" si="15"/>
        <v>95</v>
      </c>
      <c r="BX258" s="1078">
        <f t="shared" si="15"/>
        <v>0</v>
      </c>
      <c r="BY258" s="393">
        <f t="shared" si="15"/>
        <v>589</v>
      </c>
      <c r="BZ258" s="393">
        <f t="shared" si="15"/>
        <v>150</v>
      </c>
      <c r="CA258" s="1078">
        <f t="shared" si="15"/>
        <v>0</v>
      </c>
      <c r="CB258" s="393">
        <f t="shared" si="15"/>
        <v>135</v>
      </c>
      <c r="CC258" s="393">
        <f t="shared" si="15"/>
        <v>80</v>
      </c>
      <c r="CD258" s="1078">
        <f t="shared" si="15"/>
        <v>0</v>
      </c>
      <c r="CE258" s="393">
        <f t="shared" si="15"/>
        <v>7683</v>
      </c>
      <c r="CF258" s="393">
        <f t="shared" si="15"/>
        <v>110</v>
      </c>
      <c r="CG258" s="1078">
        <f t="shared" si="15"/>
        <v>0</v>
      </c>
      <c r="CH258" s="393">
        <f t="shared" si="15"/>
        <v>17139</v>
      </c>
      <c r="CI258" s="393">
        <f t="shared" si="15"/>
        <v>210</v>
      </c>
      <c r="CJ258" s="1078">
        <f t="shared" si="15"/>
        <v>0</v>
      </c>
      <c r="CK258" s="393">
        <f t="shared" si="15"/>
        <v>6887412</v>
      </c>
      <c r="CL258" s="393">
        <f t="shared" si="15"/>
        <v>201</v>
      </c>
      <c r="CM258" s="1078">
        <f t="shared" si="15"/>
        <v>0.5</v>
      </c>
    </row>
    <row r="264" spans="1:94" x14ac:dyDescent="0.2">
      <c r="A264" s="526" t="s">
        <v>2077</v>
      </c>
    </row>
    <row r="265" spans="1:94" ht="43.25" customHeight="1" x14ac:dyDescent="0.2">
      <c r="A265" s="1465" t="s">
        <v>4459</v>
      </c>
      <c r="B265" s="1466"/>
      <c r="C265" s="1466"/>
      <c r="D265" s="1466"/>
      <c r="E265" s="1466"/>
      <c r="F265" s="1466"/>
      <c r="G265" s="1466"/>
      <c r="H265" s="1466"/>
      <c r="I265" s="1466"/>
      <c r="J265" s="1466"/>
      <c r="K265" s="1466"/>
      <c r="L265" s="1466"/>
      <c r="M265" s="1466"/>
      <c r="N265" s="1466"/>
      <c r="O265" s="1466"/>
      <c r="P265" s="1466"/>
      <c r="Q265" s="1466"/>
      <c r="R265" s="1466"/>
      <c r="S265" s="1466"/>
      <c r="T265" s="1466"/>
      <c r="U265" s="1466"/>
      <c r="V265" s="1466"/>
      <c r="W265" s="1466"/>
      <c r="X265" s="1466"/>
      <c r="Y265" s="1466"/>
      <c r="Z265" s="1466"/>
      <c r="AA265" s="1466"/>
      <c r="AB265" s="1466"/>
      <c r="AC265" s="1466"/>
      <c r="AD265" s="1466"/>
      <c r="AE265" s="1466"/>
      <c r="AF265" s="1466"/>
      <c r="AG265" s="1466"/>
      <c r="AH265" s="1466"/>
      <c r="AI265" s="1466"/>
      <c r="AJ265" s="1466"/>
      <c r="AK265" s="1466"/>
      <c r="AL265" s="1466"/>
      <c r="AM265" s="1466"/>
      <c r="AN265" s="1466"/>
      <c r="AO265" s="1466"/>
      <c r="AP265" s="1466"/>
      <c r="AQ265" s="1466"/>
      <c r="AR265" s="1466"/>
      <c r="AS265" s="1466"/>
      <c r="AT265" s="1466"/>
      <c r="AU265" s="1466"/>
      <c r="AV265" s="1466"/>
      <c r="AW265" s="1466"/>
      <c r="AX265" s="1466"/>
      <c r="AY265" s="1466"/>
      <c r="AZ265" s="1466"/>
      <c r="BA265" s="1466"/>
      <c r="BB265" s="1466"/>
      <c r="BC265" s="1466"/>
      <c r="BD265" s="1466"/>
      <c r="BE265" s="1466"/>
      <c r="BF265" s="1466"/>
      <c r="BG265" s="1466"/>
      <c r="BH265" s="1466"/>
      <c r="BI265" s="1466"/>
      <c r="BJ265" s="1466"/>
      <c r="BK265" s="1466"/>
      <c r="BL265" s="1466"/>
      <c r="BM265" s="1466"/>
      <c r="BN265" s="1466"/>
      <c r="BO265" s="1466"/>
      <c r="BP265" s="1466"/>
      <c r="BQ265" s="1466"/>
      <c r="BR265" s="1466"/>
      <c r="BS265" s="1466"/>
      <c r="BT265" s="1466"/>
      <c r="BU265" s="1466"/>
      <c r="BV265" s="1466"/>
      <c r="BW265" s="1466"/>
      <c r="BX265" s="1466"/>
      <c r="BY265" s="1466"/>
      <c r="BZ265" s="1466"/>
      <c r="CA265" s="1466"/>
      <c r="CB265" s="1466"/>
      <c r="CC265" s="1466"/>
      <c r="CD265" s="1466"/>
      <c r="CE265" s="1466"/>
      <c r="CF265" s="1466"/>
      <c r="CG265" s="1466"/>
      <c r="CH265" s="1466"/>
      <c r="CI265" s="1466"/>
      <c r="CJ265" s="1466"/>
      <c r="CK265" s="1466"/>
      <c r="CL265" s="1466"/>
      <c r="CM265" s="1466"/>
      <c r="CN265" s="1466"/>
      <c r="CO265" s="1466"/>
      <c r="CP265" s="1467"/>
    </row>
    <row r="266" spans="1:94" x14ac:dyDescent="0.2">
      <c r="A266" s="616" t="s">
        <v>4965</v>
      </c>
      <c r="B266" s="617"/>
      <c r="C266" s="617"/>
      <c r="D266" s="617"/>
      <c r="E266" s="617"/>
      <c r="F266" s="617"/>
      <c r="G266" s="617"/>
      <c r="H266" s="617"/>
      <c r="I266" s="617"/>
      <c r="J266" s="617"/>
      <c r="K266" s="617"/>
      <c r="L266" s="617"/>
      <c r="M266" s="617"/>
      <c r="N266" s="617"/>
      <c r="O266" s="617"/>
      <c r="P266" s="617"/>
      <c r="Q266" s="617"/>
      <c r="R266" s="617"/>
      <c r="S266" s="617"/>
      <c r="T266" s="617"/>
      <c r="U266" s="617"/>
      <c r="V266" s="617"/>
      <c r="W266" s="617"/>
      <c r="X266" s="617"/>
      <c r="Y266" s="617"/>
      <c r="Z266" s="617"/>
      <c r="AA266" s="617"/>
      <c r="AB266" s="617"/>
      <c r="AC266" s="617"/>
      <c r="AD266" s="617"/>
      <c r="AE266" s="617"/>
      <c r="AF266" s="617"/>
      <c r="AG266" s="617"/>
      <c r="AH266" s="617"/>
      <c r="AI266" s="617"/>
      <c r="AJ266" s="617"/>
      <c r="AK266" s="617"/>
      <c r="AL266" s="617"/>
      <c r="AM266" s="617"/>
      <c r="AN266" s="617"/>
      <c r="AO266" s="617"/>
      <c r="AP266" s="617"/>
      <c r="AQ266" s="617"/>
      <c r="AR266" s="617"/>
      <c r="AS266" s="617"/>
      <c r="AT266" s="617"/>
      <c r="AU266" s="617"/>
      <c r="AV266" s="617"/>
      <c r="AW266" s="617"/>
      <c r="AX266" s="617"/>
      <c r="AY266" s="617"/>
      <c r="AZ266" s="617"/>
      <c r="BA266" s="617"/>
      <c r="BB266" s="617"/>
      <c r="BC266" s="617"/>
      <c r="BD266" s="617"/>
      <c r="BE266" s="617"/>
      <c r="BF266" s="617"/>
      <c r="BG266" s="617"/>
      <c r="BH266" s="617"/>
      <c r="BI266" s="617"/>
      <c r="BJ266" s="617"/>
      <c r="BK266" s="617"/>
      <c r="BL266" s="617"/>
      <c r="BM266" s="617"/>
      <c r="BN266" s="617"/>
      <c r="BO266" s="617"/>
      <c r="BP266" s="617"/>
      <c r="BQ266" s="617"/>
      <c r="BR266" s="617"/>
      <c r="BS266" s="617"/>
      <c r="BT266" s="617"/>
      <c r="BU266" s="617"/>
      <c r="BV266" s="617"/>
      <c r="BW266" s="617"/>
      <c r="BX266" s="617"/>
      <c r="BY266" s="617"/>
      <c r="BZ266" s="617"/>
      <c r="CA266" s="617"/>
      <c r="CB266" s="617"/>
      <c r="CC266" s="617"/>
      <c r="CD266" s="617"/>
      <c r="CE266" s="617"/>
      <c r="CF266" s="617"/>
      <c r="CG266" s="617"/>
      <c r="CH266" s="617"/>
      <c r="CI266" s="617"/>
      <c r="CJ266" s="617"/>
      <c r="CK266" s="617"/>
      <c r="CL266" s="617"/>
      <c r="CM266" s="617"/>
      <c r="CN266" s="617"/>
      <c r="CO266" s="617"/>
      <c r="CP266" s="618"/>
    </row>
    <row r="267" spans="1:94" x14ac:dyDescent="0.2">
      <c r="A267" s="967" t="s">
        <v>4160</v>
      </c>
      <c r="B267" s="485" t="s">
        <v>4966</v>
      </c>
      <c r="C267" s="712"/>
      <c r="D267" s="712"/>
      <c r="E267" s="712"/>
      <c r="F267" s="712"/>
      <c r="G267" s="712"/>
      <c r="H267" s="712"/>
      <c r="I267" s="712"/>
      <c r="J267" s="712"/>
      <c r="K267" s="712"/>
      <c r="L267" s="712"/>
      <c r="M267" s="712"/>
      <c r="N267" s="712"/>
      <c r="O267" s="712"/>
      <c r="P267" s="712"/>
      <c r="Q267" s="712"/>
      <c r="R267" s="712"/>
      <c r="S267" s="712"/>
      <c r="T267" s="712"/>
      <c r="U267" s="712"/>
      <c r="V267" s="712"/>
      <c r="W267" s="712"/>
      <c r="X267" s="712"/>
      <c r="Y267" s="712"/>
      <c r="Z267" s="712"/>
      <c r="AA267" s="712"/>
      <c r="AB267" s="712"/>
      <c r="AC267" s="712"/>
      <c r="AD267" s="712"/>
      <c r="AE267" s="712"/>
      <c r="AF267" s="712"/>
      <c r="AG267" s="712"/>
      <c r="AH267" s="712"/>
      <c r="AI267" s="712"/>
      <c r="AJ267" s="712"/>
      <c r="AK267" s="712"/>
      <c r="AL267" s="712"/>
      <c r="AM267" s="712"/>
      <c r="AN267" s="712"/>
      <c r="AO267" s="712"/>
      <c r="AP267" s="712"/>
      <c r="AQ267" s="712"/>
      <c r="AR267" s="712"/>
      <c r="AS267" s="712"/>
      <c r="AT267" s="712"/>
      <c r="AU267" s="712"/>
      <c r="AV267" s="712"/>
      <c r="AW267" s="712"/>
      <c r="AX267" s="712"/>
      <c r="AY267" s="712"/>
      <c r="AZ267" s="712"/>
      <c r="BA267" s="712"/>
      <c r="BB267" s="712"/>
      <c r="BC267" s="712"/>
      <c r="BD267" s="712"/>
      <c r="BE267" s="712"/>
      <c r="BF267" s="712"/>
      <c r="BG267" s="712"/>
      <c r="BH267" s="712"/>
      <c r="BI267" s="712"/>
      <c r="BJ267" s="712"/>
      <c r="BK267" s="712"/>
      <c r="BL267" s="712"/>
      <c r="BM267" s="712"/>
      <c r="BN267" s="712"/>
      <c r="BO267" s="712"/>
      <c r="BP267" s="712"/>
      <c r="BQ267" s="712"/>
      <c r="BR267" s="712"/>
      <c r="BS267" s="712"/>
      <c r="BT267" s="712"/>
      <c r="BU267" s="712"/>
      <c r="BV267" s="712"/>
      <c r="BW267" s="712"/>
      <c r="BX267" s="712"/>
      <c r="BY267" s="712"/>
      <c r="BZ267" s="712"/>
      <c r="CA267" s="712"/>
      <c r="CB267" s="712"/>
      <c r="CC267" s="712"/>
      <c r="CD267" s="712"/>
      <c r="CE267" s="712"/>
      <c r="CF267" s="712"/>
      <c r="CG267" s="712"/>
      <c r="CH267" s="712"/>
      <c r="CI267" s="712"/>
      <c r="CJ267" s="712"/>
      <c r="CK267" s="712"/>
      <c r="CL267" s="712"/>
      <c r="CM267" s="712"/>
      <c r="CN267" s="712"/>
      <c r="CO267" s="712"/>
      <c r="CP267" s="486"/>
    </row>
    <row r="268" spans="1:94" ht="27" customHeight="1" x14ac:dyDescent="0.2">
      <c r="A268" s="967"/>
      <c r="B268" s="1036" t="s">
        <v>3272</v>
      </c>
      <c r="C268" s="1036"/>
      <c r="D268" s="1036"/>
      <c r="E268" s="1036" t="s">
        <v>3577</v>
      </c>
      <c r="F268" s="1036"/>
      <c r="G268" s="1036"/>
      <c r="H268" s="1036" t="s">
        <v>3578</v>
      </c>
      <c r="I268" s="1036"/>
      <c r="J268" s="1036"/>
      <c r="K268" s="1036" t="s">
        <v>3579</v>
      </c>
      <c r="L268" s="1036"/>
      <c r="M268" s="1036"/>
      <c r="N268" s="1036" t="s">
        <v>4948</v>
      </c>
      <c r="O268" s="1036"/>
      <c r="P268" s="1036"/>
      <c r="Q268" s="1036" t="s">
        <v>4949</v>
      </c>
      <c r="R268" s="1036"/>
      <c r="S268" s="1036"/>
      <c r="T268" s="1036" t="s">
        <v>4310</v>
      </c>
      <c r="U268" s="1036"/>
      <c r="V268" s="1036"/>
      <c r="W268" s="1036" t="s">
        <v>4950</v>
      </c>
      <c r="X268" s="1036"/>
      <c r="Y268" s="1036"/>
      <c r="Z268" s="1036" t="s">
        <v>4951</v>
      </c>
      <c r="AA268" s="1036"/>
      <c r="AB268" s="1036"/>
      <c r="AC268" s="1036" t="s">
        <v>4952</v>
      </c>
      <c r="AD268" s="1036"/>
      <c r="AE268" s="1036"/>
      <c r="AF268" s="1036" t="s">
        <v>4953</v>
      </c>
      <c r="AG268" s="1036"/>
      <c r="AH268" s="1036"/>
      <c r="AI268" s="1036" t="s">
        <v>4954</v>
      </c>
      <c r="AJ268" s="1036"/>
      <c r="AK268" s="1036"/>
      <c r="AL268" s="1036" t="s">
        <v>4955</v>
      </c>
      <c r="AM268" s="1036"/>
      <c r="AN268" s="1036"/>
      <c r="AO268" s="1036" t="s">
        <v>4956</v>
      </c>
      <c r="AP268" s="1036"/>
      <c r="AQ268" s="1036"/>
      <c r="AR268" s="1464" t="s">
        <v>4967</v>
      </c>
      <c r="AS268" s="1464"/>
      <c r="AT268" s="1464"/>
      <c r="AU268" s="1036" t="s">
        <v>3275</v>
      </c>
      <c r="AV268" s="1036"/>
      <c r="AW268" s="1036"/>
      <c r="AX268" s="1036" t="s">
        <v>4968</v>
      </c>
      <c r="AY268" s="1036"/>
      <c r="AZ268" s="1036"/>
      <c r="BA268" s="1036" t="s">
        <v>4969</v>
      </c>
      <c r="BB268" s="1036"/>
      <c r="BC268" s="1036"/>
      <c r="BD268" s="1036" t="s">
        <v>4957</v>
      </c>
      <c r="BE268" s="1036"/>
      <c r="BF268" s="1036"/>
      <c r="BG268" s="1036" t="s">
        <v>4958</v>
      </c>
      <c r="BH268" s="1036"/>
      <c r="BI268" s="1036"/>
      <c r="BJ268" s="1036" t="s">
        <v>4162</v>
      </c>
      <c r="BK268" s="1036"/>
      <c r="BL268" s="1036"/>
      <c r="BM268" s="1036" t="s">
        <v>4970</v>
      </c>
      <c r="BN268" s="1036"/>
      <c r="BO268" s="1036"/>
      <c r="BP268" s="1036" t="s">
        <v>4971</v>
      </c>
      <c r="BQ268" s="1036"/>
      <c r="BR268" s="1036"/>
      <c r="BS268" s="1036" t="s">
        <v>4960</v>
      </c>
      <c r="BT268" s="1036"/>
      <c r="BU268" s="1036"/>
      <c r="BV268" s="1036" t="s">
        <v>4972</v>
      </c>
      <c r="BW268" s="1036"/>
      <c r="BX268" s="1036"/>
      <c r="BY268" s="1036" t="s">
        <v>4973</v>
      </c>
      <c r="BZ268" s="1036"/>
      <c r="CA268" s="1036"/>
      <c r="CB268" s="1053" t="s">
        <v>4974</v>
      </c>
      <c r="CC268" s="1340"/>
      <c r="CD268" s="1054"/>
      <c r="CE268" s="1036" t="s">
        <v>4975</v>
      </c>
      <c r="CF268" s="1036"/>
      <c r="CG268" s="1036"/>
      <c r="CH268" s="1464" t="s">
        <v>4976</v>
      </c>
      <c r="CI268" s="1464"/>
      <c r="CJ268" s="1464"/>
      <c r="CK268" s="1464" t="s">
        <v>4977</v>
      </c>
      <c r="CL268" s="1464"/>
      <c r="CM268" s="1464"/>
      <c r="CN268" s="1464" t="s">
        <v>4978</v>
      </c>
      <c r="CO268" s="1464"/>
      <c r="CP268" s="1464"/>
    </row>
    <row r="269" spans="1:94" x14ac:dyDescent="0.2">
      <c r="A269" s="967"/>
      <c r="B269" s="1037" t="s">
        <v>4177</v>
      </c>
      <c r="C269" s="1036" t="s">
        <v>3374</v>
      </c>
      <c r="D269" s="1036"/>
      <c r="E269" s="1037" t="s">
        <v>4177</v>
      </c>
      <c r="F269" s="1036" t="s">
        <v>3374</v>
      </c>
      <c r="G269" s="1036"/>
      <c r="H269" s="1037" t="s">
        <v>4177</v>
      </c>
      <c r="I269" s="1036" t="s">
        <v>3374</v>
      </c>
      <c r="J269" s="1036"/>
      <c r="K269" s="1037" t="s">
        <v>4177</v>
      </c>
      <c r="L269" s="1036" t="s">
        <v>3374</v>
      </c>
      <c r="M269" s="1036"/>
      <c r="N269" s="1037" t="s">
        <v>4177</v>
      </c>
      <c r="O269" s="1036" t="s">
        <v>3374</v>
      </c>
      <c r="P269" s="1036"/>
      <c r="Q269" s="1037" t="s">
        <v>4177</v>
      </c>
      <c r="R269" s="1036" t="s">
        <v>3374</v>
      </c>
      <c r="S269" s="1036"/>
      <c r="T269" s="1037" t="s">
        <v>4177</v>
      </c>
      <c r="U269" s="1036" t="s">
        <v>3374</v>
      </c>
      <c r="V269" s="1036"/>
      <c r="W269" s="1037" t="s">
        <v>4177</v>
      </c>
      <c r="X269" s="1036" t="s">
        <v>3374</v>
      </c>
      <c r="Y269" s="1036"/>
      <c r="Z269" s="1037" t="s">
        <v>4177</v>
      </c>
      <c r="AA269" s="1036" t="s">
        <v>3374</v>
      </c>
      <c r="AB269" s="1036"/>
      <c r="AC269" s="1037" t="s">
        <v>4177</v>
      </c>
      <c r="AD269" s="1036" t="s">
        <v>3374</v>
      </c>
      <c r="AE269" s="1036"/>
      <c r="AF269" s="1037" t="s">
        <v>4177</v>
      </c>
      <c r="AG269" s="1036" t="s">
        <v>3374</v>
      </c>
      <c r="AH269" s="1036"/>
      <c r="AI269" s="1037" t="s">
        <v>4177</v>
      </c>
      <c r="AJ269" s="1036" t="s">
        <v>3374</v>
      </c>
      <c r="AK269" s="1036"/>
      <c r="AL269" s="1037" t="s">
        <v>4177</v>
      </c>
      <c r="AM269" s="1036" t="s">
        <v>3374</v>
      </c>
      <c r="AN269" s="1036"/>
      <c r="AO269" s="1037" t="s">
        <v>4177</v>
      </c>
      <c r="AP269" s="1036" t="s">
        <v>3374</v>
      </c>
      <c r="AQ269" s="1036"/>
      <c r="AR269" s="1037" t="s">
        <v>4177</v>
      </c>
      <c r="AS269" s="1036" t="s">
        <v>3374</v>
      </c>
      <c r="AT269" s="1036"/>
      <c r="AU269" s="1037" t="s">
        <v>4177</v>
      </c>
      <c r="AV269" s="1036" t="s">
        <v>3374</v>
      </c>
      <c r="AW269" s="1036"/>
      <c r="AX269" s="1037" t="s">
        <v>4177</v>
      </c>
      <c r="AY269" s="1036" t="s">
        <v>3374</v>
      </c>
      <c r="AZ269" s="1036"/>
      <c r="BA269" s="1037" t="s">
        <v>4177</v>
      </c>
      <c r="BB269" s="1036" t="s">
        <v>3374</v>
      </c>
      <c r="BC269" s="1036"/>
      <c r="BD269" s="1037" t="s">
        <v>4177</v>
      </c>
      <c r="BE269" s="1036" t="s">
        <v>3374</v>
      </c>
      <c r="BF269" s="1036"/>
      <c r="BG269" s="1037" t="s">
        <v>4177</v>
      </c>
      <c r="BH269" s="1036" t="s">
        <v>3374</v>
      </c>
      <c r="BI269" s="1036"/>
      <c r="BJ269" s="1037" t="s">
        <v>4177</v>
      </c>
      <c r="BK269" s="1036" t="s">
        <v>3374</v>
      </c>
      <c r="BL269" s="1036"/>
      <c r="BM269" s="1037" t="s">
        <v>4177</v>
      </c>
      <c r="BN269" s="1036" t="s">
        <v>3374</v>
      </c>
      <c r="BO269" s="1036"/>
      <c r="BP269" s="1037" t="s">
        <v>4177</v>
      </c>
      <c r="BQ269" s="1036" t="s">
        <v>3374</v>
      </c>
      <c r="BR269" s="1036"/>
      <c r="BS269" s="1037" t="s">
        <v>4177</v>
      </c>
      <c r="BT269" s="1036" t="s">
        <v>3374</v>
      </c>
      <c r="BU269" s="1036"/>
      <c r="BV269" s="1037" t="s">
        <v>4177</v>
      </c>
      <c r="BW269" s="1036" t="s">
        <v>3374</v>
      </c>
      <c r="BX269" s="1036"/>
      <c r="BY269" s="1037" t="s">
        <v>4177</v>
      </c>
      <c r="BZ269" s="1036" t="s">
        <v>3374</v>
      </c>
      <c r="CA269" s="1036"/>
      <c r="CB269" s="1037" t="s">
        <v>4177</v>
      </c>
      <c r="CC269" s="1036" t="s">
        <v>3374</v>
      </c>
      <c r="CD269" s="1036"/>
      <c r="CE269" s="1037" t="s">
        <v>4177</v>
      </c>
      <c r="CF269" s="1036" t="s">
        <v>3374</v>
      </c>
      <c r="CG269" s="1036"/>
      <c r="CH269" s="1037" t="s">
        <v>4177</v>
      </c>
      <c r="CI269" s="1036" t="s">
        <v>3374</v>
      </c>
      <c r="CJ269" s="1036"/>
      <c r="CK269" s="1037" t="s">
        <v>4177</v>
      </c>
      <c r="CL269" s="1036" t="s">
        <v>3374</v>
      </c>
      <c r="CM269" s="1036"/>
      <c r="CN269" s="1037" t="s">
        <v>4177</v>
      </c>
      <c r="CO269" s="1036" t="s">
        <v>3374</v>
      </c>
      <c r="CP269" s="1036"/>
    </row>
    <row r="270" spans="1:94" x14ac:dyDescent="0.2">
      <c r="A270" s="533" t="s">
        <v>4737</v>
      </c>
      <c r="B270" s="349">
        <v>2462</v>
      </c>
      <c r="C270" s="350">
        <v>5</v>
      </c>
      <c r="D270" s="352"/>
      <c r="E270" s="349">
        <v>1883</v>
      </c>
      <c r="F270" s="350">
        <v>5</v>
      </c>
      <c r="G270" s="352"/>
      <c r="H270" s="349">
        <v>17720</v>
      </c>
      <c r="I270" s="350"/>
      <c r="J270" s="352"/>
      <c r="K270" s="349">
        <v>10011</v>
      </c>
      <c r="L270" s="350"/>
      <c r="M270" s="352"/>
      <c r="N270" s="349">
        <v>30875</v>
      </c>
      <c r="O270" s="350"/>
      <c r="P270" s="352"/>
      <c r="Q270" s="349">
        <v>12622</v>
      </c>
      <c r="R270" s="350">
        <v>60</v>
      </c>
      <c r="S270" s="352"/>
      <c r="T270" s="349">
        <v>48183</v>
      </c>
      <c r="U270" s="350">
        <v>40</v>
      </c>
      <c r="V270" s="352"/>
      <c r="W270" s="349">
        <v>48401</v>
      </c>
      <c r="X270" s="350">
        <v>90</v>
      </c>
      <c r="Y270" s="352"/>
      <c r="Z270" s="349">
        <v>89939</v>
      </c>
      <c r="AA270" s="350">
        <v>35</v>
      </c>
      <c r="AB270" s="352"/>
      <c r="AC270" s="349">
        <v>10400</v>
      </c>
      <c r="AD270" s="350">
        <v>90</v>
      </c>
      <c r="AE270" s="352"/>
      <c r="AF270" s="349">
        <v>13329</v>
      </c>
      <c r="AG270" s="350">
        <v>60</v>
      </c>
      <c r="AH270" s="352"/>
      <c r="AI270" s="349">
        <v>18503</v>
      </c>
      <c r="AJ270" s="350">
        <v>90</v>
      </c>
      <c r="AK270" s="352"/>
      <c r="AL270" s="349">
        <v>34135</v>
      </c>
      <c r="AM270" s="350">
        <v>85</v>
      </c>
      <c r="AN270" s="352"/>
      <c r="AO270" s="349">
        <v>23716</v>
      </c>
      <c r="AP270" s="350">
        <v>26</v>
      </c>
      <c r="AQ270" s="352"/>
      <c r="AR270" s="349">
        <v>88568</v>
      </c>
      <c r="AS270" s="350">
        <v>90</v>
      </c>
      <c r="AT270" s="352"/>
      <c r="AU270" s="349">
        <v>3829</v>
      </c>
      <c r="AV270" s="350">
        <v>25</v>
      </c>
      <c r="AW270" s="352"/>
      <c r="AX270" s="349">
        <v>16277</v>
      </c>
      <c r="AY270" s="350">
        <v>50</v>
      </c>
      <c r="AZ270" s="352"/>
      <c r="BA270" s="349">
        <v>438251</v>
      </c>
      <c r="BB270" s="350">
        <v>40</v>
      </c>
      <c r="BC270" s="352"/>
      <c r="BD270" s="349">
        <v>7222</v>
      </c>
      <c r="BE270" s="350">
        <v>45</v>
      </c>
      <c r="BF270" s="352"/>
      <c r="BG270" s="349">
        <v>1271</v>
      </c>
      <c r="BH270" s="350">
        <v>55</v>
      </c>
      <c r="BI270" s="352"/>
      <c r="BJ270" s="349">
        <v>237</v>
      </c>
      <c r="BK270" s="350"/>
      <c r="BL270" s="352"/>
      <c r="BM270" s="349"/>
      <c r="BN270" s="350"/>
      <c r="BO270" s="352"/>
      <c r="BP270" s="349">
        <v>15</v>
      </c>
      <c r="BQ270" s="350"/>
      <c r="BR270" s="352"/>
      <c r="BS270" s="349">
        <v>63</v>
      </c>
      <c r="BT270" s="350">
        <v>60</v>
      </c>
      <c r="BU270" s="352"/>
      <c r="BV270" s="349"/>
      <c r="BW270" s="350"/>
      <c r="BX270" s="352"/>
      <c r="BY270" s="349">
        <v>134</v>
      </c>
      <c r="BZ270" s="350">
        <v>10</v>
      </c>
      <c r="CA270" s="352"/>
      <c r="CB270" s="349"/>
      <c r="CC270" s="350"/>
      <c r="CD270" s="352"/>
      <c r="CE270" s="349">
        <v>27</v>
      </c>
      <c r="CF270" s="350"/>
      <c r="CG270" s="352"/>
      <c r="CH270" s="349"/>
      <c r="CI270" s="350"/>
      <c r="CJ270" s="352"/>
      <c r="CK270" s="349">
        <v>125</v>
      </c>
      <c r="CL270" s="350">
        <v>25</v>
      </c>
      <c r="CM270" s="352"/>
      <c r="CN270" s="349">
        <v>447348</v>
      </c>
      <c r="CO270" s="350">
        <v>5</v>
      </c>
      <c r="CP270" s="352"/>
    </row>
    <row r="271" spans="1:94" x14ac:dyDescent="0.2">
      <c r="A271" s="533" t="s">
        <v>4738</v>
      </c>
      <c r="B271" s="131">
        <v>3421</v>
      </c>
      <c r="C271" s="145"/>
      <c r="D271" s="133"/>
      <c r="E271" s="131">
        <v>2248</v>
      </c>
      <c r="F271" s="145">
        <v>25</v>
      </c>
      <c r="G271" s="133"/>
      <c r="H271" s="131">
        <v>27902</v>
      </c>
      <c r="I271" s="145">
        <v>55</v>
      </c>
      <c r="J271" s="133"/>
      <c r="K271" s="131">
        <v>31473</v>
      </c>
      <c r="L271" s="145">
        <v>85</v>
      </c>
      <c r="M271" s="133"/>
      <c r="N271" s="131">
        <v>33167</v>
      </c>
      <c r="O271" s="145">
        <v>50</v>
      </c>
      <c r="P271" s="133"/>
      <c r="Q271" s="131">
        <v>20766</v>
      </c>
      <c r="R271" s="145">
        <v>10</v>
      </c>
      <c r="S271" s="133"/>
      <c r="T271" s="131">
        <v>44655</v>
      </c>
      <c r="U271" s="145">
        <v>95</v>
      </c>
      <c r="V271" s="133"/>
      <c r="W271" s="131">
        <v>44332</v>
      </c>
      <c r="X271" s="145">
        <v>20</v>
      </c>
      <c r="Y271" s="133"/>
      <c r="Z271" s="131">
        <v>108146</v>
      </c>
      <c r="AA271" s="145">
        <v>75</v>
      </c>
      <c r="AB271" s="133"/>
      <c r="AC271" s="131">
        <v>4312</v>
      </c>
      <c r="AD271" s="145">
        <v>10</v>
      </c>
      <c r="AE271" s="133"/>
      <c r="AF271" s="131">
        <v>14964</v>
      </c>
      <c r="AG271" s="145">
        <v>35</v>
      </c>
      <c r="AH271" s="133"/>
      <c r="AI271" s="131">
        <v>19936</v>
      </c>
      <c r="AJ271" s="145"/>
      <c r="AK271" s="133"/>
      <c r="AL271" s="131">
        <v>33708</v>
      </c>
      <c r="AM271" s="145">
        <v>95</v>
      </c>
      <c r="AN271" s="133"/>
      <c r="AO271" s="131">
        <v>19120</v>
      </c>
      <c r="AP271" s="145">
        <v>5</v>
      </c>
      <c r="AQ271" s="133"/>
      <c r="AR271" s="131">
        <v>101277</v>
      </c>
      <c r="AS271" s="145">
        <v>75</v>
      </c>
      <c r="AT271" s="133"/>
      <c r="AU271" s="131">
        <v>325</v>
      </c>
      <c r="AV271" s="145">
        <v>60</v>
      </c>
      <c r="AW271" s="133"/>
      <c r="AX271" s="131">
        <v>6948</v>
      </c>
      <c r="AY271" s="145">
        <v>20</v>
      </c>
      <c r="AZ271" s="133"/>
      <c r="BA271" s="131">
        <v>502811</v>
      </c>
      <c r="BB271" s="145">
        <v>10</v>
      </c>
      <c r="BC271" s="133"/>
      <c r="BD271" s="131">
        <v>3614</v>
      </c>
      <c r="BE271" s="145">
        <v>20</v>
      </c>
      <c r="BF271" s="133"/>
      <c r="BG271" s="131">
        <v>1015</v>
      </c>
      <c r="BH271" s="145">
        <v>60</v>
      </c>
      <c r="BI271" s="133"/>
      <c r="BJ271" s="131">
        <v>495</v>
      </c>
      <c r="BK271" s="145">
        <v>50</v>
      </c>
      <c r="BL271" s="133"/>
      <c r="BM271" s="131"/>
      <c r="BN271" s="145"/>
      <c r="BO271" s="133"/>
      <c r="BP271" s="131">
        <v>12</v>
      </c>
      <c r="BQ271" s="145">
        <v>50</v>
      </c>
      <c r="BR271" s="133"/>
      <c r="BS271" s="131">
        <v>24</v>
      </c>
      <c r="BT271" s="145">
        <v>20</v>
      </c>
      <c r="BU271" s="133"/>
      <c r="BV271" s="131"/>
      <c r="BW271" s="145"/>
      <c r="BX271" s="133"/>
      <c r="BY271" s="131">
        <v>142</v>
      </c>
      <c r="BZ271" s="145">
        <v>45</v>
      </c>
      <c r="CA271" s="133"/>
      <c r="CB271" s="131"/>
      <c r="CC271" s="145"/>
      <c r="CD271" s="133"/>
      <c r="CE271" s="131">
        <v>61</v>
      </c>
      <c r="CF271" s="145">
        <v>50</v>
      </c>
      <c r="CG271" s="133"/>
      <c r="CH271" s="131"/>
      <c r="CI271" s="145"/>
      <c r="CJ271" s="133"/>
      <c r="CK271" s="131">
        <v>148</v>
      </c>
      <c r="CL271" s="145"/>
      <c r="CM271" s="133"/>
      <c r="CN271" s="131">
        <v>508325</v>
      </c>
      <c r="CO271" s="145">
        <v>5</v>
      </c>
      <c r="CP271" s="133"/>
    </row>
    <row r="272" spans="1:94" x14ac:dyDescent="0.2">
      <c r="A272" s="533" t="s">
        <v>4739</v>
      </c>
      <c r="B272" s="131">
        <v>3303</v>
      </c>
      <c r="C272" s="145">
        <v>65</v>
      </c>
      <c r="D272" s="133"/>
      <c r="E272" s="131">
        <v>1915</v>
      </c>
      <c r="F272" s="145">
        <v>35</v>
      </c>
      <c r="G272" s="133"/>
      <c r="H272" s="131">
        <v>35732</v>
      </c>
      <c r="I272" s="145">
        <v>15</v>
      </c>
      <c r="J272" s="133"/>
      <c r="K272" s="131">
        <v>23728</v>
      </c>
      <c r="L272" s="145">
        <v>95</v>
      </c>
      <c r="M272" s="133"/>
      <c r="N272" s="131">
        <v>39429</v>
      </c>
      <c r="O272" s="145">
        <v>65</v>
      </c>
      <c r="P272" s="133"/>
      <c r="Q272" s="131">
        <v>15789</v>
      </c>
      <c r="R272" s="145">
        <v>40</v>
      </c>
      <c r="S272" s="133"/>
      <c r="T272" s="131">
        <v>45610</v>
      </c>
      <c r="U272" s="145">
        <v>10</v>
      </c>
      <c r="V272" s="133"/>
      <c r="W272" s="131">
        <v>43846</v>
      </c>
      <c r="X272" s="145">
        <v>85</v>
      </c>
      <c r="Y272" s="133"/>
      <c r="Z272" s="131">
        <v>96999</v>
      </c>
      <c r="AA272" s="145">
        <v>50</v>
      </c>
      <c r="AB272" s="133"/>
      <c r="AC272" s="131">
        <v>4679</v>
      </c>
      <c r="AD272" s="145">
        <v>70</v>
      </c>
      <c r="AE272" s="133"/>
      <c r="AF272" s="131">
        <v>11351</v>
      </c>
      <c r="AG272" s="145"/>
      <c r="AH272" s="133"/>
      <c r="AI272" s="131">
        <v>15203</v>
      </c>
      <c r="AJ272" s="145">
        <v>55</v>
      </c>
      <c r="AK272" s="133"/>
      <c r="AL272" s="131">
        <v>39515</v>
      </c>
      <c r="AM272" s="145">
        <v>5</v>
      </c>
      <c r="AN272" s="133"/>
      <c r="AO272" s="131">
        <v>22711</v>
      </c>
      <c r="AP272" s="145">
        <v>40</v>
      </c>
      <c r="AQ272" s="133"/>
      <c r="AR272" s="131">
        <v>98643</v>
      </c>
      <c r="AS272" s="145">
        <v>65</v>
      </c>
      <c r="AT272" s="133"/>
      <c r="AU272" s="131">
        <v>409</v>
      </c>
      <c r="AV272" s="145">
        <v>35</v>
      </c>
      <c r="AW272" s="133"/>
      <c r="AX272" s="131">
        <v>7246</v>
      </c>
      <c r="AY272" s="145">
        <v>5</v>
      </c>
      <c r="AZ272" s="133"/>
      <c r="BA272" s="131">
        <v>490622</v>
      </c>
      <c r="BB272" s="145">
        <v>95</v>
      </c>
      <c r="BC272" s="133"/>
      <c r="BD272" s="131">
        <v>3109</v>
      </c>
      <c r="BE272" s="145">
        <v>15</v>
      </c>
      <c r="BF272" s="133"/>
      <c r="BG272" s="131">
        <v>793</v>
      </c>
      <c r="BH272" s="145">
        <v>65</v>
      </c>
      <c r="BI272" s="133"/>
      <c r="BJ272" s="131">
        <v>77</v>
      </c>
      <c r="BK272" s="145">
        <v>70</v>
      </c>
      <c r="BL272" s="133"/>
      <c r="BM272" s="131"/>
      <c r="BN272" s="145"/>
      <c r="BO272" s="133"/>
      <c r="BP272" s="131">
        <v>2</v>
      </c>
      <c r="BQ272" s="145">
        <v>50</v>
      </c>
      <c r="BR272" s="133"/>
      <c r="BS272" s="131">
        <v>9</v>
      </c>
      <c r="BT272" s="145">
        <v>85</v>
      </c>
      <c r="BU272" s="133"/>
      <c r="BV272" s="131"/>
      <c r="BW272" s="145"/>
      <c r="BX272" s="133"/>
      <c r="BY272" s="131">
        <v>41</v>
      </c>
      <c r="BZ272" s="145">
        <v>50</v>
      </c>
      <c r="CA272" s="133"/>
      <c r="CB272" s="131">
        <v>122</v>
      </c>
      <c r="CC272" s="145"/>
      <c r="CD272" s="133"/>
      <c r="CE272" s="131">
        <v>34</v>
      </c>
      <c r="CF272" s="145">
        <v>25</v>
      </c>
      <c r="CG272" s="133"/>
      <c r="CH272" s="131"/>
      <c r="CI272" s="145"/>
      <c r="CJ272" s="133"/>
      <c r="CK272" s="131">
        <v>68</v>
      </c>
      <c r="CL272" s="145">
        <v>25</v>
      </c>
      <c r="CM272" s="133"/>
      <c r="CN272" s="131">
        <v>494881</v>
      </c>
      <c r="CO272" s="145"/>
      <c r="CP272" s="133"/>
    </row>
    <row r="273" spans="1:94" x14ac:dyDescent="0.2">
      <c r="A273" s="533" t="s">
        <v>4740</v>
      </c>
      <c r="B273" s="131">
        <v>3039</v>
      </c>
      <c r="C273" s="145">
        <v>60</v>
      </c>
      <c r="D273" s="133"/>
      <c r="E273" s="131">
        <v>2928</v>
      </c>
      <c r="F273" s="145">
        <v>45</v>
      </c>
      <c r="G273" s="133"/>
      <c r="H273" s="131">
        <v>37774</v>
      </c>
      <c r="I273" s="145">
        <v>25</v>
      </c>
      <c r="J273" s="133"/>
      <c r="K273" s="131">
        <v>14042</v>
      </c>
      <c r="L273" s="145">
        <v>50</v>
      </c>
      <c r="M273" s="133"/>
      <c r="N273" s="131">
        <v>37766</v>
      </c>
      <c r="O273" s="145">
        <v>5</v>
      </c>
      <c r="P273" s="133"/>
      <c r="Q273" s="131">
        <v>16035</v>
      </c>
      <c r="R273" s="145">
        <v>85</v>
      </c>
      <c r="S273" s="133"/>
      <c r="T273" s="131">
        <v>66750</v>
      </c>
      <c r="U273" s="145">
        <v>35</v>
      </c>
      <c r="V273" s="133"/>
      <c r="W273" s="131">
        <v>71057</v>
      </c>
      <c r="X273" s="145">
        <v>10</v>
      </c>
      <c r="Y273" s="133"/>
      <c r="Z273" s="131">
        <v>108705</v>
      </c>
      <c r="AA273" s="145">
        <v>20</v>
      </c>
      <c r="AB273" s="133"/>
      <c r="AC273" s="131">
        <v>4350</v>
      </c>
      <c r="AD273" s="145">
        <v>35</v>
      </c>
      <c r="AE273" s="133"/>
      <c r="AF273" s="131">
        <v>18518</v>
      </c>
      <c r="AG273" s="145">
        <v>45</v>
      </c>
      <c r="AH273" s="133"/>
      <c r="AI273" s="131">
        <v>18715</v>
      </c>
      <c r="AJ273" s="145">
        <v>30</v>
      </c>
      <c r="AK273" s="133"/>
      <c r="AL273" s="131">
        <v>38375</v>
      </c>
      <c r="AM273" s="145">
        <v>30</v>
      </c>
      <c r="AN273" s="133"/>
      <c r="AO273" s="131">
        <v>34378</v>
      </c>
      <c r="AP273" s="145">
        <v>50</v>
      </c>
      <c r="AQ273" s="133"/>
      <c r="AR273" s="131">
        <v>115489</v>
      </c>
      <c r="AS273" s="145">
        <v>45</v>
      </c>
      <c r="AT273" s="133"/>
      <c r="AU273" s="131">
        <v>2110</v>
      </c>
      <c r="AV273" s="145">
        <v>60</v>
      </c>
      <c r="AW273" s="133"/>
      <c r="AX273" s="131">
        <v>12014</v>
      </c>
      <c r="AY273" s="145">
        <v>55</v>
      </c>
      <c r="AZ273" s="133"/>
      <c r="BA273" s="131">
        <v>578023</v>
      </c>
      <c r="BB273" s="145">
        <v>35</v>
      </c>
      <c r="BC273" s="133"/>
      <c r="BD273" s="131">
        <v>11979</v>
      </c>
      <c r="BE273" s="145">
        <v>95</v>
      </c>
      <c r="BF273" s="133"/>
      <c r="BG273" s="131">
        <v>931</v>
      </c>
      <c r="BH273" s="145">
        <v>5</v>
      </c>
      <c r="BI273" s="133"/>
      <c r="BJ273" s="131">
        <v>241</v>
      </c>
      <c r="BK273" s="145">
        <v>5</v>
      </c>
      <c r="BL273" s="133"/>
      <c r="BM273" s="131">
        <v>151</v>
      </c>
      <c r="BN273" s="145">
        <v>60</v>
      </c>
      <c r="BO273" s="133"/>
      <c r="BP273" s="131"/>
      <c r="BQ273" s="145"/>
      <c r="BR273" s="133"/>
      <c r="BS273" s="131">
        <v>30</v>
      </c>
      <c r="BT273" s="145">
        <v>55</v>
      </c>
      <c r="BU273" s="133"/>
      <c r="BV273" s="131"/>
      <c r="BW273" s="145"/>
      <c r="BX273" s="133"/>
      <c r="BY273" s="131">
        <v>94</v>
      </c>
      <c r="BZ273" s="145">
        <v>30</v>
      </c>
      <c r="CA273" s="133"/>
      <c r="CB273" s="131"/>
      <c r="CC273" s="145"/>
      <c r="CD273" s="133"/>
      <c r="CE273" s="131"/>
      <c r="CF273" s="145"/>
      <c r="CG273" s="133"/>
      <c r="CH273" s="131"/>
      <c r="CI273" s="145"/>
      <c r="CJ273" s="133"/>
      <c r="CK273" s="131">
        <v>849</v>
      </c>
      <c r="CL273" s="145">
        <v>55</v>
      </c>
      <c r="CM273" s="133"/>
      <c r="CN273" s="131">
        <v>592301</v>
      </c>
      <c r="CO273" s="145">
        <v>40</v>
      </c>
      <c r="CP273" s="133"/>
    </row>
    <row r="274" spans="1:94" x14ac:dyDescent="0.2">
      <c r="A274" s="533" t="s">
        <v>4741</v>
      </c>
      <c r="B274" s="131">
        <v>6374</v>
      </c>
      <c r="C274" s="145"/>
      <c r="D274" s="133"/>
      <c r="E274" s="131">
        <v>3613</v>
      </c>
      <c r="F274" s="145">
        <v>25</v>
      </c>
      <c r="G274" s="133"/>
      <c r="H274" s="131">
        <v>41362</v>
      </c>
      <c r="I274" s="145">
        <v>10</v>
      </c>
      <c r="J274" s="133"/>
      <c r="K274" s="131">
        <v>16128</v>
      </c>
      <c r="L274" s="145">
        <v>80</v>
      </c>
      <c r="M274" s="133"/>
      <c r="N274" s="131">
        <v>39259</v>
      </c>
      <c r="O274" s="145">
        <v>10</v>
      </c>
      <c r="P274" s="133"/>
      <c r="Q274" s="131">
        <v>15237</v>
      </c>
      <c r="R274" s="145">
        <v>95</v>
      </c>
      <c r="S274" s="133"/>
      <c r="T274" s="131">
        <v>53858</v>
      </c>
      <c r="U274" s="145"/>
      <c r="V274" s="133"/>
      <c r="W274" s="131">
        <v>80968</v>
      </c>
      <c r="X274" s="145">
        <v>70</v>
      </c>
      <c r="Y274" s="133"/>
      <c r="Z274" s="131">
        <v>159822</v>
      </c>
      <c r="AA274" s="145">
        <v>70</v>
      </c>
      <c r="AB274" s="133"/>
      <c r="AC274" s="131">
        <v>4643</v>
      </c>
      <c r="AD274" s="145">
        <v>90</v>
      </c>
      <c r="AE274" s="133"/>
      <c r="AF274" s="131">
        <v>19605</v>
      </c>
      <c r="AG274" s="145">
        <v>20</v>
      </c>
      <c r="AH274" s="133"/>
      <c r="AI274" s="131">
        <v>23046</v>
      </c>
      <c r="AJ274" s="145">
        <v>90</v>
      </c>
      <c r="AK274" s="133"/>
      <c r="AL274" s="131">
        <v>42394</v>
      </c>
      <c r="AM274" s="145">
        <v>25</v>
      </c>
      <c r="AN274" s="133"/>
      <c r="AO274" s="131">
        <v>32062</v>
      </c>
      <c r="AP274" s="145">
        <v>80</v>
      </c>
      <c r="AQ274" s="133"/>
      <c r="AR274" s="131">
        <v>131367</v>
      </c>
      <c r="AS274" s="145">
        <v>5</v>
      </c>
      <c r="AT274" s="133"/>
      <c r="AU274" s="131">
        <v>6270</v>
      </c>
      <c r="AV274" s="145">
        <v>15</v>
      </c>
      <c r="AW274" s="133"/>
      <c r="AX274" s="131">
        <v>13304</v>
      </c>
      <c r="AY274" s="145">
        <v>50</v>
      </c>
      <c r="AZ274" s="133"/>
      <c r="BA274" s="131">
        <v>662705</v>
      </c>
      <c r="BB274" s="145">
        <v>35</v>
      </c>
      <c r="BC274" s="133"/>
      <c r="BD274" s="131">
        <v>40648</v>
      </c>
      <c r="BE274" s="145">
        <v>55</v>
      </c>
      <c r="BF274" s="133"/>
      <c r="BG274" s="131">
        <v>812</v>
      </c>
      <c r="BH274" s="145">
        <v>45</v>
      </c>
      <c r="BI274" s="133"/>
      <c r="BJ274" s="131">
        <v>671</v>
      </c>
      <c r="BK274" s="145">
        <v>30</v>
      </c>
      <c r="BL274" s="133"/>
      <c r="BM274" s="131">
        <v>861</v>
      </c>
      <c r="BN274" s="145">
        <v>80</v>
      </c>
      <c r="BO274" s="133"/>
      <c r="BP274" s="131">
        <v>15</v>
      </c>
      <c r="BQ274" s="145"/>
      <c r="BR274" s="133"/>
      <c r="BS274" s="131">
        <v>66</v>
      </c>
      <c r="BT274" s="145"/>
      <c r="BU274" s="133"/>
      <c r="BV274" s="131"/>
      <c r="BW274" s="145"/>
      <c r="BX274" s="133"/>
      <c r="BY274" s="131">
        <v>395</v>
      </c>
      <c r="BZ274" s="145">
        <v>90</v>
      </c>
      <c r="CA274" s="133"/>
      <c r="CB274" s="131"/>
      <c r="CC274" s="145"/>
      <c r="CD274" s="133"/>
      <c r="CE274" s="131"/>
      <c r="CF274" s="145"/>
      <c r="CG274" s="133"/>
      <c r="CH274" s="131"/>
      <c r="CI274" s="145"/>
      <c r="CJ274" s="133"/>
      <c r="CK274" s="131">
        <v>369</v>
      </c>
      <c r="CL274" s="145">
        <v>70</v>
      </c>
      <c r="CM274" s="133"/>
      <c r="CN274" s="131">
        <v>706546</v>
      </c>
      <c r="CO274" s="145">
        <v>5</v>
      </c>
      <c r="CP274" s="133"/>
    </row>
    <row r="275" spans="1:94" x14ac:dyDescent="0.2">
      <c r="A275" s="533" t="s">
        <v>4742</v>
      </c>
      <c r="B275" s="131">
        <v>4912</v>
      </c>
      <c r="C275" s="145">
        <v>80</v>
      </c>
      <c r="D275" s="133"/>
      <c r="E275" s="131">
        <v>2144</v>
      </c>
      <c r="F275" s="145">
        <v>35</v>
      </c>
      <c r="G275" s="133"/>
      <c r="H275" s="131">
        <v>40533</v>
      </c>
      <c r="I275" s="145">
        <v>30</v>
      </c>
      <c r="J275" s="133"/>
      <c r="K275" s="131">
        <v>17626</v>
      </c>
      <c r="L275" s="145">
        <v>30</v>
      </c>
      <c r="M275" s="133"/>
      <c r="N275" s="131">
        <v>40751</v>
      </c>
      <c r="O275" s="145">
        <v>60</v>
      </c>
      <c r="P275" s="133"/>
      <c r="Q275" s="131">
        <v>22055</v>
      </c>
      <c r="R275" s="145">
        <v>95</v>
      </c>
      <c r="S275" s="133"/>
      <c r="T275" s="131">
        <v>64521</v>
      </c>
      <c r="U275" s="145">
        <v>85</v>
      </c>
      <c r="V275" s="133"/>
      <c r="W275" s="131">
        <v>79356</v>
      </c>
      <c r="X275" s="145">
        <v>40</v>
      </c>
      <c r="Y275" s="133"/>
      <c r="Z275" s="131">
        <v>149910</v>
      </c>
      <c r="AA275" s="145">
        <v>95</v>
      </c>
      <c r="AB275" s="133"/>
      <c r="AC275" s="131">
        <v>6426</v>
      </c>
      <c r="AD275" s="145">
        <v>10</v>
      </c>
      <c r="AE275" s="133"/>
      <c r="AF275" s="131">
        <v>19766</v>
      </c>
      <c r="AG275" s="145">
        <v>55</v>
      </c>
      <c r="AH275" s="133"/>
      <c r="AI275" s="131">
        <v>23084</v>
      </c>
      <c r="AJ275" s="145">
        <v>15</v>
      </c>
      <c r="AK275" s="133"/>
      <c r="AL275" s="131">
        <v>61786</v>
      </c>
      <c r="AM275" s="145">
        <v>80</v>
      </c>
      <c r="AN275" s="133"/>
      <c r="AO275" s="131">
        <v>33826</v>
      </c>
      <c r="AP275" s="145">
        <v>25</v>
      </c>
      <c r="AQ275" s="133"/>
      <c r="AR275" s="131">
        <v>138965</v>
      </c>
      <c r="AS275" s="145">
        <v>30</v>
      </c>
      <c r="AT275" s="133"/>
      <c r="AU275" s="131">
        <v>7387</v>
      </c>
      <c r="AV275" s="145">
        <v>15</v>
      </c>
      <c r="AW275" s="133"/>
      <c r="AX275" s="131">
        <v>7387</v>
      </c>
      <c r="AY275" s="145">
        <v>15</v>
      </c>
      <c r="AZ275" s="133"/>
      <c r="BA275" s="131">
        <v>702517</v>
      </c>
      <c r="BB275" s="145">
        <v>45</v>
      </c>
      <c r="BC275" s="133"/>
      <c r="BD275" s="131">
        <v>7779</v>
      </c>
      <c r="BE275" s="145">
        <v>20</v>
      </c>
      <c r="BF275" s="133"/>
      <c r="BG275" s="131">
        <v>1632</v>
      </c>
      <c r="BH275" s="145">
        <v>15</v>
      </c>
      <c r="BI275" s="133"/>
      <c r="BJ275" s="131">
        <v>137</v>
      </c>
      <c r="BK275" s="145">
        <v>75</v>
      </c>
      <c r="BL275" s="133"/>
      <c r="BM275" s="131">
        <v>864</v>
      </c>
      <c r="BN275" s="145">
        <v>40</v>
      </c>
      <c r="BO275" s="133"/>
      <c r="BP275" s="131">
        <v>10</v>
      </c>
      <c r="BQ275" s="145"/>
      <c r="BR275" s="133"/>
      <c r="BS275" s="131">
        <v>144</v>
      </c>
      <c r="BT275" s="145">
        <v>90</v>
      </c>
      <c r="BU275" s="133"/>
      <c r="BV275" s="131"/>
      <c r="BW275" s="145"/>
      <c r="BX275" s="133"/>
      <c r="BY275" s="131">
        <v>1068</v>
      </c>
      <c r="BZ275" s="145">
        <v>30</v>
      </c>
      <c r="CA275" s="133"/>
      <c r="CB275" s="131"/>
      <c r="CC275" s="145"/>
      <c r="CD275" s="133"/>
      <c r="CE275" s="131"/>
      <c r="CF275" s="145"/>
      <c r="CG275" s="133"/>
      <c r="CH275" s="131"/>
      <c r="CI275" s="145"/>
      <c r="CJ275" s="133"/>
      <c r="CK275" s="131">
        <v>382</v>
      </c>
      <c r="CL275" s="145">
        <v>10</v>
      </c>
      <c r="CM275" s="133"/>
      <c r="CN275" s="131">
        <v>714536</v>
      </c>
      <c r="CO275" s="145">
        <v>25</v>
      </c>
      <c r="CP275" s="133"/>
    </row>
    <row r="276" spans="1:94" x14ac:dyDescent="0.2">
      <c r="A276" s="533" t="s">
        <v>4743</v>
      </c>
      <c r="B276" s="131">
        <v>3765</v>
      </c>
      <c r="C276" s="145">
        <v>25</v>
      </c>
      <c r="D276" s="133"/>
      <c r="E276" s="131">
        <v>2258</v>
      </c>
      <c r="F276" s="145">
        <v>70</v>
      </c>
      <c r="G276" s="133"/>
      <c r="H276" s="131">
        <v>42509</v>
      </c>
      <c r="I276" s="145">
        <v>55</v>
      </c>
      <c r="J276" s="133"/>
      <c r="K276" s="131">
        <v>20460</v>
      </c>
      <c r="L276" s="145">
        <v>40</v>
      </c>
      <c r="M276" s="133"/>
      <c r="N276" s="131">
        <v>38489</v>
      </c>
      <c r="O276" s="145">
        <v>45</v>
      </c>
      <c r="P276" s="133"/>
      <c r="Q276" s="131">
        <v>22931</v>
      </c>
      <c r="R276" s="145">
        <v>70</v>
      </c>
      <c r="S276" s="133"/>
      <c r="T276" s="131">
        <v>61898</v>
      </c>
      <c r="U276" s="145">
        <v>50</v>
      </c>
      <c r="V276" s="133"/>
      <c r="W276" s="131">
        <v>68604</v>
      </c>
      <c r="X276" s="145">
        <v>30</v>
      </c>
      <c r="Y276" s="133"/>
      <c r="Z276" s="131">
        <v>94374</v>
      </c>
      <c r="AA276" s="145">
        <v>75</v>
      </c>
      <c r="AB276" s="133"/>
      <c r="AC276" s="131">
        <v>7972</v>
      </c>
      <c r="AD276" s="145"/>
      <c r="AE276" s="133"/>
      <c r="AF276" s="131">
        <v>14015</v>
      </c>
      <c r="AG276" s="145">
        <v>10</v>
      </c>
      <c r="AH276" s="133"/>
      <c r="AI276" s="131">
        <v>20768</v>
      </c>
      <c r="AJ276" s="145">
        <v>25</v>
      </c>
      <c r="AK276" s="133"/>
      <c r="AL276" s="131">
        <v>43625</v>
      </c>
      <c r="AM276" s="145">
        <v>50</v>
      </c>
      <c r="AN276" s="133"/>
      <c r="AO276" s="131">
        <v>32096</v>
      </c>
      <c r="AP276" s="145">
        <v>30</v>
      </c>
      <c r="AQ276" s="133"/>
      <c r="AR276" s="131">
        <v>116460</v>
      </c>
      <c r="AS276" s="145">
        <v>65</v>
      </c>
      <c r="AT276" s="133"/>
      <c r="AU276" s="131">
        <v>5256</v>
      </c>
      <c r="AV276" s="145">
        <v>15</v>
      </c>
      <c r="AW276" s="133"/>
      <c r="AX276" s="131">
        <v>7278</v>
      </c>
      <c r="AY276" s="145">
        <v>15</v>
      </c>
      <c r="AZ276" s="133"/>
      <c r="BA276" s="131">
        <v>588205</v>
      </c>
      <c r="BB276" s="145">
        <v>40</v>
      </c>
      <c r="BC276" s="133"/>
      <c r="BD276" s="131">
        <v>849</v>
      </c>
      <c r="BE276" s="145">
        <v>50</v>
      </c>
      <c r="BF276" s="133"/>
      <c r="BG276" s="131">
        <v>1091</v>
      </c>
      <c r="BH276" s="145">
        <v>60</v>
      </c>
      <c r="BI276" s="133"/>
      <c r="BJ276" s="131">
        <v>540</v>
      </c>
      <c r="BK276" s="145">
        <v>95</v>
      </c>
      <c r="BL276" s="133"/>
      <c r="BM276" s="131">
        <v>751</v>
      </c>
      <c r="BN276" s="145">
        <v>60</v>
      </c>
      <c r="BO276" s="133"/>
      <c r="BP276" s="131">
        <v>10</v>
      </c>
      <c r="BQ276" s="145"/>
      <c r="BR276" s="133"/>
      <c r="BS276" s="131">
        <v>156</v>
      </c>
      <c r="BT276" s="145">
        <v>85</v>
      </c>
      <c r="BU276" s="133"/>
      <c r="BV276" s="131"/>
      <c r="BW276" s="145"/>
      <c r="BX276" s="133"/>
      <c r="BY276" s="131">
        <v>727</v>
      </c>
      <c r="BZ276" s="145">
        <v>60</v>
      </c>
      <c r="CA276" s="133"/>
      <c r="CB276" s="131"/>
      <c r="CC276" s="145"/>
      <c r="CD276" s="133"/>
      <c r="CE276" s="131"/>
      <c r="CF276" s="145"/>
      <c r="CG276" s="133"/>
      <c r="CH276" s="131"/>
      <c r="CI276" s="145"/>
      <c r="CJ276" s="133"/>
      <c r="CK276" s="131">
        <v>580</v>
      </c>
      <c r="CL276" s="145">
        <v>10</v>
      </c>
      <c r="CM276" s="133"/>
      <c r="CN276" s="131">
        <v>592913</v>
      </c>
      <c r="CO276" s="145">
        <v>60</v>
      </c>
      <c r="CP276" s="133"/>
    </row>
    <row r="277" spans="1:94" x14ac:dyDescent="0.2">
      <c r="A277" s="533" t="s">
        <v>4772</v>
      </c>
      <c r="B277" s="131">
        <v>5028</v>
      </c>
      <c r="C277" s="145"/>
      <c r="D277" s="133"/>
      <c r="E277" s="131">
        <v>2016</v>
      </c>
      <c r="F277" s="145">
        <v>10</v>
      </c>
      <c r="G277" s="133"/>
      <c r="H277" s="131">
        <v>33748</v>
      </c>
      <c r="I277" s="145">
        <v>95</v>
      </c>
      <c r="J277" s="133"/>
      <c r="K277" s="131">
        <v>18804</v>
      </c>
      <c r="L277" s="145">
        <v>55</v>
      </c>
      <c r="M277" s="133"/>
      <c r="N277" s="131">
        <v>34644</v>
      </c>
      <c r="O277" s="145">
        <v>30</v>
      </c>
      <c r="P277" s="133"/>
      <c r="Q277" s="131">
        <v>12456</v>
      </c>
      <c r="R277" s="145">
        <v>5</v>
      </c>
      <c r="S277" s="133"/>
      <c r="T277" s="131">
        <v>60933</v>
      </c>
      <c r="U277" s="145">
        <v>70</v>
      </c>
      <c r="V277" s="133"/>
      <c r="W277" s="131">
        <v>56839</v>
      </c>
      <c r="X277" s="145">
        <v>55</v>
      </c>
      <c r="Y277" s="133"/>
      <c r="Z277" s="131">
        <v>82619</v>
      </c>
      <c r="AA277" s="145">
        <v>70</v>
      </c>
      <c r="AB277" s="133"/>
      <c r="AC277" s="131">
        <v>3921</v>
      </c>
      <c r="AD277" s="145">
        <v>60</v>
      </c>
      <c r="AE277" s="133"/>
      <c r="AF277" s="131">
        <v>16751</v>
      </c>
      <c r="AG277" s="145">
        <v>90</v>
      </c>
      <c r="AH277" s="133"/>
      <c r="AI277" s="131">
        <v>22952</v>
      </c>
      <c r="AJ277" s="145">
        <v>75</v>
      </c>
      <c r="AK277" s="133"/>
      <c r="AL277" s="131">
        <v>40934</v>
      </c>
      <c r="AM277" s="145">
        <v>45</v>
      </c>
      <c r="AN277" s="133"/>
      <c r="AO277" s="131">
        <v>23979</v>
      </c>
      <c r="AP277" s="145">
        <v>75</v>
      </c>
      <c r="AQ277" s="133"/>
      <c r="AR277" s="131">
        <v>99812</v>
      </c>
      <c r="AS277" s="145">
        <v>20</v>
      </c>
      <c r="AT277" s="133"/>
      <c r="AU277" s="131">
        <v>6099</v>
      </c>
      <c r="AV277" s="145">
        <v>95</v>
      </c>
      <c r="AW277" s="133"/>
      <c r="AX277" s="131">
        <v>6223</v>
      </c>
      <c r="AY277" s="145">
        <v>25</v>
      </c>
      <c r="AZ277" s="133"/>
      <c r="BA277" s="131">
        <v>515342</v>
      </c>
      <c r="BB277" s="145">
        <v>45</v>
      </c>
      <c r="BC277" s="133"/>
      <c r="BD277" s="131">
        <v>8600</v>
      </c>
      <c r="BE277" s="145">
        <v>70</v>
      </c>
      <c r="BF277" s="133"/>
      <c r="BG277" s="131">
        <v>837</v>
      </c>
      <c r="BH277" s="145">
        <v>15</v>
      </c>
      <c r="BI277" s="133"/>
      <c r="BJ277" s="131">
        <v>649</v>
      </c>
      <c r="BK277" s="145">
        <v>65</v>
      </c>
      <c r="BL277" s="133"/>
      <c r="BM277" s="131">
        <v>832</v>
      </c>
      <c r="BN277" s="145">
        <v>60</v>
      </c>
      <c r="BO277" s="133"/>
      <c r="BP277" s="131"/>
      <c r="BQ277" s="145"/>
      <c r="BR277" s="133"/>
      <c r="BS277" s="131">
        <v>268</v>
      </c>
      <c r="BT277" s="145">
        <v>90</v>
      </c>
      <c r="BU277" s="133"/>
      <c r="BV277" s="131"/>
      <c r="BW277" s="145"/>
      <c r="BX277" s="133"/>
      <c r="BY277" s="131">
        <v>338</v>
      </c>
      <c r="BZ277" s="145">
        <v>60</v>
      </c>
      <c r="CA277" s="133"/>
      <c r="CB277" s="131"/>
      <c r="CC277" s="145"/>
      <c r="CD277" s="133"/>
      <c r="CE277" s="131"/>
      <c r="CF277" s="145"/>
      <c r="CG277" s="133"/>
      <c r="CH277" s="131"/>
      <c r="CI277" s="145"/>
      <c r="CJ277" s="133"/>
      <c r="CK277" s="131">
        <v>150</v>
      </c>
      <c r="CL277" s="145">
        <v>65</v>
      </c>
      <c r="CM277" s="133"/>
      <c r="CN277" s="131">
        <v>527020</v>
      </c>
      <c r="CO277" s="145">
        <v>70</v>
      </c>
      <c r="CP277" s="133"/>
    </row>
    <row r="278" spans="1:94" x14ac:dyDescent="0.2">
      <c r="A278" s="533" t="s">
        <v>4979</v>
      </c>
      <c r="B278" s="131">
        <v>4274</v>
      </c>
      <c r="C278" s="145">
        <v>70</v>
      </c>
      <c r="D278" s="133"/>
      <c r="E278" s="131">
        <v>3561</v>
      </c>
      <c r="F278" s="145">
        <v>60</v>
      </c>
      <c r="G278" s="133"/>
      <c r="H278" s="131">
        <v>58310</v>
      </c>
      <c r="I278" s="145">
        <v>80</v>
      </c>
      <c r="J278" s="133"/>
      <c r="K278" s="131">
        <v>28955</v>
      </c>
      <c r="L278" s="145">
        <v>45</v>
      </c>
      <c r="M278" s="133"/>
      <c r="N278" s="131">
        <v>56978</v>
      </c>
      <c r="O278" s="145">
        <v>5</v>
      </c>
      <c r="P278" s="133"/>
      <c r="Q278" s="131">
        <v>24398</v>
      </c>
      <c r="R278" s="145">
        <v>80</v>
      </c>
      <c r="S278" s="133"/>
      <c r="T278" s="131">
        <v>72898</v>
      </c>
      <c r="U278" s="145">
        <v>60</v>
      </c>
      <c r="V278" s="133"/>
      <c r="W278" s="131">
        <v>107320</v>
      </c>
      <c r="X278" s="145">
        <v>80</v>
      </c>
      <c r="Y278" s="133"/>
      <c r="Z278" s="131">
        <v>173373</v>
      </c>
      <c r="AA278" s="145">
        <v>90</v>
      </c>
      <c r="AB278" s="133"/>
      <c r="AC278" s="131">
        <v>7932</v>
      </c>
      <c r="AD278" s="145">
        <v>50</v>
      </c>
      <c r="AE278" s="133"/>
      <c r="AF278" s="131">
        <v>19554</v>
      </c>
      <c r="AG278" s="145"/>
      <c r="AH278" s="133"/>
      <c r="AI278" s="131">
        <v>35268</v>
      </c>
      <c r="AJ278" s="145">
        <v>45</v>
      </c>
      <c r="AK278" s="133"/>
      <c r="AL278" s="131">
        <v>68279</v>
      </c>
      <c r="AM278" s="145">
        <v>75</v>
      </c>
      <c r="AN278" s="133"/>
      <c r="AO278" s="131">
        <v>58964</v>
      </c>
      <c r="AP278" s="145">
        <v>65</v>
      </c>
      <c r="AQ278" s="133"/>
      <c r="AR278" s="131">
        <v>176150</v>
      </c>
      <c r="AS278" s="145">
        <v>70</v>
      </c>
      <c r="AT278" s="133"/>
      <c r="AU278" s="131">
        <v>5148</v>
      </c>
      <c r="AV278" s="145"/>
      <c r="AW278" s="133"/>
      <c r="AX278" s="131">
        <v>14963</v>
      </c>
      <c r="AY278" s="145">
        <v>65</v>
      </c>
      <c r="AZ278" s="133"/>
      <c r="BA278" s="131">
        <v>886407</v>
      </c>
      <c r="BB278" s="145">
        <v>30</v>
      </c>
      <c r="BC278" s="133"/>
      <c r="BD278" s="131">
        <v>2592</v>
      </c>
      <c r="BE278" s="145">
        <v>40</v>
      </c>
      <c r="BF278" s="133"/>
      <c r="BG278" s="131">
        <v>2096</v>
      </c>
      <c r="BH278" s="145">
        <v>65</v>
      </c>
      <c r="BI278" s="133"/>
      <c r="BJ278" s="131">
        <v>325</v>
      </c>
      <c r="BK278" s="145">
        <v>45</v>
      </c>
      <c r="BL278" s="133"/>
      <c r="BM278" s="131">
        <v>1023</v>
      </c>
      <c r="BN278" s="145">
        <v>85</v>
      </c>
      <c r="BO278" s="133"/>
      <c r="BP278" s="131">
        <v>1</v>
      </c>
      <c r="BQ278" s="145"/>
      <c r="BR278" s="133"/>
      <c r="BS278" s="131">
        <v>229</v>
      </c>
      <c r="BT278" s="145">
        <v>40</v>
      </c>
      <c r="BU278" s="133"/>
      <c r="BV278" s="131"/>
      <c r="BW278" s="145"/>
      <c r="BX278" s="133"/>
      <c r="BY278" s="131">
        <v>142</v>
      </c>
      <c r="BZ278" s="145">
        <v>15</v>
      </c>
      <c r="CA278" s="133"/>
      <c r="CB278" s="131"/>
      <c r="CC278" s="145"/>
      <c r="CD278" s="133"/>
      <c r="CE278" s="131"/>
      <c r="CF278" s="145"/>
      <c r="CG278" s="133"/>
      <c r="CH278" s="131">
        <v>109</v>
      </c>
      <c r="CI278" s="145">
        <v>95</v>
      </c>
      <c r="CJ278" s="133"/>
      <c r="CK278" s="131">
        <v>51</v>
      </c>
      <c r="CL278" s="145">
        <v>5</v>
      </c>
      <c r="CM278" s="133"/>
      <c r="CN278" s="131">
        <v>892979</v>
      </c>
      <c r="CO278" s="145">
        <v>20</v>
      </c>
      <c r="CP278" s="133"/>
    </row>
    <row r="279" spans="1:94" x14ac:dyDescent="0.2">
      <c r="A279" s="533" t="s">
        <v>4769</v>
      </c>
      <c r="B279" s="131">
        <v>4378</v>
      </c>
      <c r="C279" s="145">
        <v>95</v>
      </c>
      <c r="D279" s="133"/>
      <c r="E279" s="131">
        <v>5008</v>
      </c>
      <c r="F279" s="145"/>
      <c r="G279" s="133"/>
      <c r="H279" s="131">
        <v>52807</v>
      </c>
      <c r="I279" s="145">
        <v>6</v>
      </c>
      <c r="J279" s="133"/>
      <c r="K279" s="131">
        <v>22355</v>
      </c>
      <c r="L279" s="145">
        <v>55</v>
      </c>
      <c r="M279" s="133"/>
      <c r="N279" s="131">
        <v>51177</v>
      </c>
      <c r="O279" s="145">
        <v>65</v>
      </c>
      <c r="P279" s="133"/>
      <c r="Q279" s="131">
        <v>21534</v>
      </c>
      <c r="R279" s="145">
        <v>70</v>
      </c>
      <c r="S279" s="133"/>
      <c r="T279" s="131">
        <v>93485</v>
      </c>
      <c r="U279" s="145">
        <v>30</v>
      </c>
      <c r="V279" s="133"/>
      <c r="W279" s="131">
        <v>73625</v>
      </c>
      <c r="X279" s="145">
        <v>60</v>
      </c>
      <c r="Y279" s="133"/>
      <c r="Z279" s="131">
        <v>145104</v>
      </c>
      <c r="AA279" s="145">
        <v>95</v>
      </c>
      <c r="AB279" s="133"/>
      <c r="AC279" s="131">
        <v>7428</v>
      </c>
      <c r="AD279" s="145">
        <v>45</v>
      </c>
      <c r="AE279" s="133"/>
      <c r="AF279" s="131">
        <v>22962</v>
      </c>
      <c r="AG279" s="145"/>
      <c r="AH279" s="133"/>
      <c r="AI279" s="131">
        <v>31214</v>
      </c>
      <c r="AJ279" s="145">
        <v>75</v>
      </c>
      <c r="AK279" s="133"/>
      <c r="AL279" s="131">
        <v>64244</v>
      </c>
      <c r="AM279" s="145">
        <v>25</v>
      </c>
      <c r="AN279" s="133"/>
      <c r="AO279" s="131">
        <v>54944</v>
      </c>
      <c r="AP279" s="145">
        <v>50</v>
      </c>
      <c r="AQ279" s="133"/>
      <c r="AR279" s="131">
        <v>160216</v>
      </c>
      <c r="AS279" s="145">
        <v>30</v>
      </c>
      <c r="AT279" s="133"/>
      <c r="AU279" s="131">
        <v>4388</v>
      </c>
      <c r="AV279" s="145">
        <v>75</v>
      </c>
      <c r="AW279" s="133"/>
      <c r="AX279" s="131">
        <v>9352</v>
      </c>
      <c r="AY279" s="145">
        <v>95</v>
      </c>
      <c r="AZ279" s="133"/>
      <c r="BA279" s="131">
        <v>805516</v>
      </c>
      <c r="BB279" s="145">
        <v>20</v>
      </c>
      <c r="BC279" s="133"/>
      <c r="BD279" s="131">
        <v>15894</v>
      </c>
      <c r="BE279" s="145">
        <v>35</v>
      </c>
      <c r="BF279" s="133"/>
      <c r="BG279" s="131">
        <v>1628</v>
      </c>
      <c r="BH279" s="145">
        <v>35</v>
      </c>
      <c r="BI279" s="133"/>
      <c r="BJ279" s="131">
        <v>256</v>
      </c>
      <c r="BK279" s="145">
        <v>85</v>
      </c>
      <c r="BL279" s="133"/>
      <c r="BM279" s="131">
        <v>3026</v>
      </c>
      <c r="BN279" s="145">
        <v>30</v>
      </c>
      <c r="BO279" s="133"/>
      <c r="BP279" s="131"/>
      <c r="BQ279" s="145"/>
      <c r="BR279" s="133"/>
      <c r="BS279" s="131"/>
      <c r="BT279" s="145"/>
      <c r="BU279" s="133"/>
      <c r="BV279" s="131"/>
      <c r="BW279" s="145"/>
      <c r="BX279" s="133"/>
      <c r="BY279" s="131">
        <v>1999</v>
      </c>
      <c r="BZ279" s="145">
        <v>80</v>
      </c>
      <c r="CA279" s="133"/>
      <c r="CB279" s="131"/>
      <c r="CC279" s="145"/>
      <c r="CD279" s="133"/>
      <c r="CE279" s="131"/>
      <c r="CF279" s="145"/>
      <c r="CG279" s="133"/>
      <c r="CH279" s="131"/>
      <c r="CI279" s="145"/>
      <c r="CJ279" s="133"/>
      <c r="CK279" s="131">
        <v>658</v>
      </c>
      <c r="CL279" s="145">
        <v>90</v>
      </c>
      <c r="CM279" s="133"/>
      <c r="CN279" s="131">
        <v>828980</v>
      </c>
      <c r="CO279" s="145">
        <v>65</v>
      </c>
      <c r="CP279" s="133"/>
    </row>
    <row r="280" spans="1:94" x14ac:dyDescent="0.2">
      <c r="A280" s="533" t="s">
        <v>4770</v>
      </c>
      <c r="B280" s="131">
        <v>2982</v>
      </c>
      <c r="C280" s="145">
        <v>70</v>
      </c>
      <c r="D280" s="133"/>
      <c r="E280" s="131">
        <v>1573</v>
      </c>
      <c r="F280" s="145">
        <v>15</v>
      </c>
      <c r="G280" s="133"/>
      <c r="H280" s="131">
        <v>41185</v>
      </c>
      <c r="I280" s="145">
        <v>30</v>
      </c>
      <c r="J280" s="133"/>
      <c r="K280" s="131">
        <v>36970</v>
      </c>
      <c r="L280" s="145">
        <v>25</v>
      </c>
      <c r="M280" s="133"/>
      <c r="N280" s="131">
        <v>46090</v>
      </c>
      <c r="O280" s="145">
        <v>40</v>
      </c>
      <c r="P280" s="133"/>
      <c r="Q280" s="131">
        <v>17739</v>
      </c>
      <c r="R280" s="145">
        <v>60</v>
      </c>
      <c r="S280" s="133"/>
      <c r="T280" s="131">
        <v>53439</v>
      </c>
      <c r="U280" s="145">
        <v>10</v>
      </c>
      <c r="V280" s="133"/>
      <c r="W280" s="131">
        <v>64092</v>
      </c>
      <c r="X280" s="145">
        <v>80</v>
      </c>
      <c r="Y280" s="133"/>
      <c r="Z280" s="131">
        <v>143045</v>
      </c>
      <c r="AA280" s="145">
        <v>20</v>
      </c>
      <c r="AB280" s="133"/>
      <c r="AC280" s="131">
        <v>7679</v>
      </c>
      <c r="AD280" s="145">
        <v>70</v>
      </c>
      <c r="AE280" s="133"/>
      <c r="AF280" s="131">
        <v>18598</v>
      </c>
      <c r="AG280" s="145">
        <v>95</v>
      </c>
      <c r="AH280" s="133"/>
      <c r="AI280" s="131">
        <v>20126</v>
      </c>
      <c r="AJ280" s="145">
        <v>60</v>
      </c>
      <c r="AK280" s="133"/>
      <c r="AL280" s="131">
        <v>50693</v>
      </c>
      <c r="AM280" s="145">
        <v>80</v>
      </c>
      <c r="AN280" s="133"/>
      <c r="AO280" s="131">
        <v>35958</v>
      </c>
      <c r="AP280" s="145">
        <v>80</v>
      </c>
      <c r="AQ280" s="133"/>
      <c r="AR280" s="131">
        <v>131149</v>
      </c>
      <c r="AS280" s="145"/>
      <c r="AT280" s="133"/>
      <c r="AU280" s="131">
        <v>5469</v>
      </c>
      <c r="AV280" s="145">
        <v>5</v>
      </c>
      <c r="AW280" s="133"/>
      <c r="AX280" s="131">
        <v>13369</v>
      </c>
      <c r="AY280" s="145">
        <v>90</v>
      </c>
      <c r="AZ280" s="133"/>
      <c r="BA280" s="131">
        <v>663424</v>
      </c>
      <c r="BB280" s="145">
        <v>70</v>
      </c>
      <c r="BC280" s="133"/>
      <c r="BD280" s="131">
        <v>7540</v>
      </c>
      <c r="BE280" s="145">
        <v>50</v>
      </c>
      <c r="BF280" s="133"/>
      <c r="BG280" s="131">
        <v>898</v>
      </c>
      <c r="BH280" s="145">
        <v>55</v>
      </c>
      <c r="BI280" s="133"/>
      <c r="BJ280" s="1468">
        <v>131</v>
      </c>
      <c r="BK280" s="145">
        <v>80</v>
      </c>
      <c r="BL280" s="133"/>
      <c r="BM280" s="131">
        <v>858</v>
      </c>
      <c r="BN280" s="145">
        <v>55</v>
      </c>
      <c r="BO280" s="133"/>
      <c r="BP280" s="131"/>
      <c r="BQ280" s="145"/>
      <c r="BR280" s="133"/>
      <c r="BS280" s="131"/>
      <c r="BT280" s="145"/>
      <c r="BU280" s="133"/>
      <c r="BV280" s="131"/>
      <c r="BW280" s="145"/>
      <c r="BX280" s="133"/>
      <c r="BY280" s="131">
        <v>828</v>
      </c>
      <c r="BZ280" s="145">
        <v>5</v>
      </c>
      <c r="CA280" s="133"/>
      <c r="CB280" s="131"/>
      <c r="CC280" s="145"/>
      <c r="CD280" s="133"/>
      <c r="CE280" s="131"/>
      <c r="CF280" s="145"/>
      <c r="CG280" s="133"/>
      <c r="CH280" s="131">
        <v>36</v>
      </c>
      <c r="CI280" s="145"/>
      <c r="CJ280" s="133"/>
      <c r="CK280" s="131">
        <v>880</v>
      </c>
      <c r="CL280" s="145"/>
      <c r="CM280" s="133"/>
      <c r="CN280" s="131">
        <v>675598</v>
      </c>
      <c r="CO280" s="145">
        <v>15</v>
      </c>
      <c r="CP280" s="133"/>
    </row>
    <row r="281" spans="1:94" x14ac:dyDescent="0.2">
      <c r="A281" s="533" t="s">
        <v>4771</v>
      </c>
      <c r="B281" s="230">
        <v>6025</v>
      </c>
      <c r="C281" s="309">
        <v>50</v>
      </c>
      <c r="D281" s="231"/>
      <c r="E281" s="230">
        <v>4090</v>
      </c>
      <c r="F281" s="309">
        <v>25</v>
      </c>
      <c r="G281" s="231">
        <v>0.5</v>
      </c>
      <c r="H281" s="230">
        <v>54853</v>
      </c>
      <c r="I281" s="309">
        <v>75</v>
      </c>
      <c r="J281" s="231"/>
      <c r="K281" s="230">
        <v>29656</v>
      </c>
      <c r="L281" s="309">
        <v>35</v>
      </c>
      <c r="M281" s="231"/>
      <c r="N281" s="230">
        <v>48852</v>
      </c>
      <c r="O281" s="309">
        <v>25</v>
      </c>
      <c r="P281" s="231"/>
      <c r="Q281" s="230">
        <v>19820</v>
      </c>
      <c r="R281" s="309">
        <v>55</v>
      </c>
      <c r="S281" s="231"/>
      <c r="T281" s="230">
        <v>82670</v>
      </c>
      <c r="U281" s="309">
        <v>45</v>
      </c>
      <c r="V281" s="231"/>
      <c r="W281" s="230">
        <v>81368</v>
      </c>
      <c r="X281" s="309">
        <v>55</v>
      </c>
      <c r="Y281" s="231"/>
      <c r="Z281" s="230">
        <v>154320</v>
      </c>
      <c r="AA281" s="309">
        <v>10</v>
      </c>
      <c r="AB281" s="231"/>
      <c r="AC281" s="230">
        <v>12050</v>
      </c>
      <c r="AD281" s="309">
        <v>65</v>
      </c>
      <c r="AE281" s="231"/>
      <c r="AF281" s="230">
        <v>25323</v>
      </c>
      <c r="AG281" s="309">
        <v>10</v>
      </c>
      <c r="AH281" s="231"/>
      <c r="AI281" s="230">
        <v>31712</v>
      </c>
      <c r="AJ281" s="309">
        <v>30</v>
      </c>
      <c r="AK281" s="231"/>
      <c r="AL281" s="230">
        <v>73827</v>
      </c>
      <c r="AM281" s="309">
        <v>25</v>
      </c>
      <c r="AN281" s="231"/>
      <c r="AO281" s="230">
        <v>47923</v>
      </c>
      <c r="AP281" s="309">
        <v>77</v>
      </c>
      <c r="AQ281" s="231"/>
      <c r="AR281" s="230">
        <v>165770</v>
      </c>
      <c r="AS281" s="309">
        <v>92</v>
      </c>
      <c r="AT281" s="231">
        <v>0.5</v>
      </c>
      <c r="AU281" s="230">
        <v>7547</v>
      </c>
      <c r="AV281" s="309">
        <v>40</v>
      </c>
      <c r="AW281" s="231"/>
      <c r="AX281" s="230">
        <v>8657</v>
      </c>
      <c r="AY281" s="309">
        <v>90</v>
      </c>
      <c r="AZ281" s="231"/>
      <c r="BA281" s="230">
        <v>737334</v>
      </c>
      <c r="BB281" s="309">
        <v>85</v>
      </c>
      <c r="BC281" s="231"/>
      <c r="BD281" s="230">
        <v>3044</v>
      </c>
      <c r="BE281" s="309">
        <v>65</v>
      </c>
      <c r="BF281" s="231"/>
      <c r="BG281" s="230">
        <v>983</v>
      </c>
      <c r="BH281" s="309">
        <v>55</v>
      </c>
      <c r="BI281" s="231"/>
      <c r="BJ281" s="230">
        <v>890</v>
      </c>
      <c r="BK281" s="309">
        <v>85</v>
      </c>
      <c r="BL281" s="231"/>
      <c r="BM281" s="230">
        <v>102</v>
      </c>
      <c r="BN281" s="309">
        <v>95</v>
      </c>
      <c r="BO281" s="231"/>
      <c r="BP281" s="230">
        <v>25</v>
      </c>
      <c r="BQ281" s="309"/>
      <c r="BR281" s="231"/>
      <c r="BS281" s="230"/>
      <c r="BT281" s="309"/>
      <c r="BU281" s="231"/>
      <c r="BV281" s="230">
        <v>429</v>
      </c>
      <c r="BW281" s="309"/>
      <c r="BX281" s="231"/>
      <c r="BY281" s="230">
        <v>848</v>
      </c>
      <c r="BZ281" s="309">
        <v>80</v>
      </c>
      <c r="CA281" s="231"/>
      <c r="CB281" s="230"/>
      <c r="CC281" s="309"/>
      <c r="CD281" s="231"/>
      <c r="CE281" s="230"/>
      <c r="CF281" s="309"/>
      <c r="CG281" s="231"/>
      <c r="CH281" s="230"/>
      <c r="CI281" s="309"/>
      <c r="CJ281" s="231"/>
      <c r="CK281" s="230">
        <v>507</v>
      </c>
      <c r="CL281" s="309">
        <v>95</v>
      </c>
      <c r="CM281" s="231"/>
      <c r="CN281" s="230">
        <v>744169</v>
      </c>
      <c r="CO281" s="309">
        <v>20</v>
      </c>
      <c r="CP281" s="231"/>
    </row>
    <row r="282" spans="1:94" x14ac:dyDescent="0.2">
      <c r="A282" s="785" t="s">
        <v>3884</v>
      </c>
      <c r="B282" s="240">
        <v>48968</v>
      </c>
      <c r="C282" s="318">
        <v>30</v>
      </c>
      <c r="D282" s="319"/>
      <c r="E282" s="240">
        <v>33240</v>
      </c>
      <c r="F282" s="318">
        <v>50</v>
      </c>
      <c r="G282" s="319">
        <v>0.5</v>
      </c>
      <c r="H282" s="240">
        <v>484439</v>
      </c>
      <c r="I282" s="318">
        <v>75</v>
      </c>
      <c r="J282" s="319"/>
      <c r="K282" s="240">
        <v>270713</v>
      </c>
      <c r="L282" s="318">
        <v>95</v>
      </c>
      <c r="M282" s="319"/>
      <c r="N282" s="240">
        <v>497480</v>
      </c>
      <c r="O282" s="318">
        <v>90</v>
      </c>
      <c r="P282" s="319"/>
      <c r="Q282" s="240">
        <v>221409</v>
      </c>
      <c r="R282" s="318">
        <v>55</v>
      </c>
      <c r="S282" s="319"/>
      <c r="T282" s="240">
        <v>749005</v>
      </c>
      <c r="U282" s="318">
        <v>30</v>
      </c>
      <c r="V282" s="319"/>
      <c r="W282" s="240">
        <v>819813</v>
      </c>
      <c r="X282" s="318">
        <v>55</v>
      </c>
      <c r="Y282" s="319"/>
      <c r="Z282" s="240">
        <v>1506363</v>
      </c>
      <c r="AA282" s="318">
        <v>25</v>
      </c>
      <c r="AB282" s="319"/>
      <c r="AC282" s="240">
        <v>81797</v>
      </c>
      <c r="AD282" s="318">
        <v>95</v>
      </c>
      <c r="AE282" s="319"/>
      <c r="AF282" s="240">
        <v>214740</v>
      </c>
      <c r="AG282" s="318">
        <v>20</v>
      </c>
      <c r="AH282" s="319"/>
      <c r="AI282" s="240">
        <v>280433</v>
      </c>
      <c r="AJ282" s="318">
        <v>5</v>
      </c>
      <c r="AK282" s="319"/>
      <c r="AL282" s="240">
        <v>591521</v>
      </c>
      <c r="AM282" s="318">
        <v>15</v>
      </c>
      <c r="AN282" s="319"/>
      <c r="AO282" s="240">
        <v>419542</v>
      </c>
      <c r="AP282" s="318">
        <v>92</v>
      </c>
      <c r="AQ282" s="319"/>
      <c r="AR282" s="240">
        <v>1523190</v>
      </c>
      <c r="AS282" s="318">
        <v>62</v>
      </c>
      <c r="AT282" s="319">
        <v>0.5</v>
      </c>
      <c r="AU282" s="240">
        <v>54173</v>
      </c>
      <c r="AV282" s="318"/>
      <c r="AW282" s="319"/>
      <c r="AX282" s="240">
        <v>126319</v>
      </c>
      <c r="AY282" s="318">
        <v>35</v>
      </c>
      <c r="AZ282" s="319"/>
      <c r="BA282" s="240">
        <v>7571162</v>
      </c>
      <c r="BB282" s="318">
        <v>80</v>
      </c>
      <c r="BC282" s="319"/>
      <c r="BD282" s="240">
        <v>112875</v>
      </c>
      <c r="BE282" s="318">
        <v>80</v>
      </c>
      <c r="BF282" s="319"/>
      <c r="BG282" s="240">
        <v>13992</v>
      </c>
      <c r="BH282" s="318">
        <v>30</v>
      </c>
      <c r="BI282" s="319"/>
      <c r="BJ282" s="1469">
        <v>4656</v>
      </c>
      <c r="BK282" s="318">
        <v>75</v>
      </c>
      <c r="BL282" s="319"/>
      <c r="BM282" s="240">
        <v>8473</v>
      </c>
      <c r="BN282" s="318">
        <v>65</v>
      </c>
      <c r="BO282" s="319"/>
      <c r="BP282" s="240">
        <v>91</v>
      </c>
      <c r="BQ282" s="318"/>
      <c r="BR282" s="319"/>
      <c r="BS282" s="240">
        <v>994</v>
      </c>
      <c r="BT282" s="318">
        <v>25</v>
      </c>
      <c r="BU282" s="319"/>
      <c r="BV282" s="240">
        <v>429</v>
      </c>
      <c r="BW282" s="318"/>
      <c r="BX282" s="319"/>
      <c r="BY282" s="240">
        <v>6761</v>
      </c>
      <c r="BZ282" s="318">
        <v>55</v>
      </c>
      <c r="CA282" s="319"/>
      <c r="CB282" s="240">
        <v>122</v>
      </c>
      <c r="CC282" s="318"/>
      <c r="CD282" s="319"/>
      <c r="CE282" s="240">
        <v>122</v>
      </c>
      <c r="CF282" s="318">
        <v>75</v>
      </c>
      <c r="CG282" s="319"/>
      <c r="CH282" s="240">
        <v>145</v>
      </c>
      <c r="CI282" s="318">
        <v>95</v>
      </c>
      <c r="CJ282" s="319"/>
      <c r="CK282" s="240">
        <v>4771</v>
      </c>
      <c r="CL282" s="318">
        <v>50</v>
      </c>
      <c r="CM282" s="319"/>
      <c r="CN282" s="240">
        <v>7725599</v>
      </c>
      <c r="CO282" s="318">
        <v>30</v>
      </c>
      <c r="CP282" s="241"/>
    </row>
    <row r="283" spans="1:94" x14ac:dyDescent="0.2">
      <c r="B283" s="393">
        <f>+SUM(B270:B281)</f>
        <v>49963</v>
      </c>
      <c r="C283" s="1137">
        <f t="shared" ref="C283:BN283" si="16">+SUM(C270:C281)</f>
        <v>520</v>
      </c>
      <c r="D283" s="393">
        <f t="shared" si="16"/>
        <v>0</v>
      </c>
      <c r="E283" s="393">
        <f t="shared" si="16"/>
        <v>33237</v>
      </c>
      <c r="F283" s="393">
        <f t="shared" si="16"/>
        <v>350</v>
      </c>
      <c r="G283" s="393">
        <f t="shared" si="16"/>
        <v>0.5</v>
      </c>
      <c r="H283" s="393">
        <f t="shared" si="16"/>
        <v>484435</v>
      </c>
      <c r="I283" s="1137">
        <f t="shared" si="16"/>
        <v>476</v>
      </c>
      <c r="J283" s="393">
        <f t="shared" si="16"/>
        <v>0</v>
      </c>
      <c r="K283" s="1137">
        <f t="shared" si="16"/>
        <v>270208</v>
      </c>
      <c r="L283" s="393">
        <f t="shared" si="16"/>
        <v>595</v>
      </c>
      <c r="M283" s="393">
        <f t="shared" si="16"/>
        <v>0</v>
      </c>
      <c r="N283" s="1137">
        <f t="shared" si="16"/>
        <v>497477</v>
      </c>
      <c r="O283" s="1137">
        <f t="shared" si="16"/>
        <v>400</v>
      </c>
      <c r="P283" s="393">
        <f t="shared" si="16"/>
        <v>0</v>
      </c>
      <c r="Q283" s="393">
        <f t="shared" si="16"/>
        <v>221382</v>
      </c>
      <c r="R283" s="393">
        <f t="shared" si="16"/>
        <v>725</v>
      </c>
      <c r="S283" s="393">
        <f t="shared" si="16"/>
        <v>0</v>
      </c>
      <c r="T283" s="1137">
        <f t="shared" si="16"/>
        <v>748900</v>
      </c>
      <c r="U283" s="393">
        <f t="shared" si="16"/>
        <v>530</v>
      </c>
      <c r="V283" s="393">
        <f t="shared" si="16"/>
        <v>0</v>
      </c>
      <c r="W283" s="1137">
        <f t="shared" si="16"/>
        <v>819808</v>
      </c>
      <c r="X283" s="1137">
        <f t="shared" si="16"/>
        <v>675</v>
      </c>
      <c r="Y283" s="393">
        <f t="shared" si="16"/>
        <v>0</v>
      </c>
      <c r="Z283" s="393">
        <f t="shared" si="16"/>
        <v>1506356</v>
      </c>
      <c r="AA283" s="1137">
        <f t="shared" si="16"/>
        <v>705</v>
      </c>
      <c r="AB283" s="393">
        <f t="shared" si="16"/>
        <v>0</v>
      </c>
      <c r="AC283" s="393">
        <f t="shared" si="16"/>
        <v>81792</v>
      </c>
      <c r="AD283" s="393">
        <f t="shared" si="16"/>
        <v>595</v>
      </c>
      <c r="AE283" s="393">
        <f t="shared" si="16"/>
        <v>0</v>
      </c>
      <c r="AF283" s="393">
        <f t="shared" si="16"/>
        <v>214736</v>
      </c>
      <c r="AG283" s="393">
        <f t="shared" si="16"/>
        <v>420</v>
      </c>
      <c r="AH283" s="393">
        <f t="shared" si="16"/>
        <v>0</v>
      </c>
      <c r="AI283" s="393">
        <f t="shared" si="16"/>
        <v>280527</v>
      </c>
      <c r="AJ283" s="1137">
        <f t="shared" si="16"/>
        <v>590</v>
      </c>
      <c r="AK283" s="393">
        <f t="shared" si="16"/>
        <v>0</v>
      </c>
      <c r="AL283" s="393">
        <f t="shared" si="16"/>
        <v>591515</v>
      </c>
      <c r="AM283" s="1137">
        <f t="shared" si="16"/>
        <v>620</v>
      </c>
      <c r="AN283" s="393">
        <f t="shared" si="16"/>
        <v>0</v>
      </c>
      <c r="AO283" s="393">
        <f t="shared" si="16"/>
        <v>419677</v>
      </c>
      <c r="AP283" s="393">
        <f t="shared" si="16"/>
        <v>603</v>
      </c>
      <c r="AQ283" s="393">
        <f t="shared" si="16"/>
        <v>0</v>
      </c>
      <c r="AR283" s="1137">
        <f t="shared" si="16"/>
        <v>1523866</v>
      </c>
      <c r="AS283" s="1137">
        <f t="shared" si="16"/>
        <v>587</v>
      </c>
      <c r="AT283" s="393">
        <f t="shared" si="16"/>
        <v>0.5</v>
      </c>
      <c r="AU283" s="1137">
        <f t="shared" si="16"/>
        <v>54237</v>
      </c>
      <c r="AV283" s="1137">
        <f t="shared" si="16"/>
        <v>440</v>
      </c>
      <c r="AW283" s="393">
        <f t="shared" si="16"/>
        <v>0</v>
      </c>
      <c r="AX283" s="1137">
        <f t="shared" si="16"/>
        <v>123018</v>
      </c>
      <c r="AY283" s="1137">
        <f t="shared" si="16"/>
        <v>575</v>
      </c>
      <c r="AZ283" s="393">
        <f t="shared" si="16"/>
        <v>0</v>
      </c>
      <c r="BA283" s="393">
        <f t="shared" si="16"/>
        <v>7571157</v>
      </c>
      <c r="BB283" s="1137">
        <f t="shared" si="16"/>
        <v>550</v>
      </c>
      <c r="BC283" s="393">
        <f t="shared" si="16"/>
        <v>0</v>
      </c>
      <c r="BD283" s="393">
        <f t="shared" si="16"/>
        <v>112870</v>
      </c>
      <c r="BE283" s="393">
        <f t="shared" si="16"/>
        <v>560</v>
      </c>
      <c r="BF283" s="393">
        <f t="shared" si="16"/>
        <v>0</v>
      </c>
      <c r="BG283" s="393">
        <f t="shared" si="16"/>
        <v>13987</v>
      </c>
      <c r="BH283" s="393">
        <f t="shared" si="16"/>
        <v>530</v>
      </c>
      <c r="BI283" s="393">
        <f t="shared" si="16"/>
        <v>0</v>
      </c>
      <c r="BJ283" s="393">
        <f t="shared" si="16"/>
        <v>4649</v>
      </c>
      <c r="BK283" s="393">
        <f t="shared" si="16"/>
        <v>685</v>
      </c>
      <c r="BL283" s="393">
        <f t="shared" si="16"/>
        <v>0</v>
      </c>
      <c r="BM283" s="393">
        <f t="shared" si="16"/>
        <v>8468</v>
      </c>
      <c r="BN283" s="393">
        <f t="shared" si="16"/>
        <v>565</v>
      </c>
      <c r="BO283" s="393">
        <f t="shared" ref="BO283:CP283" si="17">+SUM(BO270:BO281)</f>
        <v>0</v>
      </c>
      <c r="BP283" s="393">
        <f t="shared" si="17"/>
        <v>90</v>
      </c>
      <c r="BQ283" s="393">
        <f t="shared" si="17"/>
        <v>100</v>
      </c>
      <c r="BR283" s="393">
        <f t="shared" si="17"/>
        <v>0</v>
      </c>
      <c r="BS283" s="393">
        <f t="shared" si="17"/>
        <v>989</v>
      </c>
      <c r="BT283" s="393">
        <f t="shared" si="17"/>
        <v>525</v>
      </c>
      <c r="BU283" s="393">
        <f t="shared" si="17"/>
        <v>0</v>
      </c>
      <c r="BV283" s="393">
        <f t="shared" si="17"/>
        <v>429</v>
      </c>
      <c r="BW283" s="393">
        <f t="shared" si="17"/>
        <v>0</v>
      </c>
      <c r="BX283" s="393">
        <f t="shared" si="17"/>
        <v>0</v>
      </c>
      <c r="BY283" s="393">
        <f t="shared" si="17"/>
        <v>6756</v>
      </c>
      <c r="BZ283" s="393">
        <f t="shared" si="17"/>
        <v>555</v>
      </c>
      <c r="CA283" s="393">
        <f t="shared" si="17"/>
        <v>0</v>
      </c>
      <c r="CB283" s="393">
        <f t="shared" si="17"/>
        <v>122</v>
      </c>
      <c r="CC283" s="393">
        <f t="shared" si="17"/>
        <v>0</v>
      </c>
      <c r="CD283" s="393">
        <f t="shared" si="17"/>
        <v>0</v>
      </c>
      <c r="CE283" s="393">
        <f t="shared" si="17"/>
        <v>122</v>
      </c>
      <c r="CF283" s="393">
        <f t="shared" si="17"/>
        <v>75</v>
      </c>
      <c r="CG283" s="393">
        <f t="shared" si="17"/>
        <v>0</v>
      </c>
      <c r="CH283" s="393">
        <f t="shared" si="17"/>
        <v>145</v>
      </c>
      <c r="CI283" s="393">
        <f t="shared" si="17"/>
        <v>95</v>
      </c>
      <c r="CJ283" s="393">
        <f t="shared" si="17"/>
        <v>0</v>
      </c>
      <c r="CK283" s="393">
        <f t="shared" si="17"/>
        <v>4767</v>
      </c>
      <c r="CL283" s="393">
        <f t="shared" si="17"/>
        <v>450</v>
      </c>
      <c r="CM283" s="393">
        <f t="shared" si="17"/>
        <v>0</v>
      </c>
      <c r="CN283" s="393">
        <f t="shared" si="17"/>
        <v>7725596</v>
      </c>
      <c r="CO283" s="393">
        <f t="shared" si="17"/>
        <v>330</v>
      </c>
      <c r="CP283" s="393">
        <f t="shared" si="17"/>
        <v>0</v>
      </c>
    </row>
    <row r="286" spans="1:94" x14ac:dyDescent="0.2">
      <c r="A286" s="526" t="s">
        <v>2089</v>
      </c>
    </row>
    <row r="287" spans="1:94" ht="34.25" customHeight="1" x14ac:dyDescent="0.2">
      <c r="A287" s="1452" t="s">
        <v>4980</v>
      </c>
      <c r="B287" s="1453"/>
      <c r="C287" s="1453"/>
      <c r="D287" s="1453"/>
      <c r="E287" s="1453"/>
      <c r="F287" s="1453"/>
      <c r="G287" s="1453"/>
      <c r="H287" s="1453"/>
      <c r="I287" s="1453"/>
      <c r="J287" s="1453"/>
      <c r="K287" s="1453"/>
      <c r="L287" s="1453"/>
      <c r="M287" s="1453"/>
      <c r="N287" s="1453"/>
      <c r="O287" s="1453"/>
      <c r="P287" s="1453"/>
      <c r="Q287" s="1453"/>
      <c r="R287" s="1453"/>
      <c r="S287" s="1453"/>
      <c r="T287" s="1453"/>
      <c r="U287" s="1453"/>
      <c r="V287" s="1453"/>
      <c r="W287" s="1453"/>
      <c r="X287" s="1453"/>
      <c r="Y287" s="1453"/>
      <c r="Z287" s="1453"/>
      <c r="AA287" s="1453"/>
      <c r="AB287" s="1453"/>
      <c r="AC287" s="1453"/>
      <c r="AD287" s="1453"/>
      <c r="AE287" s="1453"/>
      <c r="AF287" s="1453"/>
      <c r="AG287" s="1453"/>
      <c r="AH287" s="1453"/>
      <c r="AI287" s="1453"/>
      <c r="AJ287" s="1453"/>
      <c r="AK287" s="1453"/>
      <c r="AL287" s="1453"/>
      <c r="AM287" s="1453"/>
      <c r="AN287" s="1453"/>
      <c r="AO287" s="1453"/>
      <c r="AP287" s="1453"/>
      <c r="AQ287" s="1453"/>
      <c r="AR287" s="1453"/>
      <c r="AS287" s="1454"/>
    </row>
    <row r="288" spans="1:94" x14ac:dyDescent="0.2">
      <c r="A288" s="967" t="s">
        <v>3254</v>
      </c>
      <c r="B288" s="793" t="s">
        <v>4056</v>
      </c>
      <c r="C288" s="793"/>
      <c r="D288" s="793"/>
      <c r="E288" s="793"/>
      <c r="F288" s="793"/>
      <c r="G288" s="793"/>
      <c r="H288" s="793"/>
      <c r="I288" s="793"/>
      <c r="J288" s="793"/>
      <c r="K288" s="793"/>
      <c r="L288" s="793"/>
      <c r="M288" s="793"/>
      <c r="N288" s="793" t="s">
        <v>3394</v>
      </c>
      <c r="O288" s="793"/>
      <c r="P288" s="616" t="s">
        <v>3576</v>
      </c>
      <c r="Q288" s="617"/>
      <c r="R288" s="617"/>
      <c r="S288" s="617"/>
      <c r="T288" s="617"/>
      <c r="U288" s="617"/>
      <c r="V288" s="617"/>
      <c r="W288" s="617"/>
      <c r="X288" s="617"/>
      <c r="Y288" s="617"/>
      <c r="Z288" s="617"/>
      <c r="AA288" s="617"/>
      <c r="AB288" s="617"/>
      <c r="AC288" s="617"/>
      <c r="AD288" s="617"/>
      <c r="AE288" s="617"/>
      <c r="AF288" s="617"/>
      <c r="AG288" s="617"/>
      <c r="AH288" s="617"/>
      <c r="AI288" s="617"/>
      <c r="AJ288" s="617"/>
      <c r="AK288" s="617"/>
      <c r="AL288" s="617"/>
      <c r="AM288" s="617"/>
      <c r="AN288" s="617"/>
      <c r="AO288" s="617"/>
      <c r="AP288" s="617"/>
      <c r="AQ288" s="617"/>
      <c r="AR288" s="617"/>
      <c r="AS288" s="618"/>
    </row>
    <row r="289" spans="1:45" ht="14.5" customHeight="1" x14ac:dyDescent="0.2">
      <c r="A289" s="967"/>
      <c r="B289" s="793" t="s">
        <v>4058</v>
      </c>
      <c r="C289" s="793"/>
      <c r="D289" s="793"/>
      <c r="E289" s="793"/>
      <c r="F289" s="793"/>
      <c r="G289" s="793"/>
      <c r="H289" s="793" t="s">
        <v>4059</v>
      </c>
      <c r="I289" s="793"/>
      <c r="J289" s="793"/>
      <c r="K289" s="793"/>
      <c r="L289" s="793"/>
      <c r="M289" s="793"/>
      <c r="N289" s="711" t="s">
        <v>3400</v>
      </c>
      <c r="O289" s="714" t="s">
        <v>4981</v>
      </c>
      <c r="P289" s="793" t="s">
        <v>4062</v>
      </c>
      <c r="Q289" s="793"/>
      <c r="R289" s="793"/>
      <c r="S289" s="793"/>
      <c r="T289" s="793"/>
      <c r="U289" s="793"/>
      <c r="V289" s="793"/>
      <c r="W289" s="793"/>
      <c r="X289" s="793"/>
      <c r="Y289" s="793"/>
      <c r="Z289" s="793"/>
      <c r="AA289" s="793"/>
      <c r="AB289" s="793"/>
      <c r="AC289" s="793"/>
      <c r="AD289" s="793"/>
      <c r="AE289" s="793"/>
      <c r="AF289" s="793"/>
      <c r="AG289" s="793"/>
      <c r="AH289" s="793"/>
      <c r="AI289" s="793"/>
      <c r="AJ289" s="793"/>
      <c r="AK289" s="793"/>
      <c r="AL289" s="793"/>
      <c r="AM289" s="793"/>
      <c r="AN289" s="793"/>
      <c r="AO289" s="793"/>
      <c r="AP289" s="793"/>
      <c r="AQ289" s="793"/>
      <c r="AR289" s="793"/>
      <c r="AS289" s="793"/>
    </row>
    <row r="290" spans="1:45" ht="31.75" customHeight="1" x14ac:dyDescent="0.2">
      <c r="A290" s="967"/>
      <c r="B290" s="793" t="s">
        <v>4604</v>
      </c>
      <c r="C290" s="793"/>
      <c r="D290" s="793"/>
      <c r="E290" s="793" t="s">
        <v>4982</v>
      </c>
      <c r="F290" s="793"/>
      <c r="G290" s="793"/>
      <c r="H290" s="793" t="s">
        <v>4604</v>
      </c>
      <c r="I290" s="793"/>
      <c r="J290" s="793"/>
      <c r="K290" s="793" t="s">
        <v>4982</v>
      </c>
      <c r="L290" s="793"/>
      <c r="M290" s="793"/>
      <c r="N290" s="715"/>
      <c r="O290" s="780"/>
      <c r="P290" s="1036" t="s">
        <v>3271</v>
      </c>
      <c r="Q290" s="1036"/>
      <c r="R290" s="1036" t="s">
        <v>3272</v>
      </c>
      <c r="S290" s="1036"/>
      <c r="T290" s="1036" t="s">
        <v>3577</v>
      </c>
      <c r="U290" s="1036"/>
      <c r="V290" s="1036" t="s">
        <v>3578</v>
      </c>
      <c r="W290" s="1036"/>
      <c r="X290" s="1036" t="s">
        <v>3579</v>
      </c>
      <c r="Y290" s="1036"/>
      <c r="Z290" s="1036" t="s">
        <v>4948</v>
      </c>
      <c r="AA290" s="1036"/>
      <c r="AB290" s="1036" t="s">
        <v>4949</v>
      </c>
      <c r="AC290" s="1036"/>
      <c r="AD290" s="1036" t="s">
        <v>4310</v>
      </c>
      <c r="AE290" s="1036"/>
      <c r="AF290" s="1036" t="s">
        <v>4950</v>
      </c>
      <c r="AG290" s="1036"/>
      <c r="AH290" s="1036" t="s">
        <v>4951</v>
      </c>
      <c r="AI290" s="1036"/>
      <c r="AJ290" s="1053" t="s">
        <v>4952</v>
      </c>
      <c r="AK290" s="1054"/>
      <c r="AL290" s="1053" t="s">
        <v>4953</v>
      </c>
      <c r="AM290" s="1054"/>
      <c r="AN290" s="1053" t="s">
        <v>4954</v>
      </c>
      <c r="AO290" s="1054"/>
      <c r="AP290" s="1053" t="s">
        <v>4955</v>
      </c>
      <c r="AQ290" s="1054"/>
      <c r="AR290" s="1053" t="s">
        <v>4956</v>
      </c>
      <c r="AS290" s="1054"/>
    </row>
    <row r="291" spans="1:45" x14ac:dyDescent="0.2">
      <c r="A291" s="967"/>
      <c r="B291" s="808" t="s">
        <v>3407</v>
      </c>
      <c r="C291" s="618" t="s">
        <v>1636</v>
      </c>
      <c r="D291" s="793"/>
      <c r="E291" s="808" t="s">
        <v>3407</v>
      </c>
      <c r="F291" s="618" t="s">
        <v>1636</v>
      </c>
      <c r="G291" s="793"/>
      <c r="H291" s="808" t="s">
        <v>3407</v>
      </c>
      <c r="I291" s="618" t="s">
        <v>1636</v>
      </c>
      <c r="J291" s="793"/>
      <c r="K291" s="808" t="s">
        <v>3407</v>
      </c>
      <c r="L291" s="618" t="s">
        <v>1636</v>
      </c>
      <c r="M291" s="793"/>
      <c r="N291" s="808" t="s">
        <v>4983</v>
      </c>
      <c r="O291" s="808" t="s">
        <v>4983</v>
      </c>
      <c r="P291" s="1037" t="s">
        <v>4984</v>
      </c>
      <c r="Q291" s="1037" t="s">
        <v>4806</v>
      </c>
      <c r="R291" s="1037" t="s">
        <v>4984</v>
      </c>
      <c r="S291" s="1037" t="s">
        <v>4806</v>
      </c>
      <c r="T291" s="1037" t="s">
        <v>4984</v>
      </c>
      <c r="U291" s="1037" t="s">
        <v>4806</v>
      </c>
      <c r="V291" s="1037" t="s">
        <v>4984</v>
      </c>
      <c r="W291" s="1037" t="s">
        <v>4806</v>
      </c>
      <c r="X291" s="1037" t="s">
        <v>4984</v>
      </c>
      <c r="Y291" s="1037" t="s">
        <v>4806</v>
      </c>
      <c r="Z291" s="1037" t="s">
        <v>4984</v>
      </c>
      <c r="AA291" s="1037" t="s">
        <v>4806</v>
      </c>
      <c r="AB291" s="1037" t="s">
        <v>4984</v>
      </c>
      <c r="AC291" s="1037" t="s">
        <v>4806</v>
      </c>
      <c r="AD291" s="1037" t="s">
        <v>4984</v>
      </c>
      <c r="AE291" s="1037" t="s">
        <v>4806</v>
      </c>
      <c r="AF291" s="1037" t="s">
        <v>4984</v>
      </c>
      <c r="AG291" s="1037" t="s">
        <v>4806</v>
      </c>
      <c r="AH291" s="1037" t="s">
        <v>4984</v>
      </c>
      <c r="AI291" s="1037" t="s">
        <v>4806</v>
      </c>
      <c r="AJ291" s="1037" t="s">
        <v>4984</v>
      </c>
      <c r="AK291" s="1037" t="s">
        <v>4806</v>
      </c>
      <c r="AL291" s="1037" t="s">
        <v>4984</v>
      </c>
      <c r="AM291" s="1037" t="s">
        <v>4806</v>
      </c>
      <c r="AN291" s="1037" t="s">
        <v>4984</v>
      </c>
      <c r="AO291" s="1037" t="s">
        <v>4806</v>
      </c>
      <c r="AP291" s="1037" t="s">
        <v>4984</v>
      </c>
      <c r="AQ291" s="1037" t="s">
        <v>4806</v>
      </c>
      <c r="AR291" s="1037" t="s">
        <v>4984</v>
      </c>
      <c r="AS291" s="1037" t="s">
        <v>4806</v>
      </c>
    </row>
    <row r="292" spans="1:45" x14ac:dyDescent="0.2">
      <c r="A292" s="533" t="s">
        <v>3668</v>
      </c>
      <c r="B292" s="533">
        <v>17</v>
      </c>
      <c r="C292" s="145">
        <v>4064</v>
      </c>
      <c r="D292" s="180"/>
      <c r="E292" s="716">
        <v>213</v>
      </c>
      <c r="F292" s="350">
        <v>358080</v>
      </c>
      <c r="G292" s="717"/>
      <c r="H292" s="533">
        <v>14</v>
      </c>
      <c r="I292" s="145">
        <v>2974</v>
      </c>
      <c r="J292" s="145"/>
      <c r="K292" s="716">
        <v>217</v>
      </c>
      <c r="L292" s="350">
        <v>363081</v>
      </c>
      <c r="M292" s="717"/>
      <c r="N292" s="145">
        <v>229267</v>
      </c>
      <c r="O292" s="716">
        <v>530644</v>
      </c>
      <c r="P292" s="145">
        <v>340530</v>
      </c>
      <c r="Q292" s="145">
        <v>199</v>
      </c>
      <c r="R292" s="349">
        <v>1163395</v>
      </c>
      <c r="S292" s="717"/>
      <c r="T292" s="349">
        <v>649098</v>
      </c>
      <c r="U292" s="145"/>
      <c r="V292" s="349">
        <v>2801247</v>
      </c>
      <c r="W292" s="717"/>
      <c r="X292" s="145">
        <v>1053248</v>
      </c>
      <c r="Y292" s="145"/>
      <c r="Z292" s="349">
        <v>1072587</v>
      </c>
      <c r="AA292" s="717">
        <v>620</v>
      </c>
      <c r="AB292" s="145">
        <v>342832</v>
      </c>
      <c r="AC292" s="145">
        <v>330</v>
      </c>
      <c r="AD292" s="349">
        <v>997240</v>
      </c>
      <c r="AE292" s="717">
        <v>750</v>
      </c>
      <c r="AF292" s="145">
        <v>19241</v>
      </c>
      <c r="AG292" s="145">
        <v>100</v>
      </c>
      <c r="AH292" s="349">
        <v>1695157</v>
      </c>
      <c r="AI292" s="717">
        <v>324</v>
      </c>
      <c r="AJ292" s="145">
        <v>126263</v>
      </c>
      <c r="AK292" s="145">
        <v>926</v>
      </c>
      <c r="AL292" s="349">
        <v>139406</v>
      </c>
      <c r="AM292" s="717">
        <v>369</v>
      </c>
      <c r="AN292" s="145">
        <v>161957</v>
      </c>
      <c r="AO292" s="145">
        <v>49</v>
      </c>
      <c r="AP292" s="349">
        <v>333726</v>
      </c>
      <c r="AQ292" s="717">
        <v>505</v>
      </c>
      <c r="AR292" s="145">
        <v>165645</v>
      </c>
      <c r="AS292" s="307">
        <v>828</v>
      </c>
    </row>
    <row r="293" spans="1:45" x14ac:dyDescent="0.2">
      <c r="A293" s="533" t="s">
        <v>1517</v>
      </c>
      <c r="B293" s="533">
        <v>24</v>
      </c>
      <c r="C293" s="145">
        <v>1393</v>
      </c>
      <c r="D293" s="180"/>
      <c r="E293" s="533">
        <v>60</v>
      </c>
      <c r="F293" s="145">
        <v>26087</v>
      </c>
      <c r="G293" s="307"/>
      <c r="H293" s="533">
        <v>23</v>
      </c>
      <c r="I293" s="145">
        <v>1780</v>
      </c>
      <c r="J293" s="145"/>
      <c r="K293" s="533">
        <v>59</v>
      </c>
      <c r="L293" s="145">
        <v>26975</v>
      </c>
      <c r="M293" s="307"/>
      <c r="N293" s="145">
        <v>410010</v>
      </c>
      <c r="O293" s="533">
        <v>53164</v>
      </c>
      <c r="P293" s="145">
        <v>450285</v>
      </c>
      <c r="Q293" s="145">
        <v>500</v>
      </c>
      <c r="R293" s="131">
        <v>27490</v>
      </c>
      <c r="S293" s="307"/>
      <c r="T293" s="131">
        <v>395422</v>
      </c>
      <c r="U293" s="145"/>
      <c r="V293" s="131">
        <v>258890</v>
      </c>
      <c r="W293" s="307">
        <v>500</v>
      </c>
      <c r="X293" s="145">
        <v>75167</v>
      </c>
      <c r="Y293" s="145">
        <v>500</v>
      </c>
      <c r="Z293" s="131">
        <v>117567</v>
      </c>
      <c r="AA293" s="307"/>
      <c r="AB293" s="145">
        <v>35746</v>
      </c>
      <c r="AC293" s="145">
        <v>500</v>
      </c>
      <c r="AD293" s="131">
        <v>94789</v>
      </c>
      <c r="AE293" s="307">
        <v>510</v>
      </c>
      <c r="AF293" s="145">
        <v>71157</v>
      </c>
      <c r="AG293" s="145">
        <v>500</v>
      </c>
      <c r="AH293" s="131">
        <v>117346</v>
      </c>
      <c r="AI293" s="307"/>
      <c r="AJ293" s="145">
        <v>2970</v>
      </c>
      <c r="AK293" s="145"/>
      <c r="AL293" s="131">
        <v>13230</v>
      </c>
      <c r="AM293" s="307">
        <v>500</v>
      </c>
      <c r="AN293" s="145">
        <v>17769</v>
      </c>
      <c r="AO293" s="145">
        <v>500</v>
      </c>
      <c r="AP293" s="131">
        <v>24119</v>
      </c>
      <c r="AQ293" s="307">
        <v>500</v>
      </c>
      <c r="AR293" s="145">
        <v>22300</v>
      </c>
      <c r="AS293" s="307"/>
    </row>
    <row r="294" spans="1:45" x14ac:dyDescent="0.2">
      <c r="A294" s="533" t="s">
        <v>4033</v>
      </c>
      <c r="B294" s="533">
        <v>49</v>
      </c>
      <c r="C294" s="145">
        <v>3250</v>
      </c>
      <c r="D294" s="180"/>
      <c r="E294" s="533">
        <v>187</v>
      </c>
      <c r="F294" s="145">
        <v>248321</v>
      </c>
      <c r="G294" s="307"/>
      <c r="H294" s="533">
        <v>45</v>
      </c>
      <c r="I294" s="145">
        <v>3250</v>
      </c>
      <c r="J294" s="145"/>
      <c r="K294" s="533">
        <v>187</v>
      </c>
      <c r="L294" s="145">
        <v>248321</v>
      </c>
      <c r="M294" s="307"/>
      <c r="N294" s="145">
        <v>368937</v>
      </c>
      <c r="O294" s="533">
        <v>268851</v>
      </c>
      <c r="P294" s="145">
        <v>934675</v>
      </c>
      <c r="Q294" s="145"/>
      <c r="R294" s="131">
        <v>1902440</v>
      </c>
      <c r="S294" s="307"/>
      <c r="T294" s="131">
        <v>409688</v>
      </c>
      <c r="U294" s="145"/>
      <c r="V294" s="131">
        <v>2406052</v>
      </c>
      <c r="W294" s="307"/>
      <c r="X294" s="145">
        <v>918572</v>
      </c>
      <c r="Y294" s="145">
        <v>350</v>
      </c>
      <c r="Z294" s="131">
        <v>484481</v>
      </c>
      <c r="AA294" s="307"/>
      <c r="AB294" s="145">
        <v>144767</v>
      </c>
      <c r="AC294" s="145"/>
      <c r="AD294" s="131">
        <v>292346</v>
      </c>
      <c r="AE294" s="307"/>
      <c r="AF294" s="145">
        <v>431416</v>
      </c>
      <c r="AG294" s="145"/>
      <c r="AH294" s="131">
        <v>570973</v>
      </c>
      <c r="AI294" s="307"/>
      <c r="AJ294" s="145">
        <v>26271</v>
      </c>
      <c r="AK294" s="145"/>
      <c r="AL294" s="131">
        <v>59367</v>
      </c>
      <c r="AM294" s="307"/>
      <c r="AN294" s="145">
        <v>72779</v>
      </c>
      <c r="AO294" s="145"/>
      <c r="AP294" s="131">
        <v>108831</v>
      </c>
      <c r="AQ294" s="307"/>
      <c r="AR294" s="145">
        <v>45835</v>
      </c>
      <c r="AS294" s="307"/>
    </row>
    <row r="295" spans="1:45" x14ac:dyDescent="0.2">
      <c r="A295" s="533" t="s">
        <v>1519</v>
      </c>
      <c r="B295" s="533">
        <v>337</v>
      </c>
      <c r="C295" s="145">
        <v>9420</v>
      </c>
      <c r="D295" s="180"/>
      <c r="E295" s="533"/>
      <c r="F295" s="145"/>
      <c r="G295" s="307"/>
      <c r="H295" s="533">
        <v>319</v>
      </c>
      <c r="I295" s="145">
        <v>9413</v>
      </c>
      <c r="J295" s="145"/>
      <c r="K295" s="533"/>
      <c r="L295" s="145"/>
      <c r="M295" s="307"/>
      <c r="N295" s="145">
        <v>509155</v>
      </c>
      <c r="O295" s="533">
        <v>169244</v>
      </c>
      <c r="P295" s="145">
        <v>12211</v>
      </c>
      <c r="Q295" s="145"/>
      <c r="R295" s="131">
        <v>89982</v>
      </c>
      <c r="S295" s="307"/>
      <c r="T295" s="131">
        <v>115390</v>
      </c>
      <c r="U295" s="145"/>
      <c r="V295" s="131">
        <v>1399153</v>
      </c>
      <c r="W295" s="307">
        <v>500</v>
      </c>
      <c r="X295" s="145">
        <v>166663</v>
      </c>
      <c r="Y295" s="145"/>
      <c r="Z295" s="131">
        <v>286565</v>
      </c>
      <c r="AA295" s="307">
        <v>500</v>
      </c>
      <c r="AB295" s="145">
        <v>64488</v>
      </c>
      <c r="AC295" s="145"/>
      <c r="AD295" s="131">
        <v>221458</v>
      </c>
      <c r="AE295" s="1470">
        <v>0.5</v>
      </c>
      <c r="AF295" s="145">
        <v>82588</v>
      </c>
      <c r="AG295" s="145"/>
      <c r="AH295" s="131">
        <v>251603</v>
      </c>
      <c r="AI295" s="307">
        <v>500</v>
      </c>
      <c r="AJ295" s="145">
        <v>16586</v>
      </c>
      <c r="AK295" s="145">
        <v>500</v>
      </c>
      <c r="AL295" s="131">
        <v>21111</v>
      </c>
      <c r="AM295" s="307"/>
      <c r="AN295" s="145">
        <v>31727</v>
      </c>
      <c r="AO295" s="145">
        <v>500</v>
      </c>
      <c r="AP295" s="131">
        <v>36067</v>
      </c>
      <c r="AQ295" s="307">
        <v>250</v>
      </c>
      <c r="AR295" s="145">
        <v>32224</v>
      </c>
      <c r="AS295" s="307">
        <v>250</v>
      </c>
    </row>
    <row r="296" spans="1:45" x14ac:dyDescent="0.2">
      <c r="A296" s="533" t="s">
        <v>4553</v>
      </c>
      <c r="B296" s="533"/>
      <c r="C296" s="145"/>
      <c r="D296" s="180"/>
      <c r="E296" s="533"/>
      <c r="F296" s="145"/>
      <c r="G296" s="307"/>
      <c r="H296" s="533"/>
      <c r="I296" s="145"/>
      <c r="J296" s="145"/>
      <c r="K296" s="533"/>
      <c r="L296" s="145"/>
      <c r="M296" s="307"/>
      <c r="N296" s="145">
        <v>2248</v>
      </c>
      <c r="O296" s="533">
        <v>11369</v>
      </c>
      <c r="P296" s="145"/>
      <c r="Q296" s="145"/>
      <c r="R296" s="131"/>
      <c r="S296" s="307"/>
      <c r="T296" s="145"/>
      <c r="U296" s="145"/>
      <c r="V296" s="131"/>
      <c r="W296" s="307"/>
      <c r="X296" s="145"/>
      <c r="Y296" s="145"/>
      <c r="Z296" s="131"/>
      <c r="AA296" s="307"/>
      <c r="AB296" s="145"/>
      <c r="AC296" s="145"/>
      <c r="AD296" s="131"/>
      <c r="AE296" s="307"/>
      <c r="AF296" s="145"/>
      <c r="AG296" s="145"/>
      <c r="AH296" s="131"/>
      <c r="AI296" s="307"/>
      <c r="AJ296" s="145"/>
      <c r="AK296" s="145"/>
      <c r="AL296" s="131"/>
      <c r="AM296" s="307"/>
      <c r="AN296" s="145"/>
      <c r="AO296" s="145"/>
      <c r="AP296" s="131"/>
      <c r="AQ296" s="307"/>
      <c r="AR296" s="145"/>
      <c r="AS296" s="307"/>
    </row>
    <row r="297" spans="1:45" x14ac:dyDescent="0.2">
      <c r="A297" s="533" t="s">
        <v>4828</v>
      </c>
      <c r="B297" s="533">
        <v>12</v>
      </c>
      <c r="C297" s="145">
        <v>69</v>
      </c>
      <c r="D297" s="180">
        <v>0.75</v>
      </c>
      <c r="E297" s="533"/>
      <c r="F297" s="145"/>
      <c r="G297" s="307"/>
      <c r="H297" s="533"/>
      <c r="I297" s="145"/>
      <c r="J297" s="145"/>
      <c r="K297" s="533"/>
      <c r="L297" s="145"/>
      <c r="M297" s="307"/>
      <c r="N297" s="145">
        <v>4242</v>
      </c>
      <c r="O297" s="533">
        <v>8749</v>
      </c>
      <c r="P297" s="145"/>
      <c r="Q297" s="145"/>
      <c r="R297" s="131">
        <v>3216</v>
      </c>
      <c r="S297" s="307">
        <v>900</v>
      </c>
      <c r="T297" s="145">
        <v>1161</v>
      </c>
      <c r="U297" s="145"/>
      <c r="V297" s="131">
        <v>33986</v>
      </c>
      <c r="W297" s="307">
        <v>43</v>
      </c>
      <c r="X297" s="145">
        <v>7641</v>
      </c>
      <c r="Y297" s="145">
        <v>828</v>
      </c>
      <c r="Z297" s="131">
        <v>2041</v>
      </c>
      <c r="AA297" s="307">
        <v>338</v>
      </c>
      <c r="AB297" s="145">
        <v>1476</v>
      </c>
      <c r="AC297" s="145">
        <v>12</v>
      </c>
      <c r="AD297" s="131">
        <v>3477</v>
      </c>
      <c r="AE297" s="307">
        <v>565</v>
      </c>
      <c r="AF297" s="145">
        <v>2664</v>
      </c>
      <c r="AG297" s="145">
        <v>340</v>
      </c>
      <c r="AH297" s="131">
        <v>843</v>
      </c>
      <c r="AI297" s="307">
        <v>805</v>
      </c>
      <c r="AJ297" s="145">
        <v>450</v>
      </c>
      <c r="AK297" s="145"/>
      <c r="AL297" s="131">
        <v>34</v>
      </c>
      <c r="AM297" s="307">
        <v>425</v>
      </c>
      <c r="AN297" s="145">
        <v>425</v>
      </c>
      <c r="AO297" s="145">
        <v>600</v>
      </c>
      <c r="AP297" s="131">
        <v>382</v>
      </c>
      <c r="AQ297" s="307">
        <v>975</v>
      </c>
      <c r="AR297" s="145">
        <v>23633</v>
      </c>
      <c r="AS297" s="307">
        <v>925</v>
      </c>
    </row>
    <row r="298" spans="1:45" x14ac:dyDescent="0.2">
      <c r="A298" s="533" t="s">
        <v>1526</v>
      </c>
      <c r="B298" s="533">
        <v>82</v>
      </c>
      <c r="C298" s="145">
        <v>7649</v>
      </c>
      <c r="D298" s="180"/>
      <c r="E298" s="533"/>
      <c r="F298" s="145"/>
      <c r="G298" s="307"/>
      <c r="H298" s="533">
        <v>83</v>
      </c>
      <c r="I298" s="145">
        <v>8050</v>
      </c>
      <c r="J298" s="145"/>
      <c r="K298" s="533"/>
      <c r="L298" s="145"/>
      <c r="M298" s="307"/>
      <c r="N298" s="145">
        <v>20740</v>
      </c>
      <c r="O298" s="533">
        <v>17961</v>
      </c>
      <c r="P298" s="145">
        <v>56522</v>
      </c>
      <c r="Q298" s="145"/>
      <c r="R298" s="131">
        <v>219107</v>
      </c>
      <c r="S298" s="307">
        <v>400</v>
      </c>
      <c r="T298" s="145">
        <v>5530</v>
      </c>
      <c r="U298" s="145"/>
      <c r="V298" s="131">
        <v>117953</v>
      </c>
      <c r="W298" s="307">
        <v>200</v>
      </c>
      <c r="X298" s="145">
        <v>41892</v>
      </c>
      <c r="Y298" s="145">
        <v>100</v>
      </c>
      <c r="Z298" s="131">
        <v>16752</v>
      </c>
      <c r="AA298" s="307">
        <v>290</v>
      </c>
      <c r="AB298" s="145">
        <v>14428</v>
      </c>
      <c r="AC298" s="145"/>
      <c r="AD298" s="131">
        <v>24409</v>
      </c>
      <c r="AE298" s="307">
        <v>140</v>
      </c>
      <c r="AF298" s="145">
        <v>13001</v>
      </c>
      <c r="AG298" s="145">
        <v>475</v>
      </c>
      <c r="AH298" s="131">
        <v>12784</v>
      </c>
      <c r="AI298" s="307">
        <v>85</v>
      </c>
      <c r="AJ298" s="145">
        <v>149</v>
      </c>
      <c r="AK298" s="145">
        <v>500</v>
      </c>
      <c r="AL298" s="131">
        <v>480</v>
      </c>
      <c r="AM298" s="307"/>
      <c r="AN298" s="145">
        <v>1141</v>
      </c>
      <c r="AO298" s="145">
        <v>500</v>
      </c>
      <c r="AP298" s="131">
        <v>648</v>
      </c>
      <c r="AQ298" s="307">
        <v>910</v>
      </c>
      <c r="AR298" s="145">
        <v>540</v>
      </c>
      <c r="AS298" s="307">
        <v>840</v>
      </c>
    </row>
    <row r="299" spans="1:45" x14ac:dyDescent="0.2">
      <c r="A299" s="533" t="s">
        <v>4827</v>
      </c>
      <c r="B299" s="533">
        <v>28</v>
      </c>
      <c r="C299" s="145">
        <v>1971</v>
      </c>
      <c r="D299" s="180"/>
      <c r="E299" s="533">
        <v>27</v>
      </c>
      <c r="F299" s="145">
        <v>38102</v>
      </c>
      <c r="G299" s="307"/>
      <c r="H299" s="533">
        <v>29</v>
      </c>
      <c r="I299" s="145">
        <v>1971</v>
      </c>
      <c r="J299" s="145"/>
      <c r="K299" s="533">
        <v>27</v>
      </c>
      <c r="L299" s="145">
        <v>38102</v>
      </c>
      <c r="M299" s="307"/>
      <c r="N299" s="145">
        <v>4567</v>
      </c>
      <c r="O299" s="533">
        <v>9306</v>
      </c>
      <c r="P299" s="145">
        <v>3503</v>
      </c>
      <c r="Q299" s="145"/>
      <c r="R299" s="131">
        <v>193358</v>
      </c>
      <c r="S299" s="307"/>
      <c r="T299" s="145">
        <v>7618</v>
      </c>
      <c r="U299" s="145">
        <v>500</v>
      </c>
      <c r="V299" s="131">
        <v>73462</v>
      </c>
      <c r="W299" s="307">
        <v>500</v>
      </c>
      <c r="X299" s="145">
        <v>25376</v>
      </c>
      <c r="Y299" s="145">
        <v>500</v>
      </c>
      <c r="Z299" s="131">
        <v>13189</v>
      </c>
      <c r="AA299" s="307">
        <v>500</v>
      </c>
      <c r="AB299" s="145">
        <v>2416</v>
      </c>
      <c r="AC299" s="145">
        <v>500</v>
      </c>
      <c r="AD299" s="131">
        <v>3000</v>
      </c>
      <c r="AE299" s="307"/>
      <c r="AF299" s="145">
        <v>4336</v>
      </c>
      <c r="AG299" s="145"/>
      <c r="AH299" s="131">
        <v>3891</v>
      </c>
      <c r="AI299" s="307"/>
      <c r="AJ299" s="145">
        <v>188</v>
      </c>
      <c r="AK299" s="145">
        <v>500</v>
      </c>
      <c r="AL299" s="131">
        <v>699</v>
      </c>
      <c r="AM299" s="307"/>
      <c r="AN299" s="145">
        <v>398</v>
      </c>
      <c r="AO299" s="145"/>
      <c r="AP299" s="131">
        <v>770</v>
      </c>
      <c r="AQ299" s="307"/>
      <c r="AR299" s="145">
        <v>886</v>
      </c>
      <c r="AS299" s="307">
        <v>250</v>
      </c>
    </row>
    <row r="300" spans="1:45" x14ac:dyDescent="0.2">
      <c r="A300" s="533" t="s">
        <v>1527</v>
      </c>
      <c r="B300" s="533">
        <v>32</v>
      </c>
      <c r="C300" s="145">
        <v>1792</v>
      </c>
      <c r="D300" s="180"/>
      <c r="E300" s="533">
        <v>64</v>
      </c>
      <c r="F300" s="145">
        <v>2614</v>
      </c>
      <c r="G300" s="307"/>
      <c r="H300" s="533">
        <v>4</v>
      </c>
      <c r="I300" s="145">
        <v>250</v>
      </c>
      <c r="J300" s="145"/>
      <c r="K300" s="533">
        <v>7</v>
      </c>
      <c r="L300" s="145">
        <v>2654</v>
      </c>
      <c r="M300" s="307"/>
      <c r="N300" s="145">
        <v>515944</v>
      </c>
      <c r="O300" s="533">
        <v>33075</v>
      </c>
      <c r="P300" s="145">
        <v>668381</v>
      </c>
      <c r="Q300" s="145"/>
      <c r="R300" s="131">
        <v>28021</v>
      </c>
      <c r="S300" s="307"/>
      <c r="T300" s="145">
        <v>38780</v>
      </c>
      <c r="U300" s="145"/>
      <c r="V300" s="131">
        <v>130800</v>
      </c>
      <c r="W300" s="307"/>
      <c r="X300" s="145">
        <v>63295</v>
      </c>
      <c r="Y300" s="145"/>
      <c r="Z300" s="131">
        <v>33741</v>
      </c>
      <c r="AA300" s="307"/>
      <c r="AB300" s="145">
        <v>8626</v>
      </c>
      <c r="AC300" s="145"/>
      <c r="AD300" s="131">
        <v>8240</v>
      </c>
      <c r="AE300" s="307"/>
      <c r="AF300" s="145">
        <v>13831</v>
      </c>
      <c r="AG300" s="145"/>
      <c r="AH300" s="131">
        <v>25566</v>
      </c>
      <c r="AI300" s="307"/>
      <c r="AJ300" s="145">
        <v>1121</v>
      </c>
      <c r="AK300" s="145"/>
      <c r="AL300" s="131">
        <v>1118</v>
      </c>
      <c r="AM300" s="307"/>
      <c r="AN300" s="145">
        <v>1943</v>
      </c>
      <c r="AO300" s="145"/>
      <c r="AP300" s="131">
        <v>2151</v>
      </c>
      <c r="AQ300" s="307"/>
      <c r="AR300" s="145">
        <v>2334</v>
      </c>
      <c r="AS300" s="307"/>
    </row>
    <row r="301" spans="1:45" x14ac:dyDescent="0.2">
      <c r="A301" s="785" t="s">
        <v>4964</v>
      </c>
      <c r="B301" s="808">
        <v>581</v>
      </c>
      <c r="C301" s="318">
        <v>29608</v>
      </c>
      <c r="D301" s="319">
        <v>0.75</v>
      </c>
      <c r="E301" s="808">
        <v>551</v>
      </c>
      <c r="F301" s="318">
        <v>673204</v>
      </c>
      <c r="G301" s="513"/>
      <c r="H301" s="808">
        <v>517</v>
      </c>
      <c r="I301" s="318">
        <v>27688</v>
      </c>
      <c r="J301" s="318"/>
      <c r="K301" s="808">
        <v>497</v>
      </c>
      <c r="L301" s="318">
        <v>679133</v>
      </c>
      <c r="M301" s="513"/>
      <c r="N301" s="318">
        <v>2065110</v>
      </c>
      <c r="O301" s="808">
        <v>1102363</v>
      </c>
      <c r="P301" s="318">
        <v>2466107</v>
      </c>
      <c r="Q301" s="318">
        <v>699</v>
      </c>
      <c r="R301" s="240">
        <v>3627010</v>
      </c>
      <c r="S301" s="513">
        <v>300</v>
      </c>
      <c r="T301" s="318">
        <v>1622687</v>
      </c>
      <c r="U301" s="318">
        <v>500</v>
      </c>
      <c r="V301" s="240">
        <v>7211544</v>
      </c>
      <c r="W301" s="513">
        <v>743</v>
      </c>
      <c r="X301" s="318">
        <v>2351856</v>
      </c>
      <c r="Y301" s="318">
        <v>278</v>
      </c>
      <c r="Z301" s="240">
        <v>2026925</v>
      </c>
      <c r="AA301" s="513">
        <v>248</v>
      </c>
      <c r="AB301" s="318">
        <v>614780</v>
      </c>
      <c r="AC301" s="318">
        <v>342</v>
      </c>
      <c r="AD301" s="240">
        <v>1644961</v>
      </c>
      <c r="AE301" s="513">
        <v>455</v>
      </c>
      <c r="AF301" s="318">
        <v>1538235</v>
      </c>
      <c r="AG301" s="318">
        <v>415</v>
      </c>
      <c r="AH301" s="240">
        <v>2678164</v>
      </c>
      <c r="AI301" s="513">
        <v>714</v>
      </c>
      <c r="AJ301" s="318">
        <v>174000</v>
      </c>
      <c r="AK301" s="318">
        <v>486</v>
      </c>
      <c r="AL301" s="240">
        <v>235446</v>
      </c>
      <c r="AM301" s="513">
        <v>294</v>
      </c>
      <c r="AN301" s="318">
        <v>288141</v>
      </c>
      <c r="AO301" s="318">
        <v>149</v>
      </c>
      <c r="AP301" s="240">
        <v>506697</v>
      </c>
      <c r="AQ301" s="513">
        <v>140</v>
      </c>
      <c r="AR301" s="318">
        <v>293400</v>
      </c>
      <c r="AS301" s="513">
        <v>93</v>
      </c>
    </row>
    <row r="302" spans="1:45" x14ac:dyDescent="0.2">
      <c r="B302" s="393">
        <f>+SUM(B292:B300)</f>
        <v>581</v>
      </c>
      <c r="C302" s="393">
        <f t="shared" ref="C302:AS302" si="18">+SUM(C292:C300)</f>
        <v>29608</v>
      </c>
      <c r="D302" s="1078">
        <f t="shared" si="18"/>
        <v>0.75</v>
      </c>
      <c r="E302" s="393">
        <f t="shared" si="18"/>
        <v>551</v>
      </c>
      <c r="F302" s="393">
        <f t="shared" si="18"/>
        <v>673204</v>
      </c>
      <c r="G302" s="393">
        <f t="shared" si="18"/>
        <v>0</v>
      </c>
      <c r="H302" s="393">
        <f t="shared" si="18"/>
        <v>517</v>
      </c>
      <c r="I302" s="393">
        <f t="shared" si="18"/>
        <v>27688</v>
      </c>
      <c r="J302" s="393">
        <f t="shared" si="18"/>
        <v>0</v>
      </c>
      <c r="K302" s="393">
        <f t="shared" si="18"/>
        <v>497</v>
      </c>
      <c r="L302" s="393">
        <f t="shared" si="18"/>
        <v>679133</v>
      </c>
      <c r="M302" s="393">
        <f t="shared" si="18"/>
        <v>0</v>
      </c>
      <c r="N302" s="393">
        <f t="shared" si="18"/>
        <v>2065110</v>
      </c>
      <c r="O302" s="393">
        <f t="shared" si="18"/>
        <v>1102363</v>
      </c>
      <c r="P302" s="393">
        <f t="shared" si="18"/>
        <v>2466107</v>
      </c>
      <c r="Q302" s="393">
        <f t="shared" si="18"/>
        <v>699</v>
      </c>
      <c r="R302" s="393">
        <f t="shared" si="18"/>
        <v>3627009</v>
      </c>
      <c r="S302" s="393">
        <f t="shared" si="18"/>
        <v>1300</v>
      </c>
      <c r="T302" s="393">
        <f t="shared" si="18"/>
        <v>1622687</v>
      </c>
      <c r="U302" s="393">
        <f t="shared" si="18"/>
        <v>500</v>
      </c>
      <c r="V302" s="393">
        <f t="shared" si="18"/>
        <v>7221543</v>
      </c>
      <c r="W302" s="393">
        <f t="shared" si="18"/>
        <v>1743</v>
      </c>
      <c r="X302" s="393">
        <f t="shared" si="18"/>
        <v>2351854</v>
      </c>
      <c r="Y302" s="393">
        <f t="shared" si="18"/>
        <v>2278</v>
      </c>
      <c r="Z302" s="393">
        <f t="shared" si="18"/>
        <v>2026923</v>
      </c>
      <c r="AA302" s="393">
        <f t="shared" si="18"/>
        <v>2248</v>
      </c>
      <c r="AB302" s="393">
        <f t="shared" si="18"/>
        <v>614779</v>
      </c>
      <c r="AC302" s="393">
        <f t="shared" si="18"/>
        <v>1342</v>
      </c>
      <c r="AD302" s="393">
        <f t="shared" si="18"/>
        <v>1644959</v>
      </c>
      <c r="AE302" s="1137">
        <f t="shared" si="18"/>
        <v>1965.5</v>
      </c>
      <c r="AF302" s="1137">
        <f t="shared" si="18"/>
        <v>638234</v>
      </c>
      <c r="AG302" s="393">
        <f t="shared" si="18"/>
        <v>1415</v>
      </c>
      <c r="AH302" s="393">
        <f t="shared" si="18"/>
        <v>2678163</v>
      </c>
      <c r="AI302" s="393">
        <f t="shared" si="18"/>
        <v>1714</v>
      </c>
      <c r="AJ302" s="393">
        <f t="shared" si="18"/>
        <v>173998</v>
      </c>
      <c r="AK302" s="1137">
        <f t="shared" si="18"/>
        <v>2426</v>
      </c>
      <c r="AL302" s="393">
        <f t="shared" si="18"/>
        <v>235445</v>
      </c>
      <c r="AM302" s="393">
        <f t="shared" si="18"/>
        <v>1294</v>
      </c>
      <c r="AN302" s="393">
        <f t="shared" si="18"/>
        <v>288139</v>
      </c>
      <c r="AO302" s="393">
        <f t="shared" si="18"/>
        <v>2149</v>
      </c>
      <c r="AP302" s="393">
        <f t="shared" si="18"/>
        <v>506694</v>
      </c>
      <c r="AQ302" s="393">
        <f t="shared" si="18"/>
        <v>3140</v>
      </c>
      <c r="AR302" s="393">
        <f t="shared" si="18"/>
        <v>293397</v>
      </c>
      <c r="AS302" s="393">
        <f t="shared" si="18"/>
        <v>3093</v>
      </c>
    </row>
    <row r="305" spans="1:62" x14ac:dyDescent="0.2">
      <c r="A305" s="526" t="s">
        <v>2102</v>
      </c>
    </row>
    <row r="306" spans="1:62" ht="30" customHeight="1" x14ac:dyDescent="0.2">
      <c r="A306" s="1272" t="s">
        <v>4985</v>
      </c>
      <c r="B306" s="1272"/>
      <c r="C306" s="1272"/>
      <c r="D306" s="1272"/>
      <c r="E306" s="1272"/>
      <c r="F306" s="1272"/>
      <c r="G306" s="1272"/>
      <c r="H306" s="1272"/>
      <c r="I306" s="1272"/>
      <c r="J306" s="1272"/>
      <c r="K306" s="1272"/>
      <c r="L306" s="1272"/>
      <c r="M306" s="1272"/>
      <c r="N306" s="1272"/>
      <c r="O306" s="1272"/>
      <c r="P306" s="1272"/>
      <c r="Q306" s="1272"/>
      <c r="R306" s="1272"/>
      <c r="S306" s="1272"/>
      <c r="T306" s="1272"/>
      <c r="U306" s="1272"/>
      <c r="V306" s="1272"/>
      <c r="W306" s="1272"/>
      <c r="X306" s="1272"/>
      <c r="Y306" s="1272"/>
      <c r="Z306" s="1272"/>
      <c r="AA306" s="1272"/>
      <c r="AB306" s="1272"/>
      <c r="AC306" s="1272"/>
      <c r="AD306" s="1272"/>
      <c r="AE306" s="1272"/>
      <c r="AF306" s="1272"/>
      <c r="AG306" s="1272"/>
      <c r="AH306" s="1272"/>
      <c r="AI306" s="1272"/>
      <c r="AJ306" s="1272"/>
      <c r="AK306" s="1272"/>
      <c r="AL306" s="1272"/>
      <c r="AM306" s="1272"/>
      <c r="AN306" s="1272"/>
      <c r="AO306" s="1272"/>
      <c r="AP306" s="1272"/>
      <c r="AQ306" s="1272"/>
      <c r="AR306" s="1272"/>
      <c r="AS306" s="1272"/>
      <c r="AT306" s="1272"/>
      <c r="AU306" s="1272"/>
      <c r="AV306" s="1272"/>
      <c r="AW306" s="1272"/>
      <c r="AX306" s="1272"/>
      <c r="AY306" s="1272"/>
      <c r="AZ306" s="1272"/>
      <c r="BA306" s="1272"/>
      <c r="BB306" s="1272"/>
      <c r="BC306" s="1272"/>
      <c r="BD306" s="1272"/>
      <c r="BE306" s="1272"/>
      <c r="BF306" s="1272"/>
      <c r="BG306" s="1272"/>
      <c r="BH306" s="1272"/>
      <c r="BI306" s="1272"/>
      <c r="BJ306" s="1272"/>
    </row>
    <row r="307" spans="1:62" x14ac:dyDescent="0.2">
      <c r="A307" s="793" t="s">
        <v>4986</v>
      </c>
      <c r="B307" s="793"/>
      <c r="C307" s="793"/>
      <c r="D307" s="793"/>
      <c r="E307" s="793"/>
      <c r="F307" s="793"/>
      <c r="G307" s="793"/>
      <c r="H307" s="793"/>
      <c r="I307" s="793"/>
      <c r="J307" s="793"/>
      <c r="K307" s="793"/>
      <c r="L307" s="793"/>
      <c r="M307" s="793"/>
      <c r="N307" s="793"/>
      <c r="O307" s="793"/>
      <c r="P307" s="793"/>
      <c r="Q307" s="793"/>
      <c r="R307" s="793"/>
      <c r="S307" s="793"/>
      <c r="T307" s="793"/>
      <c r="U307" s="793"/>
      <c r="V307" s="793"/>
      <c r="W307" s="793"/>
      <c r="X307" s="793"/>
      <c r="Y307" s="793"/>
      <c r="Z307" s="793"/>
      <c r="AA307" s="793"/>
      <c r="AB307" s="793"/>
      <c r="AC307" s="793"/>
      <c r="AD307" s="793"/>
      <c r="AE307" s="793"/>
      <c r="AF307" s="793"/>
      <c r="AG307" s="793"/>
      <c r="AH307" s="793"/>
      <c r="AI307" s="793"/>
      <c r="AJ307" s="793"/>
      <c r="AK307" s="793"/>
      <c r="AL307" s="793"/>
      <c r="AM307" s="793"/>
      <c r="AN307" s="793"/>
      <c r="AO307" s="793"/>
      <c r="AP307" s="793"/>
      <c r="AQ307" s="793"/>
      <c r="AR307" s="793"/>
      <c r="AS307" s="793"/>
      <c r="AT307" s="793"/>
      <c r="AU307" s="793"/>
      <c r="AV307" s="793"/>
      <c r="AW307" s="793"/>
      <c r="AX307" s="793"/>
      <c r="AY307" s="793"/>
      <c r="AZ307" s="793"/>
      <c r="BA307" s="793"/>
      <c r="BB307" s="793"/>
      <c r="BC307" s="793"/>
      <c r="BD307" s="793"/>
      <c r="BE307" s="793"/>
      <c r="BF307" s="793"/>
      <c r="BG307" s="793"/>
      <c r="BH307" s="793"/>
      <c r="BI307" s="793"/>
      <c r="BJ307" s="793"/>
    </row>
    <row r="308" spans="1:62" x14ac:dyDescent="0.2">
      <c r="A308" s="838" t="s">
        <v>4713</v>
      </c>
      <c r="B308" s="793" t="s">
        <v>4056</v>
      </c>
      <c r="C308" s="793"/>
      <c r="D308" s="793"/>
      <c r="E308" s="793"/>
      <c r="F308" s="793"/>
      <c r="G308" s="793"/>
      <c r="H308" s="793"/>
      <c r="I308" s="793"/>
      <c r="J308" s="793"/>
      <c r="K308" s="793"/>
      <c r="L308" s="793"/>
      <c r="M308" s="793"/>
      <c r="N308" s="793" t="s">
        <v>3394</v>
      </c>
      <c r="O308" s="793"/>
      <c r="P308" s="793" t="s">
        <v>3576</v>
      </c>
      <c r="Q308" s="793"/>
      <c r="R308" s="793"/>
      <c r="S308" s="793"/>
      <c r="T308" s="793"/>
      <c r="U308" s="793"/>
      <c r="V308" s="793"/>
      <c r="W308" s="793"/>
      <c r="X308" s="793"/>
      <c r="Y308" s="793"/>
      <c r="Z308" s="793"/>
      <c r="AA308" s="793"/>
      <c r="AB308" s="793"/>
      <c r="AC308" s="793"/>
      <c r="AD308" s="793"/>
      <c r="AE308" s="793"/>
      <c r="AF308" s="793"/>
      <c r="AG308" s="793"/>
      <c r="AH308" s="793"/>
      <c r="AI308" s="793"/>
      <c r="AJ308" s="793"/>
      <c r="AK308" s="793"/>
      <c r="AL308" s="793"/>
      <c r="AM308" s="793"/>
      <c r="AN308" s="793"/>
      <c r="AO308" s="793"/>
      <c r="AP308" s="793"/>
      <c r="AQ308" s="793"/>
      <c r="AR308" s="793"/>
      <c r="AS308" s="793"/>
      <c r="AT308" s="793"/>
      <c r="AU308" s="793"/>
      <c r="AV308" s="793"/>
      <c r="AW308" s="793"/>
      <c r="AX308" s="793"/>
      <c r="AY308" s="793"/>
      <c r="AZ308" s="793"/>
      <c r="BA308" s="793"/>
      <c r="BB308" s="793"/>
      <c r="BC308" s="793"/>
      <c r="BD308" s="793"/>
      <c r="BE308" s="793"/>
      <c r="BF308" s="1471" t="s">
        <v>4790</v>
      </c>
      <c r="BG308" s="793" t="s">
        <v>4987</v>
      </c>
      <c r="BH308" s="793"/>
      <c r="BI308" s="793"/>
      <c r="BJ308" s="793"/>
    </row>
    <row r="309" spans="1:62" x14ac:dyDescent="0.2">
      <c r="A309" s="838"/>
      <c r="B309" s="793" t="s">
        <v>4058</v>
      </c>
      <c r="C309" s="793"/>
      <c r="D309" s="793"/>
      <c r="E309" s="793"/>
      <c r="F309" s="793"/>
      <c r="G309" s="793"/>
      <c r="H309" s="793" t="s">
        <v>4059</v>
      </c>
      <c r="I309" s="793"/>
      <c r="J309" s="793"/>
      <c r="K309" s="793"/>
      <c r="L309" s="793"/>
      <c r="M309" s="793"/>
      <c r="N309" s="838" t="s">
        <v>3400</v>
      </c>
      <c r="O309" s="838" t="s">
        <v>4981</v>
      </c>
      <c r="P309" s="793" t="s">
        <v>4062</v>
      </c>
      <c r="Q309" s="793"/>
      <c r="R309" s="793"/>
      <c r="S309" s="793"/>
      <c r="T309" s="793"/>
      <c r="U309" s="793"/>
      <c r="V309" s="793"/>
      <c r="W309" s="793"/>
      <c r="X309" s="793"/>
      <c r="Y309" s="793"/>
      <c r="Z309" s="793"/>
      <c r="AA309" s="793"/>
      <c r="AB309" s="793"/>
      <c r="AC309" s="793"/>
      <c r="AD309" s="793"/>
      <c r="AE309" s="793"/>
      <c r="AF309" s="793"/>
      <c r="AG309" s="793"/>
      <c r="AH309" s="793"/>
      <c r="AI309" s="793"/>
      <c r="AJ309" s="793"/>
      <c r="AK309" s="793"/>
      <c r="AL309" s="793"/>
      <c r="AM309" s="793"/>
      <c r="AN309" s="793"/>
      <c r="AO309" s="793"/>
      <c r="AP309" s="793"/>
      <c r="AQ309" s="793"/>
      <c r="AR309" s="793"/>
      <c r="AS309" s="793"/>
      <c r="AT309" s="793"/>
      <c r="AU309" s="793"/>
      <c r="AV309" s="793" t="s">
        <v>4791</v>
      </c>
      <c r="AW309" s="793"/>
      <c r="AX309" s="793"/>
      <c r="AY309" s="793"/>
      <c r="AZ309" s="793"/>
      <c r="BA309" s="793"/>
      <c r="BB309" s="793"/>
      <c r="BC309" s="793"/>
      <c r="BD309" s="793"/>
      <c r="BE309" s="793"/>
      <c r="BF309" s="1471"/>
      <c r="BG309" s="838" t="s">
        <v>4185</v>
      </c>
      <c r="BH309" s="838"/>
      <c r="BI309" s="838" t="s">
        <v>4788</v>
      </c>
      <c r="BJ309" s="838"/>
    </row>
    <row r="310" spans="1:62" ht="31.25" customHeight="1" x14ac:dyDescent="0.2">
      <c r="A310" s="838"/>
      <c r="B310" s="793" t="s">
        <v>4604</v>
      </c>
      <c r="C310" s="793"/>
      <c r="D310" s="793"/>
      <c r="E310" s="793" t="s">
        <v>4982</v>
      </c>
      <c r="F310" s="793"/>
      <c r="G310" s="793"/>
      <c r="H310" s="793" t="s">
        <v>4604</v>
      </c>
      <c r="I310" s="793"/>
      <c r="J310" s="793"/>
      <c r="K310" s="793" t="s">
        <v>4982</v>
      </c>
      <c r="L310" s="793"/>
      <c r="M310" s="793"/>
      <c r="N310" s="838"/>
      <c r="O310" s="838"/>
      <c r="P310" s="1036" t="s">
        <v>3271</v>
      </c>
      <c r="Q310" s="1036"/>
      <c r="R310" s="1036" t="s">
        <v>3272</v>
      </c>
      <c r="S310" s="1036"/>
      <c r="T310" s="1036" t="s">
        <v>3577</v>
      </c>
      <c r="U310" s="1036"/>
      <c r="V310" s="1036" t="s">
        <v>3578</v>
      </c>
      <c r="W310" s="1036"/>
      <c r="X310" s="1036" t="s">
        <v>3579</v>
      </c>
      <c r="Y310" s="1036"/>
      <c r="Z310" s="1036" t="s">
        <v>4948</v>
      </c>
      <c r="AA310" s="1036"/>
      <c r="AB310" s="1036" t="s">
        <v>4949</v>
      </c>
      <c r="AC310" s="1036"/>
      <c r="AD310" s="1036" t="s">
        <v>4310</v>
      </c>
      <c r="AE310" s="1036"/>
      <c r="AF310" s="1036" t="s">
        <v>4950</v>
      </c>
      <c r="AG310" s="1036"/>
      <c r="AH310" s="1036" t="s">
        <v>4951</v>
      </c>
      <c r="AI310" s="1036"/>
      <c r="AJ310" s="1036" t="s">
        <v>4952</v>
      </c>
      <c r="AK310" s="1036"/>
      <c r="AL310" s="1036" t="s">
        <v>4953</v>
      </c>
      <c r="AM310" s="1036"/>
      <c r="AN310" s="1036" t="s">
        <v>4954</v>
      </c>
      <c r="AO310" s="1036"/>
      <c r="AP310" s="1036" t="s">
        <v>4955</v>
      </c>
      <c r="AQ310" s="1036"/>
      <c r="AR310" s="1036" t="s">
        <v>4956</v>
      </c>
      <c r="AS310" s="1036"/>
      <c r="AT310" s="1036" t="s">
        <v>1170</v>
      </c>
      <c r="AU310" s="1036"/>
      <c r="AV310" s="1036" t="s">
        <v>4809</v>
      </c>
      <c r="AW310" s="1036"/>
      <c r="AX310" s="1036" t="s">
        <v>4801</v>
      </c>
      <c r="AY310" s="1036"/>
      <c r="AZ310" s="1036" t="s">
        <v>4802</v>
      </c>
      <c r="BA310" s="1036"/>
      <c r="BB310" s="1036" t="s">
        <v>4070</v>
      </c>
      <c r="BC310" s="1036"/>
      <c r="BD310" s="1036" t="s">
        <v>1357</v>
      </c>
      <c r="BE310" s="1036"/>
      <c r="BF310" s="1471"/>
      <c r="BG310" s="838"/>
      <c r="BH310" s="838"/>
      <c r="BI310" s="838"/>
      <c r="BJ310" s="838"/>
    </row>
    <row r="311" spans="1:62" x14ac:dyDescent="0.2">
      <c r="A311" s="838"/>
      <c r="B311" s="808" t="s">
        <v>3407</v>
      </c>
      <c r="C311" s="793" t="s">
        <v>1636</v>
      </c>
      <c r="D311" s="793"/>
      <c r="E311" s="808" t="s">
        <v>3407</v>
      </c>
      <c r="F311" s="793" t="s">
        <v>1636</v>
      </c>
      <c r="G311" s="793"/>
      <c r="H311" s="808" t="s">
        <v>3407</v>
      </c>
      <c r="I311" s="793" t="s">
        <v>1636</v>
      </c>
      <c r="J311" s="793"/>
      <c r="K311" s="808" t="s">
        <v>3407</v>
      </c>
      <c r="L311" s="793" t="s">
        <v>1636</v>
      </c>
      <c r="M311" s="793"/>
      <c r="N311" s="808" t="s">
        <v>4983</v>
      </c>
      <c r="O311" s="808" t="s">
        <v>4983</v>
      </c>
      <c r="P311" s="1037" t="s">
        <v>4984</v>
      </c>
      <c r="Q311" s="1037" t="s">
        <v>4806</v>
      </c>
      <c r="R311" s="1037" t="s">
        <v>4984</v>
      </c>
      <c r="S311" s="1037" t="s">
        <v>4806</v>
      </c>
      <c r="T311" s="1037" t="s">
        <v>4984</v>
      </c>
      <c r="U311" s="1037" t="s">
        <v>4806</v>
      </c>
      <c r="V311" s="1037" t="s">
        <v>4984</v>
      </c>
      <c r="W311" s="1037" t="s">
        <v>4806</v>
      </c>
      <c r="X311" s="1037" t="s">
        <v>4984</v>
      </c>
      <c r="Y311" s="1037" t="s">
        <v>4806</v>
      </c>
      <c r="Z311" s="1037" t="s">
        <v>4984</v>
      </c>
      <c r="AA311" s="1037" t="s">
        <v>4806</v>
      </c>
      <c r="AB311" s="1037" t="s">
        <v>4984</v>
      </c>
      <c r="AC311" s="1037" t="s">
        <v>4806</v>
      </c>
      <c r="AD311" s="1037" t="s">
        <v>4984</v>
      </c>
      <c r="AE311" s="1037" t="s">
        <v>4806</v>
      </c>
      <c r="AF311" s="1037" t="s">
        <v>4984</v>
      </c>
      <c r="AG311" s="1037" t="s">
        <v>4806</v>
      </c>
      <c r="AH311" s="1037" t="s">
        <v>4984</v>
      </c>
      <c r="AI311" s="1037" t="s">
        <v>4806</v>
      </c>
      <c r="AJ311" s="1037" t="s">
        <v>4984</v>
      </c>
      <c r="AK311" s="1037" t="s">
        <v>4806</v>
      </c>
      <c r="AL311" s="1037" t="s">
        <v>4984</v>
      </c>
      <c r="AM311" s="1037" t="s">
        <v>4806</v>
      </c>
      <c r="AN311" s="1037" t="s">
        <v>4984</v>
      </c>
      <c r="AO311" s="1037" t="s">
        <v>4806</v>
      </c>
      <c r="AP311" s="1037" t="s">
        <v>4984</v>
      </c>
      <c r="AQ311" s="1037" t="s">
        <v>4806</v>
      </c>
      <c r="AR311" s="1037" t="s">
        <v>4984</v>
      </c>
      <c r="AS311" s="1037" t="s">
        <v>4806</v>
      </c>
      <c r="AT311" s="1037" t="s">
        <v>4984</v>
      </c>
      <c r="AU311" s="1037" t="s">
        <v>4806</v>
      </c>
      <c r="AV311" s="1037" t="s">
        <v>4984</v>
      </c>
      <c r="AW311" s="1037" t="s">
        <v>4806</v>
      </c>
      <c r="AX311" s="1037" t="s">
        <v>4984</v>
      </c>
      <c r="AY311" s="1037" t="s">
        <v>4806</v>
      </c>
      <c r="AZ311" s="1037" t="s">
        <v>4984</v>
      </c>
      <c r="BA311" s="1037" t="s">
        <v>4806</v>
      </c>
      <c r="BB311" s="1037" t="s">
        <v>4984</v>
      </c>
      <c r="BC311" s="1037" t="s">
        <v>4806</v>
      </c>
      <c r="BD311" s="1037" t="s">
        <v>4984</v>
      </c>
      <c r="BE311" s="1037" t="s">
        <v>4806</v>
      </c>
      <c r="BF311" s="808" t="s">
        <v>4605</v>
      </c>
      <c r="BG311" s="808" t="s">
        <v>3488</v>
      </c>
      <c r="BH311" s="808" t="s">
        <v>3374</v>
      </c>
      <c r="BI311" s="808" t="s">
        <v>3488</v>
      </c>
      <c r="BJ311" s="808" t="s">
        <v>3374</v>
      </c>
    </row>
    <row r="312" spans="1:62" x14ac:dyDescent="0.2">
      <c r="A312" s="533" t="s">
        <v>4737</v>
      </c>
      <c r="B312" s="716">
        <v>1</v>
      </c>
      <c r="C312" s="145">
        <v>211</v>
      </c>
      <c r="D312" s="145"/>
      <c r="E312" s="716">
        <v>17</v>
      </c>
      <c r="F312" s="350">
        <v>27571</v>
      </c>
      <c r="G312" s="717"/>
      <c r="H312" s="716">
        <v>1</v>
      </c>
      <c r="I312" s="145">
        <v>211</v>
      </c>
      <c r="J312" s="145"/>
      <c r="K312" s="716">
        <v>17</v>
      </c>
      <c r="L312" s="350">
        <v>27571</v>
      </c>
      <c r="M312" s="717"/>
      <c r="N312" s="145">
        <v>24471</v>
      </c>
      <c r="O312" s="716">
        <v>43275</v>
      </c>
      <c r="P312" s="145">
        <v>24864</v>
      </c>
      <c r="Q312" s="145">
        <v>290</v>
      </c>
      <c r="R312" s="349">
        <v>189390</v>
      </c>
      <c r="S312" s="717"/>
      <c r="T312" s="145">
        <v>49878</v>
      </c>
      <c r="U312" s="145"/>
      <c r="V312" s="349">
        <v>196005</v>
      </c>
      <c r="W312" s="717"/>
      <c r="X312" s="145">
        <v>62629</v>
      </c>
      <c r="Y312" s="145">
        <v>500</v>
      </c>
      <c r="Z312" s="349">
        <v>84999</v>
      </c>
      <c r="AA312" s="717"/>
      <c r="AB312" s="145">
        <v>28152</v>
      </c>
      <c r="AC312" s="145">
        <v>500</v>
      </c>
      <c r="AD312" s="349">
        <v>82346</v>
      </c>
      <c r="AE312" s="717"/>
      <c r="AF312" s="145">
        <v>56517</v>
      </c>
      <c r="AG312" s="145">
        <v>200</v>
      </c>
      <c r="AH312" s="349">
        <v>102306</v>
      </c>
      <c r="AI312" s="717">
        <v>333</v>
      </c>
      <c r="AJ312" s="145">
        <v>11601</v>
      </c>
      <c r="AK312" s="145">
        <v>428</v>
      </c>
      <c r="AL312" s="349">
        <v>12473</v>
      </c>
      <c r="AM312" s="717">
        <v>500</v>
      </c>
      <c r="AN312" s="145">
        <v>10898</v>
      </c>
      <c r="AO312" s="145">
        <v>166</v>
      </c>
      <c r="AP312" s="349">
        <v>26489</v>
      </c>
      <c r="AQ312" s="717"/>
      <c r="AR312" s="145">
        <v>13344</v>
      </c>
      <c r="AS312" s="145">
        <v>83</v>
      </c>
      <c r="AT312" s="349">
        <v>951894</v>
      </c>
      <c r="AU312" s="717"/>
      <c r="AV312" s="145">
        <v>197006</v>
      </c>
      <c r="AW312" s="145"/>
      <c r="AX312" s="349">
        <v>25600</v>
      </c>
      <c r="AY312" s="717"/>
      <c r="AZ312" s="145">
        <v>1240542</v>
      </c>
      <c r="BA312" s="145"/>
      <c r="BB312" s="349">
        <v>1770</v>
      </c>
      <c r="BC312" s="717"/>
      <c r="BD312" s="145">
        <v>1470958</v>
      </c>
      <c r="BE312" s="145"/>
      <c r="BF312" s="716">
        <v>24</v>
      </c>
      <c r="BG312" s="145">
        <v>454796</v>
      </c>
      <c r="BH312" s="145">
        <v>66</v>
      </c>
      <c r="BI312" s="349">
        <v>840155</v>
      </c>
      <c r="BJ312" s="717">
        <v>34</v>
      </c>
    </row>
    <row r="313" spans="1:62" x14ac:dyDescent="0.2">
      <c r="A313" s="533" t="s">
        <v>4738</v>
      </c>
      <c r="B313" s="533">
        <v>1</v>
      </c>
      <c r="C313" s="145">
        <v>78</v>
      </c>
      <c r="D313" s="145"/>
      <c r="E313" s="533">
        <v>16</v>
      </c>
      <c r="F313" s="145">
        <v>25525</v>
      </c>
      <c r="G313" s="307"/>
      <c r="H313" s="533">
        <v>1</v>
      </c>
      <c r="I313" s="145">
        <v>78</v>
      </c>
      <c r="J313" s="145"/>
      <c r="K313" s="533">
        <v>16</v>
      </c>
      <c r="L313" s="145">
        <v>25525</v>
      </c>
      <c r="M313" s="307"/>
      <c r="N313" s="145">
        <v>22174</v>
      </c>
      <c r="O313" s="533">
        <v>24299</v>
      </c>
      <c r="P313" s="145">
        <v>12787</v>
      </c>
      <c r="Q313" s="145">
        <v>749</v>
      </c>
      <c r="R313" s="131">
        <v>202785</v>
      </c>
      <c r="S313" s="307"/>
      <c r="T313" s="145">
        <v>58538</v>
      </c>
      <c r="U313" s="145"/>
      <c r="V313" s="131">
        <v>300192</v>
      </c>
      <c r="W313" s="307"/>
      <c r="X313" s="145">
        <v>224134</v>
      </c>
      <c r="Y313" s="145">
        <v>500</v>
      </c>
      <c r="Z313" s="131">
        <v>92849</v>
      </c>
      <c r="AA313" s="307"/>
      <c r="AB313" s="145">
        <v>47822</v>
      </c>
      <c r="AC313" s="145">
        <v>500</v>
      </c>
      <c r="AD313" s="131">
        <v>83948</v>
      </c>
      <c r="AE313" s="307">
        <v>375</v>
      </c>
      <c r="AF313" s="145">
        <v>55173</v>
      </c>
      <c r="AG313" s="145">
        <v>900</v>
      </c>
      <c r="AH313" s="131">
        <v>128183</v>
      </c>
      <c r="AI313" s="307">
        <v>500</v>
      </c>
      <c r="AJ313" s="145">
        <v>4337</v>
      </c>
      <c r="AK313" s="145">
        <v>214</v>
      </c>
      <c r="AL313" s="131">
        <v>14697</v>
      </c>
      <c r="AM313" s="307">
        <v>437</v>
      </c>
      <c r="AN313" s="145">
        <v>12222</v>
      </c>
      <c r="AO313" s="145"/>
      <c r="AP313" s="131">
        <v>23944</v>
      </c>
      <c r="AQ313" s="307">
        <v>950</v>
      </c>
      <c r="AR313" s="145">
        <v>10655</v>
      </c>
      <c r="AS313" s="145">
        <v>875</v>
      </c>
      <c r="AT313" s="131">
        <v>1272272</v>
      </c>
      <c r="AU313" s="307"/>
      <c r="AV313" s="145">
        <v>82122</v>
      </c>
      <c r="AW313" s="145"/>
      <c r="AX313" s="131">
        <v>10450</v>
      </c>
      <c r="AY313" s="307"/>
      <c r="AZ313" s="145">
        <v>867370</v>
      </c>
      <c r="BA313" s="145"/>
      <c r="BB313" s="131">
        <v>4535</v>
      </c>
      <c r="BC313" s="307"/>
      <c r="BD313" s="145">
        <v>973397</v>
      </c>
      <c r="BE313" s="145"/>
      <c r="BF313" s="533">
        <v>24</v>
      </c>
      <c r="BG313" s="145">
        <v>471354</v>
      </c>
      <c r="BH313" s="145">
        <v>12</v>
      </c>
      <c r="BI313" s="131">
        <v>733492</v>
      </c>
      <c r="BJ313" s="307">
        <v>2</v>
      </c>
    </row>
    <row r="314" spans="1:62" x14ac:dyDescent="0.2">
      <c r="A314" s="533" t="s">
        <v>4739</v>
      </c>
      <c r="B314" s="533">
        <v>1</v>
      </c>
      <c r="C314" s="145">
        <v>170</v>
      </c>
      <c r="D314" s="145"/>
      <c r="E314" s="533">
        <v>20</v>
      </c>
      <c r="F314" s="145">
        <v>32812</v>
      </c>
      <c r="G314" s="307"/>
      <c r="H314" s="533"/>
      <c r="I314" s="145"/>
      <c r="J314" s="145"/>
      <c r="K314" s="533">
        <v>18</v>
      </c>
      <c r="L314" s="145">
        <v>30072</v>
      </c>
      <c r="M314" s="307"/>
      <c r="N314" s="145">
        <v>15771</v>
      </c>
      <c r="O314" s="533">
        <v>29293</v>
      </c>
      <c r="P314" s="145">
        <v>17705</v>
      </c>
      <c r="Q314" s="145">
        <v>480</v>
      </c>
      <c r="R314" s="131">
        <v>72570</v>
      </c>
      <c r="S314" s="307"/>
      <c r="T314" s="145">
        <v>53088</v>
      </c>
      <c r="U314" s="145"/>
      <c r="V314" s="131">
        <v>251173</v>
      </c>
      <c r="W314" s="307"/>
      <c r="X314" s="145">
        <v>44970</v>
      </c>
      <c r="Y314" s="145">
        <v>500</v>
      </c>
      <c r="Z314" s="131">
        <v>79139</v>
      </c>
      <c r="AA314" s="307">
        <v>750</v>
      </c>
      <c r="AB314" s="145">
        <v>31256</v>
      </c>
      <c r="AC314" s="145">
        <v>660</v>
      </c>
      <c r="AD314" s="131">
        <v>71496</v>
      </c>
      <c r="AE314" s="307">
        <v>250</v>
      </c>
      <c r="AF314" s="145">
        <v>47284</v>
      </c>
      <c r="AG314" s="145">
        <v>400</v>
      </c>
      <c r="AH314" s="131">
        <v>108581</v>
      </c>
      <c r="AI314" s="307">
        <v>250</v>
      </c>
      <c r="AJ314" s="145">
        <v>3123</v>
      </c>
      <c r="AK314" s="145">
        <v>928</v>
      </c>
      <c r="AL314" s="131">
        <v>8668</v>
      </c>
      <c r="AM314" s="307">
        <v>250</v>
      </c>
      <c r="AN314" s="145">
        <v>8811</v>
      </c>
      <c r="AO314" s="145">
        <v>444</v>
      </c>
      <c r="AP314" s="131">
        <v>29499</v>
      </c>
      <c r="AQ314" s="307">
        <v>5</v>
      </c>
      <c r="AR314" s="145">
        <v>12015</v>
      </c>
      <c r="AS314" s="145">
        <v>83</v>
      </c>
      <c r="AT314" s="131">
        <v>839383</v>
      </c>
      <c r="AU314" s="307"/>
      <c r="AV314" s="145">
        <v>126502</v>
      </c>
      <c r="AW314" s="145"/>
      <c r="AX314" s="131">
        <v>17885</v>
      </c>
      <c r="AY314" s="307"/>
      <c r="AZ314" s="145">
        <v>1063673</v>
      </c>
      <c r="BA314" s="145"/>
      <c r="BB314" s="131">
        <v>4220</v>
      </c>
      <c r="BC314" s="307"/>
      <c r="BD314" s="145">
        <v>1214240</v>
      </c>
      <c r="BE314" s="145"/>
      <c r="BF314" s="533"/>
      <c r="BG314" s="145">
        <v>393643</v>
      </c>
      <c r="BH314" s="145">
        <v>76</v>
      </c>
      <c r="BI314" s="131">
        <v>773072</v>
      </c>
      <c r="BJ314" s="307"/>
    </row>
    <row r="315" spans="1:62" x14ac:dyDescent="0.2">
      <c r="A315" s="533" t="s">
        <v>4740</v>
      </c>
      <c r="B315" s="533">
        <v>2</v>
      </c>
      <c r="C315" s="145">
        <v>419</v>
      </c>
      <c r="D315" s="145"/>
      <c r="E315" s="533">
        <v>18</v>
      </c>
      <c r="F315" s="145">
        <v>31326</v>
      </c>
      <c r="G315" s="307"/>
      <c r="H315" s="533">
        <v>2</v>
      </c>
      <c r="I315" s="145">
        <v>393</v>
      </c>
      <c r="J315" s="145"/>
      <c r="K315" s="533">
        <v>18</v>
      </c>
      <c r="L315" s="145">
        <v>31326</v>
      </c>
      <c r="M315" s="307"/>
      <c r="N315" s="145">
        <v>17844</v>
      </c>
      <c r="O315" s="533">
        <v>35271</v>
      </c>
      <c r="P315" s="145">
        <v>3381</v>
      </c>
      <c r="Q315" s="145">
        <v>212</v>
      </c>
      <c r="R315" s="131">
        <v>114050</v>
      </c>
      <c r="S315" s="307"/>
      <c r="T315" s="145">
        <v>83260</v>
      </c>
      <c r="U315" s="145"/>
      <c r="V315" s="131">
        <v>336256</v>
      </c>
      <c r="W315" s="307"/>
      <c r="X315" s="145">
        <v>44350</v>
      </c>
      <c r="Y315" s="145"/>
      <c r="Z315" s="131">
        <v>87278</v>
      </c>
      <c r="AA315" s="307">
        <v>500</v>
      </c>
      <c r="AB315" s="145">
        <v>34796</v>
      </c>
      <c r="AC315" s="145">
        <v>333</v>
      </c>
      <c r="AD315" s="131">
        <v>101578</v>
      </c>
      <c r="AE315" s="307">
        <v>250</v>
      </c>
      <c r="AF315" s="145">
        <v>90935</v>
      </c>
      <c r="AG315" s="145"/>
      <c r="AH315" s="131">
        <v>112666</v>
      </c>
      <c r="AI315" s="307"/>
      <c r="AJ315" s="145">
        <v>2966</v>
      </c>
      <c r="AK315" s="145">
        <v>785</v>
      </c>
      <c r="AL315" s="131">
        <v>14023</v>
      </c>
      <c r="AM315" s="307">
        <v>62</v>
      </c>
      <c r="AN315" s="145">
        <v>10251</v>
      </c>
      <c r="AO315" s="145">
        <v>833</v>
      </c>
      <c r="AP315" s="131">
        <v>26456</v>
      </c>
      <c r="AQ315" s="307">
        <v>400</v>
      </c>
      <c r="AR315" s="145">
        <v>20450</v>
      </c>
      <c r="AS315" s="145">
        <v>625</v>
      </c>
      <c r="AT315" s="131">
        <v>1082700</v>
      </c>
      <c r="AU315" s="307"/>
      <c r="AV315" s="145">
        <v>197982</v>
      </c>
      <c r="AW315" s="145"/>
      <c r="AX315" s="131">
        <v>66000</v>
      </c>
      <c r="AY315" s="307"/>
      <c r="AZ315" s="145">
        <v>978586</v>
      </c>
      <c r="BA315" s="145"/>
      <c r="BB315" s="131">
        <v>6473</v>
      </c>
      <c r="BC315" s="307"/>
      <c r="BD315" s="145">
        <v>1249071</v>
      </c>
      <c r="BE315" s="145"/>
      <c r="BF315" s="533"/>
      <c r="BG315" s="145">
        <v>531624</v>
      </c>
      <c r="BH315" s="145">
        <v>6</v>
      </c>
      <c r="BI315" s="131">
        <v>754907</v>
      </c>
      <c r="BJ315" s="307">
        <v>12</v>
      </c>
    </row>
    <row r="316" spans="1:62" x14ac:dyDescent="0.2">
      <c r="A316" s="533" t="s">
        <v>4741</v>
      </c>
      <c r="B316" s="533">
        <v>2</v>
      </c>
      <c r="C316" s="145">
        <v>269</v>
      </c>
      <c r="D316" s="145"/>
      <c r="E316" s="533">
        <v>19</v>
      </c>
      <c r="F316" s="145">
        <v>32818</v>
      </c>
      <c r="G316" s="307"/>
      <c r="H316" s="533">
        <v>2</v>
      </c>
      <c r="I316" s="145">
        <v>388</v>
      </c>
      <c r="J316" s="145"/>
      <c r="K316" s="533">
        <v>19</v>
      </c>
      <c r="L316" s="145">
        <v>32818</v>
      </c>
      <c r="M316" s="307"/>
      <c r="N316" s="145">
        <v>28185</v>
      </c>
      <c r="O316" s="533">
        <v>79250</v>
      </c>
      <c r="P316" s="145">
        <v>27235</v>
      </c>
      <c r="Q316" s="145">
        <v>145</v>
      </c>
      <c r="R316" s="131">
        <v>339605</v>
      </c>
      <c r="S316" s="307"/>
      <c r="T316" s="145">
        <v>89542</v>
      </c>
      <c r="U316" s="145"/>
      <c r="V316" s="131">
        <v>382425</v>
      </c>
      <c r="W316" s="307"/>
      <c r="X316" s="145">
        <v>54407</v>
      </c>
      <c r="Y316" s="145">
        <v>500</v>
      </c>
      <c r="Z316" s="131">
        <v>97565</v>
      </c>
      <c r="AA316" s="307"/>
      <c r="AB316" s="145">
        <v>31764</v>
      </c>
      <c r="AC316" s="145"/>
      <c r="AD316" s="131">
        <v>70402</v>
      </c>
      <c r="AE316" s="307">
        <v>750</v>
      </c>
      <c r="AF316" s="145">
        <v>95429</v>
      </c>
      <c r="AG316" s="145">
        <v>400</v>
      </c>
      <c r="AH316" s="131">
        <v>184312</v>
      </c>
      <c r="AI316" s="307">
        <v>416</v>
      </c>
      <c r="AJ316" s="145">
        <v>3952</v>
      </c>
      <c r="AK316" s="145">
        <v>714</v>
      </c>
      <c r="AL316" s="131">
        <v>14126</v>
      </c>
      <c r="AM316" s="307">
        <v>812</v>
      </c>
      <c r="AN316" s="145">
        <v>14767</v>
      </c>
      <c r="AO316" s="145">
        <v>555</v>
      </c>
      <c r="AP316" s="131">
        <v>26817</v>
      </c>
      <c r="AQ316" s="307">
        <v>250</v>
      </c>
      <c r="AR316" s="145">
        <v>15836</v>
      </c>
      <c r="AS316" s="145">
        <v>458</v>
      </c>
      <c r="AT316" s="131">
        <v>1448189</v>
      </c>
      <c r="AU316" s="307"/>
      <c r="AV316" s="145">
        <v>281285</v>
      </c>
      <c r="AW316" s="145"/>
      <c r="AX316" s="131">
        <v>84710</v>
      </c>
      <c r="AY316" s="307"/>
      <c r="AZ316" s="145">
        <v>1390345</v>
      </c>
      <c r="BA316" s="145"/>
      <c r="BB316" s="131">
        <v>9127</v>
      </c>
      <c r="BC316" s="307"/>
      <c r="BD316" s="145">
        <v>1767057</v>
      </c>
      <c r="BE316" s="145"/>
      <c r="BF316" s="533"/>
      <c r="BG316" s="145">
        <v>597228</v>
      </c>
      <c r="BH316" s="145">
        <v>77</v>
      </c>
      <c r="BI316" s="131">
        <v>918689</v>
      </c>
      <c r="BJ316" s="307">
        <v>73</v>
      </c>
    </row>
    <row r="317" spans="1:62" x14ac:dyDescent="0.2">
      <c r="A317" s="533" t="s">
        <v>4742</v>
      </c>
      <c r="B317" s="533">
        <v>5</v>
      </c>
      <c r="C317" s="145">
        <v>1043</v>
      </c>
      <c r="D317" s="145"/>
      <c r="E317" s="533">
        <v>16</v>
      </c>
      <c r="F317" s="145">
        <v>28064</v>
      </c>
      <c r="G317" s="307"/>
      <c r="H317" s="533">
        <v>3</v>
      </c>
      <c r="I317" s="145">
        <v>299</v>
      </c>
      <c r="J317" s="145"/>
      <c r="K317" s="533">
        <v>16</v>
      </c>
      <c r="L317" s="145">
        <v>28064</v>
      </c>
      <c r="M317" s="307"/>
      <c r="N317" s="145">
        <v>22956</v>
      </c>
      <c r="O317" s="533">
        <v>48709</v>
      </c>
      <c r="P317" s="145">
        <v>112021</v>
      </c>
      <c r="Q317" s="145">
        <v>39</v>
      </c>
      <c r="R317" s="131">
        <v>249320</v>
      </c>
      <c r="S317" s="307"/>
      <c r="T317" s="145">
        <v>54464</v>
      </c>
      <c r="U317" s="145"/>
      <c r="V317" s="131">
        <v>39555</v>
      </c>
      <c r="W317" s="307">
        <v>600</v>
      </c>
      <c r="X317" s="145">
        <v>64139</v>
      </c>
      <c r="Y317" s="145"/>
      <c r="Z317" s="131">
        <v>101267</v>
      </c>
      <c r="AA317" s="307">
        <v>250</v>
      </c>
      <c r="AB317" s="145">
        <v>55641</v>
      </c>
      <c r="AC317" s="145">
        <v>500</v>
      </c>
      <c r="AD317" s="131">
        <v>99944</v>
      </c>
      <c r="AE317" s="307">
        <v>500</v>
      </c>
      <c r="AF317" s="145">
        <v>110481</v>
      </c>
      <c r="AG317" s="145">
        <v>900</v>
      </c>
      <c r="AH317" s="131">
        <v>178697</v>
      </c>
      <c r="AI317" s="307">
        <v>500</v>
      </c>
      <c r="AJ317" s="145">
        <v>6203</v>
      </c>
      <c r="AK317" s="145">
        <v>142</v>
      </c>
      <c r="AL317" s="131">
        <v>16238</v>
      </c>
      <c r="AM317" s="307">
        <v>687</v>
      </c>
      <c r="AN317" s="145">
        <v>16326</v>
      </c>
      <c r="AO317" s="145">
        <v>666</v>
      </c>
      <c r="AP317" s="131">
        <v>47019</v>
      </c>
      <c r="AQ317" s="307">
        <v>300</v>
      </c>
      <c r="AR317" s="145">
        <v>20204</v>
      </c>
      <c r="AS317" s="145">
        <v>916</v>
      </c>
      <c r="AT317" s="131">
        <v>1171525</v>
      </c>
      <c r="AU317" s="307"/>
      <c r="AV317" s="145">
        <v>222704</v>
      </c>
      <c r="AW317" s="145"/>
      <c r="AX317" s="131">
        <v>69420</v>
      </c>
      <c r="AY317" s="307"/>
      <c r="AZ317" s="145">
        <v>1239195</v>
      </c>
      <c r="BA317" s="145"/>
      <c r="BB317" s="131">
        <v>1290</v>
      </c>
      <c r="BC317" s="307"/>
      <c r="BD317" s="145">
        <v>1533121</v>
      </c>
      <c r="BE317" s="145"/>
      <c r="BF317" s="533"/>
      <c r="BG317" s="145">
        <v>660155</v>
      </c>
      <c r="BH317" s="145">
        <v>57</v>
      </c>
      <c r="BI317" s="131">
        <v>784982</v>
      </c>
      <c r="BJ317" s="307"/>
    </row>
    <row r="318" spans="1:62" x14ac:dyDescent="0.2">
      <c r="A318" s="533" t="s">
        <v>4743</v>
      </c>
      <c r="B318" s="533">
        <v>3</v>
      </c>
      <c r="C318" s="145">
        <v>843</v>
      </c>
      <c r="D318" s="145"/>
      <c r="E318" s="533">
        <v>18</v>
      </c>
      <c r="F318" s="145">
        <v>28457</v>
      </c>
      <c r="G318" s="307"/>
      <c r="H318" s="533">
        <v>4</v>
      </c>
      <c r="I318" s="145">
        <v>1079</v>
      </c>
      <c r="J318" s="145"/>
      <c r="K318" s="533">
        <v>18</v>
      </c>
      <c r="L318" s="145">
        <v>28475</v>
      </c>
      <c r="M318" s="307"/>
      <c r="N318" s="145">
        <v>32593</v>
      </c>
      <c r="O318" s="533">
        <v>37418</v>
      </c>
      <c r="P318" s="145">
        <v>152123</v>
      </c>
      <c r="Q318" s="145">
        <v>295</v>
      </c>
      <c r="R318" s="131">
        <v>175630</v>
      </c>
      <c r="S318" s="307"/>
      <c r="T318" s="145">
        <v>22910</v>
      </c>
      <c r="U318" s="145"/>
      <c r="V318" s="131">
        <v>457688</v>
      </c>
      <c r="W318" s="307"/>
      <c r="X318" s="145">
        <v>99741</v>
      </c>
      <c r="Y318" s="145"/>
      <c r="Z318" s="131">
        <v>101681</v>
      </c>
      <c r="AA318" s="307">
        <v>500</v>
      </c>
      <c r="AB318" s="145">
        <v>421868</v>
      </c>
      <c r="AC318" s="145">
        <v>333</v>
      </c>
      <c r="AD318" s="131">
        <v>89955</v>
      </c>
      <c r="AE318" s="307">
        <v>625</v>
      </c>
      <c r="AF318" s="145">
        <v>87672</v>
      </c>
      <c r="AG318" s="145">
        <v>500</v>
      </c>
      <c r="AH318" s="131">
        <v>92951</v>
      </c>
      <c r="AI318" s="307">
        <v>331</v>
      </c>
      <c r="AJ318" s="145">
        <v>3136</v>
      </c>
      <c r="AK318" s="145">
        <v>81</v>
      </c>
      <c r="AL318" s="131">
        <v>8847</v>
      </c>
      <c r="AM318" s="307">
        <v>875</v>
      </c>
      <c r="AN318" s="145">
        <v>14604</v>
      </c>
      <c r="AO318" s="145">
        <v>833</v>
      </c>
      <c r="AP318" s="131">
        <v>30201</v>
      </c>
      <c r="AQ318" s="307"/>
      <c r="AR318" s="145">
        <v>18092</v>
      </c>
      <c r="AS318" s="145">
        <v>625</v>
      </c>
      <c r="AT318" s="131">
        <v>1777104</v>
      </c>
      <c r="AU318" s="307"/>
      <c r="AV318" s="145">
        <v>183470</v>
      </c>
      <c r="AW318" s="145"/>
      <c r="AX318" s="131">
        <v>55568</v>
      </c>
      <c r="AY318" s="307"/>
      <c r="AZ318" s="145">
        <v>872908</v>
      </c>
      <c r="BA318" s="145"/>
      <c r="BB318" s="131">
        <v>7500</v>
      </c>
      <c r="BC318" s="307"/>
      <c r="BD318" s="145">
        <v>1123876</v>
      </c>
      <c r="BE318" s="145"/>
      <c r="BF318" s="533"/>
      <c r="BG318" s="145">
        <v>531320</v>
      </c>
      <c r="BH318" s="145">
        <v>71</v>
      </c>
      <c r="BI318" s="131">
        <v>704352</v>
      </c>
      <c r="BJ318" s="307"/>
    </row>
    <row r="319" spans="1:62" x14ac:dyDescent="0.2">
      <c r="A319" s="533" t="s">
        <v>4772</v>
      </c>
      <c r="B319" s="533">
        <v>3</v>
      </c>
      <c r="C319" s="145">
        <v>1030</v>
      </c>
      <c r="D319" s="145"/>
      <c r="E319" s="533">
        <v>20</v>
      </c>
      <c r="F319" s="145">
        <v>34941</v>
      </c>
      <c r="G319" s="307"/>
      <c r="H319" s="533">
        <v>1</v>
      </c>
      <c r="I319" s="145">
        <v>355</v>
      </c>
      <c r="J319" s="145"/>
      <c r="K319" s="533">
        <v>20</v>
      </c>
      <c r="L319" s="145">
        <v>34941</v>
      </c>
      <c r="M319" s="307"/>
      <c r="N319" s="145">
        <v>32990</v>
      </c>
      <c r="O319" s="533">
        <v>39995</v>
      </c>
      <c r="P319" s="145">
        <v>188981</v>
      </c>
      <c r="Q319" s="145">
        <v>816</v>
      </c>
      <c r="R319" s="131">
        <v>192890</v>
      </c>
      <c r="S319" s="307"/>
      <c r="T319" s="145">
        <v>49262</v>
      </c>
      <c r="U319" s="145"/>
      <c r="V319" s="131">
        <v>297945</v>
      </c>
      <c r="W319" s="307"/>
      <c r="X319" s="145">
        <v>51791</v>
      </c>
      <c r="Y319" s="145"/>
      <c r="Z319" s="131">
        <v>97209</v>
      </c>
      <c r="AA319" s="307">
        <v>250</v>
      </c>
      <c r="AB319" s="145">
        <v>27356</v>
      </c>
      <c r="AC319" s="145">
        <v>333</v>
      </c>
      <c r="AD319" s="131">
        <v>10726</v>
      </c>
      <c r="AE319" s="307">
        <v>325</v>
      </c>
      <c r="AF319" s="145">
        <v>75816</v>
      </c>
      <c r="AG319" s="145">
        <v>300</v>
      </c>
      <c r="AH319" s="131">
        <v>90013</v>
      </c>
      <c r="AI319" s="307">
        <v>333</v>
      </c>
      <c r="AJ319" s="145">
        <v>3359</v>
      </c>
      <c r="AK319" s="145">
        <v>857</v>
      </c>
      <c r="AL319" s="131">
        <v>17205</v>
      </c>
      <c r="AM319" s="307">
        <v>875</v>
      </c>
      <c r="AN319" s="145">
        <v>12830</v>
      </c>
      <c r="AO319" s="145">
        <v>111</v>
      </c>
      <c r="AP319" s="131">
        <v>23667</v>
      </c>
      <c r="AQ319" s="307">
        <v>600</v>
      </c>
      <c r="AR319" s="145">
        <v>15786</v>
      </c>
      <c r="AS319" s="145">
        <v>200</v>
      </c>
      <c r="AT319" s="131">
        <v>1154841</v>
      </c>
      <c r="AU319" s="307"/>
      <c r="AV319" s="145">
        <v>194084</v>
      </c>
      <c r="AW319" s="145"/>
      <c r="AX319" s="131">
        <v>31930</v>
      </c>
      <c r="AY319" s="307"/>
      <c r="AZ319" s="145">
        <v>1157327</v>
      </c>
      <c r="BA319" s="145"/>
      <c r="BB319" s="131">
        <v>1195</v>
      </c>
      <c r="BC319" s="307"/>
      <c r="BD319" s="145">
        <v>1385036</v>
      </c>
      <c r="BE319" s="145"/>
      <c r="BF319" s="533"/>
      <c r="BG319" s="145">
        <v>500792</v>
      </c>
      <c r="BH319" s="145">
        <v>16</v>
      </c>
      <c r="BI319" s="131">
        <v>991368</v>
      </c>
      <c r="BJ319" s="307"/>
    </row>
    <row r="320" spans="1:62" x14ac:dyDescent="0.2">
      <c r="A320" s="533" t="s">
        <v>4979</v>
      </c>
      <c r="B320" s="533">
        <v>2</v>
      </c>
      <c r="C320" s="145">
        <v>329</v>
      </c>
      <c r="D320" s="145"/>
      <c r="E320" s="533">
        <v>19</v>
      </c>
      <c r="F320" s="145">
        <v>33439</v>
      </c>
      <c r="G320" s="307"/>
      <c r="H320" s="533">
        <v>1</v>
      </c>
      <c r="I320" s="145">
        <v>355</v>
      </c>
      <c r="J320" s="145"/>
      <c r="K320" s="533">
        <v>19</v>
      </c>
      <c r="L320" s="145">
        <v>33739</v>
      </c>
      <c r="M320" s="307"/>
      <c r="N320" s="145">
        <v>43777</v>
      </c>
      <c r="O320" s="533">
        <v>27696</v>
      </c>
      <c r="P320" s="145">
        <v>67200</v>
      </c>
      <c r="Q320" s="145">
        <v>882</v>
      </c>
      <c r="R320" s="131">
        <v>246525</v>
      </c>
      <c r="S320" s="307"/>
      <c r="T320" s="145">
        <v>96900</v>
      </c>
      <c r="U320" s="145"/>
      <c r="V320" s="131">
        <v>768662</v>
      </c>
      <c r="W320" s="307"/>
      <c r="X320" s="145">
        <v>200221</v>
      </c>
      <c r="Y320" s="145">
        <v>500</v>
      </c>
      <c r="Z320" s="131">
        <v>191988</v>
      </c>
      <c r="AA320" s="307">
        <v>500</v>
      </c>
      <c r="AB320" s="145">
        <v>58844</v>
      </c>
      <c r="AC320" s="145">
        <v>833</v>
      </c>
      <c r="AD320" s="131">
        <v>121172</v>
      </c>
      <c r="AE320" s="307">
        <v>250</v>
      </c>
      <c r="AF320" s="145">
        <v>170687</v>
      </c>
      <c r="AG320" s="145">
        <v>100</v>
      </c>
      <c r="AH320" s="131">
        <v>221707</v>
      </c>
      <c r="AI320" s="307">
        <v>750</v>
      </c>
      <c r="AJ320" s="145">
        <v>9191</v>
      </c>
      <c r="AK320" s="145">
        <v>642</v>
      </c>
      <c r="AL320" s="131">
        <v>19137</v>
      </c>
      <c r="AM320" s="307">
        <v>375</v>
      </c>
      <c r="AN320" s="145">
        <v>22435</v>
      </c>
      <c r="AO320" s="145">
        <v>777</v>
      </c>
      <c r="AP320" s="131">
        <v>50007</v>
      </c>
      <c r="AQ320" s="307">
        <v>100</v>
      </c>
      <c r="AR320" s="145">
        <v>42199</v>
      </c>
      <c r="AS320" s="145">
        <v>291</v>
      </c>
      <c r="AT320" s="131">
        <v>2286881</v>
      </c>
      <c r="AU320" s="307"/>
      <c r="AV320" s="145">
        <v>91781</v>
      </c>
      <c r="AW320" s="145"/>
      <c r="AX320" s="131">
        <v>49120</v>
      </c>
      <c r="AY320" s="307"/>
      <c r="AZ320" s="145">
        <v>942052</v>
      </c>
      <c r="BA320" s="145"/>
      <c r="BB320" s="131">
        <v>8343</v>
      </c>
      <c r="BC320" s="307"/>
      <c r="BD320" s="145">
        <v>1093196</v>
      </c>
      <c r="BE320" s="145"/>
      <c r="BF320" s="533"/>
      <c r="BG320" s="145">
        <v>1054442</v>
      </c>
      <c r="BH320" s="145">
        <v>65</v>
      </c>
      <c r="BI320" s="131">
        <v>677637</v>
      </c>
      <c r="BJ320" s="307"/>
    </row>
    <row r="321" spans="1:62" x14ac:dyDescent="0.2">
      <c r="A321" s="533" t="s">
        <v>4769</v>
      </c>
      <c r="B321" s="533">
        <v>2</v>
      </c>
      <c r="C321" s="145">
        <v>557</v>
      </c>
      <c r="D321" s="145"/>
      <c r="E321" s="533">
        <v>17</v>
      </c>
      <c r="F321" s="145">
        <v>27823</v>
      </c>
      <c r="G321" s="307"/>
      <c r="H321" s="533">
        <v>4</v>
      </c>
      <c r="I321" s="145">
        <v>860</v>
      </c>
      <c r="J321" s="145"/>
      <c r="K321" s="533">
        <v>18</v>
      </c>
      <c r="L321" s="145">
        <v>28169</v>
      </c>
      <c r="M321" s="307"/>
      <c r="N321" s="145">
        <v>38552</v>
      </c>
      <c r="O321" s="533">
        <v>45230</v>
      </c>
      <c r="P321" s="145">
        <v>64232</v>
      </c>
      <c r="Q321" s="145">
        <v>206</v>
      </c>
      <c r="R321" s="131">
        <v>237355</v>
      </c>
      <c r="S321" s="307"/>
      <c r="T321" s="145">
        <v>105446</v>
      </c>
      <c r="U321" s="145"/>
      <c r="V321" s="131">
        <v>579614</v>
      </c>
      <c r="W321" s="307"/>
      <c r="X321" s="145">
        <v>138144</v>
      </c>
      <c r="Y321" s="145"/>
      <c r="Z321" s="131">
        <v>171323</v>
      </c>
      <c r="AA321" s="307">
        <v>750</v>
      </c>
      <c r="AB321" s="145">
        <v>49468</v>
      </c>
      <c r="AC321" s="145"/>
      <c r="AD321" s="131">
        <v>173324</v>
      </c>
      <c r="AE321" s="307">
        <v>250</v>
      </c>
      <c r="AF321" s="145">
        <v>117155</v>
      </c>
      <c r="AG321" s="145">
        <v>300</v>
      </c>
      <c r="AH321" s="131">
        <v>199019</v>
      </c>
      <c r="AI321" s="307">
        <v>83</v>
      </c>
      <c r="AJ321" s="145">
        <v>8264</v>
      </c>
      <c r="AK321" s="145">
        <v>428</v>
      </c>
      <c r="AL321" s="131">
        <v>24436</v>
      </c>
      <c r="AM321" s="307">
        <v>250</v>
      </c>
      <c r="AN321" s="145">
        <v>22513</v>
      </c>
      <c r="AO321" s="145"/>
      <c r="AP321" s="131">
        <v>54476</v>
      </c>
      <c r="AQ321" s="307">
        <v>650</v>
      </c>
      <c r="AR321" s="145">
        <v>38781</v>
      </c>
      <c r="AS321" s="145">
        <v>83</v>
      </c>
      <c r="AT321" s="131">
        <v>1985553</v>
      </c>
      <c r="AU321" s="307"/>
      <c r="AV321" s="145">
        <v>143775</v>
      </c>
      <c r="AW321" s="145"/>
      <c r="AX321" s="131">
        <v>74808</v>
      </c>
      <c r="AY321" s="307"/>
      <c r="AZ321" s="145">
        <v>1286154</v>
      </c>
      <c r="BA321" s="145"/>
      <c r="BB321" s="131">
        <v>1424</v>
      </c>
      <c r="BC321" s="307"/>
      <c r="BD321" s="145">
        <v>1507235</v>
      </c>
      <c r="BE321" s="145"/>
      <c r="BF321" s="533"/>
      <c r="BG321" s="145">
        <v>800272</v>
      </c>
      <c r="BH321" s="145">
        <v>13</v>
      </c>
      <c r="BI321" s="131">
        <v>1167169</v>
      </c>
      <c r="BJ321" s="307">
        <v>45</v>
      </c>
    </row>
    <row r="322" spans="1:62" x14ac:dyDescent="0.2">
      <c r="A322" s="533" t="s">
        <v>4770</v>
      </c>
      <c r="B322" s="533"/>
      <c r="C322" s="145"/>
      <c r="D322" s="145"/>
      <c r="E322" s="533">
        <v>19</v>
      </c>
      <c r="F322" s="145">
        <v>32157</v>
      </c>
      <c r="G322" s="307"/>
      <c r="H322" s="533"/>
      <c r="I322" s="145"/>
      <c r="J322" s="145"/>
      <c r="K322" s="533">
        <v>17</v>
      </c>
      <c r="L322" s="145">
        <v>29926</v>
      </c>
      <c r="M322" s="307"/>
      <c r="N322" s="145">
        <v>31185</v>
      </c>
      <c r="O322" s="533">
        <v>31429</v>
      </c>
      <c r="P322" s="145">
        <v>11156</v>
      </c>
      <c r="Q322" s="145">
        <v>642</v>
      </c>
      <c r="R322" s="131">
        <v>108365</v>
      </c>
      <c r="S322" s="307"/>
      <c r="T322" s="145">
        <v>25902</v>
      </c>
      <c r="U322" s="145"/>
      <c r="V322" s="131">
        <v>445622</v>
      </c>
      <c r="W322" s="307"/>
      <c r="X322" s="145">
        <v>102511</v>
      </c>
      <c r="Y322" s="145">
        <v>500</v>
      </c>
      <c r="Z322" s="131">
        <v>137107</v>
      </c>
      <c r="AA322" s="307">
        <v>250</v>
      </c>
      <c r="AB322" s="145">
        <v>39203</v>
      </c>
      <c r="AC322" s="145">
        <v>166</v>
      </c>
      <c r="AD322" s="131">
        <v>76964</v>
      </c>
      <c r="AE322" s="307">
        <v>250</v>
      </c>
      <c r="AF322" s="145">
        <v>87539</v>
      </c>
      <c r="AG322" s="145">
        <v>100</v>
      </c>
      <c r="AH322" s="131">
        <v>186614</v>
      </c>
      <c r="AI322" s="307">
        <v>583</v>
      </c>
      <c r="AJ322" s="145">
        <v>8170</v>
      </c>
      <c r="AK322" s="145">
        <v>785</v>
      </c>
      <c r="AL322" s="131">
        <v>19152</v>
      </c>
      <c r="AM322" s="307">
        <v>500</v>
      </c>
      <c r="AN322" s="145">
        <v>15413</v>
      </c>
      <c r="AO322" s="145">
        <v>724</v>
      </c>
      <c r="AP322" s="131">
        <v>40096</v>
      </c>
      <c r="AQ322" s="307"/>
      <c r="AR322" s="145">
        <v>24197</v>
      </c>
      <c r="AS322" s="145">
        <v>500</v>
      </c>
      <c r="AT322" s="131">
        <v>1328016</v>
      </c>
      <c r="AU322" s="307"/>
      <c r="AV322" s="145">
        <v>138612</v>
      </c>
      <c r="AW322" s="145"/>
      <c r="AX322" s="131">
        <v>82421</v>
      </c>
      <c r="AY322" s="307"/>
      <c r="AZ322" s="145">
        <v>786211</v>
      </c>
      <c r="BA322" s="145"/>
      <c r="BB322" s="131">
        <v>1904</v>
      </c>
      <c r="BC322" s="307"/>
      <c r="BD322" s="145">
        <v>1010660</v>
      </c>
      <c r="BE322" s="145"/>
      <c r="BF322" s="533"/>
      <c r="BG322" s="145">
        <v>595053</v>
      </c>
      <c r="BH322" s="145">
        <v>52</v>
      </c>
      <c r="BI322" s="131">
        <v>529682</v>
      </c>
      <c r="BJ322" s="307">
        <v>60</v>
      </c>
    </row>
    <row r="323" spans="1:62" x14ac:dyDescent="0.2">
      <c r="A323" s="533" t="s">
        <v>4771</v>
      </c>
      <c r="B323" s="533">
        <v>3</v>
      </c>
      <c r="C323" s="145">
        <v>719</v>
      </c>
      <c r="D323" s="145"/>
      <c r="E323" s="533">
        <v>16</v>
      </c>
      <c r="F323" s="145">
        <v>27371</v>
      </c>
      <c r="G323" s="307"/>
      <c r="H323" s="533">
        <v>1</v>
      </c>
      <c r="I323" s="145">
        <v>98</v>
      </c>
      <c r="J323" s="145"/>
      <c r="K323" s="533">
        <v>17</v>
      </c>
      <c r="L323" s="145">
        <v>29644</v>
      </c>
      <c r="M323" s="307"/>
      <c r="N323" s="145">
        <v>31961</v>
      </c>
      <c r="O323" s="533">
        <v>32783</v>
      </c>
      <c r="P323" s="145">
        <v>10307</v>
      </c>
      <c r="Q323" s="145">
        <v>865</v>
      </c>
      <c r="R323" s="131">
        <v>166630</v>
      </c>
      <c r="S323" s="307"/>
      <c r="T323" s="145">
        <v>45864</v>
      </c>
      <c r="U323" s="145"/>
      <c r="V323" s="131">
        <v>443260</v>
      </c>
      <c r="W323" s="307"/>
      <c r="X323" s="145">
        <v>101315</v>
      </c>
      <c r="Y323" s="145"/>
      <c r="Z323" s="131">
        <v>132056</v>
      </c>
      <c r="AA323" s="307"/>
      <c r="AB323" s="145">
        <v>40513</v>
      </c>
      <c r="AC323" s="145">
        <v>166</v>
      </c>
      <c r="AD323" s="131">
        <v>147669</v>
      </c>
      <c r="AE323" s="307">
        <v>250</v>
      </c>
      <c r="AF323" s="145">
        <v>141223</v>
      </c>
      <c r="AG323" s="145">
        <v>800</v>
      </c>
      <c r="AH323" s="131">
        <v>206366</v>
      </c>
      <c r="AI323" s="307">
        <v>600</v>
      </c>
      <c r="AJ323" s="145">
        <v>152062</v>
      </c>
      <c r="AK323" s="145">
        <v>140</v>
      </c>
      <c r="AL323" s="131">
        <v>255513</v>
      </c>
      <c r="AM323" s="307">
        <v>750</v>
      </c>
      <c r="AN323" s="145">
        <v>26903</v>
      </c>
      <c r="AO323" s="145">
        <v>388</v>
      </c>
      <c r="AP323" s="131">
        <v>63878</v>
      </c>
      <c r="AQ323" s="307">
        <v>500</v>
      </c>
      <c r="AR323" s="145">
        <v>28144</v>
      </c>
      <c r="AS323" s="145">
        <v>541</v>
      </c>
      <c r="AT323" s="131">
        <v>1961708</v>
      </c>
      <c r="AU323" s="307"/>
      <c r="AV323" s="145">
        <v>152516</v>
      </c>
      <c r="AW323" s="145"/>
      <c r="AX323" s="131">
        <v>77160</v>
      </c>
      <c r="AY323" s="307"/>
      <c r="AZ323" s="145">
        <v>994999</v>
      </c>
      <c r="BA323" s="145"/>
      <c r="BB323" s="131">
        <v>1501</v>
      </c>
      <c r="BC323" s="307"/>
      <c r="BD323" s="145">
        <v>1227856</v>
      </c>
      <c r="BE323" s="145"/>
      <c r="BF323" s="533"/>
      <c r="BG323" s="145">
        <v>787679</v>
      </c>
      <c r="BH323" s="145">
        <v>64</v>
      </c>
      <c r="BI323" s="131">
        <v>986495</v>
      </c>
      <c r="BJ323" s="307">
        <v>85</v>
      </c>
    </row>
    <row r="324" spans="1:62" x14ac:dyDescent="0.2">
      <c r="A324" s="785" t="s">
        <v>3884</v>
      </c>
      <c r="B324" s="808">
        <v>25</v>
      </c>
      <c r="C324" s="318">
        <v>5768</v>
      </c>
      <c r="D324" s="318"/>
      <c r="E324" s="808">
        <v>215</v>
      </c>
      <c r="F324" s="318">
        <v>362304</v>
      </c>
      <c r="G324" s="513"/>
      <c r="H324" s="808">
        <v>18</v>
      </c>
      <c r="I324" s="318">
        <v>4116</v>
      </c>
      <c r="J324" s="318"/>
      <c r="K324" s="808">
        <v>213</v>
      </c>
      <c r="L324" s="318">
        <v>360270</v>
      </c>
      <c r="M324" s="513"/>
      <c r="N324" s="318">
        <v>342459</v>
      </c>
      <c r="O324" s="808">
        <v>474648</v>
      </c>
      <c r="P324" s="318">
        <v>691997</v>
      </c>
      <c r="Q324" s="318">
        <v>621</v>
      </c>
      <c r="R324" s="240">
        <v>2295115</v>
      </c>
      <c r="S324" s="513"/>
      <c r="T324" s="318">
        <v>735054</v>
      </c>
      <c r="U324" s="318"/>
      <c r="V324" s="240">
        <v>4498397</v>
      </c>
      <c r="W324" s="513">
        <v>600</v>
      </c>
      <c r="X324" s="318">
        <v>1188355</v>
      </c>
      <c r="Y324" s="318"/>
      <c r="Z324" s="240">
        <v>1374464</v>
      </c>
      <c r="AA324" s="513">
        <v>750</v>
      </c>
      <c r="AB324" s="318">
        <v>866687</v>
      </c>
      <c r="AC324" s="318">
        <v>324</v>
      </c>
      <c r="AD324" s="240">
        <v>1129528</v>
      </c>
      <c r="AE324" s="513">
        <v>75</v>
      </c>
      <c r="AF324" s="318">
        <v>1135915</v>
      </c>
      <c r="AG324" s="318">
        <v>900</v>
      </c>
      <c r="AH324" s="240">
        <v>1811419</v>
      </c>
      <c r="AI324" s="513">
        <v>679</v>
      </c>
      <c r="AJ324" s="318">
        <v>216370</v>
      </c>
      <c r="AK324" s="318">
        <v>144</v>
      </c>
      <c r="AL324" s="240">
        <v>424521</v>
      </c>
      <c r="AM324" s="513">
        <v>373</v>
      </c>
      <c r="AN324" s="318">
        <v>189978</v>
      </c>
      <c r="AO324" s="318">
        <v>497</v>
      </c>
      <c r="AP324" s="240">
        <v>442552</v>
      </c>
      <c r="AQ324" s="513">
        <v>755</v>
      </c>
      <c r="AR324" s="318">
        <v>259708</v>
      </c>
      <c r="AS324" s="318">
        <v>280</v>
      </c>
      <c r="AT324" s="240">
        <v>17260066</v>
      </c>
      <c r="AU324" s="513"/>
      <c r="AV324" s="318">
        <v>2011844</v>
      </c>
      <c r="AW324" s="318"/>
      <c r="AX324" s="240">
        <v>645072</v>
      </c>
      <c r="AY324" s="513"/>
      <c r="AZ324" s="318">
        <v>12819362</v>
      </c>
      <c r="BA324" s="318">
        <v>0</v>
      </c>
      <c r="BB324" s="240">
        <v>49282</v>
      </c>
      <c r="BC324" s="513"/>
      <c r="BD324" s="318">
        <v>15555703</v>
      </c>
      <c r="BE324" s="318"/>
      <c r="BF324" s="808">
        <v>48</v>
      </c>
      <c r="BG324" s="318">
        <v>7378363</v>
      </c>
      <c r="BH324" s="318">
        <v>75</v>
      </c>
      <c r="BI324" s="240">
        <v>9862003</v>
      </c>
      <c r="BJ324" s="513">
        <v>11</v>
      </c>
    </row>
    <row r="325" spans="1:62" x14ac:dyDescent="0.2">
      <c r="B325" s="393">
        <f>+SUM(B312:B323)</f>
        <v>25</v>
      </c>
      <c r="C325" s="1137">
        <f t="shared" ref="C325:BJ325" si="19">+SUM(C312:C323)</f>
        <v>5668</v>
      </c>
      <c r="D325" s="393">
        <f t="shared" si="19"/>
        <v>0</v>
      </c>
      <c r="E325" s="1472">
        <f t="shared" si="19"/>
        <v>215</v>
      </c>
      <c r="F325" s="393">
        <f t="shared" si="19"/>
        <v>362304</v>
      </c>
      <c r="G325" s="393">
        <f t="shared" si="19"/>
        <v>0</v>
      </c>
      <c r="H325" s="1137">
        <f t="shared" si="19"/>
        <v>20</v>
      </c>
      <c r="I325" s="393">
        <f t="shared" si="19"/>
        <v>4116</v>
      </c>
      <c r="J325" s="393">
        <f t="shared" si="19"/>
        <v>0</v>
      </c>
      <c r="K325" s="393">
        <f t="shared" si="19"/>
        <v>213</v>
      </c>
      <c r="L325" s="393">
        <f t="shared" si="19"/>
        <v>360270</v>
      </c>
      <c r="M325" s="393">
        <f t="shared" si="19"/>
        <v>0</v>
      </c>
      <c r="N325" s="393">
        <f t="shared" si="19"/>
        <v>342459</v>
      </c>
      <c r="O325" s="393">
        <f t="shared" si="19"/>
        <v>474648</v>
      </c>
      <c r="P325" s="393">
        <f t="shared" si="19"/>
        <v>691992</v>
      </c>
      <c r="Q325" s="393">
        <f t="shared" si="19"/>
        <v>5621</v>
      </c>
      <c r="R325" s="393">
        <f t="shared" si="19"/>
        <v>2295115</v>
      </c>
      <c r="S325" s="393">
        <f t="shared" si="19"/>
        <v>0</v>
      </c>
      <c r="T325" s="393">
        <f t="shared" si="19"/>
        <v>735054</v>
      </c>
      <c r="U325" s="393">
        <f t="shared" si="19"/>
        <v>0</v>
      </c>
      <c r="V325" s="393">
        <f t="shared" si="19"/>
        <v>4498397</v>
      </c>
      <c r="W325" s="393">
        <f t="shared" si="19"/>
        <v>600</v>
      </c>
      <c r="X325" s="393">
        <f t="shared" si="19"/>
        <v>1188352</v>
      </c>
      <c r="Y325" s="393">
        <f t="shared" si="19"/>
        <v>3000</v>
      </c>
      <c r="Z325" s="393">
        <f t="shared" si="19"/>
        <v>1374461</v>
      </c>
      <c r="AA325" s="393">
        <f t="shared" si="19"/>
        <v>3750</v>
      </c>
      <c r="AB325" s="393">
        <f t="shared" si="19"/>
        <v>866683</v>
      </c>
      <c r="AC325" s="393">
        <f t="shared" si="19"/>
        <v>4324</v>
      </c>
      <c r="AD325" s="393">
        <f t="shared" si="19"/>
        <v>1129524</v>
      </c>
      <c r="AE325" s="393">
        <f t="shared" si="19"/>
        <v>4075</v>
      </c>
      <c r="AF325" s="393">
        <f t="shared" si="19"/>
        <v>1135911</v>
      </c>
      <c r="AG325" s="393">
        <f t="shared" si="19"/>
        <v>4900</v>
      </c>
      <c r="AH325" s="393">
        <f t="shared" si="19"/>
        <v>1811415</v>
      </c>
      <c r="AI325" s="393">
        <f t="shared" si="19"/>
        <v>4679</v>
      </c>
      <c r="AJ325" s="393">
        <f t="shared" si="19"/>
        <v>216364</v>
      </c>
      <c r="AK325" s="393">
        <f t="shared" si="19"/>
        <v>6144</v>
      </c>
      <c r="AL325" s="393">
        <f t="shared" si="19"/>
        <v>424515</v>
      </c>
      <c r="AM325" s="393">
        <f t="shared" si="19"/>
        <v>6373</v>
      </c>
      <c r="AN325" s="393">
        <f t="shared" si="19"/>
        <v>187973</v>
      </c>
      <c r="AO325" s="393">
        <f t="shared" si="19"/>
        <v>5497</v>
      </c>
      <c r="AP325" s="393">
        <f t="shared" si="19"/>
        <v>442549</v>
      </c>
      <c r="AQ325" s="393">
        <f t="shared" si="19"/>
        <v>3755</v>
      </c>
      <c r="AR325" s="393">
        <f t="shared" si="19"/>
        <v>259703</v>
      </c>
      <c r="AS325" s="393">
        <f t="shared" si="19"/>
        <v>5280</v>
      </c>
      <c r="AT325" s="393">
        <f t="shared" si="19"/>
        <v>17260066</v>
      </c>
      <c r="AU325" s="393">
        <f t="shared" si="19"/>
        <v>0</v>
      </c>
      <c r="AV325" s="1137">
        <f t="shared" si="19"/>
        <v>2011839</v>
      </c>
      <c r="AW325" s="393">
        <f t="shared" si="19"/>
        <v>0</v>
      </c>
      <c r="AX325" s="393">
        <f t="shared" si="19"/>
        <v>645072</v>
      </c>
      <c r="AY325" s="393">
        <f t="shared" si="19"/>
        <v>0</v>
      </c>
      <c r="AZ325" s="393">
        <f t="shared" si="19"/>
        <v>12819362</v>
      </c>
      <c r="BA325" s="393">
        <f t="shared" si="19"/>
        <v>0</v>
      </c>
      <c r="BB325" s="393">
        <f t="shared" si="19"/>
        <v>49282</v>
      </c>
      <c r="BC325" s="393">
        <f t="shared" si="19"/>
        <v>0</v>
      </c>
      <c r="BD325" s="393">
        <f t="shared" si="19"/>
        <v>15555703</v>
      </c>
      <c r="BE325" s="393">
        <f t="shared" si="19"/>
        <v>0</v>
      </c>
      <c r="BF325" s="393">
        <f t="shared" si="19"/>
        <v>48</v>
      </c>
      <c r="BG325" s="393">
        <f t="shared" si="19"/>
        <v>7378358</v>
      </c>
      <c r="BH325" s="393">
        <f t="shared" si="19"/>
        <v>575</v>
      </c>
      <c r="BI325" s="393">
        <f t="shared" si="19"/>
        <v>9862000</v>
      </c>
      <c r="BJ325" s="393">
        <f t="shared" si="19"/>
        <v>311</v>
      </c>
    </row>
  </sheetData>
  <mergeCells count="638">
    <mergeCell ref="BB310:BC310"/>
    <mergeCell ref="BD310:BE310"/>
    <mergeCell ref="C311:D311"/>
    <mergeCell ref="F311:G311"/>
    <mergeCell ref="I311:J311"/>
    <mergeCell ref="L311:M311"/>
    <mergeCell ref="AP310:AQ310"/>
    <mergeCell ref="AR310:AS310"/>
    <mergeCell ref="AT310:AU310"/>
    <mergeCell ref="AV310:AW310"/>
    <mergeCell ref="AX310:AY310"/>
    <mergeCell ref="AZ310:BA310"/>
    <mergeCell ref="AD310:AE310"/>
    <mergeCell ref="AF310:AG310"/>
    <mergeCell ref="AH310:AI310"/>
    <mergeCell ref="AJ310:AK310"/>
    <mergeCell ref="AL310:AM310"/>
    <mergeCell ref="AN310:AO310"/>
    <mergeCell ref="R310:S310"/>
    <mergeCell ref="T310:U310"/>
    <mergeCell ref="V310:W310"/>
    <mergeCell ref="X310:Y310"/>
    <mergeCell ref="Z310:AA310"/>
    <mergeCell ref="AB310:AC310"/>
    <mergeCell ref="O309:O310"/>
    <mergeCell ref="P309:AU309"/>
    <mergeCell ref="AV309:BE309"/>
    <mergeCell ref="BG309:BH310"/>
    <mergeCell ref="BI309:BJ310"/>
    <mergeCell ref="B310:D310"/>
    <mergeCell ref="E310:G310"/>
    <mergeCell ref="H310:J310"/>
    <mergeCell ref="K310:M310"/>
    <mergeCell ref="P310:Q310"/>
    <mergeCell ref="A307:BJ307"/>
    <mergeCell ref="A308:A311"/>
    <mergeCell ref="B308:M308"/>
    <mergeCell ref="N308:O308"/>
    <mergeCell ref="P308:BE308"/>
    <mergeCell ref="BF308:BF310"/>
    <mergeCell ref="BG308:BJ308"/>
    <mergeCell ref="B309:G309"/>
    <mergeCell ref="H309:M309"/>
    <mergeCell ref="N309:N310"/>
    <mergeCell ref="AR290:AS290"/>
    <mergeCell ref="C291:D291"/>
    <mergeCell ref="F291:G291"/>
    <mergeCell ref="I291:J291"/>
    <mergeCell ref="L291:M291"/>
    <mergeCell ref="A306:BJ306"/>
    <mergeCell ref="AF290:AG290"/>
    <mergeCell ref="AH290:AI290"/>
    <mergeCell ref="AJ290:AK290"/>
    <mergeCell ref="AL290:AM290"/>
    <mergeCell ref="AN290:AO290"/>
    <mergeCell ref="AP290:AQ290"/>
    <mergeCell ref="T290:U290"/>
    <mergeCell ref="V290:W290"/>
    <mergeCell ref="X290:Y290"/>
    <mergeCell ref="Z290:AA290"/>
    <mergeCell ref="AB290:AC290"/>
    <mergeCell ref="AD290:AE290"/>
    <mergeCell ref="H289:M289"/>
    <mergeCell ref="N289:N290"/>
    <mergeCell ref="O289:O290"/>
    <mergeCell ref="P289:AS289"/>
    <mergeCell ref="B290:D290"/>
    <mergeCell ref="E290:G290"/>
    <mergeCell ref="H290:J290"/>
    <mergeCell ref="K290:M290"/>
    <mergeCell ref="P290:Q290"/>
    <mergeCell ref="R290:S290"/>
    <mergeCell ref="CF269:CG269"/>
    <mergeCell ref="CI269:CJ269"/>
    <mergeCell ref="CL269:CM269"/>
    <mergeCell ref="CO269:CP269"/>
    <mergeCell ref="A287:AS287"/>
    <mergeCell ref="A288:A291"/>
    <mergeCell ref="B288:M288"/>
    <mergeCell ref="N288:O288"/>
    <mergeCell ref="P288:AS288"/>
    <mergeCell ref="B289:G289"/>
    <mergeCell ref="BN269:BO269"/>
    <mergeCell ref="BQ269:BR269"/>
    <mergeCell ref="BT269:BU269"/>
    <mergeCell ref="BW269:BX269"/>
    <mergeCell ref="BZ269:CA269"/>
    <mergeCell ref="CC269:CD269"/>
    <mergeCell ref="AV269:AW269"/>
    <mergeCell ref="AY269:AZ269"/>
    <mergeCell ref="BB269:BC269"/>
    <mergeCell ref="BE269:BF269"/>
    <mergeCell ref="BH269:BI269"/>
    <mergeCell ref="BK269:BL269"/>
    <mergeCell ref="AD269:AE269"/>
    <mergeCell ref="AG269:AH269"/>
    <mergeCell ref="AJ269:AK269"/>
    <mergeCell ref="AM269:AN269"/>
    <mergeCell ref="AP269:AQ269"/>
    <mergeCell ref="AS269:AT269"/>
    <mergeCell ref="CN268:CP268"/>
    <mergeCell ref="C269:D269"/>
    <mergeCell ref="F269:G269"/>
    <mergeCell ref="I269:J269"/>
    <mergeCell ref="L269:M269"/>
    <mergeCell ref="O269:P269"/>
    <mergeCell ref="R269:S269"/>
    <mergeCell ref="U269:V269"/>
    <mergeCell ref="X269:Y269"/>
    <mergeCell ref="AA269:AB269"/>
    <mergeCell ref="BV268:BX268"/>
    <mergeCell ref="BY268:CA268"/>
    <mergeCell ref="CB268:CD268"/>
    <mergeCell ref="CE268:CG268"/>
    <mergeCell ref="CH268:CJ268"/>
    <mergeCell ref="CK268:CM268"/>
    <mergeCell ref="BD268:BF268"/>
    <mergeCell ref="BG268:BI268"/>
    <mergeCell ref="BJ268:BL268"/>
    <mergeCell ref="BM268:BO268"/>
    <mergeCell ref="BP268:BR268"/>
    <mergeCell ref="BS268:BU268"/>
    <mergeCell ref="AL268:AN268"/>
    <mergeCell ref="AO268:AQ268"/>
    <mergeCell ref="AR268:AT268"/>
    <mergeCell ref="AU268:AW268"/>
    <mergeCell ref="AX268:AZ268"/>
    <mergeCell ref="BA268:BC268"/>
    <mergeCell ref="T268:V268"/>
    <mergeCell ref="W268:Y268"/>
    <mergeCell ref="Z268:AB268"/>
    <mergeCell ref="AC268:AE268"/>
    <mergeCell ref="AF268:AH268"/>
    <mergeCell ref="AI268:AK268"/>
    <mergeCell ref="A265:CP265"/>
    <mergeCell ref="A266:CP266"/>
    <mergeCell ref="A267:A269"/>
    <mergeCell ref="B267:CP267"/>
    <mergeCell ref="B268:D268"/>
    <mergeCell ref="E268:G268"/>
    <mergeCell ref="H268:J268"/>
    <mergeCell ref="K268:M268"/>
    <mergeCell ref="N268:P268"/>
    <mergeCell ref="Q268:S268"/>
    <mergeCell ref="BW247:BX247"/>
    <mergeCell ref="BZ247:CA247"/>
    <mergeCell ref="CC247:CD247"/>
    <mergeCell ref="CF247:CG247"/>
    <mergeCell ref="CI247:CJ247"/>
    <mergeCell ref="CL247:CM247"/>
    <mergeCell ref="BE247:BF247"/>
    <mergeCell ref="BH247:BI247"/>
    <mergeCell ref="BK247:BL247"/>
    <mergeCell ref="BN247:BO247"/>
    <mergeCell ref="BQ247:BR247"/>
    <mergeCell ref="BT247:BU247"/>
    <mergeCell ref="AM247:AN247"/>
    <mergeCell ref="AP247:AQ247"/>
    <mergeCell ref="AS247:AT247"/>
    <mergeCell ref="AV247:AW247"/>
    <mergeCell ref="AY247:AZ247"/>
    <mergeCell ref="BB247:BC247"/>
    <mergeCell ref="U247:V247"/>
    <mergeCell ref="X247:Y247"/>
    <mergeCell ref="AA247:AB247"/>
    <mergeCell ref="AD247:AE247"/>
    <mergeCell ref="AG247:AH247"/>
    <mergeCell ref="AJ247:AK247"/>
    <mergeCell ref="CB246:CD246"/>
    <mergeCell ref="CE246:CG246"/>
    <mergeCell ref="CH246:CJ246"/>
    <mergeCell ref="CK246:CM246"/>
    <mergeCell ref="C247:D247"/>
    <mergeCell ref="F247:G247"/>
    <mergeCell ref="I247:J247"/>
    <mergeCell ref="L247:M247"/>
    <mergeCell ref="O247:P247"/>
    <mergeCell ref="R247:S247"/>
    <mergeCell ref="BJ246:BL246"/>
    <mergeCell ref="BM246:BO246"/>
    <mergeCell ref="BP246:BR246"/>
    <mergeCell ref="BS246:BU246"/>
    <mergeCell ref="BV246:BX246"/>
    <mergeCell ref="BY246:CA246"/>
    <mergeCell ref="AR246:AT246"/>
    <mergeCell ref="AU246:AW246"/>
    <mergeCell ref="AX246:AZ246"/>
    <mergeCell ref="BA246:BC246"/>
    <mergeCell ref="BD246:BF246"/>
    <mergeCell ref="BG246:BI246"/>
    <mergeCell ref="Z246:AB246"/>
    <mergeCell ref="AC246:AE246"/>
    <mergeCell ref="AF246:AH246"/>
    <mergeCell ref="AI246:AK246"/>
    <mergeCell ref="AL246:AN246"/>
    <mergeCell ref="AO246:AQ246"/>
    <mergeCell ref="A245:A247"/>
    <mergeCell ref="B245:CM245"/>
    <mergeCell ref="B246:D246"/>
    <mergeCell ref="E246:G246"/>
    <mergeCell ref="H246:J246"/>
    <mergeCell ref="K246:M246"/>
    <mergeCell ref="N246:P246"/>
    <mergeCell ref="Q246:S246"/>
    <mergeCell ref="T246:V246"/>
    <mergeCell ref="W246:Y246"/>
    <mergeCell ref="WXU243:WZN243"/>
    <mergeCell ref="WZO243:XBH243"/>
    <mergeCell ref="XBI243:XDB243"/>
    <mergeCell ref="XDC243:XEV243"/>
    <mergeCell ref="XEW243:XFD243"/>
    <mergeCell ref="A244:CM244"/>
    <mergeCell ref="WNE243:WOX243"/>
    <mergeCell ref="WOY243:WQR243"/>
    <mergeCell ref="WQS243:WSL243"/>
    <mergeCell ref="WSM243:WUF243"/>
    <mergeCell ref="WUG243:WVZ243"/>
    <mergeCell ref="WWA243:WXT243"/>
    <mergeCell ref="WCO243:WEH243"/>
    <mergeCell ref="WEI243:WGB243"/>
    <mergeCell ref="WGC243:WHV243"/>
    <mergeCell ref="WHW243:WJP243"/>
    <mergeCell ref="WJQ243:WLJ243"/>
    <mergeCell ref="WLK243:WND243"/>
    <mergeCell ref="VRY243:VTR243"/>
    <mergeCell ref="VTS243:VVL243"/>
    <mergeCell ref="VVM243:VXF243"/>
    <mergeCell ref="VXG243:VYZ243"/>
    <mergeCell ref="VZA243:WAT243"/>
    <mergeCell ref="WAU243:WCN243"/>
    <mergeCell ref="VHI243:VJB243"/>
    <mergeCell ref="VJC243:VKV243"/>
    <mergeCell ref="VKW243:VMP243"/>
    <mergeCell ref="VMQ243:VOJ243"/>
    <mergeCell ref="VOK243:VQD243"/>
    <mergeCell ref="VQE243:VRX243"/>
    <mergeCell ref="UWS243:UYL243"/>
    <mergeCell ref="UYM243:VAF243"/>
    <mergeCell ref="VAG243:VBZ243"/>
    <mergeCell ref="VCA243:VDT243"/>
    <mergeCell ref="VDU243:VFN243"/>
    <mergeCell ref="VFO243:VHH243"/>
    <mergeCell ref="UMC243:UNV243"/>
    <mergeCell ref="UNW243:UPP243"/>
    <mergeCell ref="UPQ243:URJ243"/>
    <mergeCell ref="URK243:UTD243"/>
    <mergeCell ref="UTE243:UUX243"/>
    <mergeCell ref="UUY243:UWR243"/>
    <mergeCell ref="UBM243:UDF243"/>
    <mergeCell ref="UDG243:UEZ243"/>
    <mergeCell ref="UFA243:UGT243"/>
    <mergeCell ref="UGU243:UIN243"/>
    <mergeCell ref="UIO243:UKH243"/>
    <mergeCell ref="UKI243:UMB243"/>
    <mergeCell ref="TQW243:TSP243"/>
    <mergeCell ref="TSQ243:TUJ243"/>
    <mergeCell ref="TUK243:TWD243"/>
    <mergeCell ref="TWE243:TXX243"/>
    <mergeCell ref="TXY243:TZR243"/>
    <mergeCell ref="TZS243:UBL243"/>
    <mergeCell ref="TGG243:THZ243"/>
    <mergeCell ref="TIA243:TJT243"/>
    <mergeCell ref="TJU243:TLN243"/>
    <mergeCell ref="TLO243:TNH243"/>
    <mergeCell ref="TNI243:TPB243"/>
    <mergeCell ref="TPC243:TQV243"/>
    <mergeCell ref="SVQ243:SXJ243"/>
    <mergeCell ref="SXK243:SZD243"/>
    <mergeCell ref="SZE243:TAX243"/>
    <mergeCell ref="TAY243:TCR243"/>
    <mergeCell ref="TCS243:TEL243"/>
    <mergeCell ref="TEM243:TGF243"/>
    <mergeCell ref="SLA243:SMT243"/>
    <mergeCell ref="SMU243:SON243"/>
    <mergeCell ref="SOO243:SQH243"/>
    <mergeCell ref="SQI243:SSB243"/>
    <mergeCell ref="SSC243:STV243"/>
    <mergeCell ref="STW243:SVP243"/>
    <mergeCell ref="SAK243:SCD243"/>
    <mergeCell ref="SCE243:SDX243"/>
    <mergeCell ref="SDY243:SFR243"/>
    <mergeCell ref="SFS243:SHL243"/>
    <mergeCell ref="SHM243:SJF243"/>
    <mergeCell ref="SJG243:SKZ243"/>
    <mergeCell ref="RPU243:RRN243"/>
    <mergeCell ref="RRO243:RTH243"/>
    <mergeCell ref="RTI243:RVB243"/>
    <mergeCell ref="RVC243:RWV243"/>
    <mergeCell ref="RWW243:RYP243"/>
    <mergeCell ref="RYQ243:SAJ243"/>
    <mergeCell ref="RFE243:RGX243"/>
    <mergeCell ref="RGY243:RIR243"/>
    <mergeCell ref="RIS243:RKL243"/>
    <mergeCell ref="RKM243:RMF243"/>
    <mergeCell ref="RMG243:RNZ243"/>
    <mergeCell ref="ROA243:RPT243"/>
    <mergeCell ref="QUO243:QWH243"/>
    <mergeCell ref="QWI243:QYB243"/>
    <mergeCell ref="QYC243:QZV243"/>
    <mergeCell ref="QZW243:RBP243"/>
    <mergeCell ref="RBQ243:RDJ243"/>
    <mergeCell ref="RDK243:RFD243"/>
    <mergeCell ref="QJY243:QLR243"/>
    <mergeCell ref="QLS243:QNL243"/>
    <mergeCell ref="QNM243:QPF243"/>
    <mergeCell ref="QPG243:QQZ243"/>
    <mergeCell ref="QRA243:QST243"/>
    <mergeCell ref="QSU243:QUN243"/>
    <mergeCell ref="PZI243:QBB243"/>
    <mergeCell ref="QBC243:QCV243"/>
    <mergeCell ref="QCW243:QEP243"/>
    <mergeCell ref="QEQ243:QGJ243"/>
    <mergeCell ref="QGK243:QID243"/>
    <mergeCell ref="QIE243:QJX243"/>
    <mergeCell ref="POS243:PQL243"/>
    <mergeCell ref="PQM243:PSF243"/>
    <mergeCell ref="PSG243:PTZ243"/>
    <mergeCell ref="PUA243:PVT243"/>
    <mergeCell ref="PVU243:PXN243"/>
    <mergeCell ref="PXO243:PZH243"/>
    <mergeCell ref="PEC243:PFV243"/>
    <mergeCell ref="PFW243:PHP243"/>
    <mergeCell ref="PHQ243:PJJ243"/>
    <mergeCell ref="PJK243:PLD243"/>
    <mergeCell ref="PLE243:PMX243"/>
    <mergeCell ref="PMY243:POR243"/>
    <mergeCell ref="OTM243:OVF243"/>
    <mergeCell ref="OVG243:OWZ243"/>
    <mergeCell ref="OXA243:OYT243"/>
    <mergeCell ref="OYU243:PAN243"/>
    <mergeCell ref="PAO243:PCH243"/>
    <mergeCell ref="PCI243:PEB243"/>
    <mergeCell ref="OIW243:OKP243"/>
    <mergeCell ref="OKQ243:OMJ243"/>
    <mergeCell ref="OMK243:OOD243"/>
    <mergeCell ref="OOE243:OPX243"/>
    <mergeCell ref="OPY243:ORR243"/>
    <mergeCell ref="ORS243:OTL243"/>
    <mergeCell ref="NYG243:NZZ243"/>
    <mergeCell ref="OAA243:OBT243"/>
    <mergeCell ref="OBU243:ODN243"/>
    <mergeCell ref="ODO243:OFH243"/>
    <mergeCell ref="OFI243:OHB243"/>
    <mergeCell ref="OHC243:OIV243"/>
    <mergeCell ref="NNQ243:NPJ243"/>
    <mergeCell ref="NPK243:NRD243"/>
    <mergeCell ref="NRE243:NSX243"/>
    <mergeCell ref="NSY243:NUR243"/>
    <mergeCell ref="NUS243:NWL243"/>
    <mergeCell ref="NWM243:NYF243"/>
    <mergeCell ref="NDA243:NET243"/>
    <mergeCell ref="NEU243:NGN243"/>
    <mergeCell ref="NGO243:NIH243"/>
    <mergeCell ref="NII243:NKB243"/>
    <mergeCell ref="NKC243:NLV243"/>
    <mergeCell ref="NLW243:NNP243"/>
    <mergeCell ref="MSK243:MUD243"/>
    <mergeCell ref="MUE243:MVX243"/>
    <mergeCell ref="MVY243:MXR243"/>
    <mergeCell ref="MXS243:MZL243"/>
    <mergeCell ref="MZM243:NBF243"/>
    <mergeCell ref="NBG243:NCZ243"/>
    <mergeCell ref="MHU243:MJN243"/>
    <mergeCell ref="MJO243:MLH243"/>
    <mergeCell ref="MLI243:MNB243"/>
    <mergeCell ref="MNC243:MOV243"/>
    <mergeCell ref="MOW243:MQP243"/>
    <mergeCell ref="MQQ243:MSJ243"/>
    <mergeCell ref="LXE243:LYX243"/>
    <mergeCell ref="LYY243:MAR243"/>
    <mergeCell ref="MAS243:MCL243"/>
    <mergeCell ref="MCM243:MEF243"/>
    <mergeCell ref="MEG243:MFZ243"/>
    <mergeCell ref="MGA243:MHT243"/>
    <mergeCell ref="LMO243:LOH243"/>
    <mergeCell ref="LOI243:LQB243"/>
    <mergeCell ref="LQC243:LRV243"/>
    <mergeCell ref="LRW243:LTP243"/>
    <mergeCell ref="LTQ243:LVJ243"/>
    <mergeCell ref="LVK243:LXD243"/>
    <mergeCell ref="LBY243:LDR243"/>
    <mergeCell ref="LDS243:LFL243"/>
    <mergeCell ref="LFM243:LHF243"/>
    <mergeCell ref="LHG243:LIZ243"/>
    <mergeCell ref="LJA243:LKT243"/>
    <mergeCell ref="LKU243:LMN243"/>
    <mergeCell ref="KRI243:KTB243"/>
    <mergeCell ref="KTC243:KUV243"/>
    <mergeCell ref="KUW243:KWP243"/>
    <mergeCell ref="KWQ243:KYJ243"/>
    <mergeCell ref="KYK243:LAD243"/>
    <mergeCell ref="LAE243:LBX243"/>
    <mergeCell ref="KGS243:KIL243"/>
    <mergeCell ref="KIM243:KKF243"/>
    <mergeCell ref="KKG243:KLZ243"/>
    <mergeCell ref="KMA243:KNT243"/>
    <mergeCell ref="KNU243:KPN243"/>
    <mergeCell ref="KPO243:KRH243"/>
    <mergeCell ref="JWC243:JXV243"/>
    <mergeCell ref="JXW243:JZP243"/>
    <mergeCell ref="JZQ243:KBJ243"/>
    <mergeCell ref="KBK243:KDD243"/>
    <mergeCell ref="KDE243:KEX243"/>
    <mergeCell ref="KEY243:KGR243"/>
    <mergeCell ref="JLM243:JNF243"/>
    <mergeCell ref="JNG243:JOZ243"/>
    <mergeCell ref="JPA243:JQT243"/>
    <mergeCell ref="JQU243:JSN243"/>
    <mergeCell ref="JSO243:JUH243"/>
    <mergeCell ref="JUI243:JWB243"/>
    <mergeCell ref="JAW243:JCP243"/>
    <mergeCell ref="JCQ243:JEJ243"/>
    <mergeCell ref="JEK243:JGD243"/>
    <mergeCell ref="JGE243:JHX243"/>
    <mergeCell ref="JHY243:JJR243"/>
    <mergeCell ref="JJS243:JLL243"/>
    <mergeCell ref="IQG243:IRZ243"/>
    <mergeCell ref="ISA243:ITT243"/>
    <mergeCell ref="ITU243:IVN243"/>
    <mergeCell ref="IVO243:IXH243"/>
    <mergeCell ref="IXI243:IZB243"/>
    <mergeCell ref="IZC243:JAV243"/>
    <mergeCell ref="IFQ243:IHJ243"/>
    <mergeCell ref="IHK243:IJD243"/>
    <mergeCell ref="IJE243:IKX243"/>
    <mergeCell ref="IKY243:IMR243"/>
    <mergeCell ref="IMS243:IOL243"/>
    <mergeCell ref="IOM243:IQF243"/>
    <mergeCell ref="HVA243:HWT243"/>
    <mergeCell ref="HWU243:HYN243"/>
    <mergeCell ref="HYO243:IAH243"/>
    <mergeCell ref="IAI243:ICB243"/>
    <mergeCell ref="ICC243:IDV243"/>
    <mergeCell ref="IDW243:IFP243"/>
    <mergeCell ref="HKK243:HMD243"/>
    <mergeCell ref="HME243:HNX243"/>
    <mergeCell ref="HNY243:HPR243"/>
    <mergeCell ref="HPS243:HRL243"/>
    <mergeCell ref="HRM243:HTF243"/>
    <mergeCell ref="HTG243:HUZ243"/>
    <mergeCell ref="GZU243:HBN243"/>
    <mergeCell ref="HBO243:HDH243"/>
    <mergeCell ref="HDI243:HFB243"/>
    <mergeCell ref="HFC243:HGV243"/>
    <mergeCell ref="HGW243:HIP243"/>
    <mergeCell ref="HIQ243:HKJ243"/>
    <mergeCell ref="GPE243:GQX243"/>
    <mergeCell ref="GQY243:GSR243"/>
    <mergeCell ref="GSS243:GUL243"/>
    <mergeCell ref="GUM243:GWF243"/>
    <mergeCell ref="GWG243:GXZ243"/>
    <mergeCell ref="GYA243:GZT243"/>
    <mergeCell ref="GEO243:GGH243"/>
    <mergeCell ref="GGI243:GIB243"/>
    <mergeCell ref="GIC243:GJV243"/>
    <mergeCell ref="GJW243:GLP243"/>
    <mergeCell ref="GLQ243:GNJ243"/>
    <mergeCell ref="GNK243:GPD243"/>
    <mergeCell ref="FTY243:FVR243"/>
    <mergeCell ref="FVS243:FXL243"/>
    <mergeCell ref="FXM243:FZF243"/>
    <mergeCell ref="FZG243:GAZ243"/>
    <mergeCell ref="GBA243:GCT243"/>
    <mergeCell ref="GCU243:GEN243"/>
    <mergeCell ref="FJI243:FLB243"/>
    <mergeCell ref="FLC243:FMV243"/>
    <mergeCell ref="FMW243:FOP243"/>
    <mergeCell ref="FOQ243:FQJ243"/>
    <mergeCell ref="FQK243:FSD243"/>
    <mergeCell ref="FSE243:FTX243"/>
    <mergeCell ref="EYS243:FAL243"/>
    <mergeCell ref="FAM243:FCF243"/>
    <mergeCell ref="FCG243:FDZ243"/>
    <mergeCell ref="FEA243:FFT243"/>
    <mergeCell ref="FFU243:FHN243"/>
    <mergeCell ref="FHO243:FJH243"/>
    <mergeCell ref="EOC243:EPV243"/>
    <mergeCell ref="EPW243:ERP243"/>
    <mergeCell ref="ERQ243:ETJ243"/>
    <mergeCell ref="ETK243:EVD243"/>
    <mergeCell ref="EVE243:EWX243"/>
    <mergeCell ref="EWY243:EYR243"/>
    <mergeCell ref="EDM243:EFF243"/>
    <mergeCell ref="EFG243:EGZ243"/>
    <mergeCell ref="EHA243:EIT243"/>
    <mergeCell ref="EIU243:EKN243"/>
    <mergeCell ref="EKO243:EMH243"/>
    <mergeCell ref="EMI243:EOB243"/>
    <mergeCell ref="DSW243:DUP243"/>
    <mergeCell ref="DUQ243:DWJ243"/>
    <mergeCell ref="DWK243:DYD243"/>
    <mergeCell ref="DYE243:DZX243"/>
    <mergeCell ref="DZY243:EBR243"/>
    <mergeCell ref="EBS243:EDL243"/>
    <mergeCell ref="DIG243:DJZ243"/>
    <mergeCell ref="DKA243:DLT243"/>
    <mergeCell ref="DLU243:DNN243"/>
    <mergeCell ref="DNO243:DPH243"/>
    <mergeCell ref="DPI243:DRB243"/>
    <mergeCell ref="DRC243:DSV243"/>
    <mergeCell ref="CXQ243:CZJ243"/>
    <mergeCell ref="CZK243:DBD243"/>
    <mergeCell ref="DBE243:DCX243"/>
    <mergeCell ref="DCY243:DER243"/>
    <mergeCell ref="DES243:DGL243"/>
    <mergeCell ref="DGM243:DIF243"/>
    <mergeCell ref="CNA243:COT243"/>
    <mergeCell ref="COU243:CQN243"/>
    <mergeCell ref="CQO243:CSH243"/>
    <mergeCell ref="CSI243:CUB243"/>
    <mergeCell ref="CUC243:CVV243"/>
    <mergeCell ref="CVW243:CXP243"/>
    <mergeCell ref="CCK243:CED243"/>
    <mergeCell ref="CEE243:CFX243"/>
    <mergeCell ref="CFY243:CHR243"/>
    <mergeCell ref="CHS243:CJL243"/>
    <mergeCell ref="CJM243:CLF243"/>
    <mergeCell ref="CLG243:CMZ243"/>
    <mergeCell ref="BRU243:BTN243"/>
    <mergeCell ref="BTO243:BVH243"/>
    <mergeCell ref="BVI243:BXB243"/>
    <mergeCell ref="BXC243:BYV243"/>
    <mergeCell ref="BYW243:CAP243"/>
    <mergeCell ref="CAQ243:CCJ243"/>
    <mergeCell ref="BHE243:BIX243"/>
    <mergeCell ref="BIY243:BKR243"/>
    <mergeCell ref="BKS243:BML243"/>
    <mergeCell ref="BMM243:BOF243"/>
    <mergeCell ref="BOG243:BPZ243"/>
    <mergeCell ref="BQA243:BRT243"/>
    <mergeCell ref="AWO243:AYH243"/>
    <mergeCell ref="AYI243:BAB243"/>
    <mergeCell ref="BAC243:BBV243"/>
    <mergeCell ref="BBW243:BDP243"/>
    <mergeCell ref="BDQ243:BFJ243"/>
    <mergeCell ref="BFK243:BHD243"/>
    <mergeCell ref="ALY243:ANR243"/>
    <mergeCell ref="ANS243:APL243"/>
    <mergeCell ref="APM243:ARF243"/>
    <mergeCell ref="ARG243:ASZ243"/>
    <mergeCell ref="ATA243:AUT243"/>
    <mergeCell ref="AUU243:AWN243"/>
    <mergeCell ref="ABI243:ADB243"/>
    <mergeCell ref="ADC243:AEV243"/>
    <mergeCell ref="AEW243:AGP243"/>
    <mergeCell ref="AGQ243:AIJ243"/>
    <mergeCell ref="AIK243:AKD243"/>
    <mergeCell ref="AKE243:ALX243"/>
    <mergeCell ref="QS243:SL243"/>
    <mergeCell ref="SM243:UF243"/>
    <mergeCell ref="UG243:VZ243"/>
    <mergeCell ref="WA243:XT243"/>
    <mergeCell ref="XU243:ZN243"/>
    <mergeCell ref="ZO243:ABH243"/>
    <mergeCell ref="GC243:HV243"/>
    <mergeCell ref="HW243:JP243"/>
    <mergeCell ref="JQ243:LJ243"/>
    <mergeCell ref="LK243:ND243"/>
    <mergeCell ref="NE243:OX243"/>
    <mergeCell ref="OY243:QR243"/>
    <mergeCell ref="A209:J209"/>
    <mergeCell ref="B210:D210"/>
    <mergeCell ref="E210:G210"/>
    <mergeCell ref="H210:J210"/>
    <mergeCell ref="A243:CM243"/>
    <mergeCell ref="EI243:GB243"/>
    <mergeCell ref="A166:D166"/>
    <mergeCell ref="A171:D171"/>
    <mergeCell ref="A176:C176"/>
    <mergeCell ref="A187:G187"/>
    <mergeCell ref="A195:D195"/>
    <mergeCell ref="A204:D204"/>
    <mergeCell ref="A152:J152"/>
    <mergeCell ref="B153:D153"/>
    <mergeCell ref="E153:G153"/>
    <mergeCell ref="H153:J153"/>
    <mergeCell ref="A161:G161"/>
    <mergeCell ref="A162:D162"/>
    <mergeCell ref="A133:L133"/>
    <mergeCell ref="A138:C138"/>
    <mergeCell ref="A147:J147"/>
    <mergeCell ref="B148:D148"/>
    <mergeCell ref="E148:G148"/>
    <mergeCell ref="H148:J148"/>
    <mergeCell ref="A122:A129"/>
    <mergeCell ref="D122:E122"/>
    <mergeCell ref="G122:H122"/>
    <mergeCell ref="J122:K122"/>
    <mergeCell ref="C130:C132"/>
    <mergeCell ref="E130:F130"/>
    <mergeCell ref="H130:I130"/>
    <mergeCell ref="K130:L130"/>
    <mergeCell ref="D101:F101"/>
    <mergeCell ref="G101:I101"/>
    <mergeCell ref="J101:L101"/>
    <mergeCell ref="D102:E102"/>
    <mergeCell ref="G102:H102"/>
    <mergeCell ref="J102:K102"/>
    <mergeCell ref="J98:L98"/>
    <mergeCell ref="D99:F99"/>
    <mergeCell ref="G99:I99"/>
    <mergeCell ref="J99:L99"/>
    <mergeCell ref="D100:F100"/>
    <mergeCell ref="G100:I100"/>
    <mergeCell ref="J100:L100"/>
    <mergeCell ref="J87:L87"/>
    <mergeCell ref="E88:F88"/>
    <mergeCell ref="H88:I88"/>
    <mergeCell ref="K88:L88"/>
    <mergeCell ref="B97:B101"/>
    <mergeCell ref="D97:F97"/>
    <mergeCell ref="G97:I97"/>
    <mergeCell ref="J97:L97"/>
    <mergeCell ref="D98:F98"/>
    <mergeCell ref="G98:I98"/>
    <mergeCell ref="A68:J68"/>
    <mergeCell ref="B69:D69"/>
    <mergeCell ref="E69:G69"/>
    <mergeCell ref="H69:J69"/>
    <mergeCell ref="A85:L85"/>
    <mergeCell ref="B86:B88"/>
    <mergeCell ref="C86:C88"/>
    <mergeCell ref="D86:L86"/>
    <mergeCell ref="D87:F87"/>
    <mergeCell ref="G87:I87"/>
    <mergeCell ref="B34:D34"/>
    <mergeCell ref="E34:G34"/>
    <mergeCell ref="H34:J34"/>
    <mergeCell ref="A49:J49"/>
    <mergeCell ref="B50:D50"/>
    <mergeCell ref="E50:G50"/>
    <mergeCell ref="H50:J50"/>
    <mergeCell ref="A4:D4"/>
    <mergeCell ref="A17:J17"/>
    <mergeCell ref="B18:D18"/>
    <mergeCell ref="E18:G18"/>
    <mergeCell ref="H18:J18"/>
    <mergeCell ref="A33:J33"/>
  </mergeCell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F81"/>
  <sheetViews>
    <sheetView topLeftCell="A52" workbookViewId="0">
      <selection activeCell="B1" sqref="B1"/>
    </sheetView>
  </sheetViews>
  <sheetFormatPr baseColWidth="10" defaultRowHeight="15" x14ac:dyDescent="0.2"/>
  <cols>
    <col min="1" max="1" width="37.6640625" style="107" customWidth="1"/>
    <col min="2" max="16384" width="10.83203125" style="107"/>
  </cols>
  <sheetData>
    <row r="1" spans="1:6" x14ac:dyDescent="0.2">
      <c r="A1" s="972" t="s">
        <v>4988</v>
      </c>
    </row>
    <row r="3" spans="1:6" x14ac:dyDescent="0.2">
      <c r="A3" s="526" t="s">
        <v>1111</v>
      </c>
    </row>
    <row r="4" spans="1:6" ht="29.5" customHeight="1" x14ac:dyDescent="0.2">
      <c r="A4" s="1393" t="s">
        <v>1227</v>
      </c>
      <c r="B4" s="1395"/>
    </row>
    <row r="5" spans="1:6" x14ac:dyDescent="0.2">
      <c r="A5" s="131" t="s">
        <v>4989</v>
      </c>
      <c r="B5" s="307">
        <v>9506989</v>
      </c>
    </row>
    <row r="6" spans="1:6" x14ac:dyDescent="0.2">
      <c r="A6" s="131" t="s">
        <v>4990</v>
      </c>
      <c r="B6" s="307">
        <v>880257</v>
      </c>
    </row>
    <row r="7" spans="1:6" x14ac:dyDescent="0.2">
      <c r="A7" s="131" t="s">
        <v>4991</v>
      </c>
      <c r="B7" s="307">
        <v>2006989</v>
      </c>
    </row>
    <row r="8" spans="1:6" ht="45" x14ac:dyDescent="0.2">
      <c r="A8" s="1109" t="s">
        <v>4992</v>
      </c>
      <c r="B8" s="364">
        <v>7500000</v>
      </c>
    </row>
    <row r="12" spans="1:6" x14ac:dyDescent="0.2">
      <c r="A12" s="526" t="s">
        <v>1171</v>
      </c>
    </row>
    <row r="13" spans="1:6" ht="30.5" customHeight="1" x14ac:dyDescent="0.2">
      <c r="A13" s="1473" t="s">
        <v>4993</v>
      </c>
      <c r="B13" s="1474"/>
      <c r="C13" s="1474"/>
      <c r="D13" s="1474"/>
      <c r="E13" s="1474"/>
      <c r="F13" s="1475"/>
    </row>
    <row r="14" spans="1:6" x14ac:dyDescent="0.2">
      <c r="A14" s="131">
        <v>3930862</v>
      </c>
      <c r="B14" s="481" t="s">
        <v>4994</v>
      </c>
      <c r="C14" s="481"/>
      <c r="D14" s="481"/>
      <c r="E14" s="481"/>
      <c r="F14" s="676"/>
    </row>
    <row r="15" spans="1:6" x14ac:dyDescent="0.2">
      <c r="A15" s="131">
        <v>4304905</v>
      </c>
      <c r="B15" s="481" t="s">
        <v>4995</v>
      </c>
      <c r="C15" s="481"/>
      <c r="D15" s="481"/>
      <c r="E15" s="481"/>
      <c r="F15" s="676"/>
    </row>
    <row r="16" spans="1:6" x14ac:dyDescent="0.2">
      <c r="A16" s="131">
        <v>4360412</v>
      </c>
      <c r="B16" s="481" t="s">
        <v>4996</v>
      </c>
      <c r="C16" s="481"/>
      <c r="D16" s="481"/>
      <c r="E16" s="481"/>
      <c r="F16" s="676"/>
    </row>
    <row r="17" spans="1:6" x14ac:dyDescent="0.2">
      <c r="A17" s="131">
        <v>3826852</v>
      </c>
      <c r="B17" s="481" t="s">
        <v>4997</v>
      </c>
      <c r="C17" s="481"/>
      <c r="D17" s="481"/>
      <c r="E17" s="481"/>
      <c r="F17" s="676"/>
    </row>
    <row r="18" spans="1:6" x14ac:dyDescent="0.2">
      <c r="A18" s="131">
        <v>1782297</v>
      </c>
      <c r="B18" s="481" t="s">
        <v>4998</v>
      </c>
      <c r="C18" s="481"/>
      <c r="D18" s="481"/>
      <c r="E18" s="481"/>
      <c r="F18" s="676"/>
    </row>
    <row r="19" spans="1:6" x14ac:dyDescent="0.2">
      <c r="A19" s="131">
        <v>4532081</v>
      </c>
      <c r="B19" s="481" t="s">
        <v>4999</v>
      </c>
      <c r="C19" s="481"/>
      <c r="D19" s="481"/>
      <c r="E19" s="481"/>
      <c r="F19" s="676"/>
    </row>
    <row r="20" spans="1:6" x14ac:dyDescent="0.2">
      <c r="A20" s="131">
        <v>1552765</v>
      </c>
      <c r="B20" s="481" t="s">
        <v>5000</v>
      </c>
      <c r="C20" s="481"/>
      <c r="D20" s="481"/>
      <c r="E20" s="481"/>
      <c r="F20" s="676"/>
    </row>
    <row r="21" spans="1:6" x14ac:dyDescent="0.2">
      <c r="A21" s="131">
        <v>4795266</v>
      </c>
      <c r="B21" s="481" t="s">
        <v>5001</v>
      </c>
      <c r="C21" s="481"/>
      <c r="D21" s="481"/>
      <c r="E21" s="481"/>
      <c r="F21" s="676"/>
    </row>
    <row r="22" spans="1:6" x14ac:dyDescent="0.2">
      <c r="A22" s="131">
        <v>6887414</v>
      </c>
      <c r="B22" s="481" t="s">
        <v>5002</v>
      </c>
      <c r="C22" s="481"/>
      <c r="D22" s="481"/>
      <c r="E22" s="481"/>
      <c r="F22" s="676"/>
    </row>
    <row r="23" spans="1:6" x14ac:dyDescent="0.2">
      <c r="A23" s="131">
        <v>7725599</v>
      </c>
      <c r="B23" s="481" t="s">
        <v>5003</v>
      </c>
      <c r="C23" s="481"/>
      <c r="D23" s="481"/>
      <c r="E23" s="481"/>
      <c r="F23" s="676"/>
    </row>
    <row r="24" spans="1:6" x14ac:dyDescent="0.2">
      <c r="A24" s="131">
        <v>8626732</v>
      </c>
      <c r="B24" s="481" t="s">
        <v>5004</v>
      </c>
      <c r="C24" s="481"/>
      <c r="D24" s="481"/>
      <c r="E24" s="481"/>
      <c r="F24" s="676"/>
    </row>
    <row r="25" spans="1:6" x14ac:dyDescent="0.2">
      <c r="A25" s="230">
        <v>9506989</v>
      </c>
      <c r="B25" s="515" t="s">
        <v>5005</v>
      </c>
      <c r="C25" s="515"/>
      <c r="D25" s="515"/>
      <c r="E25" s="515"/>
      <c r="F25" s="1029"/>
    </row>
    <row r="29" spans="1:6" x14ac:dyDescent="0.2">
      <c r="A29" s="526" t="s">
        <v>1853</v>
      </c>
    </row>
    <row r="30" spans="1:6" ht="30" customHeight="1" x14ac:dyDescent="0.2">
      <c r="A30" s="1319" t="s">
        <v>5006</v>
      </c>
      <c r="B30" s="1321"/>
    </row>
    <row r="31" spans="1:6" x14ac:dyDescent="0.2">
      <c r="A31" s="131" t="s">
        <v>5007</v>
      </c>
      <c r="B31" s="307">
        <v>6094276</v>
      </c>
    </row>
    <row r="32" spans="1:6" x14ac:dyDescent="0.2">
      <c r="A32" s="131" t="s">
        <v>5008</v>
      </c>
      <c r="B32" s="307">
        <v>6386533</v>
      </c>
    </row>
    <row r="33" spans="1:3" x14ac:dyDescent="0.2">
      <c r="A33" s="131" t="s">
        <v>5009</v>
      </c>
      <c r="B33" s="307">
        <v>8653622</v>
      </c>
    </row>
    <row r="34" spans="1:3" x14ac:dyDescent="0.2">
      <c r="A34" s="131" t="s">
        <v>5010</v>
      </c>
      <c r="B34" s="307">
        <v>11317244</v>
      </c>
    </row>
    <row r="35" spans="1:3" x14ac:dyDescent="0.2">
      <c r="A35" s="131" t="s">
        <v>5011</v>
      </c>
      <c r="B35" s="307">
        <v>27795089</v>
      </c>
    </row>
    <row r="36" spans="1:3" x14ac:dyDescent="0.2">
      <c r="A36" s="230" t="s">
        <v>5012</v>
      </c>
      <c r="B36" s="364">
        <v>52324994</v>
      </c>
    </row>
    <row r="40" spans="1:3" x14ac:dyDescent="0.2">
      <c r="A40" s="526" t="s">
        <v>1587</v>
      </c>
    </row>
    <row r="41" spans="1:3" ht="45" customHeight="1" x14ac:dyDescent="0.2">
      <c r="A41" s="1473" t="s">
        <v>5013</v>
      </c>
      <c r="B41" s="1474"/>
      <c r="C41" s="1475"/>
    </row>
    <row r="42" spans="1:3" ht="32.5" customHeight="1" x14ac:dyDescent="0.2">
      <c r="A42" s="1413" t="s">
        <v>1880</v>
      </c>
      <c r="B42" s="1476" t="s">
        <v>5014</v>
      </c>
      <c r="C42" s="1477" t="s">
        <v>5015</v>
      </c>
    </row>
    <row r="43" spans="1:3" x14ac:dyDescent="0.2">
      <c r="A43" s="479">
        <v>1887</v>
      </c>
      <c r="B43" s="533">
        <v>14128162</v>
      </c>
      <c r="C43" s="307">
        <v>8714143</v>
      </c>
    </row>
    <row r="44" spans="1:3" x14ac:dyDescent="0.2">
      <c r="A44" s="479">
        <v>1888</v>
      </c>
      <c r="B44" s="533">
        <v>17607368</v>
      </c>
      <c r="C44" s="307">
        <v>10657521</v>
      </c>
    </row>
    <row r="45" spans="1:3" x14ac:dyDescent="0.2">
      <c r="A45" s="479">
        <v>1889</v>
      </c>
      <c r="B45" s="533">
        <v>16241147</v>
      </c>
      <c r="C45" s="307">
        <v>11811997</v>
      </c>
    </row>
    <row r="46" spans="1:3" x14ac:dyDescent="0.2">
      <c r="A46" s="479">
        <v>1890</v>
      </c>
      <c r="B46" s="533">
        <v>20968704</v>
      </c>
      <c r="C46" s="307">
        <v>13228114</v>
      </c>
    </row>
    <row r="47" spans="1:3" x14ac:dyDescent="0.2">
      <c r="A47" s="1478">
        <v>1891</v>
      </c>
      <c r="B47" s="535">
        <v>26949953</v>
      </c>
      <c r="C47" s="364">
        <v>14883473</v>
      </c>
    </row>
    <row r="51" spans="1:6" x14ac:dyDescent="0.2">
      <c r="A51" s="526" t="s">
        <v>2602</v>
      </c>
    </row>
    <row r="52" spans="1:6" ht="25.25" customHeight="1" x14ac:dyDescent="0.2">
      <c r="A52" s="1479" t="s">
        <v>5016</v>
      </c>
      <c r="B52" s="1479"/>
      <c r="C52" s="1479"/>
      <c r="D52" s="1479"/>
      <c r="E52" s="1479"/>
      <c r="F52" s="1479"/>
    </row>
    <row r="53" spans="1:6" ht="33" customHeight="1" x14ac:dyDescent="0.2">
      <c r="A53" s="838" t="s">
        <v>5017</v>
      </c>
      <c r="B53" s="1480" t="s">
        <v>4823</v>
      </c>
      <c r="C53" s="1273" t="s">
        <v>4824</v>
      </c>
      <c r="D53" s="1273" t="s">
        <v>5018</v>
      </c>
      <c r="E53" s="1273" t="s">
        <v>5019</v>
      </c>
      <c r="F53" s="1273" t="s">
        <v>5020</v>
      </c>
    </row>
    <row r="54" spans="1:6" x14ac:dyDescent="0.2">
      <c r="A54" s="838"/>
      <c r="B54" s="1481" t="s">
        <v>4036</v>
      </c>
      <c r="C54" s="1482" t="s">
        <v>4036</v>
      </c>
      <c r="D54" s="1482" t="s">
        <v>4036</v>
      </c>
      <c r="E54" s="1482" t="s">
        <v>4036</v>
      </c>
      <c r="F54" s="1482" t="s">
        <v>4036</v>
      </c>
    </row>
    <row r="55" spans="1:6" x14ac:dyDescent="0.2">
      <c r="A55" s="533" t="s">
        <v>5021</v>
      </c>
      <c r="B55" s="716">
        <v>2000723</v>
      </c>
      <c r="C55" s="716">
        <v>2466107</v>
      </c>
      <c r="D55" s="716">
        <v>4050299</v>
      </c>
      <c r="E55" s="716">
        <v>3873068</v>
      </c>
      <c r="F55" s="716">
        <v>7046974</v>
      </c>
    </row>
    <row r="56" spans="1:6" x14ac:dyDescent="0.2">
      <c r="A56" s="533" t="s">
        <v>5022</v>
      </c>
      <c r="B56" s="533">
        <v>2839129</v>
      </c>
      <c r="C56" s="533">
        <v>3627010</v>
      </c>
      <c r="D56" s="533">
        <v>4918102</v>
      </c>
      <c r="E56" s="533">
        <v>5164704</v>
      </c>
      <c r="F56" s="533">
        <v>6812000</v>
      </c>
    </row>
    <row r="57" spans="1:6" x14ac:dyDescent="0.2">
      <c r="A57" s="533" t="s">
        <v>5023</v>
      </c>
      <c r="B57" s="533">
        <v>1166876</v>
      </c>
      <c r="C57" s="533">
        <v>1622687</v>
      </c>
      <c r="D57" s="533">
        <v>2048442</v>
      </c>
      <c r="E57" s="533">
        <v>1187369</v>
      </c>
      <c r="F57" s="533">
        <v>1325465</v>
      </c>
    </row>
    <row r="58" spans="1:6" x14ac:dyDescent="0.2">
      <c r="A58" s="533" t="s">
        <v>5024</v>
      </c>
      <c r="B58" s="533">
        <v>4775632</v>
      </c>
      <c r="C58" s="533">
        <v>7211544</v>
      </c>
      <c r="D58" s="533">
        <v>9888327</v>
      </c>
      <c r="E58" s="533">
        <v>12942922</v>
      </c>
      <c r="F58" s="533">
        <v>14767976</v>
      </c>
    </row>
    <row r="59" spans="1:6" x14ac:dyDescent="0.2">
      <c r="A59" s="533" t="s">
        <v>5025</v>
      </c>
      <c r="B59" s="533">
        <v>1755031</v>
      </c>
      <c r="C59" s="533">
        <v>2351856</v>
      </c>
      <c r="D59" s="533">
        <v>2774168</v>
      </c>
      <c r="E59" s="533">
        <v>2861282</v>
      </c>
      <c r="F59" s="533">
        <v>2648203</v>
      </c>
    </row>
    <row r="60" spans="1:6" x14ac:dyDescent="0.2">
      <c r="A60" s="533" t="s">
        <v>5026</v>
      </c>
      <c r="B60" s="533">
        <v>1648446</v>
      </c>
      <c r="C60" s="533">
        <v>2026925</v>
      </c>
      <c r="D60" s="533">
        <v>2618216</v>
      </c>
      <c r="E60" s="533">
        <v>3054523</v>
      </c>
      <c r="F60" s="533">
        <v>3232427</v>
      </c>
    </row>
    <row r="61" spans="1:6" x14ac:dyDescent="0.2">
      <c r="A61" s="533" t="s">
        <v>5027</v>
      </c>
      <c r="B61" s="533">
        <v>484863</v>
      </c>
      <c r="C61" s="533">
        <v>614780</v>
      </c>
      <c r="D61" s="533">
        <v>1133929</v>
      </c>
      <c r="E61" s="533">
        <v>614262</v>
      </c>
      <c r="F61" s="533">
        <v>813706</v>
      </c>
    </row>
    <row r="62" spans="1:6" x14ac:dyDescent="0.2">
      <c r="A62" s="533" t="s">
        <v>5028</v>
      </c>
      <c r="B62" s="533">
        <v>1228141</v>
      </c>
      <c r="C62" s="533">
        <v>1644961</v>
      </c>
      <c r="D62" s="533">
        <v>1853824</v>
      </c>
      <c r="E62" s="533">
        <v>2411024</v>
      </c>
      <c r="F62" s="533">
        <v>2644010</v>
      </c>
    </row>
    <row r="63" spans="1:6" x14ac:dyDescent="0.2">
      <c r="A63" s="533" t="s">
        <v>5029</v>
      </c>
      <c r="B63" s="533">
        <v>1205410</v>
      </c>
      <c r="C63" s="533">
        <v>1538235</v>
      </c>
      <c r="D63" s="533">
        <v>1656574</v>
      </c>
      <c r="E63" s="533">
        <v>1646848</v>
      </c>
      <c r="F63" s="533">
        <v>1864196</v>
      </c>
    </row>
    <row r="64" spans="1:6" x14ac:dyDescent="0.2">
      <c r="A64" s="533" t="s">
        <v>5030</v>
      </c>
      <c r="B64" s="533">
        <v>2113217</v>
      </c>
      <c r="C64" s="533">
        <v>2678164</v>
      </c>
      <c r="D64" s="533">
        <v>2603284</v>
      </c>
      <c r="E64" s="533">
        <v>2654781</v>
      </c>
      <c r="F64" s="533">
        <v>2865671</v>
      </c>
    </row>
    <row r="65" spans="1:6" x14ac:dyDescent="0.2">
      <c r="A65" s="533" t="s">
        <v>5031</v>
      </c>
      <c r="B65" s="533">
        <v>65956</v>
      </c>
      <c r="C65" s="533">
        <v>174000</v>
      </c>
      <c r="D65" s="533">
        <v>265690</v>
      </c>
      <c r="E65" s="1483">
        <v>205041</v>
      </c>
      <c r="F65" s="533">
        <v>144495</v>
      </c>
    </row>
    <row r="66" spans="1:6" x14ac:dyDescent="0.2">
      <c r="A66" s="533" t="s">
        <v>5032</v>
      </c>
      <c r="B66" s="533">
        <v>193106</v>
      </c>
      <c r="C66" s="533">
        <v>235446</v>
      </c>
      <c r="D66" s="533">
        <v>505751</v>
      </c>
      <c r="E66" s="533">
        <v>305477</v>
      </c>
      <c r="F66" s="533">
        <v>313051</v>
      </c>
    </row>
    <row r="67" spans="1:6" x14ac:dyDescent="0.2">
      <c r="A67" s="533" t="s">
        <v>5033</v>
      </c>
      <c r="B67" s="533">
        <v>227235</v>
      </c>
      <c r="C67" s="533">
        <v>288141</v>
      </c>
      <c r="D67" s="533">
        <v>309600</v>
      </c>
      <c r="E67" s="533">
        <v>387878</v>
      </c>
      <c r="F67" s="533">
        <v>432758</v>
      </c>
    </row>
    <row r="68" spans="1:6" x14ac:dyDescent="0.2">
      <c r="A68" s="533" t="s">
        <v>5034</v>
      </c>
      <c r="B68" s="533">
        <v>372225</v>
      </c>
      <c r="C68" s="533">
        <v>506697</v>
      </c>
      <c r="D68" s="533">
        <v>595993</v>
      </c>
      <c r="E68" s="533">
        <v>640899</v>
      </c>
      <c r="F68" s="533">
        <v>786329</v>
      </c>
    </row>
    <row r="69" spans="1:6" x14ac:dyDescent="0.2">
      <c r="A69" s="533" t="s">
        <v>5035</v>
      </c>
      <c r="B69" s="533">
        <v>234850</v>
      </c>
      <c r="C69" s="533">
        <v>293400</v>
      </c>
      <c r="D69" s="533">
        <v>368524</v>
      </c>
      <c r="E69" s="533">
        <v>475015</v>
      </c>
      <c r="F69" s="533">
        <v>577268</v>
      </c>
    </row>
    <row r="70" spans="1:6" x14ac:dyDescent="0.2">
      <c r="A70" s="533" t="s">
        <v>3364</v>
      </c>
      <c r="B70" s="533">
        <v>1164800</v>
      </c>
      <c r="C70" s="533">
        <v>988790</v>
      </c>
      <c r="D70" s="533">
        <v>1346239</v>
      </c>
      <c r="E70" s="533">
        <v>1694989</v>
      </c>
      <c r="F70" s="533">
        <v>2064075</v>
      </c>
    </row>
    <row r="71" spans="1:6" ht="28.25" customHeight="1" x14ac:dyDescent="0.2">
      <c r="A71" s="535" t="s">
        <v>5036</v>
      </c>
      <c r="B71" s="808">
        <v>21475665</v>
      </c>
      <c r="C71" s="808">
        <v>28392760</v>
      </c>
      <c r="D71" s="808">
        <v>36993111</v>
      </c>
      <c r="E71" s="808">
        <v>40120090</v>
      </c>
      <c r="F71" s="808">
        <v>48335594</v>
      </c>
    </row>
    <row r="72" spans="1:6" ht="28.25" customHeight="1" x14ac:dyDescent="0.2">
      <c r="A72" s="145"/>
      <c r="B72" s="1401">
        <f>+SUM(B55:B70)</f>
        <v>21475640</v>
      </c>
      <c r="C72" s="1401">
        <f t="shared" ref="C72:F72" si="0">+SUM(C55:C70)</f>
        <v>28268743</v>
      </c>
      <c r="D72" s="1401">
        <f t="shared" si="0"/>
        <v>36936962</v>
      </c>
      <c r="E72" s="1401">
        <f t="shared" si="0"/>
        <v>40120082</v>
      </c>
      <c r="F72" s="1401">
        <f t="shared" si="0"/>
        <v>48338604</v>
      </c>
    </row>
    <row r="73" spans="1:6" x14ac:dyDescent="0.2">
      <c r="A73" s="107" t="s">
        <v>5037</v>
      </c>
    </row>
    <row r="77" spans="1:6" x14ac:dyDescent="0.2">
      <c r="A77" s="526" t="s">
        <v>4052</v>
      </c>
    </row>
    <row r="78" spans="1:6" ht="27" customHeight="1" x14ac:dyDescent="0.2">
      <c r="A78" s="1287" t="s">
        <v>3476</v>
      </c>
      <c r="B78" s="1288"/>
      <c r="C78" s="1288"/>
      <c r="D78" s="1289"/>
    </row>
    <row r="79" spans="1:6" x14ac:dyDescent="0.2">
      <c r="A79" s="349" t="s">
        <v>5038</v>
      </c>
      <c r="B79" s="350">
        <v>1527621</v>
      </c>
      <c r="C79" s="350">
        <v>40</v>
      </c>
      <c r="D79" s="352"/>
    </row>
    <row r="80" spans="1:6" x14ac:dyDescent="0.2">
      <c r="A80" s="131" t="s">
        <v>5039</v>
      </c>
      <c r="B80" s="145">
        <v>1482524</v>
      </c>
      <c r="C80" s="145">
        <v>92</v>
      </c>
      <c r="D80" s="133">
        <v>0.5</v>
      </c>
    </row>
    <row r="81" spans="1:4" x14ac:dyDescent="0.2">
      <c r="A81" s="230" t="s">
        <v>5040</v>
      </c>
      <c r="B81" s="309">
        <v>1187070</v>
      </c>
      <c r="C81" s="309">
        <v>60</v>
      </c>
      <c r="D81" s="231"/>
    </row>
  </sheetData>
  <mergeCells count="19">
    <mergeCell ref="A78:D78"/>
    <mergeCell ref="B24:F24"/>
    <mergeCell ref="B25:F25"/>
    <mergeCell ref="A30:B30"/>
    <mergeCell ref="A41:C41"/>
    <mergeCell ref="A52:F52"/>
    <mergeCell ref="A53:A54"/>
    <mergeCell ref="B18:F18"/>
    <mergeCell ref="B19:F19"/>
    <mergeCell ref="B20:F20"/>
    <mergeCell ref="B21:F21"/>
    <mergeCell ref="B22:F22"/>
    <mergeCell ref="B23:F23"/>
    <mergeCell ref="A4:B4"/>
    <mergeCell ref="A13:F13"/>
    <mergeCell ref="B14:F14"/>
    <mergeCell ref="B15:F15"/>
    <mergeCell ref="B16:F16"/>
    <mergeCell ref="B17:F17"/>
  </mergeCells>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CQ125"/>
  <sheetViews>
    <sheetView topLeftCell="A81" workbookViewId="0">
      <selection activeCell="B1" sqref="B1"/>
    </sheetView>
  </sheetViews>
  <sheetFormatPr baseColWidth="10" defaultRowHeight="15" x14ac:dyDescent="0.2"/>
  <cols>
    <col min="1" max="1" width="42.83203125" style="107" customWidth="1"/>
    <col min="2" max="2" width="21.83203125" style="107" customWidth="1"/>
    <col min="3" max="3" width="14" style="107" customWidth="1"/>
    <col min="4" max="4" width="14.83203125" style="107" customWidth="1"/>
    <col min="5" max="5" width="6.5" style="107" bestFit="1" customWidth="1"/>
    <col min="6" max="6" width="10.83203125" style="107"/>
    <col min="7" max="7" width="5.6640625" style="107" customWidth="1"/>
    <col min="8" max="8" width="7.5" style="107" bestFit="1" customWidth="1"/>
    <col min="9" max="9" width="10.83203125" style="107"/>
    <col min="10" max="10" width="5.6640625" style="107" customWidth="1"/>
    <col min="11" max="11" width="7.5" style="107" bestFit="1" customWidth="1"/>
    <col min="12" max="12" width="10.83203125" style="107"/>
    <col min="13" max="13" width="5.6640625" style="107" customWidth="1"/>
    <col min="14" max="14" width="8.1640625" style="107" customWidth="1"/>
    <col min="15" max="16" width="4.83203125" style="107" customWidth="1"/>
    <col min="17" max="17" width="10.83203125" style="107"/>
    <col min="18" max="19" width="4.83203125" style="107" customWidth="1"/>
    <col min="20" max="20" width="10.83203125" style="107"/>
    <col min="21" max="22" width="4.83203125" style="107" customWidth="1"/>
    <col min="23" max="23" width="10.83203125" style="107"/>
    <col min="24" max="25" width="4.83203125" style="107" customWidth="1"/>
    <col min="26" max="26" width="10.83203125" style="107"/>
    <col min="27" max="28" width="4.83203125" style="107" customWidth="1"/>
    <col min="29" max="29" width="10.83203125" style="107"/>
    <col min="30" max="31" width="4.83203125" style="107" customWidth="1"/>
    <col min="32" max="32" width="10.83203125" style="107"/>
    <col min="33" max="34" width="4.83203125" style="107" customWidth="1"/>
    <col min="35" max="35" width="10.83203125" style="107"/>
    <col min="36" max="37" width="4.83203125" style="107" customWidth="1"/>
    <col min="38" max="38" width="10.83203125" style="107"/>
    <col min="39" max="40" width="4.83203125" style="107" customWidth="1"/>
    <col min="41" max="41" width="10.83203125" style="107"/>
    <col min="42" max="43" width="4.83203125" style="107" customWidth="1"/>
    <col min="44" max="44" width="10.83203125" style="107"/>
    <col min="45" max="46" width="4.83203125" style="107" customWidth="1"/>
    <col min="47" max="47" width="10.83203125" style="107"/>
    <col min="48" max="49" width="4.83203125" style="107" customWidth="1"/>
    <col min="50" max="50" width="10.83203125" style="107"/>
    <col min="51" max="52" width="4.83203125" style="107" customWidth="1"/>
    <col min="53" max="53" width="10.83203125" style="107"/>
    <col min="54" max="54" width="5.5" style="107" customWidth="1"/>
    <col min="55" max="55" width="4.83203125" style="107" customWidth="1"/>
    <col min="56" max="56" width="10.83203125" style="107"/>
    <col min="57" max="58" width="4.83203125" style="107" customWidth="1"/>
    <col min="59" max="59" width="10.83203125" style="107"/>
    <col min="60" max="61" width="4.83203125" style="107" customWidth="1"/>
    <col min="62" max="62" width="10.83203125" style="107"/>
    <col min="63" max="64" width="4.83203125" style="107" customWidth="1"/>
    <col min="65" max="65" width="12.1640625" style="107" customWidth="1"/>
    <col min="66" max="67" width="4.83203125" style="107" customWidth="1"/>
    <col min="68" max="68" width="10.83203125" style="107"/>
    <col min="69" max="70" width="4.83203125" style="107" customWidth="1"/>
    <col min="71" max="71" width="10.83203125" style="107"/>
    <col min="72" max="73" width="4.83203125" style="107" customWidth="1"/>
    <col min="74" max="74" width="10.83203125" style="107"/>
    <col min="75" max="76" width="4.83203125" style="107" customWidth="1"/>
    <col min="77" max="77" width="10.83203125" style="107"/>
    <col min="78" max="79" width="4.83203125" style="107" customWidth="1"/>
    <col min="80" max="80" width="10.83203125" style="107"/>
    <col min="81" max="82" width="4.83203125" style="107" customWidth="1"/>
    <col min="83" max="83" width="10.83203125" style="107"/>
    <col min="84" max="85" width="6" style="107" customWidth="1"/>
    <col min="86" max="86" width="10.83203125" style="107"/>
    <col min="87" max="88" width="6" style="107" customWidth="1"/>
    <col min="89" max="89" width="10.83203125" style="107"/>
    <col min="90" max="91" width="6" style="107" customWidth="1"/>
    <col min="92" max="92" width="10.83203125" style="107"/>
    <col min="93" max="94" width="6" style="107" customWidth="1"/>
    <col min="95" max="95" width="10.83203125" style="107"/>
    <col min="96" max="97" width="6" style="107" customWidth="1"/>
    <col min="98" max="16384" width="10.83203125" style="107"/>
  </cols>
  <sheetData>
    <row r="1" spans="1:14" x14ac:dyDescent="0.2">
      <c r="A1" s="972" t="s">
        <v>5041</v>
      </c>
    </row>
    <row r="3" spans="1:14" x14ac:dyDescent="0.2">
      <c r="A3" s="526" t="s">
        <v>1111</v>
      </c>
    </row>
    <row r="4" spans="1:14" ht="28.75" customHeight="1" x14ac:dyDescent="0.2">
      <c r="A4" s="1265" t="s">
        <v>1766</v>
      </c>
      <c r="B4" s="1265"/>
      <c r="C4" s="1265"/>
      <c r="D4" s="1265"/>
      <c r="E4" s="1265"/>
      <c r="F4" s="1265"/>
      <c r="G4" s="1265"/>
      <c r="H4" s="1265"/>
      <c r="I4" s="1265"/>
      <c r="J4" s="1265"/>
      <c r="K4" s="1265"/>
      <c r="L4" s="1265"/>
      <c r="M4" s="1265"/>
      <c r="N4" s="1265"/>
    </row>
    <row r="5" spans="1:14" x14ac:dyDescent="0.2">
      <c r="A5" s="793" t="s">
        <v>5042</v>
      </c>
      <c r="B5" s="793"/>
      <c r="C5" s="793"/>
      <c r="D5" s="793"/>
      <c r="E5" s="793"/>
      <c r="F5" s="793"/>
      <c r="G5" s="793"/>
      <c r="H5" s="793"/>
      <c r="I5" s="793"/>
      <c r="J5" s="793"/>
      <c r="K5" s="793"/>
      <c r="L5" s="793"/>
      <c r="M5" s="793"/>
      <c r="N5" s="793"/>
    </row>
    <row r="6" spans="1:14" ht="27.5" customHeight="1" x14ac:dyDescent="0.2">
      <c r="A6" s="1266" t="s">
        <v>5043</v>
      </c>
      <c r="B6" s="751" t="s">
        <v>1800</v>
      </c>
      <c r="C6" s="1276">
        <v>1891</v>
      </c>
      <c r="D6" s="1276"/>
      <c r="E6" s="1276"/>
      <c r="F6" s="1276">
        <v>1892</v>
      </c>
      <c r="G6" s="1276"/>
      <c r="H6" s="1276"/>
      <c r="I6" s="1276" t="s">
        <v>5044</v>
      </c>
      <c r="J6" s="1276"/>
      <c r="K6" s="1276"/>
      <c r="L6" s="1276">
        <v>1893</v>
      </c>
      <c r="M6" s="1276"/>
      <c r="N6" s="1276"/>
    </row>
    <row r="7" spans="1:14" ht="25" x14ac:dyDescent="0.2">
      <c r="A7" s="1430" t="s">
        <v>3628</v>
      </c>
      <c r="B7" s="1484" t="s">
        <v>5045</v>
      </c>
      <c r="C7" s="131">
        <v>9522388</v>
      </c>
      <c r="D7" s="145">
        <v>5</v>
      </c>
      <c r="E7" s="133"/>
      <c r="F7" s="131">
        <v>8384671</v>
      </c>
      <c r="G7" s="145">
        <v>86</v>
      </c>
      <c r="H7" s="133"/>
      <c r="I7" s="131">
        <v>17907059</v>
      </c>
      <c r="J7" s="145">
        <v>91</v>
      </c>
      <c r="K7" s="133"/>
      <c r="L7" s="131">
        <v>9259910</v>
      </c>
      <c r="M7" s="145">
        <v>52</v>
      </c>
      <c r="N7" s="133">
        <v>0.5</v>
      </c>
    </row>
    <row r="8" spans="1:14" x14ac:dyDescent="0.2">
      <c r="A8" s="1430" t="s">
        <v>5046</v>
      </c>
      <c r="B8" s="1485" t="s">
        <v>1569</v>
      </c>
      <c r="C8" s="131">
        <v>1244884</v>
      </c>
      <c r="D8" s="145">
        <v>47</v>
      </c>
      <c r="E8" s="133">
        <v>0.5</v>
      </c>
      <c r="F8" s="131">
        <v>1159753</v>
      </c>
      <c r="G8" s="145">
        <v>15</v>
      </c>
      <c r="H8" s="133"/>
      <c r="I8" s="131">
        <v>2404637</v>
      </c>
      <c r="J8" s="145">
        <v>62</v>
      </c>
      <c r="K8" s="133">
        <v>0.5</v>
      </c>
      <c r="L8" s="131">
        <v>1831159</v>
      </c>
      <c r="M8" s="145">
        <v>5</v>
      </c>
      <c r="N8" s="133"/>
    </row>
    <row r="9" spans="1:14" x14ac:dyDescent="0.2">
      <c r="A9" s="1430" t="s">
        <v>5046</v>
      </c>
      <c r="B9" s="1485" t="s">
        <v>5047</v>
      </c>
      <c r="C9" s="131">
        <v>909795</v>
      </c>
      <c r="D9" s="145"/>
      <c r="E9" s="133"/>
      <c r="F9" s="131">
        <v>878968</v>
      </c>
      <c r="G9" s="145">
        <v>25</v>
      </c>
      <c r="H9" s="133"/>
      <c r="I9" s="131">
        <v>1788763</v>
      </c>
      <c r="J9" s="145">
        <v>25</v>
      </c>
      <c r="K9" s="133"/>
      <c r="L9" s="131">
        <v>1008858</v>
      </c>
      <c r="M9" s="145"/>
      <c r="N9" s="133"/>
    </row>
    <row r="10" spans="1:14" ht="25" x14ac:dyDescent="0.2">
      <c r="A10" s="1430" t="s">
        <v>5046</v>
      </c>
      <c r="B10" s="1485" t="s">
        <v>5048</v>
      </c>
      <c r="C10" s="131">
        <v>408311</v>
      </c>
      <c r="D10" s="145"/>
      <c r="E10" s="133"/>
      <c r="F10" s="131">
        <v>453107</v>
      </c>
      <c r="G10" s="145">
        <v>30</v>
      </c>
      <c r="H10" s="133"/>
      <c r="I10" s="131">
        <v>861418</v>
      </c>
      <c r="J10" s="145">
        <v>30</v>
      </c>
      <c r="K10" s="133"/>
      <c r="L10" s="131">
        <v>437757</v>
      </c>
      <c r="M10" s="145">
        <v>60</v>
      </c>
      <c r="N10" s="133"/>
    </row>
    <row r="11" spans="1:14" x14ac:dyDescent="0.2">
      <c r="A11" s="1430" t="s">
        <v>2041</v>
      </c>
      <c r="B11" s="1485" t="s">
        <v>5049</v>
      </c>
      <c r="C11" s="131">
        <v>259168</v>
      </c>
      <c r="D11" s="145">
        <v>75</v>
      </c>
      <c r="E11" s="133"/>
      <c r="F11" s="131">
        <v>247980</v>
      </c>
      <c r="G11" s="145">
        <v>70</v>
      </c>
      <c r="H11" s="133"/>
      <c r="I11" s="131">
        <v>507149</v>
      </c>
      <c r="J11" s="145">
        <v>45</v>
      </c>
      <c r="K11" s="133"/>
      <c r="L11" s="131">
        <v>243779</v>
      </c>
      <c r="M11" s="145">
        <v>25</v>
      </c>
      <c r="N11" s="133"/>
    </row>
    <row r="12" spans="1:14" x14ac:dyDescent="0.2">
      <c r="A12" s="1430" t="s">
        <v>5046</v>
      </c>
      <c r="B12" s="1485" t="s">
        <v>5050</v>
      </c>
      <c r="C12" s="131">
        <v>146734</v>
      </c>
      <c r="D12" s="145">
        <v>88</v>
      </c>
      <c r="E12" s="133"/>
      <c r="F12" s="131">
        <v>146824</v>
      </c>
      <c r="G12" s="145">
        <v>23</v>
      </c>
      <c r="H12" s="133">
        <v>0.5</v>
      </c>
      <c r="I12" s="131">
        <v>293559</v>
      </c>
      <c r="J12" s="145">
        <v>11</v>
      </c>
      <c r="K12" s="133">
        <v>0.5</v>
      </c>
      <c r="L12" s="131">
        <v>140130</v>
      </c>
      <c r="M12" s="145">
        <v>50</v>
      </c>
      <c r="N12" s="133">
        <v>0.5</v>
      </c>
    </row>
    <row r="13" spans="1:14" x14ac:dyDescent="0.2">
      <c r="A13" s="1430" t="s">
        <v>5051</v>
      </c>
      <c r="B13" s="1485" t="s">
        <v>5052</v>
      </c>
      <c r="C13" s="131">
        <v>147412</v>
      </c>
      <c r="D13" s="145">
        <v>20</v>
      </c>
      <c r="E13" s="133"/>
      <c r="F13" s="131">
        <v>117847</v>
      </c>
      <c r="H13" s="133"/>
      <c r="I13" s="131">
        <v>265259</v>
      </c>
      <c r="J13" s="145">
        <v>20</v>
      </c>
      <c r="K13" s="133"/>
      <c r="L13" s="131">
        <v>86928</v>
      </c>
      <c r="N13" s="133"/>
    </row>
    <row r="14" spans="1:14" ht="25" x14ac:dyDescent="0.2">
      <c r="A14" s="1430" t="s">
        <v>2886</v>
      </c>
      <c r="B14" s="1485" t="s">
        <v>5053</v>
      </c>
      <c r="C14" s="131">
        <v>115868</v>
      </c>
      <c r="D14" s="145">
        <v>42</v>
      </c>
      <c r="E14" s="133"/>
      <c r="F14" s="131">
        <v>105469</v>
      </c>
      <c r="G14" s="145">
        <v>97</v>
      </c>
      <c r="H14" s="133">
        <v>0.5</v>
      </c>
      <c r="I14" s="131">
        <v>221338</v>
      </c>
      <c r="J14" s="145">
        <v>39</v>
      </c>
      <c r="K14" s="133">
        <v>0.5</v>
      </c>
      <c r="L14" s="131">
        <v>102882</v>
      </c>
      <c r="M14" s="145">
        <v>50</v>
      </c>
      <c r="N14" s="133"/>
    </row>
    <row r="15" spans="1:14" x14ac:dyDescent="0.2">
      <c r="A15" s="1430" t="s">
        <v>5046</v>
      </c>
      <c r="B15" s="1485" t="s">
        <v>5054</v>
      </c>
      <c r="C15" s="131">
        <v>58064</v>
      </c>
      <c r="D15" s="145">
        <v>25</v>
      </c>
      <c r="E15" s="133"/>
      <c r="F15" s="131">
        <v>59783</v>
      </c>
      <c r="G15" s="145">
        <v>95</v>
      </c>
      <c r="H15" s="133"/>
      <c r="I15" s="131">
        <v>117848</v>
      </c>
      <c r="J15" s="145">
        <v>20</v>
      </c>
      <c r="K15" s="133"/>
      <c r="L15" s="131">
        <v>62795</v>
      </c>
      <c r="M15" s="145">
        <v>10</v>
      </c>
      <c r="N15" s="133"/>
    </row>
    <row r="16" spans="1:14" x14ac:dyDescent="0.2">
      <c r="A16" s="1430" t="s">
        <v>2869</v>
      </c>
      <c r="B16" s="1485" t="s">
        <v>5055</v>
      </c>
      <c r="D16" s="145"/>
      <c r="E16" s="133"/>
      <c r="F16" s="131"/>
      <c r="G16" s="145"/>
      <c r="H16" s="133"/>
      <c r="I16" s="131"/>
      <c r="J16" s="145"/>
      <c r="K16" s="133"/>
      <c r="L16" s="131">
        <v>100000</v>
      </c>
      <c r="M16" s="145"/>
      <c r="N16" s="133"/>
    </row>
    <row r="17" spans="1:14" ht="27" customHeight="1" x14ac:dyDescent="0.2">
      <c r="A17" s="1430" t="s">
        <v>5046</v>
      </c>
      <c r="B17" s="1485" t="s">
        <v>5056</v>
      </c>
      <c r="C17" s="131">
        <v>19500</v>
      </c>
      <c r="D17" s="145"/>
      <c r="E17" s="133"/>
      <c r="F17" s="131">
        <v>38955</v>
      </c>
      <c r="G17" s="145"/>
      <c r="H17" s="133" t="s">
        <v>5057</v>
      </c>
      <c r="I17" s="131">
        <v>58455</v>
      </c>
      <c r="J17" s="145"/>
      <c r="K17" s="133"/>
      <c r="L17" s="131">
        <v>23670</v>
      </c>
      <c r="M17" s="145"/>
      <c r="N17" s="133" t="s">
        <v>5057</v>
      </c>
    </row>
    <row r="18" spans="1:14" x14ac:dyDescent="0.2">
      <c r="A18" s="1430" t="s">
        <v>3628</v>
      </c>
      <c r="B18" s="1485" t="s">
        <v>5058</v>
      </c>
      <c r="C18" s="131">
        <v>6600</v>
      </c>
      <c r="D18" s="145"/>
      <c r="E18" s="133"/>
      <c r="F18" s="131">
        <v>6600</v>
      </c>
      <c r="G18" s="145"/>
      <c r="H18" s="133"/>
      <c r="I18" s="131">
        <v>13200</v>
      </c>
      <c r="J18" s="145"/>
      <c r="K18" s="133"/>
      <c r="L18" s="131">
        <v>6660</v>
      </c>
      <c r="M18" s="145"/>
      <c r="N18" s="133"/>
    </row>
    <row r="19" spans="1:14" x14ac:dyDescent="0.2">
      <c r="A19" s="1430" t="s">
        <v>2886</v>
      </c>
      <c r="B19" s="1485" t="s">
        <v>5059</v>
      </c>
      <c r="C19" s="131">
        <v>52443</v>
      </c>
      <c r="D19" s="145">
        <v>72</v>
      </c>
      <c r="E19" s="133">
        <v>0.5</v>
      </c>
      <c r="F19" s="131">
        <v>52602</v>
      </c>
      <c r="G19" s="145">
        <v>87</v>
      </c>
      <c r="H19" s="133">
        <v>0.5</v>
      </c>
      <c r="I19" s="131">
        <v>105046</v>
      </c>
      <c r="J19" s="145">
        <v>60</v>
      </c>
      <c r="K19" s="133"/>
      <c r="L19" s="131">
        <v>13929</v>
      </c>
      <c r="M19" s="145">
        <v>12</v>
      </c>
      <c r="N19" s="133">
        <v>0.5</v>
      </c>
    </row>
    <row r="20" spans="1:14" x14ac:dyDescent="0.2">
      <c r="A20" s="1430" t="s">
        <v>5060</v>
      </c>
      <c r="B20" s="1485" t="s">
        <v>5061</v>
      </c>
      <c r="C20" s="131">
        <v>41785</v>
      </c>
      <c r="D20" s="145">
        <v>71</v>
      </c>
      <c r="E20" s="133"/>
      <c r="F20" s="131">
        <v>33028</v>
      </c>
      <c r="G20" s="145">
        <v>70</v>
      </c>
      <c r="H20" s="133"/>
      <c r="I20" s="131">
        <v>74814</v>
      </c>
      <c r="J20" s="145">
        <v>41</v>
      </c>
      <c r="K20" s="133"/>
      <c r="L20" s="131">
        <v>25857</v>
      </c>
      <c r="M20" s="145">
        <v>50</v>
      </c>
      <c r="N20" s="133"/>
    </row>
    <row r="21" spans="1:14" ht="25" x14ac:dyDescent="0.2">
      <c r="A21" s="1430" t="s">
        <v>2869</v>
      </c>
      <c r="B21" s="1485" t="s">
        <v>5062</v>
      </c>
      <c r="C21" s="131">
        <v>22500</v>
      </c>
      <c r="D21" s="145"/>
      <c r="E21" s="133"/>
      <c r="F21" s="131">
        <v>22500</v>
      </c>
      <c r="G21" s="145"/>
      <c r="H21" s="133"/>
      <c r="I21" s="131">
        <v>45000</v>
      </c>
      <c r="J21" s="145"/>
      <c r="K21" s="133"/>
      <c r="L21" s="131">
        <v>22500</v>
      </c>
      <c r="M21" s="145"/>
      <c r="N21" s="133"/>
    </row>
    <row r="22" spans="1:14" ht="25" x14ac:dyDescent="0.2">
      <c r="A22" s="1430" t="s">
        <v>5046</v>
      </c>
      <c r="B22" s="1485" t="s">
        <v>5063</v>
      </c>
      <c r="C22" s="131">
        <v>4000</v>
      </c>
      <c r="D22" s="145"/>
      <c r="E22" s="133"/>
      <c r="F22" s="131">
        <v>3999</v>
      </c>
      <c r="G22" s="145">
        <v>55</v>
      </c>
      <c r="H22" s="133"/>
      <c r="I22" s="131">
        <v>7999</v>
      </c>
      <c r="J22" s="145">
        <v>55</v>
      </c>
      <c r="K22" s="133"/>
      <c r="L22" s="131">
        <v>3666</v>
      </c>
      <c r="M22" s="145">
        <v>60</v>
      </c>
      <c r="N22" s="133"/>
    </row>
    <row r="23" spans="1:14" x14ac:dyDescent="0.2">
      <c r="A23" s="1430" t="s">
        <v>3628</v>
      </c>
      <c r="B23" s="1485" t="s">
        <v>5064</v>
      </c>
      <c r="C23" s="131">
        <v>8311</v>
      </c>
      <c r="D23" s="145"/>
      <c r="E23" s="133"/>
      <c r="F23" s="131">
        <v>16964</v>
      </c>
      <c r="G23" s="145">
        <v>70</v>
      </c>
      <c r="H23" s="133"/>
      <c r="I23" s="131">
        <v>25275</v>
      </c>
      <c r="J23" s="145">
        <v>70</v>
      </c>
      <c r="K23" s="133"/>
      <c r="L23" s="131">
        <v>16246</v>
      </c>
      <c r="M23" s="145">
        <v>25</v>
      </c>
      <c r="N23" s="133"/>
    </row>
    <row r="24" spans="1:14" x14ac:dyDescent="0.2">
      <c r="A24" s="1430" t="s">
        <v>5046</v>
      </c>
      <c r="B24" s="1485" t="s">
        <v>5065</v>
      </c>
      <c r="C24" s="131">
        <v>1938</v>
      </c>
      <c r="D24" s="145">
        <v>5</v>
      </c>
      <c r="E24" s="133"/>
      <c r="F24" s="131">
        <v>2170</v>
      </c>
      <c r="G24" s="145">
        <v>35</v>
      </c>
      <c r="H24" s="133"/>
      <c r="I24" s="131">
        <v>4108</v>
      </c>
      <c r="J24" s="145">
        <v>40</v>
      </c>
      <c r="K24" s="133"/>
      <c r="L24" s="131">
        <v>3440</v>
      </c>
      <c r="M24" s="145">
        <v>20</v>
      </c>
      <c r="N24" s="133"/>
    </row>
    <row r="25" spans="1:14" x14ac:dyDescent="0.2">
      <c r="A25" s="1430" t="s">
        <v>2869</v>
      </c>
      <c r="B25" s="1485" t="s">
        <v>1808</v>
      </c>
      <c r="C25" s="131"/>
      <c r="D25" s="145"/>
      <c r="E25" s="133"/>
      <c r="F25" s="131">
        <v>18827</v>
      </c>
      <c r="G25" s="145">
        <v>10</v>
      </c>
      <c r="H25" s="133"/>
      <c r="I25" s="131">
        <v>18827</v>
      </c>
      <c r="J25" s="145">
        <v>10</v>
      </c>
      <c r="K25" s="133"/>
      <c r="L25" s="131">
        <v>3917</v>
      </c>
      <c r="M25" s="145"/>
      <c r="N25" s="133"/>
    </row>
    <row r="26" spans="1:14" ht="25" x14ac:dyDescent="0.2">
      <c r="A26" s="1430" t="s">
        <v>2886</v>
      </c>
      <c r="B26" s="1485" t="s">
        <v>5066</v>
      </c>
      <c r="C26" s="131">
        <v>31724</v>
      </c>
      <c r="D26" s="145">
        <v>60</v>
      </c>
      <c r="E26" s="133"/>
      <c r="F26" s="131">
        <v>32607</v>
      </c>
      <c r="G26" s="145">
        <v>10</v>
      </c>
      <c r="H26" s="133"/>
      <c r="I26" s="131">
        <v>64331</v>
      </c>
      <c r="J26" s="145">
        <v>70</v>
      </c>
      <c r="K26" s="133"/>
      <c r="L26" s="131">
        <v>31352</v>
      </c>
      <c r="M26" s="145">
        <v>10</v>
      </c>
      <c r="N26" s="133"/>
    </row>
    <row r="27" spans="1:14" ht="27" customHeight="1" x14ac:dyDescent="0.2">
      <c r="A27" s="1430" t="s">
        <v>3628</v>
      </c>
      <c r="B27" s="1485" t="s">
        <v>5067</v>
      </c>
      <c r="C27" s="131"/>
      <c r="D27" s="145"/>
      <c r="E27" s="133"/>
      <c r="F27" s="131">
        <v>799</v>
      </c>
      <c r="G27" s="145"/>
      <c r="H27" s="133"/>
      <c r="I27" s="131">
        <v>799</v>
      </c>
      <c r="J27" s="145"/>
      <c r="K27" s="133"/>
      <c r="L27" s="131">
        <v>1265</v>
      </c>
      <c r="M27" s="145">
        <v>60</v>
      </c>
      <c r="N27" s="133"/>
    </row>
    <row r="28" spans="1:14" ht="27" customHeight="1" x14ac:dyDescent="0.2">
      <c r="A28" s="1430" t="s">
        <v>5046</v>
      </c>
      <c r="B28" s="1485" t="s">
        <v>5068</v>
      </c>
      <c r="C28" s="131"/>
      <c r="D28" s="145"/>
      <c r="E28" s="133"/>
      <c r="F28" s="131"/>
      <c r="G28" s="145"/>
      <c r="H28" s="133"/>
      <c r="I28" s="131"/>
      <c r="J28" s="145"/>
      <c r="K28" s="133"/>
      <c r="L28" s="131">
        <v>1120</v>
      </c>
      <c r="M28" s="145">
        <v>50</v>
      </c>
      <c r="N28" s="133"/>
    </row>
    <row r="29" spans="1:14" ht="25" x14ac:dyDescent="0.2">
      <c r="A29" s="1430" t="s">
        <v>2869</v>
      </c>
      <c r="B29" s="1485" t="s">
        <v>5069</v>
      </c>
      <c r="C29" s="131">
        <v>556216</v>
      </c>
      <c r="D29" s="145">
        <v>45</v>
      </c>
      <c r="E29" s="133"/>
      <c r="F29" s="131">
        <v>680332</v>
      </c>
      <c r="G29" s="145">
        <v>87</v>
      </c>
      <c r="H29" s="133">
        <v>0.5</v>
      </c>
      <c r="I29" s="131">
        <v>1236549</v>
      </c>
      <c r="J29" s="145">
        <v>32</v>
      </c>
      <c r="K29" s="133">
        <v>0.5</v>
      </c>
      <c r="L29" s="131">
        <v>580859</v>
      </c>
      <c r="M29" s="145">
        <v>27</v>
      </c>
      <c r="N29" s="133">
        <v>0.5</v>
      </c>
    </row>
    <row r="30" spans="1:14" x14ac:dyDescent="0.2">
      <c r="A30" s="1430" t="s">
        <v>2886</v>
      </c>
      <c r="B30" s="1485" t="s">
        <v>5070</v>
      </c>
      <c r="C30" s="131"/>
      <c r="D30" s="145"/>
      <c r="E30" s="133"/>
      <c r="F30" s="131">
        <v>1720</v>
      </c>
      <c r="G30" s="145"/>
      <c r="H30" s="133"/>
      <c r="I30" s="131">
        <v>1720</v>
      </c>
      <c r="J30" s="145"/>
      <c r="K30" s="133"/>
      <c r="L30" s="131">
        <v>645</v>
      </c>
      <c r="M30" s="145"/>
      <c r="N30" s="133"/>
    </row>
    <row r="31" spans="1:14" x14ac:dyDescent="0.2">
      <c r="A31" s="1486"/>
      <c r="B31" s="535"/>
      <c r="C31" s="240">
        <v>13557646</v>
      </c>
      <c r="D31" s="318">
        <v>56</v>
      </c>
      <c r="E31" s="241"/>
      <c r="F31" s="240">
        <v>12465513</v>
      </c>
      <c r="G31" s="318">
        <v>67</v>
      </c>
      <c r="H31" s="241"/>
      <c r="I31" s="240">
        <v>26023160</v>
      </c>
      <c r="J31" s="318">
        <v>23</v>
      </c>
      <c r="K31" s="241"/>
      <c r="L31" s="240">
        <v>14009329</v>
      </c>
      <c r="M31" s="318">
        <v>68</v>
      </c>
      <c r="N31" s="241"/>
    </row>
    <row r="32" spans="1:14" x14ac:dyDescent="0.2">
      <c r="A32" s="349"/>
      <c r="B32" s="350"/>
      <c r="C32" s="1145">
        <f t="shared" ref="C32:N32" si="0">+SUM(C7:C30)</f>
        <v>13557641</v>
      </c>
      <c r="D32" s="1145">
        <f t="shared" si="0"/>
        <v>555</v>
      </c>
      <c r="E32" s="1146">
        <f t="shared" si="0"/>
        <v>1</v>
      </c>
      <c r="F32" s="1145">
        <f t="shared" si="0"/>
        <v>12465505</v>
      </c>
      <c r="G32" s="1145">
        <f t="shared" si="0"/>
        <v>865</v>
      </c>
      <c r="H32" s="1146">
        <f t="shared" si="0"/>
        <v>2</v>
      </c>
      <c r="I32" s="1145">
        <f t="shared" si="0"/>
        <v>26023153</v>
      </c>
      <c r="J32" s="1145">
        <f t="shared" si="0"/>
        <v>721</v>
      </c>
      <c r="K32" s="1146">
        <f t="shared" si="0"/>
        <v>2</v>
      </c>
      <c r="L32" s="1145">
        <f t="shared" si="0"/>
        <v>14009324</v>
      </c>
      <c r="M32" s="1145">
        <f t="shared" si="0"/>
        <v>566</v>
      </c>
      <c r="N32" s="1146">
        <f t="shared" si="0"/>
        <v>2</v>
      </c>
    </row>
    <row r="33" spans="1:82" x14ac:dyDescent="0.2">
      <c r="A33" s="516" t="s">
        <v>5071</v>
      </c>
      <c r="B33" s="517"/>
      <c r="C33" s="517"/>
      <c r="D33" s="517"/>
      <c r="E33" s="517"/>
      <c r="F33" s="517"/>
      <c r="G33" s="517"/>
      <c r="H33" s="517"/>
      <c r="I33" s="517"/>
      <c r="J33" s="517"/>
      <c r="K33" s="517"/>
      <c r="L33" s="517"/>
      <c r="M33" s="517"/>
      <c r="N33" s="540"/>
    </row>
    <row r="34" spans="1:82" x14ac:dyDescent="0.2">
      <c r="A34" s="516" t="s">
        <v>5072</v>
      </c>
      <c r="B34" s="517"/>
      <c r="C34" s="517"/>
      <c r="D34" s="517"/>
      <c r="E34" s="517"/>
      <c r="F34" s="517"/>
      <c r="G34" s="517"/>
      <c r="H34" s="517"/>
      <c r="I34" s="517"/>
      <c r="J34" s="517"/>
      <c r="K34" s="517"/>
      <c r="L34" s="517"/>
      <c r="M34" s="517"/>
      <c r="N34" s="540"/>
    </row>
    <row r="35" spans="1:82" x14ac:dyDescent="0.2">
      <c r="A35" s="516" t="s">
        <v>5073</v>
      </c>
      <c r="B35" s="517"/>
      <c r="C35" s="517"/>
      <c r="D35" s="517"/>
      <c r="E35" s="517"/>
      <c r="F35" s="517"/>
      <c r="G35" s="517"/>
      <c r="H35" s="517"/>
      <c r="I35" s="517"/>
      <c r="J35" s="517"/>
      <c r="K35" s="517"/>
      <c r="L35" s="517"/>
      <c r="M35" s="517"/>
      <c r="N35" s="540"/>
    </row>
    <row r="36" spans="1:82" x14ac:dyDescent="0.2">
      <c r="A36" s="516" t="s">
        <v>5074</v>
      </c>
      <c r="B36" s="517"/>
      <c r="C36" s="517"/>
      <c r="D36" s="517"/>
      <c r="E36" s="517"/>
      <c r="F36" s="517"/>
      <c r="G36" s="517"/>
      <c r="H36" s="517"/>
      <c r="I36" s="517"/>
      <c r="J36" s="517"/>
      <c r="K36" s="517"/>
      <c r="L36" s="517"/>
      <c r="M36" s="517"/>
      <c r="N36" s="540"/>
    </row>
    <row r="37" spans="1:82" x14ac:dyDescent="0.2">
      <c r="A37" s="516" t="s">
        <v>5075</v>
      </c>
      <c r="B37" s="517"/>
      <c r="C37" s="517"/>
      <c r="D37" s="517"/>
      <c r="E37" s="517"/>
      <c r="F37" s="517"/>
      <c r="G37" s="517"/>
      <c r="H37" s="517"/>
      <c r="I37" s="517"/>
      <c r="J37" s="517"/>
      <c r="K37" s="517"/>
      <c r="L37" s="517"/>
      <c r="M37" s="517"/>
      <c r="N37" s="540"/>
    </row>
    <row r="38" spans="1:82" x14ac:dyDescent="0.2">
      <c r="A38" s="516" t="s">
        <v>5076</v>
      </c>
      <c r="B38" s="517"/>
      <c r="C38" s="517"/>
      <c r="D38" s="517"/>
      <c r="E38" s="517"/>
      <c r="F38" s="517"/>
      <c r="G38" s="517"/>
      <c r="H38" s="517"/>
      <c r="I38" s="517"/>
      <c r="J38" s="517"/>
      <c r="K38" s="517"/>
      <c r="L38" s="517"/>
      <c r="M38" s="517"/>
      <c r="N38" s="540"/>
    </row>
    <row r="39" spans="1:82" x14ac:dyDescent="0.2">
      <c r="A39" s="516" t="s">
        <v>5077</v>
      </c>
      <c r="B39" s="517"/>
      <c r="C39" s="517"/>
      <c r="D39" s="517"/>
      <c r="E39" s="517"/>
      <c r="F39" s="517"/>
      <c r="G39" s="517"/>
      <c r="H39" s="517"/>
      <c r="I39" s="517"/>
      <c r="J39" s="517"/>
      <c r="K39" s="517"/>
      <c r="L39" s="517"/>
      <c r="M39" s="517"/>
      <c r="N39" s="540"/>
    </row>
    <row r="40" spans="1:82" ht="31.75" customHeight="1" x14ac:dyDescent="0.2">
      <c r="A40" s="524" t="s">
        <v>5078</v>
      </c>
      <c r="B40" s="525"/>
      <c r="C40" s="525"/>
      <c r="D40" s="525"/>
      <c r="E40" s="525"/>
      <c r="F40" s="525"/>
      <c r="G40" s="525"/>
      <c r="H40" s="525"/>
      <c r="I40" s="525"/>
      <c r="J40" s="525"/>
      <c r="K40" s="525"/>
      <c r="L40" s="525"/>
      <c r="M40" s="525"/>
      <c r="N40" s="543"/>
    </row>
    <row r="41" spans="1:82" ht="19.25" customHeight="1" x14ac:dyDescent="0.2">
      <c r="A41" s="1449"/>
      <c r="B41" s="1449"/>
      <c r="C41" s="1449"/>
      <c r="D41" s="1449"/>
      <c r="E41" s="1449"/>
      <c r="F41" s="1449"/>
      <c r="G41" s="1449"/>
      <c r="H41" s="1449"/>
      <c r="I41" s="1449"/>
      <c r="J41" s="1449"/>
      <c r="K41" s="1449"/>
      <c r="L41" s="1449"/>
      <c r="M41" s="1449"/>
      <c r="N41" s="1449"/>
    </row>
    <row r="42" spans="1:82" ht="18" customHeight="1" x14ac:dyDescent="0.2">
      <c r="A42" s="1449"/>
      <c r="B42" s="1449"/>
      <c r="C42" s="1449"/>
      <c r="D42" s="1449"/>
      <c r="E42" s="1449"/>
      <c r="F42" s="1449"/>
      <c r="G42" s="1449"/>
      <c r="H42" s="1449"/>
      <c r="I42" s="1449"/>
      <c r="J42" s="1449"/>
      <c r="K42" s="1449"/>
      <c r="L42" s="1449"/>
      <c r="M42" s="1449"/>
      <c r="N42" s="1449"/>
    </row>
    <row r="44" spans="1:82" x14ac:dyDescent="0.2">
      <c r="A44" s="526" t="s">
        <v>1171</v>
      </c>
    </row>
    <row r="45" spans="1:82" ht="33" customHeight="1" x14ac:dyDescent="0.2">
      <c r="A45" s="1287" t="s">
        <v>5079</v>
      </c>
      <c r="B45" s="1288"/>
      <c r="C45" s="1288"/>
      <c r="D45" s="1288"/>
      <c r="E45" s="1288"/>
      <c r="F45" s="1288"/>
      <c r="G45" s="1288"/>
      <c r="H45" s="1288"/>
      <c r="I45" s="1288"/>
      <c r="J45" s="1288"/>
      <c r="K45" s="1288"/>
      <c r="L45" s="1288"/>
      <c r="M45" s="1288"/>
      <c r="N45" s="1288"/>
      <c r="O45" s="1288"/>
      <c r="P45" s="1288"/>
      <c r="Q45" s="1288"/>
      <c r="R45" s="1288"/>
      <c r="S45" s="1288"/>
      <c r="T45" s="1288"/>
      <c r="U45" s="1288"/>
      <c r="V45" s="1288"/>
      <c r="W45" s="1288"/>
      <c r="X45" s="1288"/>
      <c r="Y45" s="1288"/>
      <c r="Z45" s="1288"/>
      <c r="AA45" s="1288"/>
      <c r="AB45" s="1288"/>
      <c r="AC45" s="1288"/>
      <c r="AD45" s="1288"/>
      <c r="AE45" s="1288"/>
      <c r="AF45" s="1288"/>
      <c r="AG45" s="1288"/>
      <c r="AH45" s="1288"/>
      <c r="AI45" s="1288"/>
      <c r="AJ45" s="1288"/>
      <c r="AK45" s="1288"/>
      <c r="AL45" s="1288"/>
      <c r="AM45" s="1288"/>
      <c r="AN45" s="1288"/>
      <c r="AO45" s="1288"/>
      <c r="AP45" s="1288"/>
      <c r="AQ45" s="1288"/>
      <c r="AR45" s="1288"/>
      <c r="AS45" s="1288"/>
      <c r="AT45" s="1288"/>
      <c r="AU45" s="1288"/>
      <c r="AV45" s="1288"/>
      <c r="AW45" s="1288"/>
      <c r="AX45" s="1288"/>
      <c r="AY45" s="1288"/>
      <c r="AZ45" s="1288"/>
      <c r="BA45" s="1288"/>
      <c r="BB45" s="1288"/>
      <c r="BC45" s="1288"/>
      <c r="BD45" s="1288"/>
      <c r="BE45" s="1288"/>
      <c r="BF45" s="1288"/>
      <c r="BG45" s="1288"/>
      <c r="BH45" s="1288"/>
      <c r="BI45" s="1288"/>
      <c r="BJ45" s="1288"/>
      <c r="BK45" s="1288"/>
      <c r="BL45" s="1288"/>
      <c r="BM45" s="1288"/>
      <c r="BN45" s="1288"/>
      <c r="BO45" s="1288"/>
      <c r="BP45" s="1288"/>
      <c r="BQ45" s="1288"/>
      <c r="BR45" s="1288"/>
      <c r="BS45" s="1288"/>
      <c r="BT45" s="1288"/>
      <c r="BU45" s="1288"/>
      <c r="BV45" s="1288"/>
      <c r="BW45" s="1288"/>
      <c r="BX45" s="1288"/>
      <c r="BY45" s="1288"/>
      <c r="BZ45" s="1288"/>
      <c r="CA45" s="1288"/>
      <c r="CB45" s="1288"/>
      <c r="CC45" s="1288"/>
      <c r="CD45" s="1289"/>
    </row>
    <row r="46" spans="1:82" ht="25.75" customHeight="1" x14ac:dyDescent="0.2">
      <c r="A46" s="711" t="s">
        <v>1227</v>
      </c>
      <c r="B46" s="617" t="s">
        <v>5080</v>
      </c>
      <c r="C46" s="617"/>
      <c r="D46" s="617"/>
      <c r="E46" s="617"/>
      <c r="F46" s="617"/>
      <c r="G46" s="617"/>
      <c r="H46" s="617"/>
      <c r="I46" s="617"/>
      <c r="J46" s="617"/>
      <c r="K46" s="617"/>
      <c r="L46" s="617"/>
      <c r="M46" s="617"/>
      <c r="N46" s="617"/>
      <c r="O46" s="617"/>
      <c r="P46" s="617"/>
      <c r="Q46" s="617"/>
      <c r="R46" s="617"/>
      <c r="S46" s="617"/>
      <c r="T46" s="617"/>
      <c r="U46" s="617"/>
      <c r="V46" s="617"/>
      <c r="W46" s="617"/>
      <c r="X46" s="617"/>
      <c r="Y46" s="617"/>
      <c r="Z46" s="617"/>
      <c r="AA46" s="617"/>
      <c r="AB46" s="617"/>
      <c r="AC46" s="617"/>
      <c r="AD46" s="617"/>
      <c r="AE46" s="617"/>
      <c r="AF46" s="617"/>
      <c r="AG46" s="617"/>
      <c r="AH46" s="617"/>
      <c r="AI46" s="617"/>
      <c r="AJ46" s="617"/>
      <c r="AK46" s="617"/>
      <c r="AL46" s="617"/>
      <c r="AM46" s="617"/>
      <c r="AN46" s="617"/>
      <c r="AO46" s="617"/>
      <c r="AP46" s="617"/>
      <c r="AQ46" s="617"/>
      <c r="AR46" s="617"/>
      <c r="AS46" s="617"/>
      <c r="AT46" s="617"/>
      <c r="AU46" s="617"/>
      <c r="AV46" s="617"/>
      <c r="AW46" s="617"/>
      <c r="AX46" s="617"/>
      <c r="AY46" s="617"/>
      <c r="AZ46" s="617"/>
      <c r="BA46" s="617"/>
      <c r="BB46" s="617"/>
      <c r="BC46" s="618"/>
      <c r="BD46" s="1141" t="s">
        <v>5081</v>
      </c>
      <c r="BE46" s="1141"/>
      <c r="BF46" s="1141"/>
      <c r="BG46" s="1141" t="s">
        <v>5082</v>
      </c>
      <c r="BH46" s="1141"/>
      <c r="BI46" s="1141"/>
      <c r="BJ46" s="1141" t="s">
        <v>5083</v>
      </c>
      <c r="BK46" s="1141"/>
      <c r="BL46" s="1141"/>
      <c r="BM46" s="1141" t="s">
        <v>4970</v>
      </c>
      <c r="BN46" s="1141"/>
      <c r="BO46" s="1141"/>
      <c r="BP46" s="1141" t="s">
        <v>2004</v>
      </c>
      <c r="BQ46" s="1141"/>
      <c r="BR46" s="1141"/>
      <c r="BS46" s="1141" t="s">
        <v>5084</v>
      </c>
      <c r="BT46" s="1141"/>
      <c r="BU46" s="1141"/>
      <c r="BV46" s="1141" t="s">
        <v>4161</v>
      </c>
      <c r="BW46" s="1141"/>
      <c r="BX46" s="1141"/>
      <c r="BY46" s="1141" t="s">
        <v>4977</v>
      </c>
      <c r="BZ46" s="1141"/>
      <c r="CA46" s="1141"/>
      <c r="CB46" s="1141" t="s">
        <v>5085</v>
      </c>
      <c r="CC46" s="1141"/>
      <c r="CD46" s="1141"/>
    </row>
    <row r="47" spans="1:82" ht="37.25" customHeight="1" x14ac:dyDescent="0.2">
      <c r="A47" s="715"/>
      <c r="B47" s="1342" t="s">
        <v>5086</v>
      </c>
      <c r="C47" s="1141"/>
      <c r="D47" s="1141"/>
      <c r="E47" s="1141" t="s">
        <v>5087</v>
      </c>
      <c r="F47" s="1141"/>
      <c r="G47" s="1141"/>
      <c r="H47" s="1141" t="s">
        <v>5088</v>
      </c>
      <c r="I47" s="1141"/>
      <c r="J47" s="1141"/>
      <c r="K47" s="1141" t="s">
        <v>5089</v>
      </c>
      <c r="L47" s="1141"/>
      <c r="M47" s="1141"/>
      <c r="N47" s="1141" t="s">
        <v>5090</v>
      </c>
      <c r="O47" s="1141"/>
      <c r="P47" s="1141"/>
      <c r="Q47" s="1141" t="s">
        <v>5091</v>
      </c>
      <c r="R47" s="1141"/>
      <c r="S47" s="1141"/>
      <c r="T47" s="1141" t="s">
        <v>5092</v>
      </c>
      <c r="U47" s="1141"/>
      <c r="V47" s="1141"/>
      <c r="W47" s="1141" t="s">
        <v>5093</v>
      </c>
      <c r="X47" s="1141"/>
      <c r="Y47" s="1141"/>
      <c r="Z47" s="1141" t="s">
        <v>5094</v>
      </c>
      <c r="AA47" s="1141"/>
      <c r="AB47" s="1141"/>
      <c r="AC47" s="1141" t="s">
        <v>5095</v>
      </c>
      <c r="AD47" s="1141"/>
      <c r="AE47" s="1141"/>
      <c r="AF47" s="1141" t="s">
        <v>5096</v>
      </c>
      <c r="AG47" s="1141"/>
      <c r="AH47" s="1141"/>
      <c r="AI47" s="1141" t="s">
        <v>5097</v>
      </c>
      <c r="AJ47" s="1141"/>
      <c r="AK47" s="1141"/>
      <c r="AL47" s="1141" t="s">
        <v>5098</v>
      </c>
      <c r="AM47" s="1141"/>
      <c r="AN47" s="1141"/>
      <c r="AO47" s="1141" t="s">
        <v>5099</v>
      </c>
      <c r="AP47" s="1141"/>
      <c r="AQ47" s="1141"/>
      <c r="AR47" s="1141" t="s">
        <v>5100</v>
      </c>
      <c r="AS47" s="1141"/>
      <c r="AT47" s="1141"/>
      <c r="AU47" s="1141" t="s">
        <v>5101</v>
      </c>
      <c r="AV47" s="1141"/>
      <c r="AW47" s="1141"/>
      <c r="AX47" s="1141" t="s">
        <v>5102</v>
      </c>
      <c r="AY47" s="1141"/>
      <c r="AZ47" s="1141"/>
      <c r="BA47" s="1141" t="s">
        <v>1170</v>
      </c>
      <c r="BB47" s="1141"/>
      <c r="BC47" s="1141"/>
      <c r="BD47" s="1141"/>
      <c r="BE47" s="1141"/>
      <c r="BF47" s="1141"/>
      <c r="BG47" s="1141" t="s">
        <v>3272</v>
      </c>
      <c r="BH47" s="1141"/>
      <c r="BI47" s="1141"/>
      <c r="BJ47" s="1141" t="s">
        <v>3272</v>
      </c>
      <c r="BK47" s="1141"/>
      <c r="BL47" s="1141"/>
      <c r="BM47" s="1141" t="s">
        <v>3272</v>
      </c>
      <c r="BN47" s="1141"/>
      <c r="BO47" s="1141"/>
      <c r="BP47" s="1141" t="s">
        <v>3272</v>
      </c>
      <c r="BQ47" s="1141"/>
      <c r="BR47" s="1141"/>
      <c r="BS47" s="1141" t="s">
        <v>3272</v>
      </c>
      <c r="BT47" s="1141"/>
      <c r="BU47" s="1141"/>
      <c r="BV47" s="1141" t="s">
        <v>3272</v>
      </c>
      <c r="BW47" s="1141"/>
      <c r="BX47" s="1141"/>
      <c r="BY47" s="1141" t="s">
        <v>3272</v>
      </c>
      <c r="BZ47" s="1141"/>
      <c r="CA47" s="1141"/>
      <c r="CB47" s="1141" t="s">
        <v>3272</v>
      </c>
      <c r="CC47" s="1141"/>
      <c r="CD47" s="1141"/>
    </row>
    <row r="48" spans="1:82" x14ac:dyDescent="0.2">
      <c r="A48" s="533" t="s">
        <v>5103</v>
      </c>
      <c r="B48" s="349">
        <v>47</v>
      </c>
      <c r="C48" s="350">
        <v>55</v>
      </c>
      <c r="D48" s="352"/>
      <c r="E48" s="349">
        <v>24</v>
      </c>
      <c r="F48" s="350">
        <v>85</v>
      </c>
      <c r="G48" s="352"/>
      <c r="H48" s="349">
        <v>1890</v>
      </c>
      <c r="I48" s="350">
        <v>70</v>
      </c>
      <c r="J48" s="352"/>
      <c r="K48" s="349">
        <v>600</v>
      </c>
      <c r="L48" s="350">
        <v>75</v>
      </c>
      <c r="M48" s="352"/>
      <c r="N48" s="349">
        <v>2132</v>
      </c>
      <c r="O48" s="350">
        <v>85</v>
      </c>
      <c r="P48" s="352"/>
      <c r="Q48" s="349">
        <v>1067</v>
      </c>
      <c r="R48" s="350">
        <v>75</v>
      </c>
      <c r="S48" s="352"/>
      <c r="T48" s="349">
        <v>694</v>
      </c>
      <c r="U48" s="350">
        <v>40</v>
      </c>
      <c r="V48" s="352"/>
      <c r="W48" s="349">
        <v>1583</v>
      </c>
      <c r="X48" s="350">
        <v>25</v>
      </c>
      <c r="Y48" s="352"/>
      <c r="Z48" s="349">
        <v>3555</v>
      </c>
      <c r="AA48" s="350">
        <v>90</v>
      </c>
      <c r="AB48" s="352"/>
      <c r="AC48" s="349">
        <v>7</v>
      </c>
      <c r="AD48" s="350">
        <v>70</v>
      </c>
      <c r="AE48" s="352"/>
      <c r="AF48" s="349">
        <v>152</v>
      </c>
      <c r="AG48" s="350">
        <v>80</v>
      </c>
      <c r="AH48" s="352"/>
      <c r="AI48" s="349">
        <v>654</v>
      </c>
      <c r="AJ48" s="350">
        <v>55</v>
      </c>
      <c r="AK48" s="352"/>
      <c r="AL48" s="349">
        <v>329</v>
      </c>
      <c r="AM48" s="350">
        <v>25</v>
      </c>
      <c r="AN48" s="352"/>
      <c r="AO48" s="349">
        <v>325</v>
      </c>
      <c r="AP48" s="350">
        <v>20</v>
      </c>
      <c r="AQ48" s="352"/>
      <c r="AR48" s="349">
        <v>810</v>
      </c>
      <c r="AS48" s="350">
        <v>30</v>
      </c>
      <c r="AT48" s="352"/>
      <c r="AU48" s="349">
        <v>2199</v>
      </c>
      <c r="AV48" s="350">
        <v>71</v>
      </c>
      <c r="AW48" s="352"/>
      <c r="AX48" s="349">
        <v>5080</v>
      </c>
      <c r="AY48" s="350">
        <v>60</v>
      </c>
      <c r="AZ48" s="352"/>
      <c r="BA48" s="349">
        <v>10997</v>
      </c>
      <c r="BB48" s="350">
        <v>1</v>
      </c>
      <c r="BC48" s="352"/>
      <c r="BD48" s="349"/>
      <c r="BE48" s="350"/>
      <c r="BF48" s="352"/>
      <c r="BG48" s="349"/>
      <c r="BH48" s="350"/>
      <c r="BI48" s="352"/>
      <c r="BJ48" s="349"/>
      <c r="BK48" s="350"/>
      <c r="BL48" s="352"/>
      <c r="BM48" s="349"/>
      <c r="BN48" s="350"/>
      <c r="BO48" s="352"/>
      <c r="BP48" s="349"/>
      <c r="BQ48" s="350"/>
      <c r="BR48" s="352"/>
      <c r="BS48" s="349"/>
      <c r="BT48" s="350"/>
      <c r="BU48" s="352"/>
      <c r="BV48" s="349"/>
      <c r="BW48" s="350"/>
      <c r="BX48" s="352"/>
      <c r="BY48" s="349"/>
      <c r="BZ48" s="350"/>
      <c r="CA48" s="352"/>
      <c r="CB48" s="349">
        <v>10997</v>
      </c>
      <c r="CC48" s="350">
        <v>1</v>
      </c>
      <c r="CD48" s="352"/>
    </row>
    <row r="49" spans="1:94" x14ac:dyDescent="0.2">
      <c r="A49" s="533" t="s">
        <v>3668</v>
      </c>
      <c r="B49" s="131">
        <v>35264</v>
      </c>
      <c r="C49" s="145">
        <v>35</v>
      </c>
      <c r="D49" s="133"/>
      <c r="E49" s="131">
        <v>10975</v>
      </c>
      <c r="F49" s="145">
        <v>20</v>
      </c>
      <c r="G49" s="133"/>
      <c r="H49" s="131">
        <v>322374</v>
      </c>
      <c r="I49" s="145">
        <v>35</v>
      </c>
      <c r="J49" s="133"/>
      <c r="K49" s="131">
        <v>189703</v>
      </c>
      <c r="L49" s="145">
        <v>30</v>
      </c>
      <c r="M49" s="133"/>
      <c r="N49" s="131">
        <v>289369</v>
      </c>
      <c r="O49" s="145"/>
      <c r="P49" s="133"/>
      <c r="Q49" s="131">
        <v>138126</v>
      </c>
      <c r="R49" s="145"/>
      <c r="S49" s="133"/>
      <c r="T49" s="131">
        <v>539433</v>
      </c>
      <c r="U49" s="145">
        <v>30</v>
      </c>
      <c r="V49" s="133"/>
      <c r="W49" s="131">
        <v>588277</v>
      </c>
      <c r="X49" s="145">
        <v>25</v>
      </c>
      <c r="Y49" s="133"/>
      <c r="Z49" s="131">
        <v>949452</v>
      </c>
      <c r="AA49" s="145">
        <v>40</v>
      </c>
      <c r="AB49" s="133"/>
      <c r="AC49" s="131">
        <v>45051</v>
      </c>
      <c r="AD49" s="145">
        <v>65</v>
      </c>
      <c r="AE49" s="133"/>
      <c r="AF49" s="131">
        <v>108176</v>
      </c>
      <c r="AG49" s="145">
        <v>95</v>
      </c>
      <c r="AH49" s="133"/>
      <c r="AI49" s="131">
        <v>189058</v>
      </c>
      <c r="AJ49" s="145">
        <v>35</v>
      </c>
      <c r="AK49" s="133"/>
      <c r="AL49" s="131">
        <v>349118</v>
      </c>
      <c r="AM49" s="145">
        <v>25</v>
      </c>
      <c r="AN49" s="133"/>
      <c r="AO49" s="131">
        <v>328305</v>
      </c>
      <c r="AP49" s="145">
        <v>25</v>
      </c>
      <c r="AQ49" s="133"/>
      <c r="AR49" s="131">
        <v>61</v>
      </c>
      <c r="AS49" s="145">
        <v>90</v>
      </c>
      <c r="AT49" s="133"/>
      <c r="AU49" s="131">
        <v>1020489</v>
      </c>
      <c r="AV49" s="145">
        <v>40</v>
      </c>
      <c r="AW49" s="133"/>
      <c r="AX49" s="131"/>
      <c r="AY49" s="145"/>
      <c r="AZ49" s="133"/>
      <c r="BA49" s="131">
        <v>5103237</v>
      </c>
      <c r="BB49" s="145"/>
      <c r="BC49" s="133"/>
      <c r="BD49" s="131">
        <v>47994</v>
      </c>
      <c r="BE49" s="145">
        <v>5</v>
      </c>
      <c r="BF49" s="133"/>
      <c r="BG49" s="131">
        <v>4212</v>
      </c>
      <c r="BH49" s="145">
        <v>10</v>
      </c>
      <c r="BI49" s="133"/>
      <c r="BJ49" s="131"/>
      <c r="BK49" s="145"/>
      <c r="BL49" s="133"/>
      <c r="BM49" s="131"/>
      <c r="BN49" s="145"/>
      <c r="BO49" s="133"/>
      <c r="BP49" s="131"/>
      <c r="BQ49" s="145"/>
      <c r="BR49" s="133"/>
      <c r="BS49" s="131"/>
      <c r="BT49" s="145"/>
      <c r="BU49" s="133"/>
      <c r="BV49" s="131">
        <v>17559</v>
      </c>
      <c r="BW49" s="145">
        <v>55</v>
      </c>
      <c r="BX49" s="133"/>
      <c r="BY49" s="131">
        <v>8263</v>
      </c>
      <c r="BZ49" s="145">
        <v>40</v>
      </c>
      <c r="CA49" s="133"/>
      <c r="CB49" s="131">
        <v>5181266</v>
      </c>
      <c r="CC49" s="145">
        <v>10</v>
      </c>
      <c r="CD49" s="133"/>
    </row>
    <row r="50" spans="1:94" x14ac:dyDescent="0.2">
      <c r="A50" s="533" t="s">
        <v>1517</v>
      </c>
      <c r="B50" s="131">
        <v>1007</v>
      </c>
      <c r="C50" s="145">
        <v>5</v>
      </c>
      <c r="D50" s="133"/>
      <c r="E50" s="131">
        <v>664</v>
      </c>
      <c r="F50" s="145">
        <v>90</v>
      </c>
      <c r="G50" s="133"/>
      <c r="H50" s="131">
        <v>30867</v>
      </c>
      <c r="I50" s="145">
        <v>35</v>
      </c>
      <c r="J50" s="133"/>
      <c r="K50" s="131">
        <v>11651</v>
      </c>
      <c r="L50" s="145">
        <v>45</v>
      </c>
      <c r="M50" s="133"/>
      <c r="N50" s="131">
        <v>38540</v>
      </c>
      <c r="O50" s="145">
        <v>65</v>
      </c>
      <c r="P50" s="133"/>
      <c r="Q50" s="131">
        <v>19372</v>
      </c>
      <c r="R50" s="145">
        <v>10</v>
      </c>
      <c r="S50" s="133"/>
      <c r="T50" s="131">
        <v>70847</v>
      </c>
      <c r="U50" s="145">
        <v>40</v>
      </c>
      <c r="V50" s="133"/>
      <c r="W50" s="131">
        <v>40022</v>
      </c>
      <c r="X50" s="145">
        <v>50</v>
      </c>
      <c r="Y50" s="133"/>
      <c r="Z50" s="131">
        <v>103004</v>
      </c>
      <c r="AA50" s="145">
        <v>90</v>
      </c>
      <c r="AB50" s="133"/>
      <c r="AC50" s="131">
        <v>4488</v>
      </c>
      <c r="AD50" s="145">
        <v>5</v>
      </c>
      <c r="AE50" s="133"/>
      <c r="AF50" s="131">
        <v>12634</v>
      </c>
      <c r="AG50" s="145">
        <v>40</v>
      </c>
      <c r="AH50" s="133"/>
      <c r="AI50" s="131">
        <v>30857</v>
      </c>
      <c r="AJ50" s="145">
        <v>60</v>
      </c>
      <c r="AK50" s="133"/>
      <c r="AL50" s="131">
        <v>30796</v>
      </c>
      <c r="AM50" s="145"/>
      <c r="AN50" s="133"/>
      <c r="AO50" s="131">
        <v>34743</v>
      </c>
      <c r="AP50" s="145">
        <v>95</v>
      </c>
      <c r="AQ50" s="133"/>
      <c r="AR50" s="131">
        <v>41596</v>
      </c>
      <c r="AS50" s="145">
        <v>20</v>
      </c>
      <c r="AT50" s="133"/>
      <c r="AU50" s="131">
        <v>85765</v>
      </c>
      <c r="AV50" s="145">
        <v>5</v>
      </c>
      <c r="AW50" s="133"/>
      <c r="AX50" s="131">
        <v>86419</v>
      </c>
      <c r="AY50" s="145">
        <v>45</v>
      </c>
      <c r="AZ50" s="133"/>
      <c r="BA50" s="131">
        <v>470440</v>
      </c>
      <c r="BB50" s="145">
        <v>10</v>
      </c>
      <c r="BC50" s="133"/>
      <c r="BD50" s="131">
        <v>1041</v>
      </c>
      <c r="BE50" s="145">
        <v>70</v>
      </c>
      <c r="BF50" s="133"/>
      <c r="BG50" s="131">
        <v>172</v>
      </c>
      <c r="BH50" s="145">
        <v>90</v>
      </c>
      <c r="BI50" s="133"/>
      <c r="BJ50" s="131"/>
      <c r="BK50" s="145"/>
      <c r="BL50" s="133"/>
      <c r="BM50" s="131"/>
      <c r="BN50" s="145"/>
      <c r="BO50" s="133"/>
      <c r="BP50" s="131">
        <v>547</v>
      </c>
      <c r="BQ50" s="145">
        <v>35</v>
      </c>
      <c r="BR50" s="133"/>
      <c r="BS50" s="131">
        <v>7796</v>
      </c>
      <c r="BT50" s="145">
        <v>5</v>
      </c>
      <c r="BU50" s="133"/>
      <c r="BV50" s="131">
        <v>1942</v>
      </c>
      <c r="BW50" s="145">
        <v>80</v>
      </c>
      <c r="BX50" s="133"/>
      <c r="BY50" s="131">
        <v>71</v>
      </c>
      <c r="BZ50" s="145">
        <v>25</v>
      </c>
      <c r="CA50" s="133"/>
      <c r="CB50" s="131">
        <v>482012</v>
      </c>
      <c r="CC50" s="145">
        <v>15</v>
      </c>
      <c r="CD50" s="133"/>
    </row>
    <row r="51" spans="1:94" x14ac:dyDescent="0.2">
      <c r="A51" s="533" t="s">
        <v>4033</v>
      </c>
      <c r="B51" s="131">
        <v>31226</v>
      </c>
      <c r="C51" s="145">
        <v>74</v>
      </c>
      <c r="D51" s="133"/>
      <c r="E51" s="131">
        <v>12922</v>
      </c>
      <c r="F51" s="145">
        <v>72</v>
      </c>
      <c r="G51" s="133"/>
      <c r="H51" s="131">
        <v>396944</v>
      </c>
      <c r="I51" s="145">
        <v>2</v>
      </c>
      <c r="J51" s="133"/>
      <c r="K51" s="131">
        <v>103349</v>
      </c>
      <c r="L51" s="145">
        <v>81</v>
      </c>
      <c r="M51" s="133"/>
      <c r="N51" s="131">
        <v>94979</v>
      </c>
      <c r="O51" s="145">
        <v>57</v>
      </c>
      <c r="P51" s="133"/>
      <c r="Q51" s="131">
        <v>33420</v>
      </c>
      <c r="R51" s="145">
        <v>77</v>
      </c>
      <c r="S51" s="133"/>
      <c r="T51" s="131">
        <v>94879</v>
      </c>
      <c r="U51" s="145">
        <v>83</v>
      </c>
      <c r="V51" s="133"/>
      <c r="W51" s="131">
        <v>86364</v>
      </c>
      <c r="X51" s="145">
        <v>63</v>
      </c>
      <c r="Y51" s="133"/>
      <c r="Z51" s="131">
        <v>158962</v>
      </c>
      <c r="AA51" s="145">
        <v>51</v>
      </c>
      <c r="AB51" s="133"/>
      <c r="AC51" s="131">
        <v>11358</v>
      </c>
      <c r="AD51" s="145">
        <v>28</v>
      </c>
      <c r="AE51" s="133"/>
      <c r="AF51" s="131">
        <v>22870</v>
      </c>
      <c r="AG51" s="145">
        <v>47</v>
      </c>
      <c r="AH51" s="133"/>
      <c r="AI51" s="131">
        <v>34616</v>
      </c>
      <c r="AJ51" s="145">
        <v>97</v>
      </c>
      <c r="AK51" s="133"/>
      <c r="AL51" s="131">
        <v>63032</v>
      </c>
      <c r="AM51" s="145">
        <v>57</v>
      </c>
      <c r="AN51" s="133"/>
      <c r="AO51" s="131">
        <v>59838</v>
      </c>
      <c r="AP51" s="145">
        <v>97</v>
      </c>
      <c r="AQ51" s="133"/>
      <c r="AR51" s="131">
        <v>11</v>
      </c>
      <c r="AS51" s="145">
        <v>45</v>
      </c>
      <c r="AT51" s="133"/>
      <c r="AU51" s="131">
        <v>300108</v>
      </c>
      <c r="AV51" s="145">
        <v>45</v>
      </c>
      <c r="AW51" s="133"/>
      <c r="AX51" s="131">
        <v>4475</v>
      </c>
      <c r="AY51" s="145">
        <v>60</v>
      </c>
      <c r="AZ51" s="133"/>
      <c r="BA51" s="131">
        <v>1500412</v>
      </c>
      <c r="BB51" s="145">
        <v>16</v>
      </c>
      <c r="BC51" s="133"/>
      <c r="BD51" s="131">
        <v>7532</v>
      </c>
      <c r="BE51" s="145">
        <v>95</v>
      </c>
      <c r="BF51" s="133"/>
      <c r="BG51" s="131">
        <v>12832</v>
      </c>
      <c r="BH51" s="145">
        <v>90</v>
      </c>
      <c r="BI51" s="133"/>
      <c r="BJ51" s="131">
        <v>105</v>
      </c>
      <c r="BK51" s="145">
        <v>50</v>
      </c>
      <c r="BL51" s="133"/>
      <c r="BM51" s="131">
        <v>1161</v>
      </c>
      <c r="BN51" s="145">
        <v>5</v>
      </c>
      <c r="BO51" s="133"/>
      <c r="BP51" s="131">
        <v>2025</v>
      </c>
      <c r="BQ51" s="145">
        <v>75</v>
      </c>
      <c r="BR51" s="133"/>
      <c r="BS51" s="131"/>
      <c r="BT51" s="145"/>
      <c r="BU51" s="133"/>
      <c r="BV51" s="131">
        <v>2504</v>
      </c>
      <c r="BW51" s="145">
        <v>75</v>
      </c>
      <c r="BX51" s="133"/>
      <c r="BY51" s="131">
        <v>624</v>
      </c>
      <c r="BZ51" s="145">
        <v>49</v>
      </c>
      <c r="CA51" s="133"/>
      <c r="CB51" s="131">
        <v>1527199</v>
      </c>
      <c r="CC51" s="145">
        <v>55</v>
      </c>
      <c r="CD51" s="133"/>
    </row>
    <row r="52" spans="1:94" x14ac:dyDescent="0.2">
      <c r="A52" s="533" t="s">
        <v>1519</v>
      </c>
      <c r="B52" s="131">
        <v>3896</v>
      </c>
      <c r="C52" s="145">
        <v>90</v>
      </c>
      <c r="D52" s="133"/>
      <c r="E52" s="131">
        <v>3516</v>
      </c>
      <c r="F52" s="145">
        <v>60</v>
      </c>
      <c r="G52" s="133"/>
      <c r="H52" s="131">
        <v>109616</v>
      </c>
      <c r="I52" s="145">
        <v>95</v>
      </c>
      <c r="J52" s="133"/>
      <c r="K52" s="131">
        <v>30172</v>
      </c>
      <c r="L52" s="145">
        <v>75</v>
      </c>
      <c r="M52" s="133"/>
      <c r="N52" s="131">
        <v>62058</v>
      </c>
      <c r="O52" s="145">
        <v>35</v>
      </c>
      <c r="P52" s="133"/>
      <c r="Q52" s="131">
        <v>13621</v>
      </c>
      <c r="R52" s="145">
        <v>50</v>
      </c>
      <c r="S52" s="133"/>
      <c r="T52" s="131">
        <v>114424</v>
      </c>
      <c r="U52" s="145">
        <v>30</v>
      </c>
      <c r="V52" s="133"/>
      <c r="W52" s="131">
        <v>27956</v>
      </c>
      <c r="X52" s="145">
        <v>80</v>
      </c>
      <c r="Y52" s="133"/>
      <c r="Z52" s="131">
        <v>95521</v>
      </c>
      <c r="AA52" s="145">
        <v>5</v>
      </c>
      <c r="AB52" s="133"/>
      <c r="AC52" s="131">
        <v>6536</v>
      </c>
      <c r="AD52" s="145">
        <v>95</v>
      </c>
      <c r="AE52" s="133"/>
      <c r="AF52" s="131">
        <v>10126</v>
      </c>
      <c r="AG52" s="145">
        <v>85</v>
      </c>
      <c r="AH52" s="133"/>
      <c r="AI52" s="131">
        <v>21883</v>
      </c>
      <c r="AJ52" s="145">
        <v>15</v>
      </c>
      <c r="AK52" s="133"/>
      <c r="AL52" s="131">
        <v>36896</v>
      </c>
      <c r="AM52" s="145">
        <v>20</v>
      </c>
      <c r="AN52" s="133"/>
      <c r="AO52" s="131">
        <v>35935</v>
      </c>
      <c r="AP52" s="145">
        <v>20</v>
      </c>
      <c r="AQ52" s="133"/>
      <c r="AR52" s="131">
        <v>82916</v>
      </c>
      <c r="AS52" s="145">
        <v>75</v>
      </c>
      <c r="AT52" s="133"/>
      <c r="AU52" s="131">
        <v>143055</v>
      </c>
      <c r="AV52" s="145">
        <v>55</v>
      </c>
      <c r="AW52" s="133"/>
      <c r="AX52" s="131"/>
      <c r="AY52" s="145"/>
      <c r="AZ52" s="133"/>
      <c r="BA52" s="131">
        <v>798135</v>
      </c>
      <c r="BB52" s="145">
        <v>85</v>
      </c>
      <c r="BC52" s="133"/>
      <c r="BD52" s="131"/>
      <c r="BE52" s="145"/>
      <c r="BF52" s="133"/>
      <c r="BG52" s="131"/>
      <c r="BH52" s="145"/>
      <c r="BI52" s="133"/>
      <c r="BJ52" s="131"/>
      <c r="BK52" s="145"/>
      <c r="BL52" s="133"/>
      <c r="BM52" s="131"/>
      <c r="BN52" s="145"/>
      <c r="BO52" s="133"/>
      <c r="BP52" s="131">
        <v>15</v>
      </c>
      <c r="BQ52" s="145"/>
      <c r="BR52" s="133"/>
      <c r="BS52" s="131"/>
      <c r="BT52" s="145"/>
      <c r="BU52" s="133"/>
      <c r="BV52" s="131">
        <v>523</v>
      </c>
      <c r="BW52" s="145">
        <v>85</v>
      </c>
      <c r="BX52" s="133"/>
      <c r="BY52" s="131">
        <v>32</v>
      </c>
      <c r="BZ52" s="145"/>
      <c r="CA52" s="133"/>
      <c r="CB52" s="131">
        <v>798706</v>
      </c>
      <c r="CC52" s="145">
        <v>70</v>
      </c>
      <c r="CD52" s="133"/>
    </row>
    <row r="53" spans="1:94" x14ac:dyDescent="0.2">
      <c r="A53" s="533" t="s">
        <v>4553</v>
      </c>
      <c r="B53" s="131">
        <v>98</v>
      </c>
      <c r="C53" s="145">
        <v>30</v>
      </c>
      <c r="D53" s="133"/>
      <c r="E53" s="131">
        <v>151</v>
      </c>
      <c r="F53" s="145">
        <v>30</v>
      </c>
      <c r="G53" s="133"/>
      <c r="H53" s="131">
        <v>460</v>
      </c>
      <c r="I53" s="145">
        <v>15</v>
      </c>
      <c r="J53" s="133"/>
      <c r="K53" s="131">
        <v>552</v>
      </c>
      <c r="L53" s="145">
        <v>30</v>
      </c>
      <c r="M53" s="133"/>
      <c r="N53" s="131">
        <v>582</v>
      </c>
      <c r="O53" s="145">
        <v>70</v>
      </c>
      <c r="P53" s="133"/>
      <c r="Q53" s="131">
        <v>23</v>
      </c>
      <c r="R53" s="145">
        <v>70</v>
      </c>
      <c r="S53" s="133"/>
      <c r="T53" s="131">
        <v>1756</v>
      </c>
      <c r="U53" s="145">
        <v>80</v>
      </c>
      <c r="V53" s="133"/>
      <c r="W53" s="131">
        <v>1426</v>
      </c>
      <c r="X53" s="145">
        <v>50</v>
      </c>
      <c r="Y53" s="133"/>
      <c r="Z53" s="131">
        <v>153</v>
      </c>
      <c r="AA53" s="145"/>
      <c r="AB53" s="133"/>
      <c r="AC53" s="131">
        <v>85</v>
      </c>
      <c r="AD53" s="145">
        <v>45</v>
      </c>
      <c r="AE53" s="133"/>
      <c r="AF53" s="131"/>
      <c r="AG53" s="145">
        <v>60</v>
      </c>
      <c r="AH53" s="133"/>
      <c r="AI53" s="131">
        <v>12744</v>
      </c>
      <c r="AJ53" s="145">
        <v>45</v>
      </c>
      <c r="AK53" s="133"/>
      <c r="AL53" s="131">
        <v>221</v>
      </c>
      <c r="AM53" s="145"/>
      <c r="AN53" s="133"/>
      <c r="AO53" s="131">
        <v>68</v>
      </c>
      <c r="AP53" s="145">
        <v>70</v>
      </c>
      <c r="AQ53" s="133"/>
      <c r="AR53" s="131">
        <v>26</v>
      </c>
      <c r="AS53" s="145">
        <v>35</v>
      </c>
      <c r="AT53" s="133"/>
      <c r="AU53" s="131">
        <v>4551</v>
      </c>
      <c r="AV53" s="145">
        <v>60</v>
      </c>
      <c r="AW53" s="133"/>
      <c r="AX53" s="131"/>
      <c r="AY53" s="145"/>
      <c r="AZ53" s="133"/>
      <c r="BA53" s="131">
        <v>22902</v>
      </c>
      <c r="BB53" s="145">
        <v>90</v>
      </c>
      <c r="BC53" s="133"/>
      <c r="BD53" s="131"/>
      <c r="BE53" s="145"/>
      <c r="BF53" s="133"/>
      <c r="BG53" s="131"/>
      <c r="BH53" s="145"/>
      <c r="BI53" s="133"/>
      <c r="BJ53" s="131"/>
      <c r="BK53" s="145"/>
      <c r="BL53" s="133"/>
      <c r="BM53" s="131"/>
      <c r="BN53" s="145"/>
      <c r="BO53" s="133"/>
      <c r="BP53" s="131">
        <v>33</v>
      </c>
      <c r="BQ53" s="145">
        <v>20</v>
      </c>
      <c r="BR53" s="133"/>
      <c r="BS53" s="131"/>
      <c r="BT53" s="145"/>
      <c r="BU53" s="133"/>
      <c r="BV53" s="131">
        <v>176</v>
      </c>
      <c r="BW53" s="145">
        <v>65</v>
      </c>
      <c r="BX53" s="133"/>
      <c r="BY53" s="131">
        <v>108</v>
      </c>
      <c r="BZ53" s="145"/>
      <c r="CA53" s="133"/>
      <c r="CB53" s="131">
        <v>23222</v>
      </c>
      <c r="CC53" s="145">
        <v>75</v>
      </c>
      <c r="CD53" s="133"/>
    </row>
    <row r="54" spans="1:94" x14ac:dyDescent="0.2">
      <c r="A54" s="533" t="s">
        <v>5104</v>
      </c>
      <c r="B54" s="131">
        <v>181</v>
      </c>
      <c r="C54" s="145">
        <v>47</v>
      </c>
      <c r="D54" s="133">
        <v>0.5</v>
      </c>
      <c r="E54" s="131">
        <v>143</v>
      </c>
      <c r="F54" s="145">
        <v>77</v>
      </c>
      <c r="G54" s="133">
        <v>0.5</v>
      </c>
      <c r="H54" s="131">
        <v>3513</v>
      </c>
      <c r="I54" s="145">
        <v>87</v>
      </c>
      <c r="J54" s="133">
        <v>0.5</v>
      </c>
      <c r="K54" s="131">
        <v>656</v>
      </c>
      <c r="L54" s="145">
        <v>45</v>
      </c>
      <c r="M54" s="133"/>
      <c r="N54" s="131">
        <v>3417</v>
      </c>
      <c r="O54" s="145">
        <v>5</v>
      </c>
      <c r="P54" s="133"/>
      <c r="Q54" s="131">
        <v>1154</v>
      </c>
      <c r="R54" s="145">
        <v>77</v>
      </c>
      <c r="S54" s="133">
        <v>0.5</v>
      </c>
      <c r="T54" s="131">
        <v>2505</v>
      </c>
      <c r="U54" s="145">
        <v>80</v>
      </c>
      <c r="V54" s="133"/>
      <c r="W54" s="131">
        <v>595</v>
      </c>
      <c r="X54" s="145">
        <v>15</v>
      </c>
      <c r="Y54" s="133"/>
      <c r="Z54" s="131">
        <v>1332</v>
      </c>
      <c r="AA54" s="145">
        <v>30</v>
      </c>
      <c r="AB54" s="133"/>
      <c r="AC54" s="131">
        <v>97</v>
      </c>
      <c r="AD54" s="145">
        <v>60</v>
      </c>
      <c r="AE54" s="133"/>
      <c r="AF54" s="131">
        <v>103</v>
      </c>
      <c r="AG54" s="145">
        <v>60</v>
      </c>
      <c r="AH54" s="133"/>
      <c r="AI54" s="131">
        <v>610</v>
      </c>
      <c r="AJ54" s="145">
        <v>25</v>
      </c>
      <c r="AK54" s="133"/>
      <c r="AL54" s="131">
        <v>826</v>
      </c>
      <c r="AM54" s="145">
        <v>25</v>
      </c>
      <c r="AN54" s="133"/>
      <c r="AO54" s="131">
        <v>972</v>
      </c>
      <c r="AP54" s="145">
        <v>60</v>
      </c>
      <c r="AQ54" s="133"/>
      <c r="AR54" s="131">
        <v>3624</v>
      </c>
      <c r="AS54" s="145">
        <v>40</v>
      </c>
      <c r="AT54" s="133"/>
      <c r="AU54" s="131">
        <v>2965</v>
      </c>
      <c r="AV54" s="145">
        <v>75</v>
      </c>
      <c r="AW54" s="133"/>
      <c r="AX54" s="131">
        <v>7907</v>
      </c>
      <c r="AY54" s="145">
        <v>80</v>
      </c>
      <c r="AZ54" s="133"/>
      <c r="BA54" s="131">
        <v>14793</v>
      </c>
      <c r="BB54" s="145">
        <v>30</v>
      </c>
      <c r="BC54" s="133"/>
      <c r="BD54" s="131"/>
      <c r="BE54" s="145"/>
      <c r="BF54" s="133"/>
      <c r="BG54" s="131">
        <v>742</v>
      </c>
      <c r="BH54" s="145">
        <v>30</v>
      </c>
      <c r="BI54" s="133"/>
      <c r="BJ54" s="131"/>
      <c r="BK54" s="145"/>
      <c r="BL54" s="133"/>
      <c r="BM54" s="131"/>
      <c r="BN54" s="145"/>
      <c r="BO54" s="133"/>
      <c r="BP54" s="131"/>
      <c r="BQ54" s="145"/>
      <c r="BR54" s="133"/>
      <c r="BS54" s="131"/>
      <c r="BT54" s="145"/>
      <c r="BU54" s="133"/>
      <c r="BV54" s="131">
        <v>34</v>
      </c>
      <c r="BW54" s="145">
        <v>75</v>
      </c>
      <c r="BX54" s="133"/>
      <c r="BY54" s="131"/>
      <c r="BZ54" s="145"/>
      <c r="CA54" s="133"/>
      <c r="CB54" s="131">
        <v>14828</v>
      </c>
      <c r="CC54" s="145">
        <v>5</v>
      </c>
      <c r="CD54" s="133"/>
    </row>
    <row r="55" spans="1:94" x14ac:dyDescent="0.2">
      <c r="A55" s="533" t="s">
        <v>5105</v>
      </c>
      <c r="B55" s="131">
        <v>2679</v>
      </c>
      <c r="C55" s="145">
        <v>5</v>
      </c>
      <c r="D55" s="133"/>
      <c r="E55" s="131">
        <v>137</v>
      </c>
      <c r="F55" s="145">
        <v>80</v>
      </c>
      <c r="G55" s="133"/>
      <c r="H55" s="131">
        <v>8590</v>
      </c>
      <c r="I55" s="145">
        <v>65</v>
      </c>
      <c r="J55" s="133"/>
      <c r="K55" s="131">
        <v>5762</v>
      </c>
      <c r="L55" s="145">
        <v>55</v>
      </c>
      <c r="M55" s="133"/>
      <c r="N55" s="131">
        <v>5523</v>
      </c>
      <c r="O55" s="145">
        <v>45</v>
      </c>
      <c r="P55" s="133"/>
      <c r="Q55" s="131">
        <v>3789</v>
      </c>
      <c r="R55" s="145">
        <v>95</v>
      </c>
      <c r="S55" s="133"/>
      <c r="T55" s="131">
        <v>11710</v>
      </c>
      <c r="U55" s="145">
        <v>60</v>
      </c>
      <c r="V55" s="133"/>
      <c r="W55" s="131">
        <v>8009</v>
      </c>
      <c r="X55" s="145">
        <v>75</v>
      </c>
      <c r="Y55" s="133"/>
      <c r="Z55" s="131">
        <v>10255</v>
      </c>
      <c r="AA55" s="145">
        <v>40</v>
      </c>
      <c r="AB55" s="133"/>
      <c r="AC55" s="131">
        <v>217</v>
      </c>
      <c r="AD55" s="145">
        <v>70</v>
      </c>
      <c r="AE55" s="133"/>
      <c r="AF55" s="131">
        <v>662</v>
      </c>
      <c r="AG55" s="145"/>
      <c r="AH55" s="133"/>
      <c r="AI55" s="131">
        <v>357</v>
      </c>
      <c r="AJ55" s="145">
        <v>10</v>
      </c>
      <c r="AK55" s="133"/>
      <c r="AL55" s="131">
        <v>580</v>
      </c>
      <c r="AM55" s="145">
        <v>55</v>
      </c>
      <c r="AN55" s="133"/>
      <c r="AO55" s="131">
        <v>761</v>
      </c>
      <c r="AP55" s="145">
        <v>40</v>
      </c>
      <c r="AQ55" s="133"/>
      <c r="AR55" s="131"/>
      <c r="AS55" s="145"/>
      <c r="AT55" s="133"/>
      <c r="AU55" s="131">
        <v>14578</v>
      </c>
      <c r="AV55" s="145">
        <v>65</v>
      </c>
      <c r="AW55" s="133"/>
      <c r="AX55" s="131">
        <v>726</v>
      </c>
      <c r="AY55" s="145">
        <v>85</v>
      </c>
      <c r="AZ55" s="133"/>
      <c r="BA55" s="131">
        <v>72889</v>
      </c>
      <c r="BB55" s="145">
        <v>75</v>
      </c>
      <c r="BC55" s="133"/>
      <c r="BD55" s="131"/>
      <c r="BE55" s="145"/>
      <c r="BF55" s="133"/>
      <c r="BG55" s="131">
        <v>172</v>
      </c>
      <c r="BH55" s="145">
        <v>60</v>
      </c>
      <c r="BI55" s="133"/>
      <c r="BJ55" s="131"/>
      <c r="BK55" s="145"/>
      <c r="BL55" s="133"/>
      <c r="BM55" s="131"/>
      <c r="BN55" s="145"/>
      <c r="BO55" s="133"/>
      <c r="BP55" s="131"/>
      <c r="BQ55" s="145"/>
      <c r="BR55" s="133"/>
      <c r="BS55" s="131"/>
      <c r="BT55" s="145"/>
      <c r="BU55" s="133"/>
      <c r="BV55" s="131">
        <v>99</v>
      </c>
      <c r="BW55" s="145">
        <v>35</v>
      </c>
      <c r="BX55" s="133"/>
      <c r="BY55" s="131">
        <v>150</v>
      </c>
      <c r="BZ55" s="145"/>
      <c r="CA55" s="133"/>
      <c r="CB55" s="131">
        <v>73881</v>
      </c>
      <c r="CC55" s="145">
        <v>40</v>
      </c>
      <c r="CD55" s="133"/>
    </row>
    <row r="56" spans="1:94" x14ac:dyDescent="0.2">
      <c r="A56" s="533" t="s">
        <v>1373</v>
      </c>
      <c r="B56" s="131">
        <v>3735</v>
      </c>
      <c r="C56" s="145">
        <v>65</v>
      </c>
      <c r="D56" s="133"/>
      <c r="E56" s="131">
        <v>319</v>
      </c>
      <c r="F56" s="145">
        <v>40</v>
      </c>
      <c r="G56" s="133"/>
      <c r="H56" s="131">
        <v>47264</v>
      </c>
      <c r="I56" s="145">
        <v>50</v>
      </c>
      <c r="J56" s="133"/>
      <c r="K56" s="131">
        <v>4833</v>
      </c>
      <c r="L56" s="145">
        <v>60</v>
      </c>
      <c r="M56" s="133"/>
      <c r="N56" s="131">
        <v>5152</v>
      </c>
      <c r="O56" s="145">
        <v>40</v>
      </c>
      <c r="P56" s="133"/>
      <c r="Q56" s="131">
        <v>696</v>
      </c>
      <c r="R56" s="145">
        <v>20</v>
      </c>
      <c r="S56" s="133"/>
      <c r="T56" s="131">
        <v>1915</v>
      </c>
      <c r="U56" s="145">
        <v>65</v>
      </c>
      <c r="V56" s="133"/>
      <c r="W56" s="131">
        <v>656</v>
      </c>
      <c r="X56" s="145">
        <v>80</v>
      </c>
      <c r="Y56" s="133"/>
      <c r="Z56" s="131">
        <v>939</v>
      </c>
      <c r="AA56" s="145">
        <v>35</v>
      </c>
      <c r="AB56" s="133"/>
      <c r="AC56" s="131">
        <v>61</v>
      </c>
      <c r="AD56" s="145">
        <v>90</v>
      </c>
      <c r="AE56" s="133"/>
      <c r="AF56" s="131">
        <v>150</v>
      </c>
      <c r="AG56" s="145">
        <v>25</v>
      </c>
      <c r="AH56" s="133"/>
      <c r="AI56" s="131">
        <v>426</v>
      </c>
      <c r="AJ56" s="145">
        <v>25</v>
      </c>
      <c r="AK56" s="133"/>
      <c r="AL56" s="131">
        <v>1371</v>
      </c>
      <c r="AM56" s="145">
        <v>85</v>
      </c>
      <c r="AN56" s="133"/>
      <c r="AO56" s="131">
        <v>679</v>
      </c>
      <c r="AP56" s="145"/>
      <c r="AQ56" s="133"/>
      <c r="AR56" s="131"/>
      <c r="AS56" s="145"/>
      <c r="AT56" s="133"/>
      <c r="AU56" s="131">
        <v>17036</v>
      </c>
      <c r="AV56" s="145">
        <v>75</v>
      </c>
      <c r="AW56" s="133"/>
      <c r="AX56" s="131">
        <v>56</v>
      </c>
      <c r="AY56" s="145">
        <v>60</v>
      </c>
      <c r="AZ56" s="133"/>
      <c r="BA56" s="131">
        <v>85182</v>
      </c>
      <c r="BB56" s="145">
        <v>95</v>
      </c>
      <c r="BC56" s="133"/>
      <c r="BD56" s="131">
        <v>42619</v>
      </c>
      <c r="BE56" s="145">
        <v>40</v>
      </c>
      <c r="BF56" s="133"/>
      <c r="BG56" s="131"/>
      <c r="BH56" s="145"/>
      <c r="BI56" s="133"/>
      <c r="BJ56" s="131">
        <v>2</v>
      </c>
      <c r="BK56" s="145">
        <v>50</v>
      </c>
      <c r="BL56" s="133"/>
      <c r="BM56" s="131"/>
      <c r="BN56" s="145"/>
      <c r="BO56" s="133"/>
      <c r="BP56" s="131"/>
      <c r="BQ56" s="145"/>
      <c r="BR56" s="133"/>
      <c r="BS56" s="131"/>
      <c r="BT56" s="145"/>
      <c r="BU56" s="133"/>
      <c r="BV56" s="131">
        <v>180</v>
      </c>
      <c r="BW56" s="145">
        <v>70</v>
      </c>
      <c r="BX56" s="133"/>
      <c r="BY56" s="131"/>
      <c r="BZ56" s="145"/>
      <c r="CA56" s="133"/>
      <c r="CB56" s="131">
        <v>128158</v>
      </c>
      <c r="CC56" s="145">
        <v>45</v>
      </c>
      <c r="CD56" s="133"/>
    </row>
    <row r="57" spans="1:94" x14ac:dyDescent="0.2">
      <c r="A57" s="533" t="s">
        <v>1527</v>
      </c>
      <c r="B57" s="131">
        <v>342</v>
      </c>
      <c r="C57" s="145">
        <v>75</v>
      </c>
      <c r="D57" s="133"/>
      <c r="E57" s="131">
        <v>604</v>
      </c>
      <c r="F57" s="145">
        <v>15</v>
      </c>
      <c r="G57" s="133"/>
      <c r="H57" s="131">
        <v>12219</v>
      </c>
      <c r="I57" s="145">
        <v>75</v>
      </c>
      <c r="J57" s="133"/>
      <c r="K57" s="131">
        <v>10419</v>
      </c>
      <c r="L57" s="145">
        <v>50</v>
      </c>
      <c r="M57" s="133"/>
      <c r="N57" s="131">
        <v>18000</v>
      </c>
      <c r="O57" s="145">
        <v>40</v>
      </c>
      <c r="P57" s="133"/>
      <c r="Q57" s="131">
        <v>4871</v>
      </c>
      <c r="R57" s="145">
        <v>40</v>
      </c>
      <c r="S57" s="133"/>
      <c r="T57" s="131">
        <v>52677</v>
      </c>
      <c r="U57" s="145">
        <v>20</v>
      </c>
      <c r="V57" s="133"/>
      <c r="W57" s="131">
        <v>22295</v>
      </c>
      <c r="X57" s="145">
        <v>50</v>
      </c>
      <c r="Y57" s="133"/>
      <c r="Z57" s="131">
        <v>53472</v>
      </c>
      <c r="AA57" s="145">
        <v>70</v>
      </c>
      <c r="AB57" s="133"/>
      <c r="AC57" s="131">
        <v>1600</v>
      </c>
      <c r="AD57" s="145">
        <v>90</v>
      </c>
      <c r="AE57" s="133"/>
      <c r="AF57" s="131">
        <v>3392</v>
      </c>
      <c r="AG57" s="145"/>
      <c r="AH57" s="133"/>
      <c r="AI57" s="131">
        <v>12450</v>
      </c>
      <c r="AJ57" s="145">
        <v>60</v>
      </c>
      <c r="AK57" s="133"/>
      <c r="AL57" s="131">
        <v>7020</v>
      </c>
      <c r="AM57" s="145"/>
      <c r="AN57" s="133"/>
      <c r="AO57" s="131">
        <v>6392</v>
      </c>
      <c r="AP57" s="145">
        <v>40</v>
      </c>
      <c r="AQ57" s="133"/>
      <c r="AR57" s="131"/>
      <c r="AS57" s="145"/>
      <c r="AT57" s="133"/>
      <c r="AU57" s="131">
        <v>23256</v>
      </c>
      <c r="AV57" s="145">
        <v>30</v>
      </c>
      <c r="AW57" s="133"/>
      <c r="AX57" s="131">
        <v>112833</v>
      </c>
      <c r="AY57" s="145">
        <v>70</v>
      </c>
      <c r="AZ57" s="133"/>
      <c r="BA57" s="131">
        <v>116181</v>
      </c>
      <c r="BB57" s="145">
        <v>75</v>
      </c>
      <c r="BC57" s="133"/>
      <c r="BD57" s="131"/>
      <c r="BE57" s="145"/>
      <c r="BF57" s="133"/>
      <c r="BG57" s="131">
        <v>8</v>
      </c>
      <c r="BH57" s="145"/>
      <c r="BI57" s="133"/>
      <c r="BJ57" s="131"/>
      <c r="BK57" s="145"/>
      <c r="BL57" s="133"/>
      <c r="BM57" s="131"/>
      <c r="BN57" s="145"/>
      <c r="BO57" s="133"/>
      <c r="BP57" s="131">
        <v>317</v>
      </c>
      <c r="BQ57" s="145"/>
      <c r="BR57" s="133"/>
      <c r="BS57" s="131">
        <v>495</v>
      </c>
      <c r="BT57" s="145">
        <v>85</v>
      </c>
      <c r="BU57" s="133"/>
      <c r="BV57" s="131">
        <v>1006</v>
      </c>
      <c r="BW57" s="145">
        <v>10</v>
      </c>
      <c r="BX57" s="133"/>
      <c r="BY57" s="131">
        <v>113</v>
      </c>
      <c r="BZ57" s="145">
        <v>60</v>
      </c>
      <c r="CA57" s="133"/>
      <c r="CB57" s="131">
        <v>118122</v>
      </c>
      <c r="CC57" s="145">
        <v>30</v>
      </c>
      <c r="CD57" s="133"/>
    </row>
    <row r="58" spans="1:94" ht="30" customHeight="1" x14ac:dyDescent="0.2">
      <c r="A58" s="785" t="s">
        <v>5106</v>
      </c>
      <c r="B58" s="240">
        <v>78479</v>
      </c>
      <c r="C58" s="318">
        <v>81</v>
      </c>
      <c r="D58" s="241">
        <v>0.5</v>
      </c>
      <c r="E58" s="240">
        <v>29460</v>
      </c>
      <c r="F58" s="318">
        <v>69</v>
      </c>
      <c r="G58" s="241">
        <v>0.5</v>
      </c>
      <c r="H58" s="240">
        <v>933742</v>
      </c>
      <c r="I58" s="318">
        <v>29</v>
      </c>
      <c r="J58" s="241">
        <v>0.5</v>
      </c>
      <c r="K58" s="240">
        <v>357702</v>
      </c>
      <c r="L58" s="318">
        <v>46</v>
      </c>
      <c r="M58" s="241"/>
      <c r="N58" s="240">
        <v>519756</v>
      </c>
      <c r="O58" s="318">
        <v>42</v>
      </c>
      <c r="P58" s="241"/>
      <c r="Q58" s="240">
        <v>216144</v>
      </c>
      <c r="R58" s="318">
        <v>14</v>
      </c>
      <c r="S58" s="241">
        <v>0.5</v>
      </c>
      <c r="T58" s="240">
        <v>890845</v>
      </c>
      <c r="U58" s="318">
        <v>28</v>
      </c>
      <c r="V58" s="241"/>
      <c r="W58" s="240">
        <v>777188</v>
      </c>
      <c r="X58" s="318">
        <v>13</v>
      </c>
      <c r="Y58" s="241"/>
      <c r="Z58" s="240">
        <v>1376649</v>
      </c>
      <c r="AA58" s="318">
        <v>51</v>
      </c>
      <c r="AB58" s="241"/>
      <c r="AC58" s="240">
        <v>69506</v>
      </c>
      <c r="AD58" s="318">
        <v>18</v>
      </c>
      <c r="AE58" s="241"/>
      <c r="AF58" s="240">
        <v>158269</v>
      </c>
      <c r="AG58" s="318">
        <v>92</v>
      </c>
      <c r="AH58" s="241"/>
      <c r="AI58" s="240">
        <v>303659</v>
      </c>
      <c r="AJ58" s="318">
        <v>27</v>
      </c>
      <c r="AK58" s="241"/>
      <c r="AL58" s="240">
        <v>490191</v>
      </c>
      <c r="AM58" s="318">
        <v>92</v>
      </c>
      <c r="AN58" s="241"/>
      <c r="AO58" s="240">
        <v>468022</v>
      </c>
      <c r="AP58" s="318">
        <v>77</v>
      </c>
      <c r="AQ58" s="241"/>
      <c r="AR58" s="240">
        <v>129047</v>
      </c>
      <c r="AS58" s="318">
        <v>35</v>
      </c>
      <c r="AT58" s="241"/>
      <c r="AU58" s="240">
        <v>1614007</v>
      </c>
      <c r="AV58" s="318">
        <v>21</v>
      </c>
      <c r="AW58" s="241"/>
      <c r="AX58" s="240">
        <v>217500</v>
      </c>
      <c r="AY58" s="318">
        <v>60</v>
      </c>
      <c r="AZ58" s="241"/>
      <c r="BA58" s="240">
        <v>8195172</v>
      </c>
      <c r="BB58" s="318">
        <v>77</v>
      </c>
      <c r="BC58" s="241"/>
      <c r="BD58" s="240">
        <v>99188</v>
      </c>
      <c r="BE58" s="318">
        <v>10</v>
      </c>
      <c r="BF58" s="241"/>
      <c r="BG58" s="240">
        <v>18140</v>
      </c>
      <c r="BH58" s="318">
        <v>80</v>
      </c>
      <c r="BI58" s="241"/>
      <c r="BJ58" s="240">
        <v>108</v>
      </c>
      <c r="BK58" s="318"/>
      <c r="BL58" s="241"/>
      <c r="BM58" s="240">
        <v>1161</v>
      </c>
      <c r="BN58" s="318">
        <v>5</v>
      </c>
      <c r="BO58" s="241"/>
      <c r="BP58" s="240">
        <v>2938</v>
      </c>
      <c r="BQ58" s="318">
        <v>30</v>
      </c>
      <c r="BR58" s="241"/>
      <c r="BS58" s="240">
        <v>8291</v>
      </c>
      <c r="BT58" s="318">
        <v>90</v>
      </c>
      <c r="BU58" s="241"/>
      <c r="BV58" s="240">
        <v>24030</v>
      </c>
      <c r="BW58" s="318">
        <v>50</v>
      </c>
      <c r="BX58" s="241"/>
      <c r="BY58" s="240">
        <v>9362</v>
      </c>
      <c r="BZ58" s="318">
        <v>74</v>
      </c>
      <c r="CA58" s="241"/>
      <c r="CB58" s="240">
        <v>8358394</v>
      </c>
      <c r="CC58" s="318">
        <v>16</v>
      </c>
      <c r="CD58" s="241"/>
      <c r="CE58" s="107">
        <f>F7</f>
        <v>8384671</v>
      </c>
    </row>
    <row r="59" spans="1:94" x14ac:dyDescent="0.2">
      <c r="B59" s="393">
        <f>+SUM(B48:B57)</f>
        <v>78475</v>
      </c>
      <c r="C59" s="393">
        <f t="shared" ref="C59:BN59" si="1">+SUM(C48:C57)</f>
        <v>481</v>
      </c>
      <c r="D59" s="1078">
        <f t="shared" si="1"/>
        <v>0.5</v>
      </c>
      <c r="E59" s="393">
        <f t="shared" si="1"/>
        <v>29455</v>
      </c>
      <c r="F59" s="393">
        <f t="shared" si="1"/>
        <v>569</v>
      </c>
      <c r="G59" s="1078">
        <f t="shared" si="1"/>
        <v>0.5</v>
      </c>
      <c r="H59" s="393">
        <f t="shared" si="1"/>
        <v>933737</v>
      </c>
      <c r="I59" s="393">
        <f t="shared" si="1"/>
        <v>529</v>
      </c>
      <c r="J59" s="1078">
        <f t="shared" si="1"/>
        <v>0.5</v>
      </c>
      <c r="K59" s="393">
        <f t="shared" si="1"/>
        <v>357697</v>
      </c>
      <c r="L59" s="393">
        <f t="shared" si="1"/>
        <v>546</v>
      </c>
      <c r="M59" s="1078">
        <f t="shared" si="1"/>
        <v>0</v>
      </c>
      <c r="N59" s="393">
        <f t="shared" si="1"/>
        <v>519752</v>
      </c>
      <c r="O59" s="393">
        <f t="shared" si="1"/>
        <v>442</v>
      </c>
      <c r="P59" s="1078">
        <f t="shared" si="1"/>
        <v>0</v>
      </c>
      <c r="Q59" s="393">
        <f t="shared" si="1"/>
        <v>216139</v>
      </c>
      <c r="R59" s="393">
        <f t="shared" si="1"/>
        <v>514</v>
      </c>
      <c r="S59" s="1078">
        <f t="shared" si="1"/>
        <v>0.5</v>
      </c>
      <c r="T59" s="393">
        <f t="shared" si="1"/>
        <v>890840</v>
      </c>
      <c r="U59" s="393">
        <f t="shared" si="1"/>
        <v>528</v>
      </c>
      <c r="V59" s="1078">
        <f t="shared" si="1"/>
        <v>0</v>
      </c>
      <c r="W59" s="393">
        <f t="shared" si="1"/>
        <v>777183</v>
      </c>
      <c r="X59" s="393">
        <f t="shared" si="1"/>
        <v>513</v>
      </c>
      <c r="Y59" s="1078">
        <f t="shared" si="1"/>
        <v>0</v>
      </c>
      <c r="Z59" s="393">
        <f t="shared" si="1"/>
        <v>1376645</v>
      </c>
      <c r="AA59" s="393">
        <f t="shared" si="1"/>
        <v>451</v>
      </c>
      <c r="AB59" s="1078">
        <f t="shared" si="1"/>
        <v>0</v>
      </c>
      <c r="AC59" s="393">
        <f t="shared" si="1"/>
        <v>69500</v>
      </c>
      <c r="AD59" s="393">
        <f t="shared" si="1"/>
        <v>618</v>
      </c>
      <c r="AE59" s="1078">
        <f t="shared" si="1"/>
        <v>0</v>
      </c>
      <c r="AF59" s="393">
        <f t="shared" si="1"/>
        <v>158265</v>
      </c>
      <c r="AG59" s="393">
        <f t="shared" si="1"/>
        <v>492</v>
      </c>
      <c r="AH59" s="1078">
        <f t="shared" si="1"/>
        <v>0</v>
      </c>
      <c r="AI59" s="393">
        <f t="shared" si="1"/>
        <v>303655</v>
      </c>
      <c r="AJ59" s="393">
        <f t="shared" si="1"/>
        <v>427</v>
      </c>
      <c r="AK59" s="1078">
        <f t="shared" si="1"/>
        <v>0</v>
      </c>
      <c r="AL59" s="393">
        <f t="shared" si="1"/>
        <v>490189</v>
      </c>
      <c r="AM59" s="393">
        <f t="shared" si="1"/>
        <v>292</v>
      </c>
      <c r="AN59" s="1078">
        <f t="shared" si="1"/>
        <v>0</v>
      </c>
      <c r="AO59" s="393">
        <f t="shared" si="1"/>
        <v>468018</v>
      </c>
      <c r="AP59" s="1137">
        <f t="shared" si="1"/>
        <v>467</v>
      </c>
      <c r="AQ59" s="1078">
        <f t="shared" si="1"/>
        <v>0</v>
      </c>
      <c r="AR59" s="393">
        <f t="shared" si="1"/>
        <v>129044</v>
      </c>
      <c r="AS59" s="393">
        <f t="shared" si="1"/>
        <v>335</v>
      </c>
      <c r="AT59" s="1078">
        <f t="shared" si="1"/>
        <v>0</v>
      </c>
      <c r="AU59" s="393">
        <f t="shared" si="1"/>
        <v>1614002</v>
      </c>
      <c r="AV59" s="393">
        <f t="shared" si="1"/>
        <v>521</v>
      </c>
      <c r="AW59" s="1078">
        <f t="shared" si="1"/>
        <v>0</v>
      </c>
      <c r="AX59" s="393">
        <f t="shared" si="1"/>
        <v>217496</v>
      </c>
      <c r="AY59" s="393">
        <f t="shared" si="1"/>
        <v>460</v>
      </c>
      <c r="AZ59" s="1078">
        <f t="shared" si="1"/>
        <v>0</v>
      </c>
      <c r="BA59" s="393">
        <f t="shared" si="1"/>
        <v>8195168</v>
      </c>
      <c r="BB59" s="393">
        <f t="shared" si="1"/>
        <v>477</v>
      </c>
      <c r="BC59" s="1078">
        <f t="shared" si="1"/>
        <v>0</v>
      </c>
      <c r="BD59" s="393">
        <f t="shared" si="1"/>
        <v>99186</v>
      </c>
      <c r="BE59" s="393">
        <f t="shared" si="1"/>
        <v>210</v>
      </c>
      <c r="BF59" s="1078">
        <f t="shared" si="1"/>
        <v>0</v>
      </c>
      <c r="BG59" s="393">
        <f t="shared" si="1"/>
        <v>18138</v>
      </c>
      <c r="BH59" s="393">
        <f t="shared" si="1"/>
        <v>280</v>
      </c>
      <c r="BI59" s="1078">
        <f t="shared" si="1"/>
        <v>0</v>
      </c>
      <c r="BJ59" s="393">
        <f t="shared" si="1"/>
        <v>107</v>
      </c>
      <c r="BK59" s="393">
        <f t="shared" si="1"/>
        <v>100</v>
      </c>
      <c r="BL59" s="1078">
        <f t="shared" si="1"/>
        <v>0</v>
      </c>
      <c r="BM59" s="393">
        <f t="shared" si="1"/>
        <v>1161</v>
      </c>
      <c r="BN59" s="393">
        <f t="shared" si="1"/>
        <v>5</v>
      </c>
      <c r="BO59" s="1078">
        <f t="shared" ref="BO59:CD59" si="2">+SUM(BO48:BO57)</f>
        <v>0</v>
      </c>
      <c r="BP59" s="393">
        <f t="shared" si="2"/>
        <v>2937</v>
      </c>
      <c r="BQ59" s="393">
        <f t="shared" si="2"/>
        <v>130</v>
      </c>
      <c r="BR59" s="1078">
        <f t="shared" si="2"/>
        <v>0</v>
      </c>
      <c r="BS59" s="393">
        <f t="shared" si="2"/>
        <v>8291</v>
      </c>
      <c r="BT59" s="393">
        <f t="shared" si="2"/>
        <v>90</v>
      </c>
      <c r="BU59" s="1078">
        <f t="shared" si="2"/>
        <v>0</v>
      </c>
      <c r="BV59" s="1137">
        <f t="shared" si="2"/>
        <v>24023</v>
      </c>
      <c r="BW59" s="393">
        <f t="shared" si="2"/>
        <v>550</v>
      </c>
      <c r="BX59" s="1078">
        <f t="shared" si="2"/>
        <v>0</v>
      </c>
      <c r="BY59" s="393">
        <f t="shared" si="2"/>
        <v>9361</v>
      </c>
      <c r="BZ59" s="393">
        <f t="shared" si="2"/>
        <v>174</v>
      </c>
      <c r="CA59" s="1078">
        <f t="shared" si="2"/>
        <v>0</v>
      </c>
      <c r="CB59" s="393">
        <f t="shared" si="2"/>
        <v>8358391</v>
      </c>
      <c r="CC59" s="1137">
        <f t="shared" si="2"/>
        <v>346</v>
      </c>
      <c r="CD59" s="1078">
        <f t="shared" si="2"/>
        <v>0</v>
      </c>
    </row>
    <row r="60" spans="1:94" x14ac:dyDescent="0.2">
      <c r="BA60" s="393">
        <f>B59+E59+H59+K59+N59+Q59+T59+W59+Z59+AC59+AF59+AI59+AL59+AO59+AR59+AU59-AX59+BB60/8</f>
        <v>8196008.125</v>
      </c>
      <c r="BB60" s="393">
        <f t="shared" ref="BB60:BC60" si="3">C59+F59+I59+L59+O59+R59+U59+X59+AA59+AD59+AG59+AJ59+AM59+AP59+AS59+AV59-AY59</f>
        <v>7265</v>
      </c>
      <c r="BC60" s="393">
        <f t="shared" si="3"/>
        <v>2</v>
      </c>
      <c r="CB60" s="107">
        <f>F7</f>
        <v>8384671</v>
      </c>
    </row>
    <row r="61" spans="1:94" x14ac:dyDescent="0.2">
      <c r="CB61" s="107">
        <f>L7</f>
        <v>9259910</v>
      </c>
    </row>
    <row r="62" spans="1:94" x14ac:dyDescent="0.2">
      <c r="A62" s="526" t="s">
        <v>1182</v>
      </c>
    </row>
    <row r="63" spans="1:94" ht="27.5" customHeight="1" x14ac:dyDescent="0.2">
      <c r="A63" s="1287">
        <v>1893</v>
      </c>
      <c r="B63" s="1288"/>
      <c r="C63" s="1288"/>
      <c r="D63" s="1288"/>
      <c r="E63" s="1288"/>
      <c r="F63" s="1288"/>
      <c r="G63" s="1288"/>
      <c r="H63" s="1288"/>
      <c r="I63" s="1288"/>
      <c r="J63" s="1288"/>
      <c r="K63" s="1288"/>
      <c r="L63" s="1288"/>
      <c r="M63" s="1288"/>
      <c r="N63" s="1288"/>
      <c r="O63" s="1288"/>
      <c r="P63" s="1288"/>
      <c r="Q63" s="1288"/>
      <c r="R63" s="1288"/>
      <c r="S63" s="1288"/>
      <c r="T63" s="1288"/>
      <c r="U63" s="1288"/>
      <c r="V63" s="1288"/>
      <c r="W63" s="1288"/>
      <c r="X63" s="1288"/>
      <c r="Y63" s="1288"/>
      <c r="Z63" s="1288"/>
      <c r="AA63" s="1288"/>
      <c r="AB63" s="1288"/>
      <c r="AC63" s="1288"/>
      <c r="AD63" s="1288"/>
      <c r="AE63" s="1288"/>
      <c r="AF63" s="1288"/>
      <c r="AG63" s="1288"/>
      <c r="AH63" s="1288"/>
      <c r="AI63" s="1288"/>
      <c r="AJ63" s="1288"/>
      <c r="AK63" s="1288"/>
      <c r="AL63" s="1288"/>
      <c r="AM63" s="1288"/>
      <c r="AN63" s="1288"/>
      <c r="AO63" s="1288"/>
      <c r="AP63" s="1288"/>
      <c r="AQ63" s="1288"/>
      <c r="AR63" s="1288"/>
      <c r="AS63" s="1288"/>
      <c r="AT63" s="1288"/>
      <c r="AU63" s="1288"/>
      <c r="AV63" s="1288"/>
      <c r="AW63" s="1288"/>
      <c r="AX63" s="1288"/>
      <c r="AY63" s="1288"/>
      <c r="AZ63" s="1288"/>
      <c r="BA63" s="1288"/>
      <c r="BB63" s="1288"/>
      <c r="BC63" s="1288"/>
      <c r="BD63" s="1288"/>
      <c r="BE63" s="1288"/>
      <c r="BF63" s="1288"/>
      <c r="BG63" s="1288"/>
      <c r="BH63" s="1288"/>
      <c r="BI63" s="1288"/>
      <c r="BJ63" s="1288"/>
      <c r="BK63" s="1288"/>
      <c r="BL63" s="1288"/>
      <c r="BM63" s="1288"/>
      <c r="BN63" s="1288"/>
      <c r="BO63" s="1288"/>
      <c r="BP63" s="1288"/>
      <c r="BQ63" s="1288"/>
      <c r="BR63" s="1288"/>
      <c r="BS63" s="1288"/>
      <c r="BT63" s="1288"/>
      <c r="BU63" s="1288"/>
      <c r="BV63" s="1288"/>
      <c r="BW63" s="1288"/>
      <c r="BX63" s="1288"/>
      <c r="BY63" s="1288"/>
      <c r="BZ63" s="1288"/>
      <c r="CA63" s="1288"/>
      <c r="CB63" s="1288"/>
      <c r="CC63" s="1288"/>
      <c r="CD63" s="1288"/>
      <c r="CE63" s="1288"/>
      <c r="CF63" s="1288"/>
      <c r="CG63" s="1288"/>
      <c r="CH63" s="1288"/>
      <c r="CI63" s="1288"/>
      <c r="CJ63" s="1288"/>
      <c r="CK63" s="1288"/>
      <c r="CL63" s="1288"/>
      <c r="CM63" s="1288"/>
      <c r="CN63" s="1288"/>
      <c r="CO63" s="1288"/>
      <c r="CP63" s="1289"/>
    </row>
    <row r="64" spans="1:94" ht="23.5" customHeight="1" x14ac:dyDescent="0.2">
      <c r="A64" s="838" t="s">
        <v>1227</v>
      </c>
      <c r="B64" s="616" t="s">
        <v>4714</v>
      </c>
      <c r="C64" s="617"/>
      <c r="D64" s="617"/>
      <c r="E64" s="617"/>
      <c r="F64" s="617"/>
      <c r="G64" s="617"/>
      <c r="H64" s="617"/>
      <c r="I64" s="617"/>
      <c r="J64" s="617"/>
      <c r="K64" s="617"/>
      <c r="L64" s="617"/>
      <c r="M64" s="617"/>
      <c r="N64" s="617"/>
      <c r="O64" s="617"/>
      <c r="P64" s="617"/>
      <c r="Q64" s="617"/>
      <c r="R64" s="617"/>
      <c r="S64" s="617"/>
      <c r="T64" s="617"/>
      <c r="U64" s="617"/>
      <c r="V64" s="617"/>
      <c r="W64" s="617"/>
      <c r="X64" s="617"/>
      <c r="Y64" s="617"/>
      <c r="Z64" s="617"/>
      <c r="AA64" s="617"/>
      <c r="AB64" s="617"/>
      <c r="AC64" s="617"/>
      <c r="AD64" s="617"/>
      <c r="AE64" s="617"/>
      <c r="AF64" s="617"/>
      <c r="AG64" s="617"/>
      <c r="AH64" s="617"/>
      <c r="AI64" s="617"/>
      <c r="AJ64" s="617"/>
      <c r="AK64" s="617"/>
      <c r="AL64" s="617"/>
      <c r="AM64" s="617"/>
      <c r="AN64" s="617"/>
      <c r="AO64" s="617"/>
      <c r="AP64" s="617"/>
      <c r="AQ64" s="617"/>
      <c r="AR64" s="617"/>
      <c r="AS64" s="617"/>
      <c r="AT64" s="617"/>
      <c r="AU64" s="617"/>
      <c r="AV64" s="617"/>
      <c r="AW64" s="617"/>
      <c r="AX64" s="617"/>
      <c r="AY64" s="617"/>
      <c r="AZ64" s="617"/>
      <c r="BA64" s="617"/>
      <c r="BB64" s="617"/>
      <c r="BC64" s="617"/>
      <c r="BD64" s="617"/>
      <c r="BE64" s="617"/>
      <c r="BF64" s="617"/>
      <c r="BG64" s="617"/>
      <c r="BH64" s="617"/>
      <c r="BI64" s="618"/>
      <c r="BJ64" s="1141" t="s">
        <v>5081</v>
      </c>
      <c r="BK64" s="1141"/>
      <c r="BL64" s="1141"/>
      <c r="BM64" s="1141" t="s">
        <v>5107</v>
      </c>
      <c r="BN64" s="1141"/>
      <c r="BO64" s="1141"/>
      <c r="BP64" s="1141" t="s">
        <v>5082</v>
      </c>
      <c r="BQ64" s="1141"/>
      <c r="BR64" s="1141"/>
      <c r="BS64" s="1141" t="s">
        <v>5108</v>
      </c>
      <c r="BT64" s="1141"/>
      <c r="BU64" s="1141"/>
      <c r="BV64" s="1141" t="s">
        <v>4970</v>
      </c>
      <c r="BW64" s="1141"/>
      <c r="BX64" s="1141"/>
      <c r="BY64" s="1141" t="s">
        <v>5109</v>
      </c>
      <c r="BZ64" s="1141"/>
      <c r="CA64" s="1141"/>
      <c r="CB64" s="1141" t="s">
        <v>5110</v>
      </c>
      <c r="CC64" s="1141"/>
      <c r="CD64" s="1141"/>
      <c r="CE64" s="1141" t="s">
        <v>5111</v>
      </c>
      <c r="CF64" s="1141"/>
      <c r="CG64" s="1141"/>
      <c r="CH64" s="1141" t="s">
        <v>4973</v>
      </c>
      <c r="CI64" s="1141"/>
      <c r="CJ64" s="1141"/>
      <c r="CK64" s="1141" t="s">
        <v>4977</v>
      </c>
      <c r="CL64" s="1141"/>
      <c r="CM64" s="1141"/>
      <c r="CN64" s="1141" t="s">
        <v>5112</v>
      </c>
      <c r="CO64" s="1141"/>
      <c r="CP64" s="1141"/>
    </row>
    <row r="65" spans="1:95" ht="35.5" customHeight="1" x14ac:dyDescent="0.2">
      <c r="A65" s="838"/>
      <c r="B65" s="1141" t="s">
        <v>5113</v>
      </c>
      <c r="C65" s="1141"/>
      <c r="D65" s="1141"/>
      <c r="E65" s="1141" t="s">
        <v>5087</v>
      </c>
      <c r="F65" s="1141"/>
      <c r="G65" s="1141"/>
      <c r="H65" s="1141" t="s">
        <v>5088</v>
      </c>
      <c r="I65" s="1141"/>
      <c r="J65" s="1141"/>
      <c r="K65" s="1141" t="s">
        <v>5089</v>
      </c>
      <c r="L65" s="1141"/>
      <c r="M65" s="1141"/>
      <c r="N65" s="1141" t="s">
        <v>5090</v>
      </c>
      <c r="O65" s="1141"/>
      <c r="P65" s="1141"/>
      <c r="Q65" s="1141" t="s">
        <v>5091</v>
      </c>
      <c r="R65" s="1141"/>
      <c r="S65" s="1141"/>
      <c r="T65" s="1141" t="s">
        <v>5092</v>
      </c>
      <c r="U65" s="1141"/>
      <c r="V65" s="1141"/>
      <c r="W65" s="1141" t="s">
        <v>5093</v>
      </c>
      <c r="X65" s="1141"/>
      <c r="Y65" s="1141"/>
      <c r="Z65" s="1141" t="s">
        <v>5094</v>
      </c>
      <c r="AA65" s="1141"/>
      <c r="AB65" s="1141"/>
      <c r="AC65" s="1141" t="s">
        <v>5095</v>
      </c>
      <c r="AD65" s="1141"/>
      <c r="AE65" s="1141"/>
      <c r="AF65" s="1141" t="s">
        <v>5096</v>
      </c>
      <c r="AG65" s="1141"/>
      <c r="AH65" s="1141"/>
      <c r="AI65" s="1141" t="s">
        <v>5097</v>
      </c>
      <c r="AJ65" s="1141"/>
      <c r="AK65" s="1141"/>
      <c r="AL65" s="1141" t="s">
        <v>5098</v>
      </c>
      <c r="AM65" s="1141"/>
      <c r="AN65" s="1141"/>
      <c r="AO65" s="1141" t="s">
        <v>5099</v>
      </c>
      <c r="AP65" s="1141"/>
      <c r="AQ65" s="1141"/>
      <c r="AR65" s="1141" t="s">
        <v>5100</v>
      </c>
      <c r="AS65" s="1141"/>
      <c r="AT65" s="1141"/>
      <c r="AU65" s="1141" t="s">
        <v>5101</v>
      </c>
      <c r="AV65" s="1141"/>
      <c r="AW65" s="1141"/>
      <c r="AX65" s="1141" t="s">
        <v>5114</v>
      </c>
      <c r="AY65" s="1141"/>
      <c r="AZ65" s="1141"/>
      <c r="BA65" s="1141" t="s">
        <v>5115</v>
      </c>
      <c r="BB65" s="1141"/>
      <c r="BC65" s="1141"/>
      <c r="BD65" s="1141" t="s">
        <v>5102</v>
      </c>
      <c r="BE65" s="1141"/>
      <c r="BF65" s="1141"/>
      <c r="BG65" s="1141" t="s">
        <v>1170</v>
      </c>
      <c r="BH65" s="1141"/>
      <c r="BI65" s="1141"/>
      <c r="BJ65" s="1141"/>
      <c r="BK65" s="1141"/>
      <c r="BL65" s="1141"/>
      <c r="BM65" s="1141" t="s">
        <v>3272</v>
      </c>
      <c r="BN65" s="1141"/>
      <c r="BO65" s="1141"/>
      <c r="BP65" s="1141"/>
      <c r="BQ65" s="1141"/>
      <c r="BR65" s="1141"/>
      <c r="BS65" s="1141"/>
      <c r="BT65" s="1141"/>
      <c r="BU65" s="1141"/>
      <c r="BV65" s="1141" t="s">
        <v>3272</v>
      </c>
      <c r="BW65" s="1141"/>
      <c r="BX65" s="1141"/>
      <c r="BY65" s="1141" t="s">
        <v>3272</v>
      </c>
      <c r="BZ65" s="1141"/>
      <c r="CA65" s="1141"/>
      <c r="CB65" s="1141" t="s">
        <v>3272</v>
      </c>
      <c r="CC65" s="1141"/>
      <c r="CD65" s="1141"/>
      <c r="CE65" s="1141" t="s">
        <v>3272</v>
      </c>
      <c r="CF65" s="1141"/>
      <c r="CG65" s="1141"/>
      <c r="CH65" s="1141" t="s">
        <v>3272</v>
      </c>
      <c r="CI65" s="1141"/>
      <c r="CJ65" s="1141"/>
      <c r="CK65" s="1141" t="s">
        <v>3272</v>
      </c>
      <c r="CL65" s="1141"/>
      <c r="CM65" s="1141"/>
      <c r="CN65" s="1141" t="s">
        <v>3272</v>
      </c>
      <c r="CO65" s="1141"/>
      <c r="CP65" s="1141"/>
    </row>
    <row r="66" spans="1:95" x14ac:dyDescent="0.2">
      <c r="A66" s="533" t="s">
        <v>5103</v>
      </c>
      <c r="B66" s="349">
        <v>175</v>
      </c>
      <c r="C66" s="350">
        <v>10</v>
      </c>
      <c r="D66" s="352"/>
      <c r="E66" s="349">
        <v>58</v>
      </c>
      <c r="F66" s="350">
        <v>95</v>
      </c>
      <c r="G66" s="352"/>
      <c r="H66" s="349">
        <v>2532</v>
      </c>
      <c r="I66" s="350">
        <v>95</v>
      </c>
      <c r="J66" s="352"/>
      <c r="K66" s="349">
        <v>1352</v>
      </c>
      <c r="L66" s="350">
        <v>90</v>
      </c>
      <c r="M66" s="352"/>
      <c r="N66" s="349">
        <v>8243</v>
      </c>
      <c r="O66" s="350">
        <v>60</v>
      </c>
      <c r="P66" s="352"/>
      <c r="Q66" s="349">
        <v>1760</v>
      </c>
      <c r="R66" s="350">
        <v>75</v>
      </c>
      <c r="S66" s="352"/>
      <c r="T66" s="349">
        <v>1995</v>
      </c>
      <c r="U66" s="350">
        <v>40</v>
      </c>
      <c r="V66" s="352"/>
      <c r="W66" s="349">
        <v>2614</v>
      </c>
      <c r="X66" s="350"/>
      <c r="Y66" s="352"/>
      <c r="Z66" s="349">
        <v>3960</v>
      </c>
      <c r="AA66" s="350">
        <v>90</v>
      </c>
      <c r="AB66" s="352"/>
      <c r="AC66" s="349">
        <v>37</v>
      </c>
      <c r="AD66" s="350">
        <v>10</v>
      </c>
      <c r="AE66" s="352"/>
      <c r="AF66" s="349">
        <v>183</v>
      </c>
      <c r="AG66" s="350">
        <v>60</v>
      </c>
      <c r="AH66" s="352"/>
      <c r="AI66" s="349">
        <v>958</v>
      </c>
      <c r="AJ66" s="350">
        <v>95</v>
      </c>
      <c r="AK66" s="352"/>
      <c r="AL66" s="349">
        <v>892</v>
      </c>
      <c r="AM66" s="350"/>
      <c r="AN66" s="352"/>
      <c r="AO66" s="349">
        <v>495</v>
      </c>
      <c r="AP66" s="350"/>
      <c r="AQ66" s="352"/>
      <c r="AR66" s="349">
        <v>1791</v>
      </c>
      <c r="AS66" s="350">
        <v>15</v>
      </c>
      <c r="AT66" s="352"/>
      <c r="AU66" s="349">
        <v>3397</v>
      </c>
      <c r="AV66" s="350">
        <v>80</v>
      </c>
      <c r="AW66" s="352"/>
      <c r="AX66" s="349">
        <v>901</v>
      </c>
      <c r="AY66" s="350">
        <v>40</v>
      </c>
      <c r="AZ66" s="352"/>
      <c r="BA66" s="349"/>
      <c r="BB66" s="350"/>
      <c r="BC66" s="352"/>
      <c r="BD66" s="349">
        <v>8433</v>
      </c>
      <c r="BE66" s="350">
        <v>30</v>
      </c>
      <c r="BF66" s="352"/>
      <c r="BG66" s="349">
        <v>17918</v>
      </c>
      <c r="BH66" s="350">
        <v>25</v>
      </c>
      <c r="BI66" s="352"/>
      <c r="BJ66" s="349"/>
      <c r="BK66" s="350"/>
      <c r="BL66" s="352"/>
      <c r="BM66" s="349"/>
      <c r="BN66" s="350"/>
      <c r="BO66" s="352"/>
      <c r="BP66" s="349"/>
      <c r="BQ66" s="350"/>
      <c r="BR66" s="352"/>
      <c r="BS66" s="349"/>
      <c r="BT66" s="350"/>
      <c r="BU66" s="352"/>
      <c r="BV66" s="349"/>
      <c r="BW66" s="350"/>
      <c r="BX66" s="352"/>
      <c r="BY66" s="349"/>
      <c r="BZ66" s="350"/>
      <c r="CA66" s="352"/>
      <c r="CB66" s="349"/>
      <c r="CC66" s="350"/>
      <c r="CD66" s="352"/>
      <c r="CE66" s="349"/>
      <c r="CF66" s="350"/>
      <c r="CG66" s="352"/>
      <c r="CH66" s="349"/>
      <c r="CI66" s="350"/>
      <c r="CJ66" s="352"/>
      <c r="CK66" s="349"/>
      <c r="CL66" s="350"/>
      <c r="CM66" s="352"/>
      <c r="CN66" s="349">
        <v>17918</v>
      </c>
      <c r="CO66" s="350">
        <v>25</v>
      </c>
      <c r="CP66" s="352"/>
    </row>
    <row r="67" spans="1:95" x14ac:dyDescent="0.2">
      <c r="A67" s="533" t="s">
        <v>3668</v>
      </c>
      <c r="B67" s="131">
        <v>35440</v>
      </c>
      <c r="C67" s="145">
        <v>25</v>
      </c>
      <c r="D67" s="133"/>
      <c r="E67" s="131">
        <v>11868</v>
      </c>
      <c r="F67" s="145">
        <v>60</v>
      </c>
      <c r="G67" s="133"/>
      <c r="H67" s="131">
        <v>343367</v>
      </c>
      <c r="I67" s="145">
        <v>80</v>
      </c>
      <c r="J67" s="133"/>
      <c r="K67" s="131">
        <v>149250</v>
      </c>
      <c r="L67" s="145">
        <v>40</v>
      </c>
      <c r="M67" s="133"/>
      <c r="N67" s="131">
        <v>374620</v>
      </c>
      <c r="O67" s="145">
        <v>45</v>
      </c>
      <c r="P67" s="133"/>
      <c r="Q67" s="131">
        <v>155573</v>
      </c>
      <c r="R67" s="145"/>
      <c r="S67" s="133"/>
      <c r="T67" s="131">
        <v>712538</v>
      </c>
      <c r="U67" s="145">
        <v>40</v>
      </c>
      <c r="V67" s="133"/>
      <c r="W67" s="131">
        <v>435745</v>
      </c>
      <c r="X67" s="145">
        <v>70</v>
      </c>
      <c r="Y67" s="133"/>
      <c r="Z67" s="131">
        <v>832082</v>
      </c>
      <c r="AA67" s="145"/>
      <c r="AB67" s="133"/>
      <c r="AC67" s="131">
        <v>36105</v>
      </c>
      <c r="AD67" s="145">
        <v>80</v>
      </c>
      <c r="AE67" s="133"/>
      <c r="AF67" s="131">
        <v>110886</v>
      </c>
      <c r="AG67" s="145">
        <v>50</v>
      </c>
      <c r="AH67" s="133"/>
      <c r="AI67" s="131">
        <v>209141</v>
      </c>
      <c r="AJ67" s="145">
        <v>10</v>
      </c>
      <c r="AK67" s="133"/>
      <c r="AL67" s="131">
        <v>404061</v>
      </c>
      <c r="AM67" s="145">
        <v>15</v>
      </c>
      <c r="AN67" s="133"/>
      <c r="AO67" s="131">
        <v>405762</v>
      </c>
      <c r="AP67" s="145">
        <v>45</v>
      </c>
      <c r="AQ67" s="133"/>
      <c r="AR67" s="131">
        <v>54</v>
      </c>
      <c r="AS67" s="145">
        <v>25</v>
      </c>
      <c r="AT67" s="133"/>
      <c r="AU67" s="131">
        <v>1068405</v>
      </c>
      <c r="AV67" s="145">
        <v>55</v>
      </c>
      <c r="AW67" s="133"/>
      <c r="AX67" s="131">
        <v>120431</v>
      </c>
      <c r="AY67" s="145"/>
      <c r="AZ67" s="133"/>
      <c r="BA67" s="131">
        <v>1346</v>
      </c>
      <c r="BB67" s="145">
        <v>95</v>
      </c>
      <c r="BC67" s="133"/>
      <c r="BD67" s="131"/>
      <c r="BE67" s="145"/>
      <c r="BF67" s="133"/>
      <c r="BG67" s="131">
        <v>5406681</v>
      </c>
      <c r="BH67" s="145">
        <v>45</v>
      </c>
      <c r="BI67" s="133"/>
      <c r="BJ67" s="131">
        <v>273367</v>
      </c>
      <c r="BK67" s="145">
        <v>60</v>
      </c>
      <c r="BL67" s="133"/>
      <c r="BM67" s="131"/>
      <c r="BN67" s="145"/>
      <c r="BO67" s="133"/>
      <c r="BP67" s="131">
        <v>3083</v>
      </c>
      <c r="BQ67" s="145">
        <v>70</v>
      </c>
      <c r="BR67" s="133"/>
      <c r="BS67" s="131">
        <v>36</v>
      </c>
      <c r="BT67" s="145"/>
      <c r="BU67" s="133"/>
      <c r="BV67" s="131">
        <v>250</v>
      </c>
      <c r="BW67" s="145">
        <v>70</v>
      </c>
      <c r="BX67" s="133"/>
      <c r="BY67" s="131"/>
      <c r="BZ67" s="145"/>
      <c r="CA67" s="133"/>
      <c r="CB67" s="131">
        <v>15000</v>
      </c>
      <c r="CC67" s="145">
        <v>25</v>
      </c>
      <c r="CD67" s="133"/>
      <c r="CE67" s="131"/>
      <c r="CF67" s="145"/>
      <c r="CG67" s="133"/>
      <c r="CH67" s="131">
        <v>437</v>
      </c>
      <c r="CI67" s="145">
        <v>25</v>
      </c>
      <c r="CJ67" s="133"/>
      <c r="CK67" s="131">
        <v>8212</v>
      </c>
      <c r="CL67" s="145">
        <v>75</v>
      </c>
      <c r="CM67" s="133"/>
      <c r="CN67" s="131">
        <v>5707069</v>
      </c>
      <c r="CO67" s="145">
        <v>70</v>
      </c>
      <c r="CP67" s="133"/>
    </row>
    <row r="68" spans="1:95" x14ac:dyDescent="0.2">
      <c r="A68" s="533" t="s">
        <v>1517</v>
      </c>
      <c r="B68" s="131">
        <v>1168</v>
      </c>
      <c r="C68" s="145">
        <v>45</v>
      </c>
      <c r="D68" s="133"/>
      <c r="E68" s="131">
        <v>581</v>
      </c>
      <c r="F68" s="145">
        <v>10</v>
      </c>
      <c r="G68" s="133"/>
      <c r="H68" s="131">
        <v>18935</v>
      </c>
      <c r="I68" s="145">
        <v>20</v>
      </c>
      <c r="J68" s="133"/>
      <c r="K68" s="131">
        <v>12845</v>
      </c>
      <c r="L68" s="145">
        <v>60</v>
      </c>
      <c r="M68" s="133"/>
      <c r="N68" s="131">
        <v>29335</v>
      </c>
      <c r="O68" s="145">
        <v>85</v>
      </c>
      <c r="P68" s="133"/>
      <c r="Q68" s="131">
        <v>10576</v>
      </c>
      <c r="R68" s="145">
        <v>65</v>
      </c>
      <c r="S68" s="133"/>
      <c r="T68" s="131">
        <v>43929</v>
      </c>
      <c r="U68" s="145">
        <v>95</v>
      </c>
      <c r="V68" s="133"/>
      <c r="W68" s="131">
        <v>19663</v>
      </c>
      <c r="X68" s="145">
        <v>45</v>
      </c>
      <c r="Y68" s="133"/>
      <c r="Z68" s="131">
        <v>39826</v>
      </c>
      <c r="AA68" s="145">
        <v>60</v>
      </c>
      <c r="AB68" s="133"/>
      <c r="AC68" s="131">
        <v>2301</v>
      </c>
      <c r="AD68" s="145">
        <v>95</v>
      </c>
      <c r="AE68" s="133"/>
      <c r="AF68" s="131">
        <v>5356</v>
      </c>
      <c r="AG68" s="145"/>
      <c r="AH68" s="133"/>
      <c r="AI68" s="131">
        <v>23404</v>
      </c>
      <c r="AJ68" s="145">
        <v>30</v>
      </c>
      <c r="AK68" s="133"/>
      <c r="AL68" s="131">
        <v>21635</v>
      </c>
      <c r="AM68" s="145">
        <v>25</v>
      </c>
      <c r="AN68" s="133"/>
      <c r="AO68" s="131">
        <v>25568</v>
      </c>
      <c r="AP68" s="145">
        <v>75</v>
      </c>
      <c r="AQ68" s="133"/>
      <c r="AR68" s="131">
        <v>58138</v>
      </c>
      <c r="AS68" s="145">
        <v>75</v>
      </c>
      <c r="AT68" s="133"/>
      <c r="AU68" s="131">
        <v>50937</v>
      </c>
      <c r="AV68" s="145">
        <v>15</v>
      </c>
      <c r="AW68" s="133"/>
      <c r="AX68" s="131">
        <v>7455</v>
      </c>
      <c r="AY68" s="145">
        <v>80</v>
      </c>
      <c r="AZ68" s="133"/>
      <c r="BA68" s="131"/>
      <c r="BB68" s="145"/>
      <c r="BC68" s="133"/>
      <c r="BD68" s="131">
        <v>51417</v>
      </c>
      <c r="BE68" s="145">
        <v>60</v>
      </c>
      <c r="BF68" s="133"/>
      <c r="BG68" s="131">
        <v>320242</v>
      </c>
      <c r="BH68" s="145">
        <v>95</v>
      </c>
      <c r="BI68" s="133"/>
      <c r="BJ68" s="131">
        <v>13485</v>
      </c>
      <c r="BK68" s="145">
        <v>60</v>
      </c>
      <c r="BL68" s="133"/>
      <c r="BM68" s="131"/>
      <c r="BN68" s="145"/>
      <c r="BO68" s="133"/>
      <c r="BP68" s="131">
        <v>13</v>
      </c>
      <c r="BQ68" s="145">
        <v>45</v>
      </c>
      <c r="BR68" s="133"/>
      <c r="BS68" s="131">
        <v>2</v>
      </c>
      <c r="BT68" s="145"/>
      <c r="BU68" s="133"/>
      <c r="BV68" s="131"/>
      <c r="BW68" s="145"/>
      <c r="BX68" s="133"/>
      <c r="BY68" s="131">
        <v>13</v>
      </c>
      <c r="BZ68" s="145"/>
      <c r="CA68" s="133"/>
      <c r="CB68" s="131">
        <v>1861</v>
      </c>
      <c r="CC68" s="145">
        <v>80</v>
      </c>
      <c r="CD68" s="133"/>
      <c r="CE68" s="131">
        <v>165</v>
      </c>
      <c r="CF68" s="145">
        <v>35</v>
      </c>
      <c r="CG68" s="133"/>
      <c r="CH68" s="131">
        <v>824</v>
      </c>
      <c r="CI68" s="145">
        <v>15</v>
      </c>
      <c r="CJ68" s="133"/>
      <c r="CK68" s="131"/>
      <c r="CL68" s="145"/>
      <c r="CM68" s="133"/>
      <c r="CN68" s="131">
        <v>336608</v>
      </c>
      <c r="CO68" s="145">
        <v>30</v>
      </c>
      <c r="CP68" s="133"/>
    </row>
    <row r="69" spans="1:95" x14ac:dyDescent="0.2">
      <c r="A69" s="533" t="s">
        <v>4033</v>
      </c>
      <c r="B69" s="131">
        <v>57003</v>
      </c>
      <c r="C69" s="145">
        <v>3</v>
      </c>
      <c r="D69" s="133"/>
      <c r="E69" s="131">
        <v>18939</v>
      </c>
      <c r="F69" s="145">
        <v>34</v>
      </c>
      <c r="G69" s="133"/>
      <c r="H69" s="131">
        <v>240864</v>
      </c>
      <c r="I69" s="145">
        <v>25</v>
      </c>
      <c r="J69" s="133"/>
      <c r="K69" s="131">
        <v>134600</v>
      </c>
      <c r="L69" s="145">
        <v>30</v>
      </c>
      <c r="M69" s="133"/>
      <c r="N69" s="131">
        <v>158315</v>
      </c>
      <c r="O69" s="145"/>
      <c r="P69" s="133"/>
      <c r="Q69" s="131">
        <v>47325</v>
      </c>
      <c r="R69" s="145">
        <v>90</v>
      </c>
      <c r="S69" s="133"/>
      <c r="T69" s="131">
        <v>104994</v>
      </c>
      <c r="U69" s="145">
        <v>40</v>
      </c>
      <c r="V69" s="133"/>
      <c r="W69" s="131">
        <v>71654</v>
      </c>
      <c r="X69" s="145">
        <v>50</v>
      </c>
      <c r="Y69" s="133"/>
      <c r="Z69" s="131">
        <v>245620</v>
      </c>
      <c r="AA69" s="145">
        <v>80</v>
      </c>
      <c r="AB69" s="133"/>
      <c r="AC69" s="131">
        <v>12345</v>
      </c>
      <c r="AD69" s="145">
        <v>20</v>
      </c>
      <c r="AE69" s="133"/>
      <c r="AF69" s="131">
        <v>28634</v>
      </c>
      <c r="AG69" s="145">
        <v>40</v>
      </c>
      <c r="AH69" s="133"/>
      <c r="AI69" s="131">
        <v>58408</v>
      </c>
      <c r="AJ69" s="145">
        <v>20</v>
      </c>
      <c r="AK69" s="133"/>
      <c r="AL69" s="131">
        <v>109433</v>
      </c>
      <c r="AM69" s="145"/>
      <c r="AN69" s="133"/>
      <c r="AO69" s="131">
        <v>117058</v>
      </c>
      <c r="AP69" s="145">
        <v>80</v>
      </c>
      <c r="AQ69" s="133"/>
      <c r="AR69" s="131">
        <v>25</v>
      </c>
      <c r="AS69" s="145">
        <v>20</v>
      </c>
      <c r="AT69" s="133"/>
      <c r="AU69" s="131">
        <v>359920</v>
      </c>
      <c r="AV69" s="145">
        <v>10</v>
      </c>
      <c r="AW69" s="133"/>
      <c r="AX69" s="131">
        <v>13452</v>
      </c>
      <c r="AY69" s="145">
        <v>65</v>
      </c>
      <c r="AZ69" s="133"/>
      <c r="BA69" s="131">
        <v>47079</v>
      </c>
      <c r="BB69" s="145">
        <v>15</v>
      </c>
      <c r="BC69" s="133"/>
      <c r="BD69" s="131">
        <v>6784</v>
      </c>
      <c r="BE69" s="145">
        <v>50</v>
      </c>
      <c r="BF69" s="133"/>
      <c r="BG69" s="131">
        <v>1812955</v>
      </c>
      <c r="BH69" s="145">
        <v>64</v>
      </c>
      <c r="BI69" s="133"/>
      <c r="BJ69" s="131">
        <v>25956</v>
      </c>
      <c r="BK69" s="145">
        <v>35</v>
      </c>
      <c r="BL69" s="133"/>
      <c r="BM69" s="131"/>
      <c r="BN69" s="145"/>
      <c r="BO69" s="133"/>
      <c r="BP69" s="131">
        <v>5408</v>
      </c>
      <c r="BQ69" s="145">
        <v>60</v>
      </c>
      <c r="BR69" s="133"/>
      <c r="BS69" s="131">
        <v>232</v>
      </c>
      <c r="BT69" s="145">
        <v>50</v>
      </c>
      <c r="BU69" s="133"/>
      <c r="BV69" s="131">
        <v>1259</v>
      </c>
      <c r="BW69" s="145">
        <v>95</v>
      </c>
      <c r="BX69" s="133"/>
      <c r="BY69" s="131"/>
      <c r="BZ69" s="145"/>
      <c r="CA69" s="133"/>
      <c r="CB69" s="131">
        <v>3701</v>
      </c>
      <c r="CC69" s="145">
        <v>60</v>
      </c>
      <c r="CD69" s="133"/>
      <c r="CE69" s="131"/>
      <c r="CF69" s="145"/>
      <c r="CG69" s="133"/>
      <c r="CH69" s="131">
        <v>1954</v>
      </c>
      <c r="CI69" s="145">
        <v>95</v>
      </c>
      <c r="CJ69" s="133"/>
      <c r="CK69" s="131">
        <v>423</v>
      </c>
      <c r="CL69" s="145">
        <v>23</v>
      </c>
      <c r="CM69" s="133"/>
      <c r="CN69" s="131">
        <v>1851892</v>
      </c>
      <c r="CO69" s="145">
        <v>82</v>
      </c>
      <c r="CP69" s="133"/>
    </row>
    <row r="70" spans="1:95" x14ac:dyDescent="0.2">
      <c r="A70" s="533" t="s">
        <v>1519</v>
      </c>
      <c r="B70" s="131">
        <v>6600</v>
      </c>
      <c r="C70" s="145">
        <v>45</v>
      </c>
      <c r="D70" s="133"/>
      <c r="E70" s="131">
        <v>5068</v>
      </c>
      <c r="F70" s="145">
        <v>10</v>
      </c>
      <c r="G70" s="133"/>
      <c r="H70" s="131">
        <v>120178</v>
      </c>
      <c r="I70" s="145">
        <v>90</v>
      </c>
      <c r="J70" s="133"/>
      <c r="K70" s="131">
        <v>23523</v>
      </c>
      <c r="L70" s="145">
        <v>20</v>
      </c>
      <c r="M70" s="133"/>
      <c r="N70" s="131">
        <v>89039</v>
      </c>
      <c r="O70" s="145">
        <v>25</v>
      </c>
      <c r="P70" s="133"/>
      <c r="Q70" s="131">
        <v>17548</v>
      </c>
      <c r="R70" s="145">
        <v>10</v>
      </c>
      <c r="S70" s="133"/>
      <c r="T70" s="131">
        <v>123363</v>
      </c>
      <c r="U70" s="145">
        <v>25</v>
      </c>
      <c r="V70" s="133"/>
      <c r="W70" s="131">
        <v>21983</v>
      </c>
      <c r="X70" s="145">
        <v>40</v>
      </c>
      <c r="Y70" s="133"/>
      <c r="Z70" s="131">
        <v>80656</v>
      </c>
      <c r="AA70" s="145"/>
      <c r="AB70" s="133"/>
      <c r="AC70" s="131">
        <v>6364</v>
      </c>
      <c r="AD70" s="145">
        <v>90</v>
      </c>
      <c r="AE70" s="133"/>
      <c r="AF70" s="131">
        <v>10578</v>
      </c>
      <c r="AG70" s="145"/>
      <c r="AH70" s="133"/>
      <c r="AI70" s="131">
        <v>24906</v>
      </c>
      <c r="AJ70" s="145">
        <v>45</v>
      </c>
      <c r="AK70" s="133"/>
      <c r="AL70" s="131">
        <v>46227</v>
      </c>
      <c r="AM70" s="145">
        <v>50</v>
      </c>
      <c r="AN70" s="133"/>
      <c r="AO70" s="131">
        <v>48268</v>
      </c>
      <c r="AP70" s="145">
        <v>30</v>
      </c>
      <c r="AQ70" s="133"/>
      <c r="AR70" s="131">
        <v>62031</v>
      </c>
      <c r="AS70" s="145">
        <v>85</v>
      </c>
      <c r="AT70" s="133"/>
      <c r="AU70" s="131">
        <v>152429</v>
      </c>
      <c r="AV70" s="145">
        <v>10</v>
      </c>
      <c r="AW70" s="133"/>
      <c r="AX70" s="131"/>
      <c r="AY70" s="145"/>
      <c r="AZ70" s="133"/>
      <c r="BA70" s="131"/>
      <c r="BB70" s="145"/>
      <c r="BC70" s="133"/>
      <c r="BD70" s="131"/>
      <c r="BE70" s="145"/>
      <c r="BF70" s="133"/>
      <c r="BG70" s="131">
        <v>838946</v>
      </c>
      <c r="BH70" s="145">
        <v>95</v>
      </c>
      <c r="BI70" s="133"/>
      <c r="BJ70" s="131"/>
      <c r="BK70" s="145"/>
      <c r="BL70" s="133"/>
      <c r="BM70" s="131">
        <v>18828</v>
      </c>
      <c r="BN70" s="145">
        <v>60</v>
      </c>
      <c r="BO70" s="133"/>
      <c r="BP70" s="131"/>
      <c r="BQ70" s="145"/>
      <c r="BR70" s="133"/>
      <c r="BS70" s="131"/>
      <c r="BT70" s="145"/>
      <c r="BU70" s="133"/>
      <c r="BV70" s="131"/>
      <c r="BW70" s="145"/>
      <c r="BX70" s="133"/>
      <c r="BY70" s="131"/>
      <c r="BZ70" s="145"/>
      <c r="CA70" s="133"/>
      <c r="CB70" s="131">
        <v>687</v>
      </c>
      <c r="CC70" s="145">
        <v>10</v>
      </c>
      <c r="CD70" s="133"/>
      <c r="CE70" s="131"/>
      <c r="CF70" s="145"/>
      <c r="CG70" s="133"/>
      <c r="CH70" s="131">
        <v>6</v>
      </c>
      <c r="CI70" s="145"/>
      <c r="CJ70" s="133"/>
      <c r="CK70" s="131">
        <v>1200</v>
      </c>
      <c r="CL70" s="145">
        <v>45</v>
      </c>
      <c r="CM70" s="133"/>
      <c r="CN70" s="131">
        <v>859669</v>
      </c>
      <c r="CO70" s="145">
        <v>10</v>
      </c>
      <c r="CP70" s="133"/>
    </row>
    <row r="71" spans="1:95" x14ac:dyDescent="0.2">
      <c r="A71" s="533" t="s">
        <v>4553</v>
      </c>
      <c r="B71" s="131">
        <v>107</v>
      </c>
      <c r="C71" s="145">
        <v>75</v>
      </c>
      <c r="D71" s="133"/>
      <c r="E71" s="131">
        <v>208</v>
      </c>
      <c r="F71" s="145">
        <v>90</v>
      </c>
      <c r="G71" s="133"/>
      <c r="H71" s="131">
        <v>272</v>
      </c>
      <c r="I71" s="145"/>
      <c r="J71" s="133"/>
      <c r="K71" s="131">
        <v>228</v>
      </c>
      <c r="L71" s="145">
        <v>10</v>
      </c>
      <c r="M71" s="133"/>
      <c r="N71" s="131">
        <v>629</v>
      </c>
      <c r="O71" s="145">
        <v>85</v>
      </c>
      <c r="P71" s="133"/>
      <c r="Q71" s="131">
        <v>14</v>
      </c>
      <c r="R71" s="145">
        <v>35</v>
      </c>
      <c r="S71" s="133"/>
      <c r="T71" s="131">
        <v>667</v>
      </c>
      <c r="U71" s="145">
        <v>30</v>
      </c>
      <c r="V71" s="133"/>
      <c r="W71" s="131">
        <v>652</v>
      </c>
      <c r="X71" s="145">
        <v>40</v>
      </c>
      <c r="Y71" s="133"/>
      <c r="Z71" s="131">
        <v>295</v>
      </c>
      <c r="AA71" s="145">
        <v>20</v>
      </c>
      <c r="AB71" s="133"/>
      <c r="AC71" s="131">
        <v>81</v>
      </c>
      <c r="AD71" s="145">
        <v>20</v>
      </c>
      <c r="AE71" s="133"/>
      <c r="AF71" s="131">
        <v>12</v>
      </c>
      <c r="AG71" s="145"/>
      <c r="AH71" s="133"/>
      <c r="AI71" s="131">
        <v>10243</v>
      </c>
      <c r="AJ71" s="145">
        <v>75</v>
      </c>
      <c r="AK71" s="133"/>
      <c r="AL71" s="131">
        <v>204</v>
      </c>
      <c r="AM71" s="145">
        <v>75</v>
      </c>
      <c r="AN71" s="133"/>
      <c r="AO71" s="131">
        <v>186</v>
      </c>
      <c r="AP71" s="145">
        <v>90</v>
      </c>
      <c r="AQ71" s="133"/>
      <c r="AR71" s="131">
        <v>592</v>
      </c>
      <c r="AS71" s="145">
        <v>55</v>
      </c>
      <c r="AT71" s="133"/>
      <c r="AU71" s="131">
        <v>3499</v>
      </c>
      <c r="AV71" s="145">
        <v>10</v>
      </c>
      <c r="AW71" s="133"/>
      <c r="AX71" s="131">
        <v>49</v>
      </c>
      <c r="AY71" s="145">
        <v>65</v>
      </c>
      <c r="AZ71" s="133"/>
      <c r="BA71" s="131"/>
      <c r="BB71" s="145"/>
      <c r="BC71" s="133"/>
      <c r="BD71" s="131"/>
      <c r="BE71" s="145"/>
      <c r="BF71" s="133"/>
      <c r="BG71" s="131">
        <v>17955</v>
      </c>
      <c r="BH71" s="145">
        <v>75</v>
      </c>
      <c r="BI71" s="133"/>
      <c r="BJ71" s="131"/>
      <c r="BK71" s="145"/>
      <c r="BL71" s="133"/>
      <c r="BM71" s="131"/>
      <c r="BN71" s="145"/>
      <c r="BO71" s="133"/>
      <c r="BP71" s="131"/>
      <c r="BQ71" s="145"/>
      <c r="BR71" s="133"/>
      <c r="BS71" s="131"/>
      <c r="BT71" s="145"/>
      <c r="BU71" s="133"/>
      <c r="BV71" s="131"/>
      <c r="BW71" s="145"/>
      <c r="BX71" s="133"/>
      <c r="BY71" s="131"/>
      <c r="BZ71" s="145"/>
      <c r="CA71" s="133"/>
      <c r="CB71" s="131">
        <v>60</v>
      </c>
      <c r="CC71" s="145">
        <v>15</v>
      </c>
      <c r="CD71" s="133"/>
      <c r="CE71" s="131"/>
      <c r="CF71" s="145"/>
      <c r="CG71" s="133"/>
      <c r="CH71" s="131">
        <v>40</v>
      </c>
      <c r="CI71" s="145">
        <v>40</v>
      </c>
      <c r="CJ71" s="133"/>
      <c r="CK71" s="131">
        <v>124</v>
      </c>
      <c r="CL71" s="145"/>
      <c r="CM71" s="133"/>
      <c r="CN71" s="131">
        <v>18180</v>
      </c>
      <c r="CO71" s="145">
        <v>30</v>
      </c>
      <c r="CP71" s="133"/>
    </row>
    <row r="72" spans="1:95" x14ac:dyDescent="0.2">
      <c r="A72" s="533" t="s">
        <v>5116</v>
      </c>
      <c r="B72" s="131">
        <v>152</v>
      </c>
      <c r="C72" s="145">
        <v>25</v>
      </c>
      <c r="D72" s="133"/>
      <c r="E72" s="131">
        <v>29</v>
      </c>
      <c r="F72" s="145">
        <v>40</v>
      </c>
      <c r="G72" s="133"/>
      <c r="H72" s="131">
        <v>1525</v>
      </c>
      <c r="I72" s="145">
        <v>20</v>
      </c>
      <c r="J72" s="133"/>
      <c r="K72" s="131">
        <v>380</v>
      </c>
      <c r="L72" s="145">
        <v>50</v>
      </c>
      <c r="M72" s="133"/>
      <c r="N72" s="131">
        <v>1273</v>
      </c>
      <c r="O72" s="145">
        <v>95</v>
      </c>
      <c r="P72" s="133"/>
      <c r="Q72" s="131">
        <v>237</v>
      </c>
      <c r="R72" s="145">
        <v>95</v>
      </c>
      <c r="S72" s="133"/>
      <c r="T72" s="131">
        <v>1893</v>
      </c>
      <c r="U72" s="145">
        <v>60</v>
      </c>
      <c r="V72" s="133"/>
      <c r="W72" s="131">
        <v>588</v>
      </c>
      <c r="X72" s="145">
        <v>85</v>
      </c>
      <c r="Y72" s="133"/>
      <c r="Z72" s="131">
        <v>1032</v>
      </c>
      <c r="AA72" s="145">
        <v>15</v>
      </c>
      <c r="AB72" s="133"/>
      <c r="AC72" s="131">
        <v>38</v>
      </c>
      <c r="AD72" s="145">
        <v>55</v>
      </c>
      <c r="AE72" s="133"/>
      <c r="AF72" s="131">
        <v>70</v>
      </c>
      <c r="AG72" s="145">
        <v>60</v>
      </c>
      <c r="AH72" s="133"/>
      <c r="AI72" s="131">
        <v>414</v>
      </c>
      <c r="AJ72" s="145">
        <v>75</v>
      </c>
      <c r="AK72" s="133"/>
      <c r="AL72" s="131">
        <v>284</v>
      </c>
      <c r="AM72" s="145">
        <v>25</v>
      </c>
      <c r="AN72" s="133"/>
      <c r="AO72" s="131">
        <v>356</v>
      </c>
      <c r="AP72" s="145">
        <v>90</v>
      </c>
      <c r="AQ72" s="133"/>
      <c r="AR72" s="131">
        <v>946</v>
      </c>
      <c r="AS72" s="145">
        <v>80</v>
      </c>
      <c r="AT72" s="133"/>
      <c r="AU72" s="131">
        <v>1500</v>
      </c>
      <c r="AV72" s="145">
        <v>85</v>
      </c>
      <c r="AW72" s="133"/>
      <c r="AX72" s="131">
        <v>779</v>
      </c>
      <c r="AY72" s="145">
        <v>50</v>
      </c>
      <c r="AZ72" s="133"/>
      <c r="BA72" s="131"/>
      <c r="BB72" s="145"/>
      <c r="BC72" s="133"/>
      <c r="BD72" s="131">
        <v>4002</v>
      </c>
      <c r="BE72" s="145">
        <v>10</v>
      </c>
      <c r="BF72" s="133"/>
      <c r="BG72" s="131">
        <v>7503</v>
      </c>
      <c r="BH72" s="145">
        <v>95</v>
      </c>
      <c r="BI72" s="133"/>
      <c r="BJ72" s="131"/>
      <c r="BK72" s="145"/>
      <c r="BL72" s="133"/>
      <c r="BM72" s="131"/>
      <c r="BN72" s="145"/>
      <c r="BO72" s="133"/>
      <c r="BP72" s="131"/>
      <c r="BQ72" s="145"/>
      <c r="BR72" s="133"/>
      <c r="BS72" s="131"/>
      <c r="BT72" s="145"/>
      <c r="BU72" s="133"/>
      <c r="BV72" s="131"/>
      <c r="BW72" s="145"/>
      <c r="BX72" s="133"/>
      <c r="BY72" s="131"/>
      <c r="BZ72" s="145"/>
      <c r="CA72" s="133"/>
      <c r="CB72" s="131">
        <v>10</v>
      </c>
      <c r="CC72" s="145"/>
      <c r="CD72" s="133"/>
      <c r="CE72" s="131"/>
      <c r="CF72" s="145"/>
      <c r="CG72" s="133"/>
      <c r="CH72" s="131"/>
      <c r="CI72" s="145"/>
      <c r="CJ72" s="133"/>
      <c r="CK72" s="131"/>
      <c r="CL72" s="145"/>
      <c r="CM72" s="133"/>
      <c r="CN72" s="131">
        <v>7513</v>
      </c>
      <c r="CO72" s="145">
        <v>95</v>
      </c>
      <c r="CP72" s="133"/>
    </row>
    <row r="73" spans="1:95" x14ac:dyDescent="0.2">
      <c r="A73" s="533" t="s">
        <v>5105</v>
      </c>
      <c r="B73" s="131">
        <v>2014</v>
      </c>
      <c r="C73" s="145">
        <v>10</v>
      </c>
      <c r="D73" s="133"/>
      <c r="E73" s="131">
        <v>156</v>
      </c>
      <c r="F73" s="145">
        <v>65</v>
      </c>
      <c r="G73" s="133"/>
      <c r="H73" s="131">
        <v>9049</v>
      </c>
      <c r="I73" s="145"/>
      <c r="J73" s="133"/>
      <c r="K73" s="131">
        <v>4431</v>
      </c>
      <c r="L73" s="145">
        <v>80</v>
      </c>
      <c r="M73" s="133"/>
      <c r="N73" s="131">
        <v>4822</v>
      </c>
      <c r="O73" s="145">
        <v>15</v>
      </c>
      <c r="P73" s="133"/>
      <c r="Q73" s="131">
        <v>3736</v>
      </c>
      <c r="R73" s="145">
        <v>35</v>
      </c>
      <c r="S73" s="133"/>
      <c r="T73" s="131">
        <v>20017</v>
      </c>
      <c r="U73" s="145">
        <v>95</v>
      </c>
      <c r="V73" s="133"/>
      <c r="W73" s="131">
        <v>9526</v>
      </c>
      <c r="X73" s="145">
        <v>50</v>
      </c>
      <c r="Y73" s="133"/>
      <c r="Z73" s="131">
        <v>15163</v>
      </c>
      <c r="AA73" s="145">
        <v>20</v>
      </c>
      <c r="AB73" s="133"/>
      <c r="AC73" s="131">
        <v>312</v>
      </c>
      <c r="AD73" s="145">
        <v>55</v>
      </c>
      <c r="AE73" s="133"/>
      <c r="AF73" s="131">
        <v>678</v>
      </c>
      <c r="AG73" s="145">
        <v>40</v>
      </c>
      <c r="AH73" s="133"/>
      <c r="AI73" s="131">
        <v>1181</v>
      </c>
      <c r="AJ73" s="145">
        <v>80</v>
      </c>
      <c r="AK73" s="133"/>
      <c r="AL73" s="131">
        <v>358</v>
      </c>
      <c r="AM73" s="145">
        <v>50</v>
      </c>
      <c r="AN73" s="133"/>
      <c r="AO73" s="131">
        <v>1212</v>
      </c>
      <c r="AP73" s="145">
        <v>65</v>
      </c>
      <c r="AQ73" s="133"/>
      <c r="AR73" s="131"/>
      <c r="AS73" s="145"/>
      <c r="AT73" s="133"/>
      <c r="AU73" s="131">
        <v>18168</v>
      </c>
      <c r="AV73" s="145">
        <v>90</v>
      </c>
      <c r="AW73" s="133"/>
      <c r="AX73" s="131">
        <v>1302</v>
      </c>
      <c r="AY73" s="145">
        <v>25</v>
      </c>
      <c r="AZ73" s="133"/>
      <c r="BA73" s="131"/>
      <c r="BB73" s="145"/>
      <c r="BC73" s="133"/>
      <c r="BD73" s="131">
        <v>715</v>
      </c>
      <c r="BE73" s="145"/>
      <c r="BF73" s="133"/>
      <c r="BG73" s="131">
        <v>91418</v>
      </c>
      <c r="BH73" s="145">
        <v>35</v>
      </c>
      <c r="BI73" s="133"/>
      <c r="BJ73" s="131"/>
      <c r="BK73" s="145"/>
      <c r="BL73" s="133"/>
      <c r="BM73" s="131"/>
      <c r="BN73" s="145"/>
      <c r="BO73" s="133"/>
      <c r="BP73" s="131">
        <v>587</v>
      </c>
      <c r="BQ73" s="145">
        <v>55</v>
      </c>
      <c r="BR73" s="133"/>
      <c r="BS73" s="131">
        <v>5</v>
      </c>
      <c r="BT73" s="145"/>
      <c r="BU73" s="133"/>
      <c r="BV73" s="131">
        <v>379</v>
      </c>
      <c r="BW73" s="145">
        <v>20</v>
      </c>
      <c r="BX73" s="133"/>
      <c r="BY73" s="131"/>
      <c r="BZ73" s="145"/>
      <c r="CA73" s="133"/>
      <c r="CB73" s="131">
        <v>128</v>
      </c>
      <c r="CC73" s="145">
        <v>85</v>
      </c>
      <c r="CD73" s="133"/>
      <c r="CE73" s="131"/>
      <c r="CF73" s="145"/>
      <c r="CG73" s="133"/>
      <c r="CH73" s="131">
        <v>441</v>
      </c>
      <c r="CI73" s="145">
        <v>80</v>
      </c>
      <c r="CJ73" s="133"/>
      <c r="CK73" s="131"/>
      <c r="CL73" s="145"/>
      <c r="CM73" s="133"/>
      <c r="CN73" s="131">
        <v>92960</v>
      </c>
      <c r="CO73" s="145">
        <v>75</v>
      </c>
      <c r="CP73" s="133"/>
    </row>
    <row r="74" spans="1:95" x14ac:dyDescent="0.2">
      <c r="A74" s="533" t="s">
        <v>1373</v>
      </c>
      <c r="B74" s="131">
        <v>7326</v>
      </c>
      <c r="C74" s="145">
        <v>90</v>
      </c>
      <c r="D74" s="133"/>
      <c r="E74" s="131">
        <v>853</v>
      </c>
      <c r="F74" s="145">
        <v>10</v>
      </c>
      <c r="G74" s="133"/>
      <c r="H74" s="131">
        <v>42634</v>
      </c>
      <c r="I74" s="145">
        <v>75</v>
      </c>
      <c r="J74" s="133"/>
      <c r="K74" s="131">
        <v>5017</v>
      </c>
      <c r="L74" s="145">
        <v>15</v>
      </c>
      <c r="M74" s="133"/>
      <c r="N74" s="131">
        <v>8792</v>
      </c>
      <c r="O74" s="145">
        <v>85</v>
      </c>
      <c r="P74" s="133"/>
      <c r="Q74" s="131">
        <v>1391</v>
      </c>
      <c r="R74" s="145">
        <v>15</v>
      </c>
      <c r="S74" s="133"/>
      <c r="T74" s="131">
        <v>2729</v>
      </c>
      <c r="U74" s="145">
        <v>25</v>
      </c>
      <c r="V74" s="133"/>
      <c r="W74" s="131">
        <v>1048</v>
      </c>
      <c r="X74" s="145">
        <v>90</v>
      </c>
      <c r="Y74" s="133"/>
      <c r="Z74" s="131">
        <v>1963</v>
      </c>
      <c r="AA74" s="145">
        <v>80</v>
      </c>
      <c r="AB74" s="133"/>
      <c r="AC74" s="131">
        <v>105</v>
      </c>
      <c r="AD74" s="145">
        <v>60</v>
      </c>
      <c r="AE74" s="133"/>
      <c r="AF74" s="131">
        <v>357</v>
      </c>
      <c r="AG74" s="145">
        <v>10</v>
      </c>
      <c r="AH74" s="133"/>
      <c r="AI74" s="131">
        <v>93</v>
      </c>
      <c r="AJ74" s="145">
        <v>85</v>
      </c>
      <c r="AK74" s="133"/>
      <c r="AL74" s="131">
        <v>1171</v>
      </c>
      <c r="AM74" s="145">
        <v>50</v>
      </c>
      <c r="AN74" s="133"/>
      <c r="AO74" s="131">
        <v>984</v>
      </c>
      <c r="AP74" s="145">
        <v>25</v>
      </c>
      <c r="AQ74" s="133"/>
      <c r="AR74" s="131">
        <v>3550</v>
      </c>
      <c r="AS74" s="145">
        <v>10</v>
      </c>
      <c r="AT74" s="133"/>
      <c r="AU74" s="131">
        <v>19432</v>
      </c>
      <c r="AV74" s="145">
        <v>35</v>
      </c>
      <c r="AW74" s="133"/>
      <c r="AX74" s="131">
        <v>648</v>
      </c>
      <c r="AY74" s="145">
        <v>60</v>
      </c>
      <c r="AZ74" s="133"/>
      <c r="BA74" s="131"/>
      <c r="BB74" s="145"/>
      <c r="BC74" s="133"/>
      <c r="BD74" s="131">
        <v>291</v>
      </c>
      <c r="BE74" s="145">
        <v>45</v>
      </c>
      <c r="BF74" s="133"/>
      <c r="BG74" s="131">
        <v>97809</v>
      </c>
      <c r="BH74" s="145">
        <v>75</v>
      </c>
      <c r="BI74" s="133"/>
      <c r="BJ74" s="131">
        <v>47687</v>
      </c>
      <c r="BK74" s="145">
        <v>25</v>
      </c>
      <c r="BL74" s="133"/>
      <c r="BM74" s="131"/>
      <c r="BN74" s="145"/>
      <c r="BO74" s="133"/>
      <c r="BP74" s="131">
        <v>101</v>
      </c>
      <c r="BQ74" s="145">
        <v>30</v>
      </c>
      <c r="BR74" s="133"/>
      <c r="BS74" s="131">
        <v>13</v>
      </c>
      <c r="BT74" s="145"/>
      <c r="BU74" s="133"/>
      <c r="BV74" s="131"/>
      <c r="BW74" s="145"/>
      <c r="BX74" s="133"/>
      <c r="BY74" s="131"/>
      <c r="BZ74" s="145"/>
      <c r="CA74" s="133"/>
      <c r="CB74" s="131">
        <v>193</v>
      </c>
      <c r="CC74" s="145">
        <v>75</v>
      </c>
      <c r="CD74" s="133"/>
      <c r="CE74" s="131"/>
      <c r="CF74" s="145"/>
      <c r="CG74" s="133"/>
      <c r="CH74" s="131"/>
      <c r="CI74" s="145"/>
      <c r="CJ74" s="133"/>
      <c r="CK74" s="131"/>
      <c r="CL74" s="145"/>
      <c r="CM74" s="133"/>
      <c r="CN74" s="131">
        <v>145805</v>
      </c>
      <c r="CO74" s="145">
        <v>5</v>
      </c>
      <c r="CP74" s="133"/>
    </row>
    <row r="75" spans="1:95" x14ac:dyDescent="0.2">
      <c r="A75" s="533" t="s">
        <v>1527</v>
      </c>
      <c r="B75" s="131">
        <v>756</v>
      </c>
      <c r="C75" s="145"/>
      <c r="D75" s="133"/>
      <c r="E75" s="131">
        <v>733</v>
      </c>
      <c r="F75" s="145">
        <v>20</v>
      </c>
      <c r="G75" s="133"/>
      <c r="H75" s="131">
        <v>10207</v>
      </c>
      <c r="I75" s="145">
        <v>85</v>
      </c>
      <c r="J75" s="133"/>
      <c r="K75" s="131">
        <v>7887</v>
      </c>
      <c r="L75" s="145">
        <v>60</v>
      </c>
      <c r="M75" s="133"/>
      <c r="N75" s="131">
        <v>11311</v>
      </c>
      <c r="O75" s="145">
        <v>40</v>
      </c>
      <c r="P75" s="133"/>
      <c r="Q75" s="131">
        <v>3193</v>
      </c>
      <c r="R75" s="145">
        <v>5</v>
      </c>
      <c r="S75" s="133"/>
      <c r="T75" s="131">
        <v>31788</v>
      </c>
      <c r="U75" s="145">
        <v>40</v>
      </c>
      <c r="V75" s="133"/>
      <c r="W75" s="131">
        <v>16809</v>
      </c>
      <c r="X75" s="145"/>
      <c r="Y75" s="133"/>
      <c r="Z75" s="131">
        <v>43324</v>
      </c>
      <c r="AA75" s="145">
        <v>20</v>
      </c>
      <c r="AB75" s="133"/>
      <c r="AC75" s="131">
        <v>2406</v>
      </c>
      <c r="AD75" s="145">
        <v>60</v>
      </c>
      <c r="AE75" s="133"/>
      <c r="AF75" s="131">
        <v>2418</v>
      </c>
      <c r="AG75" s="145">
        <v>80</v>
      </c>
      <c r="AH75" s="133"/>
      <c r="AI75" s="131">
        <v>8425</v>
      </c>
      <c r="AJ75" s="145">
        <v>80</v>
      </c>
      <c r="AK75" s="133"/>
      <c r="AL75" s="131">
        <v>8953</v>
      </c>
      <c r="AM75" s="145"/>
      <c r="AN75" s="133"/>
      <c r="AO75" s="131">
        <v>7154</v>
      </c>
      <c r="AP75" s="145">
        <v>40</v>
      </c>
      <c r="AQ75" s="133"/>
      <c r="AR75" s="131">
        <v>30428</v>
      </c>
      <c r="AS75" s="145"/>
      <c r="AT75" s="133"/>
      <c r="AU75" s="131">
        <v>17681</v>
      </c>
      <c r="AV75" s="145">
        <v>45</v>
      </c>
      <c r="AW75" s="133"/>
      <c r="AX75" s="131">
        <v>1347</v>
      </c>
      <c r="AY75" s="145">
        <v>55</v>
      </c>
      <c r="AZ75" s="133"/>
      <c r="BA75" s="131"/>
      <c r="BB75" s="145"/>
      <c r="BC75" s="133"/>
      <c r="BD75" s="131">
        <v>84411</v>
      </c>
      <c r="BE75" s="145">
        <v>90</v>
      </c>
      <c r="BF75" s="133"/>
      <c r="BG75" s="131">
        <v>120414</v>
      </c>
      <c r="BH75" s="145">
        <v>40</v>
      </c>
      <c r="BI75" s="133"/>
      <c r="BJ75" s="131"/>
      <c r="BK75" s="145"/>
      <c r="BL75" s="133"/>
      <c r="BM75" s="131"/>
      <c r="BN75" s="145"/>
      <c r="BO75" s="133"/>
      <c r="BP75" s="131"/>
      <c r="BQ75" s="145"/>
      <c r="BR75" s="133"/>
      <c r="BS75" s="131"/>
      <c r="BT75" s="145"/>
      <c r="BU75" s="133"/>
      <c r="BV75" s="131"/>
      <c r="BW75" s="145"/>
      <c r="BX75" s="133"/>
      <c r="BY75" s="131"/>
      <c r="BZ75" s="145"/>
      <c r="CA75" s="133"/>
      <c r="CB75" s="131">
        <v>886</v>
      </c>
      <c r="CC75" s="145">
        <v>20</v>
      </c>
      <c r="CD75" s="133"/>
      <c r="CE75" s="131">
        <v>767</v>
      </c>
      <c r="CF75" s="145">
        <v>40</v>
      </c>
      <c r="CG75" s="133"/>
      <c r="CH75" s="131">
        <v>413</v>
      </c>
      <c r="CI75" s="145">
        <v>5</v>
      </c>
      <c r="CJ75" s="133"/>
      <c r="CK75" s="131">
        <v>76</v>
      </c>
      <c r="CL75" s="145">
        <v>10</v>
      </c>
      <c r="CM75" s="133"/>
      <c r="CN75" s="131">
        <v>122557</v>
      </c>
      <c r="CO75" s="145">
        <v>15</v>
      </c>
      <c r="CP75" s="133"/>
    </row>
    <row r="76" spans="1:95" x14ac:dyDescent="0.2">
      <c r="A76" s="785" t="s">
        <v>5106</v>
      </c>
      <c r="B76" s="240">
        <v>110744</v>
      </c>
      <c r="C76" s="318">
        <v>28</v>
      </c>
      <c r="D76" s="241"/>
      <c r="E76" s="240">
        <v>38497</v>
      </c>
      <c r="F76" s="318">
        <v>34</v>
      </c>
      <c r="G76" s="241"/>
      <c r="H76" s="240">
        <v>789568</v>
      </c>
      <c r="I76" s="318">
        <v>50</v>
      </c>
      <c r="J76" s="241"/>
      <c r="K76" s="240">
        <v>339517</v>
      </c>
      <c r="L76" s="318">
        <v>55</v>
      </c>
      <c r="M76" s="241"/>
      <c r="N76" s="240">
        <v>681384</v>
      </c>
      <c r="O76" s="318">
        <v>35</v>
      </c>
      <c r="P76" s="241"/>
      <c r="Q76" s="240">
        <v>241357</v>
      </c>
      <c r="R76" s="318">
        <v>25</v>
      </c>
      <c r="S76" s="241"/>
      <c r="T76" s="240">
        <v>1043927</v>
      </c>
      <c r="U76" s="318">
        <v>90</v>
      </c>
      <c r="V76" s="241"/>
      <c r="W76" s="240">
        <v>580286</v>
      </c>
      <c r="X76" s="318">
        <v>70</v>
      </c>
      <c r="Y76" s="241"/>
      <c r="Z76" s="240">
        <v>1263924</v>
      </c>
      <c r="AA76" s="318">
        <v>85</v>
      </c>
      <c r="AB76" s="241"/>
      <c r="AC76" s="240">
        <v>60099</v>
      </c>
      <c r="AD76" s="318">
        <v>55</v>
      </c>
      <c r="AE76" s="241"/>
      <c r="AF76" s="240">
        <v>159355</v>
      </c>
      <c r="AG76" s="318">
        <v>40</v>
      </c>
      <c r="AH76" s="241"/>
      <c r="AI76" s="240">
        <v>337178</v>
      </c>
      <c r="AJ76" s="318">
        <v>95</v>
      </c>
      <c r="AK76" s="241"/>
      <c r="AL76" s="240">
        <v>593220</v>
      </c>
      <c r="AM76" s="318">
        <v>90</v>
      </c>
      <c r="AN76" s="241"/>
      <c r="AO76" s="240">
        <v>607048</v>
      </c>
      <c r="AP76" s="318">
        <v>40</v>
      </c>
      <c r="AQ76" s="241"/>
      <c r="AR76" s="240">
        <v>57558</v>
      </c>
      <c r="AS76" s="318">
        <v>65</v>
      </c>
      <c r="AT76" s="241"/>
      <c r="AU76" s="240">
        <v>1695442</v>
      </c>
      <c r="AV76" s="318">
        <v>45</v>
      </c>
      <c r="AW76" s="241"/>
      <c r="AX76" s="240">
        <v>146368</v>
      </c>
      <c r="AY76" s="318">
        <v>40</v>
      </c>
      <c r="AZ76" s="241"/>
      <c r="BA76" s="240">
        <v>42426</v>
      </c>
      <c r="BB76" s="318">
        <v>10</v>
      </c>
      <c r="BC76" s="241"/>
      <c r="BD76" s="240">
        <v>156055</v>
      </c>
      <c r="BE76" s="318">
        <v>85</v>
      </c>
      <c r="BF76" s="241"/>
      <c r="BG76" s="240">
        <v>8731847</v>
      </c>
      <c r="BH76" s="318">
        <v>44</v>
      </c>
      <c r="BI76" s="241"/>
      <c r="BJ76" s="240">
        <v>360496</v>
      </c>
      <c r="BK76" s="318">
        <v>80</v>
      </c>
      <c r="BL76" s="241"/>
      <c r="BM76" s="240">
        <v>18828</v>
      </c>
      <c r="BN76" s="318">
        <v>60</v>
      </c>
      <c r="BO76" s="241"/>
      <c r="BP76" s="240">
        <v>9194</v>
      </c>
      <c r="BQ76" s="318">
        <v>60</v>
      </c>
      <c r="BR76" s="241"/>
      <c r="BS76" s="240">
        <v>288</v>
      </c>
      <c r="BT76" s="318">
        <v>50</v>
      </c>
      <c r="BU76" s="241"/>
      <c r="BV76" s="240">
        <v>1889</v>
      </c>
      <c r="BW76" s="318">
        <v>85</v>
      </c>
      <c r="BX76" s="241"/>
      <c r="BY76" s="240">
        <v>13</v>
      </c>
      <c r="BZ76" s="318"/>
      <c r="CA76" s="241"/>
      <c r="CB76" s="240">
        <v>22529</v>
      </c>
      <c r="CC76" s="318">
        <v>70</v>
      </c>
      <c r="CD76" s="241"/>
      <c r="CE76" s="240">
        <v>932</v>
      </c>
      <c r="CF76" s="318">
        <v>75</v>
      </c>
      <c r="CG76" s="241"/>
      <c r="CH76" s="240">
        <v>4117</v>
      </c>
      <c r="CI76" s="318">
        <v>60</v>
      </c>
      <c r="CJ76" s="241"/>
      <c r="CK76" s="240">
        <v>1036</v>
      </c>
      <c r="CL76" s="318">
        <v>53</v>
      </c>
      <c r="CM76" s="241"/>
      <c r="CN76" s="240">
        <v>9160175</v>
      </c>
      <c r="CO76" s="318">
        <v>37</v>
      </c>
      <c r="CP76" s="241"/>
    </row>
    <row r="77" spans="1:95" x14ac:dyDescent="0.2">
      <c r="A77" s="794"/>
      <c r="B77" s="1117">
        <f t="shared" ref="B77:AG77" si="4">+SUM(B66:B75)</f>
        <v>110741</v>
      </c>
      <c r="C77" s="1117">
        <f t="shared" si="4"/>
        <v>328</v>
      </c>
      <c r="D77" s="1487">
        <f t="shared" si="4"/>
        <v>0</v>
      </c>
      <c r="E77" s="1117">
        <f t="shared" si="4"/>
        <v>38493</v>
      </c>
      <c r="F77" s="1117">
        <f t="shared" si="4"/>
        <v>434</v>
      </c>
      <c r="G77" s="1487">
        <f t="shared" si="4"/>
        <v>0</v>
      </c>
      <c r="H77" s="1117">
        <f t="shared" si="4"/>
        <v>789563</v>
      </c>
      <c r="I77" s="1488">
        <f t="shared" si="4"/>
        <v>490</v>
      </c>
      <c r="J77" s="1487">
        <f t="shared" si="4"/>
        <v>0</v>
      </c>
      <c r="K77" s="1117">
        <f t="shared" si="4"/>
        <v>339513</v>
      </c>
      <c r="L77" s="1117">
        <f t="shared" si="4"/>
        <v>455</v>
      </c>
      <c r="M77" s="1487">
        <f t="shared" si="4"/>
        <v>0</v>
      </c>
      <c r="N77" s="1117">
        <f t="shared" si="4"/>
        <v>686379</v>
      </c>
      <c r="O77" s="1117">
        <f t="shared" si="4"/>
        <v>535</v>
      </c>
      <c r="P77" s="1487">
        <f t="shared" si="4"/>
        <v>0</v>
      </c>
      <c r="Q77" s="1117">
        <f t="shared" si="4"/>
        <v>241353</v>
      </c>
      <c r="R77" s="1117">
        <f t="shared" si="4"/>
        <v>425</v>
      </c>
      <c r="S77" s="1487">
        <f t="shared" si="4"/>
        <v>0</v>
      </c>
      <c r="T77" s="1488">
        <f t="shared" si="4"/>
        <v>1043913</v>
      </c>
      <c r="U77" s="1117">
        <f t="shared" si="4"/>
        <v>490</v>
      </c>
      <c r="V77" s="1487">
        <f t="shared" si="4"/>
        <v>0</v>
      </c>
      <c r="W77" s="1117">
        <f t="shared" si="4"/>
        <v>580282</v>
      </c>
      <c r="X77" s="1117">
        <f t="shared" si="4"/>
        <v>470</v>
      </c>
      <c r="Y77" s="1487">
        <f t="shared" si="4"/>
        <v>0</v>
      </c>
      <c r="Z77" s="1117">
        <f t="shared" si="4"/>
        <v>1263921</v>
      </c>
      <c r="AA77" s="1117">
        <f t="shared" si="4"/>
        <v>385</v>
      </c>
      <c r="AB77" s="1487">
        <f t="shared" si="4"/>
        <v>0</v>
      </c>
      <c r="AC77" s="1117">
        <f t="shared" si="4"/>
        <v>60094</v>
      </c>
      <c r="AD77" s="1488">
        <f t="shared" si="4"/>
        <v>545</v>
      </c>
      <c r="AE77" s="1487">
        <f t="shared" si="4"/>
        <v>0</v>
      </c>
      <c r="AF77" s="1488">
        <f t="shared" si="4"/>
        <v>159172</v>
      </c>
      <c r="AG77" s="1117">
        <f t="shared" si="4"/>
        <v>340</v>
      </c>
      <c r="AH77" s="1487">
        <f t="shared" ref="AH77:BM77" si="5">+SUM(AH66:AH75)</f>
        <v>0</v>
      </c>
      <c r="AI77" s="1117">
        <f t="shared" si="5"/>
        <v>337173</v>
      </c>
      <c r="AJ77" s="1117">
        <f t="shared" si="5"/>
        <v>595</v>
      </c>
      <c r="AK77" s="1487">
        <f t="shared" si="5"/>
        <v>0</v>
      </c>
      <c r="AL77" s="1117">
        <f t="shared" si="5"/>
        <v>593218</v>
      </c>
      <c r="AM77" s="1117">
        <f t="shared" si="5"/>
        <v>290</v>
      </c>
      <c r="AN77" s="1487">
        <f t="shared" si="5"/>
        <v>0</v>
      </c>
      <c r="AO77" s="1117">
        <f t="shared" si="5"/>
        <v>607043</v>
      </c>
      <c r="AP77" s="1117">
        <f t="shared" si="5"/>
        <v>540</v>
      </c>
      <c r="AQ77" s="1487">
        <f t="shared" si="5"/>
        <v>0</v>
      </c>
      <c r="AR77" s="1488">
        <f t="shared" si="5"/>
        <v>157555</v>
      </c>
      <c r="AS77" s="1117">
        <f t="shared" si="5"/>
        <v>365</v>
      </c>
      <c r="AT77" s="1487">
        <f t="shared" si="5"/>
        <v>0</v>
      </c>
      <c r="AU77" s="1117">
        <f t="shared" si="5"/>
        <v>1695368</v>
      </c>
      <c r="AV77" s="1488">
        <f t="shared" si="5"/>
        <v>435</v>
      </c>
      <c r="AW77" s="1487">
        <f t="shared" si="5"/>
        <v>0</v>
      </c>
      <c r="AX77" s="1117">
        <f t="shared" si="5"/>
        <v>146364</v>
      </c>
      <c r="AY77" s="1117">
        <f t="shared" si="5"/>
        <v>440</v>
      </c>
      <c r="AZ77" s="1487">
        <f t="shared" si="5"/>
        <v>0</v>
      </c>
      <c r="BA77" s="1117">
        <f t="shared" si="5"/>
        <v>48425</v>
      </c>
      <c r="BB77" s="1117">
        <f t="shared" si="5"/>
        <v>110</v>
      </c>
      <c r="BC77" s="1487">
        <f t="shared" si="5"/>
        <v>0</v>
      </c>
      <c r="BD77" s="1117">
        <f t="shared" si="5"/>
        <v>156053</v>
      </c>
      <c r="BE77" s="1117">
        <f t="shared" si="5"/>
        <v>285</v>
      </c>
      <c r="BF77" s="1487">
        <f t="shared" si="5"/>
        <v>0</v>
      </c>
      <c r="BG77" s="1117">
        <f t="shared" si="5"/>
        <v>8731841</v>
      </c>
      <c r="BH77" s="1117">
        <f t="shared" si="5"/>
        <v>644</v>
      </c>
      <c r="BI77" s="1487">
        <f t="shared" si="5"/>
        <v>0</v>
      </c>
      <c r="BJ77" s="1117">
        <f t="shared" si="5"/>
        <v>360495</v>
      </c>
      <c r="BK77" s="1117">
        <f t="shared" si="5"/>
        <v>180</v>
      </c>
      <c r="BL77" s="1487">
        <f t="shared" si="5"/>
        <v>0</v>
      </c>
      <c r="BM77" s="1117">
        <f t="shared" si="5"/>
        <v>18828</v>
      </c>
      <c r="BN77" s="1117">
        <f t="shared" ref="BN77:CP77" si="6">+SUM(BN66:BN75)</f>
        <v>60</v>
      </c>
      <c r="BO77" s="1487">
        <f t="shared" si="6"/>
        <v>0</v>
      </c>
      <c r="BP77" s="1117">
        <f t="shared" si="6"/>
        <v>9192</v>
      </c>
      <c r="BQ77" s="1117">
        <f t="shared" si="6"/>
        <v>260</v>
      </c>
      <c r="BR77" s="1487">
        <f t="shared" si="6"/>
        <v>0</v>
      </c>
      <c r="BS77" s="1117">
        <f t="shared" si="6"/>
        <v>288</v>
      </c>
      <c r="BT77" s="1117">
        <f t="shared" si="6"/>
        <v>50</v>
      </c>
      <c r="BU77" s="1487">
        <f t="shared" si="6"/>
        <v>0</v>
      </c>
      <c r="BV77" s="1117">
        <f t="shared" si="6"/>
        <v>1888</v>
      </c>
      <c r="BW77" s="1117">
        <f t="shared" si="6"/>
        <v>185</v>
      </c>
      <c r="BX77" s="1487">
        <f t="shared" si="6"/>
        <v>0</v>
      </c>
      <c r="BY77" s="1117">
        <f t="shared" si="6"/>
        <v>13</v>
      </c>
      <c r="BZ77" s="1117">
        <f t="shared" si="6"/>
        <v>0</v>
      </c>
      <c r="CA77" s="1487">
        <f t="shared" si="6"/>
        <v>0</v>
      </c>
      <c r="CB77" s="1117">
        <f t="shared" si="6"/>
        <v>22526</v>
      </c>
      <c r="CC77" s="1117">
        <f t="shared" si="6"/>
        <v>370</v>
      </c>
      <c r="CD77" s="1487">
        <f t="shared" si="6"/>
        <v>0</v>
      </c>
      <c r="CE77" s="1117">
        <f t="shared" si="6"/>
        <v>932</v>
      </c>
      <c r="CF77" s="1117">
        <f t="shared" si="6"/>
        <v>75</v>
      </c>
      <c r="CG77" s="1487">
        <f t="shared" si="6"/>
        <v>0</v>
      </c>
      <c r="CH77" s="1117">
        <f t="shared" si="6"/>
        <v>4115</v>
      </c>
      <c r="CI77" s="1117">
        <f t="shared" si="6"/>
        <v>260</v>
      </c>
      <c r="CJ77" s="1487">
        <f t="shared" si="6"/>
        <v>0</v>
      </c>
      <c r="CK77" s="1117">
        <f t="shared" si="6"/>
        <v>10035</v>
      </c>
      <c r="CL77" s="1117">
        <f t="shared" si="6"/>
        <v>153</v>
      </c>
      <c r="CM77" s="1487">
        <f t="shared" si="6"/>
        <v>0</v>
      </c>
      <c r="CN77" s="1117">
        <f t="shared" si="6"/>
        <v>9160171</v>
      </c>
      <c r="CO77" s="1117">
        <f t="shared" si="6"/>
        <v>437</v>
      </c>
      <c r="CP77" s="1487">
        <f t="shared" si="6"/>
        <v>0</v>
      </c>
      <c r="CQ77" s="107">
        <f>L7</f>
        <v>9259910</v>
      </c>
    </row>
    <row r="79" spans="1:95" ht="24.5" customHeight="1" x14ac:dyDescent="0.2">
      <c r="A79" s="1489" t="s">
        <v>5117</v>
      </c>
      <c r="B79" s="1490"/>
      <c r="C79" s="1490"/>
      <c r="D79" s="1490"/>
      <c r="E79" s="1490"/>
      <c r="F79" s="1490"/>
      <c r="G79" s="1490"/>
      <c r="H79" s="1490"/>
      <c r="I79" s="1490"/>
      <c r="J79" s="1490"/>
      <c r="K79" s="1490"/>
      <c r="L79" s="1490"/>
      <c r="M79" s="1490"/>
      <c r="N79" s="1490"/>
      <c r="O79" s="1490"/>
      <c r="P79" s="1490"/>
      <c r="Q79" s="1490"/>
      <c r="R79" s="1490"/>
      <c r="S79" s="1490"/>
      <c r="T79" s="1490"/>
      <c r="U79" s="1490"/>
      <c r="V79" s="1490"/>
      <c r="W79" s="1490"/>
      <c r="X79" s="1490"/>
      <c r="Y79" s="1490"/>
      <c r="Z79" s="1490"/>
      <c r="AA79" s="1490"/>
      <c r="AB79" s="1490"/>
      <c r="AC79" s="1490"/>
      <c r="AD79" s="1490"/>
      <c r="AE79" s="1490"/>
      <c r="AF79" s="1490"/>
      <c r="AG79" s="1490"/>
      <c r="AH79" s="1490"/>
      <c r="AI79" s="1490"/>
      <c r="AJ79" s="1490"/>
      <c r="AK79" s="1490"/>
      <c r="AL79" s="1490"/>
      <c r="AM79" s="1490"/>
      <c r="AN79" s="1490"/>
      <c r="AO79" s="1490"/>
      <c r="AP79" s="1490"/>
      <c r="AQ79" s="1490"/>
      <c r="AR79" s="1490"/>
      <c r="AS79" s="1490"/>
      <c r="AT79" s="1490"/>
      <c r="AU79" s="1490"/>
      <c r="AV79" s="1490"/>
      <c r="AW79" s="1490"/>
      <c r="AX79" s="1490"/>
      <c r="AY79" s="1490"/>
      <c r="AZ79" s="1490"/>
      <c r="BA79" s="1490"/>
      <c r="BB79" s="1490"/>
      <c r="BC79" s="1490"/>
      <c r="BD79" s="1490"/>
      <c r="BE79" s="1490"/>
      <c r="BF79" s="1490"/>
      <c r="BG79" s="1490"/>
      <c r="BH79" s="1490"/>
      <c r="BI79" s="1490"/>
      <c r="BJ79" s="1490"/>
      <c r="BK79" s="1490"/>
      <c r="BL79" s="1490"/>
      <c r="BM79" s="1490"/>
      <c r="BN79" s="1490"/>
      <c r="BO79" s="1490"/>
      <c r="BP79" s="1490"/>
      <c r="BQ79" s="1490"/>
      <c r="BR79" s="1490"/>
      <c r="BS79" s="1490"/>
      <c r="BT79" s="1490"/>
      <c r="BU79" s="1490"/>
      <c r="BV79" s="1490"/>
      <c r="BW79" s="1490"/>
      <c r="BX79" s="1490"/>
      <c r="BY79" s="1490"/>
      <c r="BZ79" s="1490"/>
      <c r="CA79" s="1490"/>
      <c r="CB79" s="1490"/>
      <c r="CC79" s="1490"/>
      <c r="CD79" s="1490"/>
      <c r="CE79" s="1490"/>
      <c r="CF79" s="1490"/>
      <c r="CG79" s="1490"/>
      <c r="CH79" s="1490"/>
      <c r="CI79" s="1490"/>
      <c r="CJ79" s="1490"/>
      <c r="CK79" s="1490"/>
      <c r="CL79" s="1490"/>
      <c r="CM79" s="1490"/>
      <c r="CN79" s="1490"/>
      <c r="CO79" s="1490"/>
      <c r="CP79" s="1491"/>
    </row>
    <row r="83" spans="1:4" x14ac:dyDescent="0.2">
      <c r="A83" s="526" t="s">
        <v>1226</v>
      </c>
    </row>
    <row r="84" spans="1:4" ht="35.5" customHeight="1" x14ac:dyDescent="0.2">
      <c r="A84" s="1272" t="s">
        <v>5118</v>
      </c>
      <c r="B84" s="1272"/>
      <c r="C84" s="1272"/>
      <c r="D84" s="1272"/>
    </row>
    <row r="85" spans="1:4" x14ac:dyDescent="0.2">
      <c r="A85" s="967" t="s">
        <v>5017</v>
      </c>
      <c r="B85" s="793" t="s">
        <v>5119</v>
      </c>
      <c r="C85" s="793"/>
      <c r="D85" s="711" t="s">
        <v>5120</v>
      </c>
    </row>
    <row r="86" spans="1:4" ht="24.5" customHeight="1" x14ac:dyDescent="0.2">
      <c r="A86" s="967"/>
      <c r="B86" s="751" t="s">
        <v>5121</v>
      </c>
      <c r="C86" s="751" t="s">
        <v>5122</v>
      </c>
      <c r="D86" s="715"/>
    </row>
    <row r="87" spans="1:4" x14ac:dyDescent="0.2">
      <c r="A87" s="967"/>
      <c r="B87" s="1041" t="s">
        <v>4036</v>
      </c>
      <c r="C87" s="1041" t="s">
        <v>4036</v>
      </c>
      <c r="D87" s="1041" t="s">
        <v>4036</v>
      </c>
    </row>
    <row r="88" spans="1:4" x14ac:dyDescent="0.2">
      <c r="A88" s="533" t="s">
        <v>5021</v>
      </c>
      <c r="B88" s="716">
        <v>7046974</v>
      </c>
      <c r="C88" s="145">
        <v>8548754</v>
      </c>
      <c r="D88" s="716">
        <v>14157724</v>
      </c>
    </row>
    <row r="89" spans="1:4" x14ac:dyDescent="0.2">
      <c r="A89" s="533" t="s">
        <v>5123</v>
      </c>
      <c r="B89" s="533">
        <v>6812000</v>
      </c>
      <c r="C89" s="145">
        <v>8150236</v>
      </c>
      <c r="D89" s="533">
        <v>12216917</v>
      </c>
    </row>
    <row r="90" spans="1:4" x14ac:dyDescent="0.2">
      <c r="A90" s="533" t="s">
        <v>5124</v>
      </c>
      <c r="B90" s="533">
        <v>1325465</v>
      </c>
      <c r="C90" s="145">
        <v>1237052</v>
      </c>
      <c r="D90" s="533">
        <v>2521142</v>
      </c>
    </row>
    <row r="91" spans="1:4" x14ac:dyDescent="0.2">
      <c r="A91" s="533" t="s">
        <v>5125</v>
      </c>
      <c r="B91" s="533">
        <v>14767976</v>
      </c>
      <c r="C91" s="145">
        <v>19719570</v>
      </c>
      <c r="D91" s="533">
        <v>17845244</v>
      </c>
    </row>
    <row r="92" spans="1:4" x14ac:dyDescent="0.2">
      <c r="A92" s="533" t="s">
        <v>5126</v>
      </c>
      <c r="B92" s="533">
        <v>2648203</v>
      </c>
      <c r="C92" s="145">
        <v>3750231</v>
      </c>
      <c r="D92" s="533">
        <v>3578928</v>
      </c>
    </row>
    <row r="93" spans="1:4" x14ac:dyDescent="0.2">
      <c r="A93" s="533" t="s">
        <v>5127</v>
      </c>
      <c r="B93" s="533">
        <v>3232427</v>
      </c>
      <c r="C93" s="145">
        <v>2785804</v>
      </c>
      <c r="D93" s="533">
        <v>3696683</v>
      </c>
    </row>
    <row r="94" spans="1:4" x14ac:dyDescent="0.2">
      <c r="A94" s="533" t="s">
        <v>5128</v>
      </c>
      <c r="B94" s="533">
        <v>813706</v>
      </c>
      <c r="C94" s="145">
        <v>719152</v>
      </c>
      <c r="D94" s="533">
        <v>824463</v>
      </c>
    </row>
    <row r="95" spans="1:4" x14ac:dyDescent="0.2">
      <c r="A95" s="533" t="s">
        <v>5129</v>
      </c>
      <c r="B95" s="533">
        <v>2644010</v>
      </c>
      <c r="C95" s="145">
        <v>2330561</v>
      </c>
      <c r="D95" s="533">
        <v>2704822</v>
      </c>
    </row>
    <row r="96" spans="1:4" x14ac:dyDescent="0.2">
      <c r="A96" s="533" t="s">
        <v>5130</v>
      </c>
      <c r="B96" s="533">
        <v>1864196</v>
      </c>
      <c r="C96" s="145">
        <v>1580360</v>
      </c>
      <c r="D96" s="533">
        <v>1198949</v>
      </c>
    </row>
    <row r="97" spans="1:4" x14ac:dyDescent="0.2">
      <c r="A97" s="533" t="s">
        <v>5131</v>
      </c>
      <c r="B97" s="533">
        <v>2865671</v>
      </c>
      <c r="C97" s="145">
        <v>2397466</v>
      </c>
      <c r="D97" s="533">
        <v>2266128</v>
      </c>
    </row>
    <row r="98" spans="1:4" x14ac:dyDescent="0.2">
      <c r="A98" s="533" t="s">
        <v>5132</v>
      </c>
      <c r="B98" s="533">
        <v>144495</v>
      </c>
      <c r="C98" s="145">
        <v>105007</v>
      </c>
      <c r="D98" s="533">
        <v>92113</v>
      </c>
    </row>
    <row r="99" spans="1:4" x14ac:dyDescent="0.2">
      <c r="A99" s="533" t="s">
        <v>5133</v>
      </c>
      <c r="B99" s="533">
        <v>313051</v>
      </c>
      <c r="C99" s="145">
        <v>202848</v>
      </c>
      <c r="D99" s="533">
        <v>212242</v>
      </c>
    </row>
    <row r="100" spans="1:4" x14ac:dyDescent="0.2">
      <c r="A100" s="533" t="s">
        <v>5134</v>
      </c>
      <c r="B100" s="533">
        <v>432758</v>
      </c>
      <c r="C100" s="145">
        <v>349456</v>
      </c>
      <c r="D100" s="533">
        <v>375664</v>
      </c>
    </row>
    <row r="101" spans="1:4" x14ac:dyDescent="0.2">
      <c r="A101" s="533" t="s">
        <v>5135</v>
      </c>
      <c r="B101" s="533">
        <v>786329</v>
      </c>
      <c r="C101" s="145">
        <v>512971</v>
      </c>
      <c r="D101" s="533">
        <v>618748</v>
      </c>
    </row>
    <row r="102" spans="1:4" x14ac:dyDescent="0.2">
      <c r="A102" s="533" t="s">
        <v>5136</v>
      </c>
      <c r="B102" s="533">
        <v>577268</v>
      </c>
      <c r="C102" s="145">
        <v>397005</v>
      </c>
      <c r="D102" s="533">
        <v>518689</v>
      </c>
    </row>
    <row r="103" spans="1:4" x14ac:dyDescent="0.2">
      <c r="A103" s="533" t="s">
        <v>3364</v>
      </c>
      <c r="B103" s="533">
        <v>2064075</v>
      </c>
      <c r="C103" s="145">
        <v>3885081</v>
      </c>
      <c r="D103" s="533">
        <v>3503316</v>
      </c>
    </row>
    <row r="104" spans="1:4" x14ac:dyDescent="0.2">
      <c r="A104" s="131" t="s">
        <v>3602</v>
      </c>
      <c r="B104" s="808">
        <v>48335594</v>
      </c>
      <c r="C104" s="318">
        <v>56698554</v>
      </c>
      <c r="D104" s="808">
        <v>66331772</v>
      </c>
    </row>
    <row r="105" spans="1:4" x14ac:dyDescent="0.2">
      <c r="A105" s="131"/>
      <c r="B105" s="1401">
        <f>+SUM(B88:B103)</f>
        <v>48338604</v>
      </c>
      <c r="C105" s="1401">
        <f t="shared" ref="C105:D105" si="7">+SUM(C88:C103)</f>
        <v>56671554</v>
      </c>
      <c r="D105" s="1093">
        <f t="shared" si="7"/>
        <v>66331772</v>
      </c>
    </row>
    <row r="106" spans="1:4" ht="16" thickBot="1" x14ac:dyDescent="0.25">
      <c r="A106" s="588" t="s">
        <v>5137</v>
      </c>
      <c r="B106" s="589"/>
      <c r="C106" s="589"/>
      <c r="D106" s="596">
        <v>63003</v>
      </c>
    </row>
    <row r="107" spans="1:4" x14ac:dyDescent="0.2">
      <c r="A107" s="355"/>
      <c r="B107" s="356"/>
      <c r="C107" s="356"/>
      <c r="D107" s="364">
        <v>66394775</v>
      </c>
    </row>
    <row r="108" spans="1:4" x14ac:dyDescent="0.2">
      <c r="D108" s="393">
        <f>+SUM(D104+D106)</f>
        <v>66394775</v>
      </c>
    </row>
    <row r="111" spans="1:4" x14ac:dyDescent="0.2">
      <c r="A111" s="526" t="s">
        <v>1272</v>
      </c>
    </row>
    <row r="112" spans="1:4" ht="36" customHeight="1" x14ac:dyDescent="0.2">
      <c r="A112" s="1465" t="s">
        <v>3476</v>
      </c>
      <c r="B112" s="1466"/>
      <c r="C112" s="1466"/>
      <c r="D112" s="1467"/>
    </row>
    <row r="113" spans="1:4" x14ac:dyDescent="0.2">
      <c r="A113" s="1492" t="s">
        <v>5138</v>
      </c>
      <c r="B113" s="1493"/>
      <c r="C113" s="1493"/>
      <c r="D113" s="1494"/>
    </row>
    <row r="114" spans="1:4" x14ac:dyDescent="0.2">
      <c r="A114" s="131" t="s">
        <v>5139</v>
      </c>
      <c r="B114" s="145">
        <v>1</v>
      </c>
      <c r="C114" s="145">
        <v>40</v>
      </c>
      <c r="D114" s="133"/>
    </row>
    <row r="115" spans="1:4" ht="30" x14ac:dyDescent="0.2">
      <c r="A115" s="539" t="s">
        <v>5140</v>
      </c>
      <c r="B115" s="145">
        <v>1</v>
      </c>
      <c r="C115" s="145">
        <v>10</v>
      </c>
      <c r="D115" s="133"/>
    </row>
    <row r="116" spans="1:4" x14ac:dyDescent="0.2">
      <c r="A116" s="131" t="s">
        <v>5141</v>
      </c>
      <c r="B116" s="145">
        <v>1</v>
      </c>
      <c r="C116" s="145"/>
      <c r="D116" s="133"/>
    </row>
    <row r="117" spans="1:4" x14ac:dyDescent="0.2">
      <c r="A117" s="131" t="s">
        <v>5142</v>
      </c>
      <c r="B117" s="145"/>
      <c r="C117" s="145">
        <v>80</v>
      </c>
      <c r="D117" s="133"/>
    </row>
    <row r="118" spans="1:4" x14ac:dyDescent="0.2">
      <c r="A118" s="131" t="s">
        <v>5143</v>
      </c>
      <c r="B118" s="145">
        <v>1</v>
      </c>
      <c r="C118" s="145">
        <v>20</v>
      </c>
      <c r="D118" s="133"/>
    </row>
    <row r="119" spans="1:4" x14ac:dyDescent="0.2">
      <c r="A119" s="131" t="s">
        <v>5144</v>
      </c>
      <c r="B119" s="145">
        <v>1</v>
      </c>
      <c r="C119" s="145">
        <v>20</v>
      </c>
      <c r="D119" s="133"/>
    </row>
    <row r="120" spans="1:4" x14ac:dyDescent="0.2">
      <c r="A120" s="1495" t="s">
        <v>5145</v>
      </c>
      <c r="B120" s="1496"/>
      <c r="C120" s="1496"/>
      <c r="D120" s="1497"/>
    </row>
    <row r="121" spans="1:4" x14ac:dyDescent="0.2">
      <c r="A121" s="131" t="s">
        <v>5146</v>
      </c>
      <c r="B121" s="145">
        <v>1527621</v>
      </c>
      <c r="C121" s="145">
        <v>40</v>
      </c>
      <c r="D121" s="133"/>
    </row>
    <row r="122" spans="1:4" x14ac:dyDescent="0.2">
      <c r="A122" s="131" t="s">
        <v>5039</v>
      </c>
      <c r="B122" s="145">
        <v>1482524</v>
      </c>
      <c r="C122" s="145">
        <v>92</v>
      </c>
      <c r="D122" s="133">
        <v>0.5</v>
      </c>
    </row>
    <row r="123" spans="1:4" x14ac:dyDescent="0.2">
      <c r="A123" s="131" t="s">
        <v>5040</v>
      </c>
      <c r="B123" s="145">
        <v>1187070</v>
      </c>
      <c r="C123" s="145">
        <v>60</v>
      </c>
      <c r="D123" s="133"/>
    </row>
    <row r="124" spans="1:4" x14ac:dyDescent="0.2">
      <c r="A124" s="131" t="s">
        <v>5147</v>
      </c>
      <c r="B124" s="145">
        <v>1159753</v>
      </c>
      <c r="C124" s="145">
        <v>15</v>
      </c>
      <c r="D124" s="133"/>
    </row>
    <row r="125" spans="1:4" x14ac:dyDescent="0.2">
      <c r="A125" s="230" t="s">
        <v>5148</v>
      </c>
      <c r="B125" s="309">
        <v>1831159</v>
      </c>
      <c r="C125" s="309">
        <v>5</v>
      </c>
      <c r="D125" s="231"/>
    </row>
  </sheetData>
  <mergeCells count="88">
    <mergeCell ref="A106:C106"/>
    <mergeCell ref="A107:C107"/>
    <mergeCell ref="A112:D112"/>
    <mergeCell ref="A113:D113"/>
    <mergeCell ref="A120:D120"/>
    <mergeCell ref="BD65:BF65"/>
    <mergeCell ref="BG65:BI65"/>
    <mergeCell ref="A79:CP79"/>
    <mergeCell ref="A84:D84"/>
    <mergeCell ref="A85:A87"/>
    <mergeCell ref="B85:C85"/>
    <mergeCell ref="D85:D86"/>
    <mergeCell ref="AL65:AN65"/>
    <mergeCell ref="AO65:AQ65"/>
    <mergeCell ref="AR65:AT65"/>
    <mergeCell ref="AU65:AW65"/>
    <mergeCell ref="AX65:AZ65"/>
    <mergeCell ref="BA65:BC65"/>
    <mergeCell ref="T65:V65"/>
    <mergeCell ref="W65:Y65"/>
    <mergeCell ref="Z65:AB65"/>
    <mergeCell ref="AC65:AE65"/>
    <mergeCell ref="AF65:AH65"/>
    <mergeCell ref="AI65:AK65"/>
    <mergeCell ref="CE64:CG65"/>
    <mergeCell ref="CH64:CJ65"/>
    <mergeCell ref="CK64:CM65"/>
    <mergeCell ref="CN64:CP65"/>
    <mergeCell ref="B65:D65"/>
    <mergeCell ref="E65:G65"/>
    <mergeCell ref="H65:J65"/>
    <mergeCell ref="K65:M65"/>
    <mergeCell ref="N65:P65"/>
    <mergeCell ref="Q65:S65"/>
    <mergeCell ref="A63:CP63"/>
    <mergeCell ref="A64:A65"/>
    <mergeCell ref="B64:BI64"/>
    <mergeCell ref="BJ64:BL65"/>
    <mergeCell ref="BM64:BO65"/>
    <mergeCell ref="BP64:BR65"/>
    <mergeCell ref="BS64:BU65"/>
    <mergeCell ref="BV64:BX65"/>
    <mergeCell ref="BY64:CA65"/>
    <mergeCell ref="CB64:CD65"/>
    <mergeCell ref="AL47:AN47"/>
    <mergeCell ref="AO47:AQ47"/>
    <mergeCell ref="AR47:AT47"/>
    <mergeCell ref="AU47:AW47"/>
    <mergeCell ref="AX47:AZ47"/>
    <mergeCell ref="BA47:BC47"/>
    <mergeCell ref="T47:V47"/>
    <mergeCell ref="W47:Y47"/>
    <mergeCell ref="Z47:AB47"/>
    <mergeCell ref="AC47:AE47"/>
    <mergeCell ref="AF47:AH47"/>
    <mergeCell ref="AI47:AK47"/>
    <mergeCell ref="BS46:BU47"/>
    <mergeCell ref="BV46:BX47"/>
    <mergeCell ref="BY46:CA47"/>
    <mergeCell ref="CB46:CD47"/>
    <mergeCell ref="B47:D47"/>
    <mergeCell ref="E47:G47"/>
    <mergeCell ref="H47:J47"/>
    <mergeCell ref="K47:M47"/>
    <mergeCell ref="N47:P47"/>
    <mergeCell ref="Q47:S47"/>
    <mergeCell ref="A39:N39"/>
    <mergeCell ref="A40:N40"/>
    <mergeCell ref="A45:CD45"/>
    <mergeCell ref="A46:A47"/>
    <mergeCell ref="B46:BC46"/>
    <mergeCell ref="BD46:BF47"/>
    <mergeCell ref="BG46:BI47"/>
    <mergeCell ref="BJ46:BL47"/>
    <mergeCell ref="BM46:BO47"/>
    <mergeCell ref="BP46:BR47"/>
    <mergeCell ref="A33:N33"/>
    <mergeCell ref="A34:N34"/>
    <mergeCell ref="A35:N35"/>
    <mergeCell ref="A36:N36"/>
    <mergeCell ref="A37:N37"/>
    <mergeCell ref="A38:N38"/>
    <mergeCell ref="A4:N4"/>
    <mergeCell ref="A5:N5"/>
    <mergeCell ref="C6:E6"/>
    <mergeCell ref="F6:H6"/>
    <mergeCell ref="I6:K6"/>
    <mergeCell ref="L6:N6"/>
  </mergeCell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H16"/>
  <sheetViews>
    <sheetView workbookViewId="0">
      <selection activeCell="B1" sqref="B1"/>
    </sheetView>
  </sheetViews>
  <sheetFormatPr baseColWidth="10" defaultRowHeight="15" x14ac:dyDescent="0.2"/>
  <cols>
    <col min="1" max="1" width="34.5" style="106" customWidth="1"/>
    <col min="2" max="2" width="10.83203125" style="106"/>
    <col min="3" max="3" width="4" style="106" customWidth="1"/>
    <col min="4" max="4" width="5.1640625" style="106" customWidth="1"/>
    <col min="5" max="5" width="10.83203125" style="106"/>
    <col min="6" max="6" width="5.5" style="106" customWidth="1"/>
    <col min="7" max="7" width="5" style="106" customWidth="1"/>
    <col min="8" max="8" width="4.33203125" style="106" customWidth="1"/>
    <col min="9" max="16384" width="10.83203125" style="106"/>
  </cols>
  <sheetData>
    <row r="1" spans="1:8" x14ac:dyDescent="0.2">
      <c r="A1" s="972" t="s">
        <v>5149</v>
      </c>
    </row>
    <row r="2" spans="1:8" x14ac:dyDescent="0.2">
      <c r="A2" s="107"/>
    </row>
    <row r="3" spans="1:8" x14ac:dyDescent="0.2">
      <c r="A3" s="526" t="s">
        <v>1111</v>
      </c>
    </row>
    <row r="4" spans="1:8" ht="22.75" customHeight="1" x14ac:dyDescent="0.2">
      <c r="A4" s="1498" t="s">
        <v>5150</v>
      </c>
      <c r="B4" s="1498"/>
      <c r="C4" s="1498"/>
      <c r="D4" s="1498"/>
      <c r="E4" s="1498"/>
      <c r="F4" s="1498"/>
      <c r="G4" s="1498"/>
      <c r="H4" s="1498"/>
    </row>
    <row r="5" spans="1:8" ht="21.5" customHeight="1" x14ac:dyDescent="0.2">
      <c r="A5" s="1499" t="s">
        <v>5151</v>
      </c>
      <c r="B5" s="1499"/>
      <c r="C5" s="1499"/>
      <c r="D5" s="1499"/>
      <c r="E5" s="1499"/>
      <c r="F5" s="1499"/>
      <c r="G5" s="1499"/>
      <c r="H5" s="1499"/>
    </row>
    <row r="6" spans="1:8" ht="22.75" customHeight="1" x14ac:dyDescent="0.2">
      <c r="A6" s="554" t="s">
        <v>5152</v>
      </c>
      <c r="B6" s="1500" t="s">
        <v>5153</v>
      </c>
      <c r="C6" s="1500"/>
      <c r="D6" s="1500"/>
      <c r="E6" s="398" t="s">
        <v>5154</v>
      </c>
      <c r="F6" s="398"/>
      <c r="G6" s="398"/>
      <c r="H6" s="398"/>
    </row>
    <row r="7" spans="1:8" x14ac:dyDescent="0.2">
      <c r="A7" s="164" t="s">
        <v>5155</v>
      </c>
      <c r="B7" s="349">
        <v>4012308</v>
      </c>
      <c r="C7" s="350">
        <v>87</v>
      </c>
      <c r="D7" s="351">
        <f>1/2</f>
        <v>0.5</v>
      </c>
      <c r="E7" s="349">
        <v>3967402</v>
      </c>
      <c r="F7" s="350">
        <v>7</v>
      </c>
      <c r="G7" s="351">
        <v>0.5</v>
      </c>
      <c r="H7" s="1501"/>
    </row>
    <row r="8" spans="1:8" x14ac:dyDescent="0.2">
      <c r="A8" s="164" t="s">
        <v>2666</v>
      </c>
      <c r="B8" s="131">
        <v>343141</v>
      </c>
      <c r="C8" s="145"/>
      <c r="D8" s="180"/>
      <c r="E8" s="131">
        <v>505994</v>
      </c>
      <c r="F8" s="145"/>
      <c r="G8" s="180"/>
      <c r="H8" s="1502"/>
    </row>
    <row r="9" spans="1:8" x14ac:dyDescent="0.2">
      <c r="A9" s="164" t="s">
        <v>2693</v>
      </c>
      <c r="B9" s="131">
        <v>890256</v>
      </c>
      <c r="C9" s="145">
        <v>10</v>
      </c>
      <c r="D9" s="180"/>
      <c r="E9" s="131">
        <v>768574</v>
      </c>
      <c r="F9" s="145">
        <v>32</v>
      </c>
      <c r="G9" s="180">
        <v>0.5</v>
      </c>
      <c r="H9" s="1502"/>
    </row>
    <row r="10" spans="1:8" x14ac:dyDescent="0.2">
      <c r="A10" s="164" t="s">
        <v>2694</v>
      </c>
      <c r="B10" s="131">
        <v>1995004</v>
      </c>
      <c r="C10" s="145">
        <v>55</v>
      </c>
      <c r="D10" s="180"/>
      <c r="E10" s="131">
        <v>2097496</v>
      </c>
      <c r="F10" s="145">
        <v>10</v>
      </c>
      <c r="G10" s="180"/>
      <c r="H10" s="1502"/>
    </row>
    <row r="11" spans="1:8" x14ac:dyDescent="0.2">
      <c r="A11" s="164" t="s">
        <v>2668</v>
      </c>
      <c r="B11" s="131">
        <v>812744</v>
      </c>
      <c r="C11" s="145">
        <v>10</v>
      </c>
      <c r="D11" s="180"/>
      <c r="E11" s="131">
        <v>753272</v>
      </c>
      <c r="F11" s="145">
        <v>40</v>
      </c>
      <c r="G11" s="180"/>
      <c r="H11" s="1502" t="s">
        <v>5156</v>
      </c>
    </row>
    <row r="12" spans="1:8" x14ac:dyDescent="0.2">
      <c r="A12" s="164" t="s">
        <v>2695</v>
      </c>
      <c r="B12" s="131">
        <v>712338</v>
      </c>
      <c r="C12" s="145">
        <v>5</v>
      </c>
      <c r="D12" s="180"/>
      <c r="E12" s="131">
        <v>50740</v>
      </c>
      <c r="F12" s="145">
        <v>85</v>
      </c>
      <c r="G12" s="180"/>
      <c r="H12" s="1502" t="s">
        <v>5157</v>
      </c>
    </row>
    <row r="13" spans="1:8" x14ac:dyDescent="0.2">
      <c r="A13" s="164" t="s">
        <v>1371</v>
      </c>
      <c r="B13" s="131">
        <v>1356419</v>
      </c>
      <c r="C13" s="145">
        <v>95</v>
      </c>
      <c r="D13" s="180"/>
      <c r="E13" s="131">
        <v>1334078</v>
      </c>
      <c r="F13" s="145">
        <v>90</v>
      </c>
      <c r="G13" s="180"/>
      <c r="H13" s="1502"/>
    </row>
    <row r="14" spans="1:8" x14ac:dyDescent="0.2">
      <c r="A14" s="164" t="s">
        <v>5158</v>
      </c>
      <c r="B14" s="131">
        <v>2225703</v>
      </c>
      <c r="C14" s="145">
        <v>80</v>
      </c>
      <c r="D14" s="180"/>
      <c r="E14" s="131">
        <v>2281427</v>
      </c>
      <c r="F14" s="145">
        <v>70</v>
      </c>
      <c r="G14" s="180"/>
      <c r="H14" s="1502" t="s">
        <v>5159</v>
      </c>
    </row>
    <row r="15" spans="1:8" x14ac:dyDescent="0.2">
      <c r="A15" s="164" t="s">
        <v>2672</v>
      </c>
      <c r="B15" s="131">
        <v>1508409</v>
      </c>
      <c r="C15" s="145">
        <v>80</v>
      </c>
      <c r="D15" s="180"/>
      <c r="E15" s="131">
        <v>1424018</v>
      </c>
      <c r="F15" s="145">
        <v>70</v>
      </c>
      <c r="G15" s="180"/>
      <c r="H15" s="1502" t="s">
        <v>5160</v>
      </c>
    </row>
    <row r="16" spans="1:8" x14ac:dyDescent="0.2">
      <c r="A16" s="151" t="s">
        <v>2672</v>
      </c>
      <c r="B16" s="230">
        <v>321330</v>
      </c>
      <c r="C16" s="309">
        <v>37</v>
      </c>
      <c r="D16" s="310">
        <v>0.5</v>
      </c>
      <c r="E16" s="230">
        <v>86022</v>
      </c>
      <c r="F16" s="309">
        <v>50</v>
      </c>
      <c r="G16" s="310"/>
      <c r="H16" s="1503" t="s">
        <v>5161</v>
      </c>
    </row>
  </sheetData>
  <mergeCells count="4">
    <mergeCell ref="A4:H4"/>
    <mergeCell ref="A5:H5"/>
    <mergeCell ref="B6:D6"/>
    <mergeCell ref="E6:H6"/>
  </mergeCells>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BO130"/>
  <sheetViews>
    <sheetView topLeftCell="A47" workbookViewId="0">
      <selection activeCell="B1" sqref="B1"/>
    </sheetView>
  </sheetViews>
  <sheetFormatPr baseColWidth="10" defaultRowHeight="15" x14ac:dyDescent="0.2"/>
  <cols>
    <col min="1" max="1" width="32.83203125" style="107" customWidth="1"/>
    <col min="2" max="2" width="17.6640625" style="107" customWidth="1"/>
    <col min="3" max="3" width="10.83203125" style="107" customWidth="1"/>
    <col min="4" max="4" width="10.1640625" style="107" customWidth="1"/>
    <col min="5" max="5" width="6.5" style="107" customWidth="1"/>
    <col min="6" max="6" width="10.83203125" style="107" customWidth="1"/>
    <col min="7" max="7" width="7.1640625" style="107" customWidth="1"/>
    <col min="8" max="8" width="9.1640625" style="107" customWidth="1"/>
    <col min="9" max="9" width="10.83203125" style="107" customWidth="1"/>
    <col min="10" max="10" width="10.33203125" style="107" customWidth="1"/>
    <col min="11" max="11" width="7.5" style="107" customWidth="1"/>
    <col min="12" max="12" width="10.83203125" style="107" customWidth="1"/>
    <col min="13" max="13" width="6.1640625" style="107" customWidth="1"/>
    <col min="14" max="14" width="9.1640625" style="107" customWidth="1"/>
    <col min="15" max="15" width="7" style="107" customWidth="1"/>
    <col min="16" max="16" width="10.83203125" style="107"/>
    <col min="17" max="17" width="8.6640625" style="107" bestFit="1" customWidth="1"/>
    <col min="18" max="18" width="10.83203125" style="107"/>
    <col min="19" max="19" width="6.5" style="107" customWidth="1"/>
    <col min="20" max="20" width="10.83203125" style="107"/>
    <col min="21" max="21" width="6.5" style="107" customWidth="1"/>
    <col min="22" max="22" width="10.83203125" style="107"/>
    <col min="23" max="23" width="7.5" style="107" bestFit="1" customWidth="1"/>
    <col min="24" max="24" width="10.83203125" style="107"/>
    <col min="25" max="25" width="7.1640625" style="107" customWidth="1"/>
    <col min="26" max="26" width="10.83203125" style="107"/>
    <col min="27" max="27" width="6.33203125" style="107" customWidth="1"/>
    <col min="28" max="28" width="10.83203125" style="107"/>
    <col min="29" max="29" width="6.5" style="107" customWidth="1"/>
    <col min="30" max="30" width="10.83203125" style="107"/>
    <col min="31" max="31" width="7.1640625" style="107" customWidth="1"/>
    <col min="32" max="32" width="10.83203125" style="107"/>
    <col min="33" max="33" width="6.83203125" style="107" customWidth="1"/>
    <col min="34" max="34" width="10.83203125" style="107"/>
    <col min="35" max="35" width="7.33203125" style="107" customWidth="1"/>
    <col min="36" max="36" width="10.83203125" style="107"/>
    <col min="37" max="37" width="6.5" style="107" customWidth="1"/>
    <col min="38" max="38" width="10.83203125" style="107"/>
    <col min="39" max="39" width="6.6640625" style="107" customWidth="1"/>
    <col min="40" max="40" width="10.83203125" style="107"/>
    <col min="41" max="41" width="7.5" style="107" bestFit="1" customWidth="1"/>
    <col min="42" max="42" width="10.83203125" style="107"/>
    <col min="43" max="43" width="6.5" style="107" customWidth="1"/>
    <col min="44" max="44" width="10.83203125" style="107"/>
    <col min="45" max="45" width="6.83203125" style="107" customWidth="1"/>
    <col min="46" max="46" width="10.83203125" style="107"/>
    <col min="47" max="47" width="9.1640625" style="107" bestFit="1" customWidth="1"/>
    <col min="48" max="48" width="10.83203125" style="107"/>
    <col min="49" max="49" width="7.5" style="107" customWidth="1"/>
    <col min="50" max="51" width="10.83203125" style="107"/>
    <col min="52" max="52" width="5.5" style="107" customWidth="1"/>
    <col min="53" max="53" width="10.83203125" style="107"/>
    <col min="54" max="54" width="10.33203125" style="107" bestFit="1" customWidth="1"/>
    <col min="55" max="56" width="10.83203125" style="107"/>
    <col min="57" max="57" width="7.1640625" style="107" customWidth="1"/>
    <col min="58" max="58" width="9.1640625" style="107" bestFit="1" customWidth="1"/>
    <col min="59" max="59" width="10.83203125" style="107"/>
    <col min="60" max="61" width="7.1640625" style="107" customWidth="1"/>
    <col min="62" max="62" width="10.83203125" style="107"/>
    <col min="63" max="64" width="5" style="107" customWidth="1"/>
    <col min="65" max="65" width="10.83203125" style="107"/>
    <col min="66" max="67" width="5" style="107" customWidth="1"/>
    <col min="68" max="16384" width="10.83203125" style="107"/>
  </cols>
  <sheetData>
    <row r="1" spans="1:14" x14ac:dyDescent="0.2">
      <c r="A1" s="972" t="s">
        <v>5162</v>
      </c>
    </row>
    <row r="3" spans="1:14" x14ac:dyDescent="0.2">
      <c r="A3" s="526" t="s">
        <v>1111</v>
      </c>
    </row>
    <row r="4" spans="1:14" ht="28.75" customHeight="1" x14ac:dyDescent="0.2">
      <c r="A4" s="1272" t="s">
        <v>5163</v>
      </c>
      <c r="B4" s="1272"/>
      <c r="C4" s="1272"/>
      <c r="D4" s="1272"/>
      <c r="E4" s="1272"/>
      <c r="F4" s="1272"/>
      <c r="G4" s="1272"/>
      <c r="H4" s="1272"/>
      <c r="I4" s="1272"/>
      <c r="J4" s="1272"/>
      <c r="K4" s="1272"/>
      <c r="L4" s="1272"/>
      <c r="M4" s="1272"/>
      <c r="N4" s="1272"/>
    </row>
    <row r="5" spans="1:14" x14ac:dyDescent="0.2">
      <c r="A5" s="967" t="s">
        <v>5164</v>
      </c>
      <c r="B5" s="1276" t="s">
        <v>2116</v>
      </c>
      <c r="C5" s="1293" t="s">
        <v>5165</v>
      </c>
      <c r="D5" s="1365"/>
      <c r="E5" s="1365"/>
      <c r="F5" s="1365"/>
      <c r="G5" s="1365"/>
      <c r="H5" s="1365"/>
      <c r="I5" s="1365"/>
      <c r="J5" s="1365"/>
      <c r="K5" s="1365"/>
      <c r="L5" s="1276" t="s">
        <v>5166</v>
      </c>
      <c r="M5" s="1276"/>
      <c r="N5" s="1276"/>
    </row>
    <row r="6" spans="1:14" x14ac:dyDescent="0.2">
      <c r="A6" s="967"/>
      <c r="B6" s="1276"/>
      <c r="C6" s="1504">
        <v>1893</v>
      </c>
      <c r="D6" s="1505"/>
      <c r="E6" s="1505"/>
      <c r="F6" s="1505">
        <v>1894</v>
      </c>
      <c r="G6" s="1505"/>
      <c r="H6" s="1505"/>
      <c r="I6" s="1505" t="s">
        <v>1170</v>
      </c>
      <c r="J6" s="1505"/>
      <c r="K6" s="1505"/>
      <c r="L6" s="1276"/>
      <c r="M6" s="1276"/>
      <c r="N6" s="1276"/>
    </row>
    <row r="7" spans="1:14" x14ac:dyDescent="0.2">
      <c r="A7" s="1422" t="s">
        <v>5167</v>
      </c>
      <c r="B7" s="1485" t="s">
        <v>1174</v>
      </c>
      <c r="C7" s="349">
        <v>9259910</v>
      </c>
      <c r="D7" s="350">
        <v>52</v>
      </c>
      <c r="E7" s="352">
        <v>0.5</v>
      </c>
      <c r="F7" s="349">
        <v>8024468</v>
      </c>
      <c r="G7" s="350">
        <v>17</v>
      </c>
      <c r="H7" s="352">
        <v>0.5</v>
      </c>
      <c r="I7" s="349">
        <v>17284378</v>
      </c>
      <c r="J7" s="350">
        <v>70</v>
      </c>
      <c r="K7" s="352"/>
      <c r="L7" s="349">
        <v>10847966</v>
      </c>
      <c r="M7" s="350">
        <v>81</v>
      </c>
      <c r="N7" s="352"/>
    </row>
    <row r="8" spans="1:14" x14ac:dyDescent="0.2">
      <c r="A8" s="1422" t="s">
        <v>5168</v>
      </c>
      <c r="B8" s="1485" t="s">
        <v>1569</v>
      </c>
      <c r="C8" s="131">
        <v>1831159</v>
      </c>
      <c r="D8" s="145">
        <v>5</v>
      </c>
      <c r="E8" s="133"/>
      <c r="F8" s="131">
        <v>1605162</v>
      </c>
      <c r="G8" s="145">
        <v>40</v>
      </c>
      <c r="H8" s="133"/>
      <c r="I8" s="131">
        <v>3436321</v>
      </c>
      <c r="J8" s="145">
        <v>45</v>
      </c>
      <c r="K8" s="133"/>
      <c r="L8" s="140">
        <v>1656263</v>
      </c>
      <c r="M8" s="145">
        <v>75</v>
      </c>
      <c r="N8" s="133"/>
    </row>
    <row r="9" spans="1:14" x14ac:dyDescent="0.2">
      <c r="A9" s="1422" t="s">
        <v>5169</v>
      </c>
      <c r="B9" s="1485" t="s">
        <v>5170</v>
      </c>
      <c r="C9" s="131">
        <v>1008858</v>
      </c>
      <c r="D9" s="145"/>
      <c r="E9" s="133"/>
      <c r="F9" s="131">
        <v>1090425</v>
      </c>
      <c r="G9" s="145">
        <v>90</v>
      </c>
      <c r="H9" s="133"/>
      <c r="I9" s="131">
        <v>2099283</v>
      </c>
      <c r="J9" s="145">
        <v>90</v>
      </c>
      <c r="K9" s="133"/>
      <c r="L9" s="131">
        <v>1718844</v>
      </c>
      <c r="M9" s="145">
        <v>55</v>
      </c>
      <c r="N9" s="133"/>
    </row>
    <row r="10" spans="1:14" ht="25" x14ac:dyDescent="0.2">
      <c r="A10" s="1422" t="s">
        <v>5171</v>
      </c>
      <c r="B10" s="1485" t="s">
        <v>5172</v>
      </c>
      <c r="C10" s="131">
        <v>437757</v>
      </c>
      <c r="D10" s="145">
        <v>60</v>
      </c>
      <c r="E10" s="133"/>
      <c r="F10" s="131">
        <v>476498</v>
      </c>
      <c r="G10" s="145">
        <v>70</v>
      </c>
      <c r="H10" s="133"/>
      <c r="I10" s="131">
        <v>914256</v>
      </c>
      <c r="J10" s="145">
        <v>30</v>
      </c>
      <c r="K10" s="133"/>
      <c r="L10" s="131">
        <v>488161</v>
      </c>
      <c r="M10" s="145"/>
      <c r="N10" s="133"/>
    </row>
    <row r="11" spans="1:14" x14ac:dyDescent="0.2">
      <c r="A11" s="1422" t="s">
        <v>5046</v>
      </c>
      <c r="B11" s="1485" t="s">
        <v>5173</v>
      </c>
      <c r="C11" s="131">
        <v>25852</v>
      </c>
      <c r="D11" s="145">
        <v>50</v>
      </c>
      <c r="E11" s="133"/>
      <c r="F11" s="131">
        <v>494332</v>
      </c>
      <c r="G11" s="145">
        <v>80</v>
      </c>
      <c r="H11" s="133"/>
      <c r="I11" s="131">
        <v>520185</v>
      </c>
      <c r="J11" s="145">
        <v>30</v>
      </c>
      <c r="K11" s="133"/>
      <c r="L11" s="131">
        <v>663126</v>
      </c>
      <c r="M11" s="145">
        <v>12</v>
      </c>
      <c r="N11" s="133">
        <v>0.5</v>
      </c>
    </row>
    <row r="12" spans="1:14" x14ac:dyDescent="0.2">
      <c r="A12" s="1506" t="s">
        <v>2041</v>
      </c>
      <c r="B12" s="1485" t="s">
        <v>3287</v>
      </c>
      <c r="C12" s="131">
        <v>243779</v>
      </c>
      <c r="D12" s="145">
        <v>25</v>
      </c>
      <c r="E12" s="133"/>
      <c r="F12" s="131">
        <v>288794</v>
      </c>
      <c r="G12" s="145">
        <v>80</v>
      </c>
      <c r="H12" s="133"/>
      <c r="I12" s="131">
        <v>532574</v>
      </c>
      <c r="J12" s="145">
        <v>5</v>
      </c>
      <c r="K12" s="133"/>
      <c r="L12" s="131">
        <v>275771</v>
      </c>
      <c r="M12" s="145">
        <v>20</v>
      </c>
      <c r="N12" s="133"/>
    </row>
    <row r="13" spans="1:14" x14ac:dyDescent="0.2">
      <c r="A13" s="1422" t="s">
        <v>5046</v>
      </c>
      <c r="B13" s="1485" t="s">
        <v>1175</v>
      </c>
      <c r="C13" s="131">
        <v>140130</v>
      </c>
      <c r="D13" s="145">
        <v>50</v>
      </c>
      <c r="E13" s="133">
        <v>0.5</v>
      </c>
      <c r="F13" s="131">
        <v>142015</v>
      </c>
      <c r="G13" s="145">
        <v>54</v>
      </c>
      <c r="H13" s="133"/>
      <c r="I13" s="131">
        <v>282146</v>
      </c>
      <c r="J13" s="145">
        <v>4</v>
      </c>
      <c r="K13" s="133">
        <v>0.25</v>
      </c>
      <c r="L13" s="131">
        <v>120430</v>
      </c>
      <c r="M13" s="141">
        <v>36</v>
      </c>
      <c r="N13" s="133"/>
    </row>
    <row r="14" spans="1:14" x14ac:dyDescent="0.2">
      <c r="A14" s="1506" t="s">
        <v>4355</v>
      </c>
      <c r="B14" s="1485" t="s">
        <v>5052</v>
      </c>
      <c r="C14" s="131">
        <v>86928</v>
      </c>
      <c r="D14" s="145"/>
      <c r="E14" s="133"/>
      <c r="F14" s="131">
        <v>127516</v>
      </c>
      <c r="G14" s="145"/>
      <c r="H14" s="133"/>
      <c r="I14" s="131">
        <v>214444</v>
      </c>
      <c r="J14" s="145"/>
      <c r="K14" s="133"/>
      <c r="L14" s="131">
        <v>132513</v>
      </c>
      <c r="M14" s="145"/>
      <c r="N14" s="133"/>
    </row>
    <row r="15" spans="1:14" ht="25" x14ac:dyDescent="0.2">
      <c r="A15" s="1506" t="s">
        <v>5174</v>
      </c>
      <c r="B15" s="1485" t="s">
        <v>5175</v>
      </c>
      <c r="C15" s="131">
        <v>102882</v>
      </c>
      <c r="D15" s="145">
        <v>50</v>
      </c>
      <c r="E15" s="133"/>
      <c r="F15" s="131"/>
      <c r="G15" s="145"/>
      <c r="H15" s="133"/>
      <c r="I15" s="131">
        <v>102882</v>
      </c>
      <c r="J15" s="145">
        <v>50</v>
      </c>
      <c r="K15" s="133"/>
      <c r="L15" s="131"/>
      <c r="M15" s="145"/>
      <c r="N15" s="133"/>
    </row>
    <row r="16" spans="1:14" ht="25" x14ac:dyDescent="0.2">
      <c r="A16" s="1422" t="s">
        <v>5176</v>
      </c>
      <c r="B16" s="1485" t="s">
        <v>5054</v>
      </c>
      <c r="C16" s="131">
        <v>62795</v>
      </c>
      <c r="D16" s="145">
        <v>10</v>
      </c>
      <c r="E16" s="133"/>
      <c r="F16" s="131">
        <v>60000</v>
      </c>
      <c r="G16" s="145"/>
      <c r="H16" s="133"/>
      <c r="I16" s="131">
        <v>122795</v>
      </c>
      <c r="J16" s="145">
        <v>10</v>
      </c>
      <c r="K16" s="133"/>
      <c r="L16" s="131">
        <v>68140</v>
      </c>
      <c r="M16" s="145">
        <v>30</v>
      </c>
      <c r="N16" s="133"/>
    </row>
    <row r="17" spans="1:14" x14ac:dyDescent="0.2">
      <c r="A17" s="1506" t="s">
        <v>2869</v>
      </c>
      <c r="B17" s="1485" t="s">
        <v>5177</v>
      </c>
      <c r="C17" s="131">
        <v>100000</v>
      </c>
      <c r="D17" s="145"/>
      <c r="E17" s="133"/>
      <c r="F17" s="131"/>
      <c r="G17" s="145"/>
      <c r="H17" s="133"/>
      <c r="I17" s="131">
        <v>100000</v>
      </c>
      <c r="J17" s="145"/>
      <c r="K17" s="133"/>
      <c r="L17" s="131">
        <v>60000</v>
      </c>
      <c r="M17" s="145"/>
      <c r="N17" s="133"/>
    </row>
    <row r="18" spans="1:14" x14ac:dyDescent="0.2">
      <c r="A18" s="1422" t="s">
        <v>5046</v>
      </c>
      <c r="B18" s="1485" t="s">
        <v>1991</v>
      </c>
      <c r="C18" s="131">
        <v>23670</v>
      </c>
      <c r="D18" s="145"/>
      <c r="E18" s="133"/>
      <c r="F18" s="131">
        <v>24670</v>
      </c>
      <c r="G18" s="145"/>
      <c r="H18" s="133"/>
      <c r="I18" s="131">
        <v>48340</v>
      </c>
      <c r="J18" s="145"/>
      <c r="K18" s="133"/>
      <c r="L18" s="131"/>
      <c r="M18" s="145"/>
      <c r="N18" s="133"/>
    </row>
    <row r="19" spans="1:14" x14ac:dyDescent="0.2">
      <c r="A19" s="1506" t="s">
        <v>5178</v>
      </c>
      <c r="B19" s="1485" t="s">
        <v>5058</v>
      </c>
      <c r="C19" s="131">
        <v>6660</v>
      </c>
      <c r="D19" s="145"/>
      <c r="E19" s="133"/>
      <c r="F19" s="131"/>
      <c r="G19" s="145"/>
      <c r="H19" s="133"/>
      <c r="I19" s="131">
        <v>6660</v>
      </c>
      <c r="J19" s="145"/>
      <c r="K19" s="133"/>
      <c r="L19" s="131"/>
      <c r="M19" s="145"/>
      <c r="N19" s="133"/>
    </row>
    <row r="20" spans="1:14" x14ac:dyDescent="0.2">
      <c r="A20" s="1422" t="s">
        <v>5179</v>
      </c>
      <c r="B20" s="1485" t="s">
        <v>5180</v>
      </c>
      <c r="C20" s="131">
        <v>13929</v>
      </c>
      <c r="D20" s="145">
        <v>12</v>
      </c>
      <c r="E20" s="133">
        <v>0.5</v>
      </c>
      <c r="F20" s="131"/>
      <c r="G20" s="145"/>
      <c r="H20" s="133"/>
      <c r="I20" s="131">
        <v>13929</v>
      </c>
      <c r="J20" s="145">
        <v>12</v>
      </c>
      <c r="K20" s="133">
        <v>0.5</v>
      </c>
      <c r="L20" s="131"/>
      <c r="M20" s="145"/>
      <c r="N20" s="133"/>
    </row>
    <row r="21" spans="1:14" ht="27" customHeight="1" x14ac:dyDescent="0.2">
      <c r="A21" s="1422" t="s">
        <v>5046</v>
      </c>
      <c r="B21" s="1485" t="s">
        <v>5061</v>
      </c>
      <c r="C21" s="131">
        <v>25857</v>
      </c>
      <c r="D21" s="145">
        <v>50</v>
      </c>
      <c r="E21" s="133"/>
      <c r="F21" s="131">
        <v>26863</v>
      </c>
      <c r="G21" s="145">
        <v>45</v>
      </c>
      <c r="H21" s="133"/>
      <c r="I21" s="131">
        <v>52720</v>
      </c>
      <c r="J21" s="145">
        <v>95</v>
      </c>
      <c r="K21" s="133"/>
      <c r="L21" s="131">
        <v>21731</v>
      </c>
      <c r="M21" s="145">
        <v>40</v>
      </c>
      <c r="N21" s="133"/>
    </row>
    <row r="22" spans="1:14" ht="25" x14ac:dyDescent="0.2">
      <c r="A22" s="1506" t="s">
        <v>2869</v>
      </c>
      <c r="B22" s="1485" t="s">
        <v>5062</v>
      </c>
      <c r="C22" s="131">
        <v>22500</v>
      </c>
      <c r="D22" s="145"/>
      <c r="E22" s="133"/>
      <c r="F22" s="131">
        <v>30000</v>
      </c>
      <c r="G22" s="145"/>
      <c r="H22" s="133"/>
      <c r="I22" s="131">
        <v>52500</v>
      </c>
      <c r="J22" s="145"/>
      <c r="K22" s="133"/>
      <c r="L22" s="131">
        <v>30000</v>
      </c>
      <c r="M22" s="145"/>
      <c r="N22" s="133"/>
    </row>
    <row r="23" spans="1:14" ht="37" x14ac:dyDescent="0.2">
      <c r="A23" s="1422" t="s">
        <v>5046</v>
      </c>
      <c r="B23" s="1485" t="s">
        <v>5181</v>
      </c>
      <c r="C23" s="131">
        <v>3666</v>
      </c>
      <c r="D23" s="145">
        <v>60</v>
      </c>
      <c r="E23" s="133"/>
      <c r="F23" s="131">
        <v>3666</v>
      </c>
      <c r="G23" s="145">
        <v>55</v>
      </c>
      <c r="H23" s="133"/>
      <c r="I23" s="131">
        <v>7333</v>
      </c>
      <c r="J23" s="145">
        <v>15</v>
      </c>
      <c r="K23" s="133"/>
      <c r="L23" s="131">
        <v>3999</v>
      </c>
      <c r="M23" s="145">
        <v>90</v>
      </c>
      <c r="N23" s="133"/>
    </row>
    <row r="24" spans="1:14" x14ac:dyDescent="0.2">
      <c r="A24" s="1506" t="s">
        <v>3628</v>
      </c>
      <c r="B24" s="1485" t="s">
        <v>5064</v>
      </c>
      <c r="C24" s="131">
        <v>16246</v>
      </c>
      <c r="D24" s="145">
        <v>25</v>
      </c>
      <c r="E24" s="133"/>
      <c r="F24" s="131">
        <v>20124</v>
      </c>
      <c r="G24" s="145">
        <v>70</v>
      </c>
      <c r="H24" s="133"/>
      <c r="I24" s="131">
        <v>36370</v>
      </c>
      <c r="J24" s="145">
        <v>95</v>
      </c>
      <c r="K24" s="133"/>
      <c r="L24" s="131">
        <v>20437</v>
      </c>
      <c r="M24" s="145">
        <v>25</v>
      </c>
      <c r="N24" s="133"/>
    </row>
    <row r="25" spans="1:14" x14ac:dyDescent="0.2">
      <c r="A25" s="1422" t="s">
        <v>5046</v>
      </c>
      <c r="B25" s="1485" t="s">
        <v>5065</v>
      </c>
      <c r="C25" s="131">
        <v>3440</v>
      </c>
      <c r="D25" s="145">
        <v>20</v>
      </c>
      <c r="E25" s="133"/>
      <c r="F25" s="131">
        <v>5886</v>
      </c>
      <c r="G25" s="145">
        <v>75</v>
      </c>
      <c r="H25" s="133"/>
      <c r="I25" s="131">
        <v>9326</v>
      </c>
      <c r="J25" s="145">
        <v>95</v>
      </c>
      <c r="K25" s="133"/>
      <c r="L25" s="131">
        <v>7016</v>
      </c>
      <c r="M25" s="145">
        <v>95</v>
      </c>
      <c r="N25" s="133"/>
    </row>
    <row r="26" spans="1:14" x14ac:dyDescent="0.2">
      <c r="A26" s="1506" t="s">
        <v>2869</v>
      </c>
      <c r="B26" s="1485" t="s">
        <v>1808</v>
      </c>
      <c r="C26" s="131">
        <v>3917</v>
      </c>
      <c r="D26" s="145"/>
      <c r="E26" s="133"/>
      <c r="F26" s="131">
        <v>123486</v>
      </c>
      <c r="G26" s="145">
        <v>20</v>
      </c>
      <c r="H26" s="133"/>
      <c r="I26" s="131">
        <v>127403</v>
      </c>
      <c r="J26" s="145">
        <v>20</v>
      </c>
      <c r="K26" s="133"/>
      <c r="L26" s="131">
        <v>5584</v>
      </c>
      <c r="M26" s="145">
        <v>65</v>
      </c>
      <c r="N26" s="133"/>
    </row>
    <row r="27" spans="1:14" ht="25" x14ac:dyDescent="0.2">
      <c r="A27" s="1422" t="s">
        <v>3628</v>
      </c>
      <c r="B27" s="1485" t="s">
        <v>5182</v>
      </c>
      <c r="C27" s="131">
        <v>31352</v>
      </c>
      <c r="D27" s="145">
        <v>10</v>
      </c>
      <c r="E27" s="133"/>
      <c r="F27" s="131">
        <v>32930</v>
      </c>
      <c r="G27" s="145">
        <v>10</v>
      </c>
      <c r="H27" s="133"/>
      <c r="I27" s="131">
        <v>64282</v>
      </c>
      <c r="J27" s="145">
        <v>20</v>
      </c>
      <c r="K27" s="133"/>
      <c r="L27" s="131">
        <v>32985</v>
      </c>
      <c r="M27" s="145">
        <v>25</v>
      </c>
      <c r="N27" s="133"/>
    </row>
    <row r="28" spans="1:14" ht="25" x14ac:dyDescent="0.2">
      <c r="A28" s="1422" t="s">
        <v>5046</v>
      </c>
      <c r="B28" s="1485" t="s">
        <v>5067</v>
      </c>
      <c r="C28" s="131">
        <v>1265</v>
      </c>
      <c r="D28" s="145">
        <v>60</v>
      </c>
      <c r="E28" s="133"/>
      <c r="F28" s="131">
        <v>931</v>
      </c>
      <c r="G28" s="145">
        <v>20</v>
      </c>
      <c r="H28" s="133"/>
      <c r="I28" s="131">
        <v>2196</v>
      </c>
      <c r="J28" s="145">
        <v>80</v>
      </c>
      <c r="K28" s="133"/>
      <c r="L28" s="131">
        <v>1040</v>
      </c>
      <c r="M28" s="145">
        <v>50</v>
      </c>
      <c r="N28" s="133"/>
    </row>
    <row r="29" spans="1:14" ht="25" x14ac:dyDescent="0.2">
      <c r="A29" s="1422" t="s">
        <v>5046</v>
      </c>
      <c r="B29" s="1485" t="s">
        <v>5183</v>
      </c>
      <c r="C29" s="131">
        <v>1120</v>
      </c>
      <c r="D29" s="145">
        <v>50</v>
      </c>
      <c r="E29" s="133"/>
      <c r="F29" s="131">
        <v>2890</v>
      </c>
      <c r="G29" s="145"/>
      <c r="H29" s="133"/>
      <c r="I29" s="131">
        <v>4010</v>
      </c>
      <c r="J29" s="145">
        <v>50</v>
      </c>
      <c r="K29" s="133"/>
      <c r="L29" s="131">
        <v>1367</v>
      </c>
      <c r="M29" s="145">
        <v>50</v>
      </c>
      <c r="N29" s="133"/>
    </row>
    <row r="30" spans="1:14" ht="25" x14ac:dyDescent="0.2">
      <c r="A30" s="1506" t="s">
        <v>2869</v>
      </c>
      <c r="B30" s="1485" t="s">
        <v>5184</v>
      </c>
      <c r="C30" s="131">
        <v>580859</v>
      </c>
      <c r="D30" s="145">
        <v>27</v>
      </c>
      <c r="E30" s="133">
        <v>0.5</v>
      </c>
      <c r="F30" s="131">
        <v>687788</v>
      </c>
      <c r="G30" s="145">
        <v>5</v>
      </c>
      <c r="H30" s="133"/>
      <c r="I30" s="131">
        <v>1268647</v>
      </c>
      <c r="J30" s="145">
        <v>32</v>
      </c>
      <c r="K30" s="133">
        <v>0.5</v>
      </c>
      <c r="L30" s="131">
        <v>77858</v>
      </c>
      <c r="M30" s="145">
        <v>20</v>
      </c>
      <c r="N30" s="133"/>
    </row>
    <row r="31" spans="1:14" x14ac:dyDescent="0.2">
      <c r="A31" s="1422" t="s">
        <v>3628</v>
      </c>
      <c r="B31" s="1485" t="s">
        <v>5070</v>
      </c>
      <c r="C31" s="131">
        <v>645</v>
      </c>
      <c r="D31" s="145"/>
      <c r="E31" s="133"/>
      <c r="F31" s="131">
        <v>2075</v>
      </c>
      <c r="G31" s="145"/>
      <c r="H31" s="133"/>
      <c r="I31" s="131">
        <v>2720</v>
      </c>
      <c r="J31" s="145"/>
      <c r="K31" s="133"/>
      <c r="L31" s="131">
        <v>2295</v>
      </c>
      <c r="M31" s="145"/>
      <c r="N31" s="133"/>
    </row>
    <row r="32" spans="1:14" x14ac:dyDescent="0.2">
      <c r="A32" s="1422" t="s">
        <v>5046</v>
      </c>
      <c r="B32" s="1485" t="s">
        <v>5185</v>
      </c>
      <c r="C32" s="131">
        <v>3605</v>
      </c>
      <c r="D32" s="145">
        <v>87</v>
      </c>
      <c r="E32" s="133">
        <v>0.5</v>
      </c>
      <c r="F32" s="131">
        <v>3066</v>
      </c>
      <c r="G32" s="145">
        <v>65</v>
      </c>
      <c r="H32" s="133"/>
      <c r="I32" s="131">
        <v>6672</v>
      </c>
      <c r="J32" s="145">
        <v>52</v>
      </c>
      <c r="K32" s="133">
        <v>0.5</v>
      </c>
      <c r="L32" s="131">
        <v>7250</v>
      </c>
      <c r="M32" s="145">
        <v>70</v>
      </c>
      <c r="N32" s="133"/>
    </row>
    <row r="33" spans="1:54" x14ac:dyDescent="0.2">
      <c r="A33" s="535"/>
      <c r="B33" s="535"/>
      <c r="C33" s="240">
        <v>14038788</v>
      </c>
      <c r="D33" s="318">
        <v>5</v>
      </c>
      <c r="E33" s="241">
        <v>0.5</v>
      </c>
      <c r="F33" s="240">
        <v>13273592</v>
      </c>
      <c r="G33" s="318">
        <v>96</v>
      </c>
      <c r="H33" s="241">
        <v>0.5</v>
      </c>
      <c r="I33" s="240">
        <v>27312381</v>
      </c>
      <c r="J33" s="318">
        <v>2</v>
      </c>
      <c r="K33" s="241"/>
      <c r="L33" s="240">
        <v>16242784</v>
      </c>
      <c r="M33" s="318">
        <v>39</v>
      </c>
      <c r="N33" s="241">
        <v>0.5</v>
      </c>
    </row>
    <row r="34" spans="1:54" x14ac:dyDescent="0.2">
      <c r="A34" s="230"/>
      <c r="B34" s="309"/>
      <c r="C34" s="1117">
        <f>+SUM(C7:C32)</f>
        <v>14038781</v>
      </c>
      <c r="D34" s="1117">
        <f t="shared" ref="D34:N34" si="0">+SUM(D7:D32)</f>
        <v>703</v>
      </c>
      <c r="E34" s="1487">
        <f t="shared" si="0"/>
        <v>2.5</v>
      </c>
      <c r="F34" s="1117">
        <f t="shared" si="0"/>
        <v>13273585</v>
      </c>
      <c r="G34" s="1117">
        <f t="shared" si="0"/>
        <v>796</v>
      </c>
      <c r="H34" s="1487">
        <f t="shared" si="0"/>
        <v>0.5</v>
      </c>
      <c r="I34" s="1117">
        <f t="shared" si="0"/>
        <v>27312372</v>
      </c>
      <c r="J34" s="1117">
        <f t="shared" si="0"/>
        <v>900</v>
      </c>
      <c r="K34" s="1487">
        <f t="shared" si="0"/>
        <v>1.75</v>
      </c>
      <c r="L34" s="1117">
        <f t="shared" si="0"/>
        <v>16242776</v>
      </c>
      <c r="M34" s="1117">
        <f t="shared" si="0"/>
        <v>839</v>
      </c>
      <c r="N34" s="1487">
        <f t="shared" si="0"/>
        <v>0.5</v>
      </c>
    </row>
    <row r="35" spans="1:54" ht="84.5" customHeight="1" x14ac:dyDescent="0.2">
      <c r="A35" s="1507" t="s">
        <v>5186</v>
      </c>
      <c r="B35" s="1508"/>
      <c r="C35" s="1508"/>
      <c r="D35" s="1508"/>
      <c r="E35" s="1508"/>
      <c r="F35" s="1508"/>
      <c r="G35" s="1508"/>
      <c r="H35" s="1508"/>
      <c r="I35" s="1508"/>
      <c r="J35" s="1508"/>
      <c r="K35" s="1508"/>
      <c r="L35" s="1508"/>
      <c r="M35" s="1508"/>
      <c r="N35" s="1509"/>
    </row>
    <row r="38" spans="1:54" x14ac:dyDescent="0.2">
      <c r="A38" s="526" t="s">
        <v>1171</v>
      </c>
    </row>
    <row r="39" spans="1:54" ht="23.5" customHeight="1" x14ac:dyDescent="0.2">
      <c r="A39" s="1272" t="s">
        <v>5187</v>
      </c>
      <c r="B39" s="1272"/>
      <c r="C39" s="1272"/>
      <c r="D39" s="1272"/>
      <c r="E39" s="1272"/>
      <c r="F39" s="1272"/>
      <c r="G39" s="1272"/>
      <c r="H39" s="1272"/>
      <c r="I39" s="1272"/>
      <c r="J39" s="1272"/>
      <c r="K39" s="1272"/>
      <c r="L39" s="1272"/>
      <c r="M39" s="1272"/>
      <c r="N39" s="1272"/>
      <c r="O39" s="1272"/>
      <c r="P39" s="1272"/>
      <c r="Q39" s="1272"/>
      <c r="R39" s="1272"/>
      <c r="S39" s="1272"/>
      <c r="T39" s="1272"/>
      <c r="U39" s="1272"/>
      <c r="V39" s="1272"/>
      <c r="W39" s="1272"/>
      <c r="X39" s="1272"/>
      <c r="Y39" s="1272"/>
      <c r="Z39" s="1272"/>
      <c r="AA39" s="1272"/>
      <c r="AB39" s="1272"/>
      <c r="AC39" s="1272"/>
      <c r="AD39" s="1272"/>
      <c r="AE39" s="1272"/>
      <c r="AF39" s="1272"/>
      <c r="AG39" s="1272"/>
      <c r="AH39" s="1272"/>
      <c r="AI39" s="1272"/>
      <c r="AJ39" s="1272"/>
      <c r="AK39" s="1272"/>
      <c r="AL39" s="1272"/>
      <c r="AM39" s="1272"/>
      <c r="AN39" s="1272"/>
      <c r="AO39" s="1272"/>
      <c r="AP39" s="1272"/>
      <c r="AQ39" s="1272"/>
      <c r="AR39" s="1272"/>
      <c r="AS39" s="1272"/>
      <c r="AT39" s="1272"/>
      <c r="AU39" s="1272"/>
      <c r="AV39" s="1272"/>
      <c r="AW39" s="1272"/>
      <c r="AX39" s="1272"/>
      <c r="AY39" s="1272"/>
      <c r="AZ39" s="1272"/>
      <c r="BA39" s="1272"/>
      <c r="BB39" s="1272"/>
    </row>
    <row r="40" spans="1:54" x14ac:dyDescent="0.2">
      <c r="A40" s="838" t="s">
        <v>1227</v>
      </c>
      <c r="B40" s="793" t="s">
        <v>3394</v>
      </c>
      <c r="C40" s="793"/>
      <c r="D40" s="793" t="s">
        <v>3576</v>
      </c>
      <c r="E40" s="793"/>
      <c r="F40" s="793"/>
      <c r="G40" s="793"/>
      <c r="H40" s="793"/>
      <c r="I40" s="793"/>
      <c r="J40" s="793"/>
      <c r="K40" s="793"/>
      <c r="L40" s="793"/>
      <c r="M40" s="793"/>
      <c r="N40" s="793"/>
      <c r="O40" s="793"/>
      <c r="P40" s="793"/>
      <c r="Q40" s="793"/>
      <c r="R40" s="793"/>
      <c r="S40" s="793"/>
      <c r="T40" s="793"/>
      <c r="U40" s="793"/>
      <c r="V40" s="793"/>
      <c r="W40" s="793"/>
      <c r="X40" s="793"/>
      <c r="Y40" s="793"/>
      <c r="Z40" s="793"/>
      <c r="AA40" s="793"/>
      <c r="AB40" s="793"/>
      <c r="AC40" s="793"/>
      <c r="AD40" s="793"/>
      <c r="AE40" s="793"/>
      <c r="AF40" s="793"/>
      <c r="AG40" s="793"/>
      <c r="AH40" s="793"/>
      <c r="AI40" s="793"/>
      <c r="AJ40" s="793"/>
      <c r="AK40" s="793"/>
      <c r="AL40" s="793"/>
      <c r="AM40" s="793"/>
      <c r="AN40" s="793"/>
      <c r="AO40" s="793"/>
      <c r="AP40" s="793"/>
      <c r="AQ40" s="793"/>
      <c r="AR40" s="793"/>
      <c r="AS40" s="793"/>
      <c r="AT40" s="793"/>
      <c r="AU40" s="793"/>
      <c r="AV40" s="793"/>
      <c r="AW40" s="793"/>
      <c r="AX40" s="1365" t="s">
        <v>4063</v>
      </c>
      <c r="AY40" s="793" t="s">
        <v>3396</v>
      </c>
      <c r="AZ40" s="793"/>
      <c r="BA40" s="793"/>
      <c r="BB40" s="793"/>
    </row>
    <row r="41" spans="1:54" ht="14.5" customHeight="1" x14ac:dyDescent="0.2">
      <c r="A41" s="838"/>
      <c r="B41" s="838" t="s">
        <v>3400</v>
      </c>
      <c r="C41" s="838" t="s">
        <v>4981</v>
      </c>
      <c r="D41" s="793" t="s">
        <v>4062</v>
      </c>
      <c r="E41" s="793"/>
      <c r="F41" s="793"/>
      <c r="G41" s="793"/>
      <c r="H41" s="793"/>
      <c r="I41" s="793"/>
      <c r="J41" s="793"/>
      <c r="K41" s="793"/>
      <c r="L41" s="793"/>
      <c r="M41" s="793"/>
      <c r="N41" s="793"/>
      <c r="O41" s="793"/>
      <c r="P41" s="793"/>
      <c r="Q41" s="793"/>
      <c r="R41" s="793"/>
      <c r="S41" s="793"/>
      <c r="T41" s="793"/>
      <c r="U41" s="793"/>
      <c r="V41" s="793"/>
      <c r="W41" s="793"/>
      <c r="X41" s="793"/>
      <c r="Y41" s="793"/>
      <c r="Z41" s="793"/>
      <c r="AA41" s="793"/>
      <c r="AB41" s="793"/>
      <c r="AC41" s="793"/>
      <c r="AD41" s="793"/>
      <c r="AE41" s="793"/>
      <c r="AF41" s="793"/>
      <c r="AG41" s="793"/>
      <c r="AH41" s="793"/>
      <c r="AI41" s="793"/>
      <c r="AJ41" s="793"/>
      <c r="AK41" s="793"/>
      <c r="AL41" s="793"/>
      <c r="AM41" s="793"/>
      <c r="AN41" s="793" t="s">
        <v>4869</v>
      </c>
      <c r="AO41" s="793"/>
      <c r="AP41" s="793"/>
      <c r="AQ41" s="793"/>
      <c r="AR41" s="793"/>
      <c r="AS41" s="793"/>
      <c r="AT41" s="793"/>
      <c r="AU41" s="793"/>
      <c r="AV41" s="793"/>
      <c r="AW41" s="793"/>
      <c r="AX41" s="1365"/>
      <c r="AY41" s="1036" t="s">
        <v>4060</v>
      </c>
      <c r="AZ41" s="1036"/>
      <c r="BA41" s="1036" t="s">
        <v>5188</v>
      </c>
      <c r="BB41" s="1036"/>
    </row>
    <row r="42" spans="1:54" x14ac:dyDescent="0.2">
      <c r="A42" s="838"/>
      <c r="B42" s="838"/>
      <c r="C42" s="838"/>
      <c r="D42" s="1036" t="s">
        <v>3271</v>
      </c>
      <c r="E42" s="1036"/>
      <c r="F42" s="1036" t="s">
        <v>3272</v>
      </c>
      <c r="G42" s="1036"/>
      <c r="H42" s="1036" t="s">
        <v>3577</v>
      </c>
      <c r="I42" s="1036"/>
      <c r="J42" s="1036" t="s">
        <v>3578</v>
      </c>
      <c r="K42" s="1036"/>
      <c r="L42" s="1036" t="s">
        <v>3579</v>
      </c>
      <c r="M42" s="1036"/>
      <c r="N42" s="1036" t="s">
        <v>4948</v>
      </c>
      <c r="O42" s="1036"/>
      <c r="P42" s="1036" t="s">
        <v>4949</v>
      </c>
      <c r="Q42" s="1036"/>
      <c r="R42" s="1036" t="s">
        <v>4310</v>
      </c>
      <c r="S42" s="1036"/>
      <c r="T42" s="1036" t="s">
        <v>4950</v>
      </c>
      <c r="U42" s="1036"/>
      <c r="V42" s="1036" t="s">
        <v>4951</v>
      </c>
      <c r="W42" s="1036"/>
      <c r="X42" s="1036" t="s">
        <v>4952</v>
      </c>
      <c r="Y42" s="1036"/>
      <c r="Z42" s="1036" t="s">
        <v>4953</v>
      </c>
      <c r="AA42" s="1036"/>
      <c r="AB42" s="1036" t="s">
        <v>4954</v>
      </c>
      <c r="AC42" s="1036"/>
      <c r="AD42" s="1036" t="s">
        <v>4955</v>
      </c>
      <c r="AE42" s="1036"/>
      <c r="AF42" s="1036" t="s">
        <v>4956</v>
      </c>
      <c r="AG42" s="1036"/>
      <c r="AH42" s="1036" t="s">
        <v>5189</v>
      </c>
      <c r="AI42" s="1036"/>
      <c r="AJ42" s="1036" t="s">
        <v>3275</v>
      </c>
      <c r="AK42" s="1036"/>
      <c r="AL42" s="1036" t="s">
        <v>3276</v>
      </c>
      <c r="AM42" s="1036"/>
      <c r="AN42" s="1036" t="s">
        <v>5190</v>
      </c>
      <c r="AO42" s="1036"/>
      <c r="AP42" s="1036" t="s">
        <v>4068</v>
      </c>
      <c r="AQ42" s="1036"/>
      <c r="AR42" s="1036" t="s">
        <v>5191</v>
      </c>
      <c r="AS42" s="1036"/>
      <c r="AT42" s="1036" t="s">
        <v>5192</v>
      </c>
      <c r="AU42" s="1036"/>
      <c r="AV42" s="1036" t="s">
        <v>3276</v>
      </c>
      <c r="AW42" s="1036"/>
      <c r="AX42" s="1365"/>
      <c r="AY42" s="1036"/>
      <c r="AZ42" s="1036"/>
      <c r="BA42" s="1036"/>
      <c r="BB42" s="1036"/>
    </row>
    <row r="43" spans="1:54" x14ac:dyDescent="0.2">
      <c r="A43" s="838"/>
      <c r="B43" s="1510" t="s">
        <v>3407</v>
      </c>
      <c r="C43" s="1510" t="s">
        <v>3407</v>
      </c>
      <c r="D43" s="1511" t="s">
        <v>5193</v>
      </c>
      <c r="E43" s="1511" t="s">
        <v>5194</v>
      </c>
      <c r="F43" s="1511" t="s">
        <v>5193</v>
      </c>
      <c r="G43" s="1511" t="s">
        <v>5194</v>
      </c>
      <c r="H43" s="1511" t="s">
        <v>5193</v>
      </c>
      <c r="I43" s="1511" t="s">
        <v>5194</v>
      </c>
      <c r="J43" s="1511" t="s">
        <v>5193</v>
      </c>
      <c r="K43" s="1511" t="s">
        <v>5194</v>
      </c>
      <c r="L43" s="1511" t="s">
        <v>5193</v>
      </c>
      <c r="M43" s="1511" t="s">
        <v>5194</v>
      </c>
      <c r="N43" s="1511" t="s">
        <v>5193</v>
      </c>
      <c r="O43" s="1511" t="s">
        <v>5194</v>
      </c>
      <c r="P43" s="1511" t="s">
        <v>5193</v>
      </c>
      <c r="Q43" s="1511" t="s">
        <v>5194</v>
      </c>
      <c r="R43" s="1511" t="s">
        <v>5193</v>
      </c>
      <c r="S43" s="1511" t="s">
        <v>5194</v>
      </c>
      <c r="T43" s="1511" t="s">
        <v>5193</v>
      </c>
      <c r="U43" s="1511" t="s">
        <v>5194</v>
      </c>
      <c r="V43" s="1511" t="s">
        <v>5193</v>
      </c>
      <c r="W43" s="1511" t="s">
        <v>5194</v>
      </c>
      <c r="X43" s="1511" t="s">
        <v>5193</v>
      </c>
      <c r="Y43" s="1511" t="s">
        <v>5194</v>
      </c>
      <c r="Z43" s="1511" t="s">
        <v>5193</v>
      </c>
      <c r="AA43" s="1511" t="s">
        <v>5194</v>
      </c>
      <c r="AB43" s="1511" t="s">
        <v>5193</v>
      </c>
      <c r="AC43" s="1511" t="s">
        <v>5194</v>
      </c>
      <c r="AD43" s="1511" t="s">
        <v>5193</v>
      </c>
      <c r="AE43" s="1511" t="s">
        <v>5194</v>
      </c>
      <c r="AF43" s="1511" t="s">
        <v>5193</v>
      </c>
      <c r="AG43" s="1511" t="s">
        <v>5194</v>
      </c>
      <c r="AH43" s="1511" t="s">
        <v>5193</v>
      </c>
      <c r="AI43" s="1511" t="s">
        <v>5194</v>
      </c>
      <c r="AJ43" s="1511" t="s">
        <v>5193</v>
      </c>
      <c r="AK43" s="1511" t="s">
        <v>5194</v>
      </c>
      <c r="AL43" s="1511" t="s">
        <v>5193</v>
      </c>
      <c r="AM43" s="1511" t="s">
        <v>5194</v>
      </c>
      <c r="AN43" s="1511" t="s">
        <v>5193</v>
      </c>
      <c r="AO43" s="1511" t="s">
        <v>5194</v>
      </c>
      <c r="AP43" s="1511" t="s">
        <v>5193</v>
      </c>
      <c r="AQ43" s="1511" t="s">
        <v>5194</v>
      </c>
      <c r="AR43" s="1511" t="s">
        <v>5193</v>
      </c>
      <c r="AS43" s="1511" t="s">
        <v>5194</v>
      </c>
      <c r="AT43" s="1511" t="s">
        <v>5193</v>
      </c>
      <c r="AU43" s="1511" t="s">
        <v>5194</v>
      </c>
      <c r="AV43" s="1511" t="s">
        <v>5193</v>
      </c>
      <c r="AW43" s="1511" t="s">
        <v>5194</v>
      </c>
      <c r="AX43" s="1512" t="s">
        <v>3407</v>
      </c>
      <c r="AY43" s="1513" t="s">
        <v>3373</v>
      </c>
      <c r="AZ43" s="1513" t="s">
        <v>5195</v>
      </c>
      <c r="BA43" s="1513" t="s">
        <v>3373</v>
      </c>
      <c r="BB43" s="1513" t="s">
        <v>5195</v>
      </c>
    </row>
    <row r="44" spans="1:54" x14ac:dyDescent="0.2">
      <c r="A44" s="1468" t="s">
        <v>5196</v>
      </c>
      <c r="B44" s="716">
        <v>1357</v>
      </c>
      <c r="C44" s="716">
        <v>231</v>
      </c>
      <c r="D44" s="349"/>
      <c r="E44" s="717"/>
      <c r="F44" s="349">
        <v>3356</v>
      </c>
      <c r="G44" s="717"/>
      <c r="H44" s="349">
        <v>583</v>
      </c>
      <c r="I44" s="717"/>
      <c r="J44" s="349">
        <v>16707</v>
      </c>
      <c r="K44" s="717"/>
      <c r="L44" s="349">
        <v>2028</v>
      </c>
      <c r="M44" s="717"/>
      <c r="N44" s="349">
        <v>2976</v>
      </c>
      <c r="O44" s="717">
        <v>500</v>
      </c>
      <c r="P44" s="349">
        <v>369</v>
      </c>
      <c r="Q44" s="717"/>
      <c r="R44" s="349">
        <v>735</v>
      </c>
      <c r="S44" s="717"/>
      <c r="T44" s="349">
        <v>751</v>
      </c>
      <c r="U44" s="717"/>
      <c r="V44" s="349">
        <v>688</v>
      </c>
      <c r="W44" s="717">
        <v>500</v>
      </c>
      <c r="X44" s="349">
        <v>30750</v>
      </c>
      <c r="Y44" s="717">
        <v>637</v>
      </c>
      <c r="Z44" s="349">
        <v>26</v>
      </c>
      <c r="AA44" s="717"/>
      <c r="AB44" s="349">
        <v>227</v>
      </c>
      <c r="AC44" s="717">
        <v>500</v>
      </c>
      <c r="AD44" s="349">
        <v>230</v>
      </c>
      <c r="AE44" s="717">
        <v>250</v>
      </c>
      <c r="AF44" s="349"/>
      <c r="AG44" s="717"/>
      <c r="AH44" s="349"/>
      <c r="AI44" s="717"/>
      <c r="AJ44" s="349">
        <v>5582</v>
      </c>
      <c r="AK44" s="717">
        <v>500</v>
      </c>
      <c r="AL44" s="349">
        <v>34260</v>
      </c>
      <c r="AM44" s="717">
        <v>250</v>
      </c>
      <c r="AN44" s="349">
        <v>5748</v>
      </c>
      <c r="AO44" s="717"/>
      <c r="AP44" s="349"/>
      <c r="AQ44" s="717"/>
      <c r="AR44" s="349">
        <v>1150</v>
      </c>
      <c r="AS44" s="717"/>
      <c r="AT44" s="349"/>
      <c r="AU44" s="717"/>
      <c r="AV44" s="349">
        <v>6898</v>
      </c>
      <c r="AW44" s="717"/>
      <c r="AX44" s="145"/>
      <c r="AY44" s="349">
        <v>3306</v>
      </c>
      <c r="AZ44" s="717"/>
      <c r="BA44" s="145">
        <v>1201</v>
      </c>
      <c r="BB44" s="307">
        <v>30</v>
      </c>
    </row>
    <row r="45" spans="1:54" x14ac:dyDescent="0.2">
      <c r="A45" s="1468" t="s">
        <v>3668</v>
      </c>
      <c r="B45" s="533">
        <v>391444</v>
      </c>
      <c r="C45" s="533">
        <v>457754</v>
      </c>
      <c r="D45" s="131">
        <v>3991893</v>
      </c>
      <c r="E45" s="307">
        <v>772</v>
      </c>
      <c r="F45" s="131">
        <v>4259245</v>
      </c>
      <c r="G45" s="307">
        <v>809</v>
      </c>
      <c r="H45" s="131">
        <v>369316</v>
      </c>
      <c r="I45" s="307">
        <v>400</v>
      </c>
      <c r="J45" s="131">
        <v>7109485</v>
      </c>
      <c r="K45" s="307"/>
      <c r="L45" s="131">
        <v>1812868</v>
      </c>
      <c r="M45" s="307">
        <v>500</v>
      </c>
      <c r="N45" s="131">
        <v>1285386</v>
      </c>
      <c r="O45" s="307">
        <v>500</v>
      </c>
      <c r="P45" s="131">
        <v>360360</v>
      </c>
      <c r="Q45" s="307">
        <v>668</v>
      </c>
      <c r="R45" s="131">
        <v>816957</v>
      </c>
      <c r="S45" s="307">
        <v>875</v>
      </c>
      <c r="T45" s="131">
        <v>789439</v>
      </c>
      <c r="U45" s="307"/>
      <c r="V45" s="131">
        <v>1279575</v>
      </c>
      <c r="W45" s="307">
        <v>746</v>
      </c>
      <c r="X45" s="131"/>
      <c r="Y45" s="307"/>
      <c r="Z45" s="131">
        <v>98121</v>
      </c>
      <c r="AA45" s="307">
        <v>871</v>
      </c>
      <c r="AB45" s="131">
        <v>137285</v>
      </c>
      <c r="AC45" s="307">
        <v>552</v>
      </c>
      <c r="AD45" s="131">
        <v>208920</v>
      </c>
      <c r="AE45" s="307">
        <v>150</v>
      </c>
      <c r="AF45" s="131">
        <v>109027</v>
      </c>
      <c r="AG45" s="307">
        <v>30</v>
      </c>
      <c r="AH45" s="131">
        <v>272</v>
      </c>
      <c r="AI45" s="307">
        <v>490</v>
      </c>
      <c r="AJ45" s="131">
        <v>607</v>
      </c>
      <c r="AK45" s="307"/>
      <c r="AL45" s="131">
        <v>22659514</v>
      </c>
      <c r="AM45" s="307"/>
      <c r="AN45" s="131">
        <v>2078220</v>
      </c>
      <c r="AO45" s="307"/>
      <c r="AP45" s="131">
        <v>2746199</v>
      </c>
      <c r="AQ45" s="307"/>
      <c r="AR45" s="131">
        <v>14458343</v>
      </c>
      <c r="AS45" s="307"/>
      <c r="AT45" s="131">
        <v>110278</v>
      </c>
      <c r="AU45" s="307">
        <v>500</v>
      </c>
      <c r="AV45" s="131">
        <v>19393040</v>
      </c>
      <c r="AW45" s="307">
        <v>500</v>
      </c>
      <c r="AX45" s="145"/>
      <c r="AY45" s="131">
        <v>5040446</v>
      </c>
      <c r="AZ45" s="307">
        <v>31</v>
      </c>
      <c r="BA45" s="145">
        <v>9085434</v>
      </c>
      <c r="BB45" s="307">
        <v>9</v>
      </c>
    </row>
    <row r="46" spans="1:54" x14ac:dyDescent="0.2">
      <c r="A46" s="1468" t="s">
        <v>5197</v>
      </c>
      <c r="B46" s="533">
        <v>433921</v>
      </c>
      <c r="C46" s="533">
        <v>39311</v>
      </c>
      <c r="D46" s="131">
        <v>666737</v>
      </c>
      <c r="E46" s="307">
        <v>500</v>
      </c>
      <c r="F46" s="131">
        <v>198094</v>
      </c>
      <c r="G46" s="307"/>
      <c r="H46" s="131">
        <v>26404</v>
      </c>
      <c r="I46" s="307"/>
      <c r="J46" s="131">
        <v>450716</v>
      </c>
      <c r="K46" s="307"/>
      <c r="L46" s="131">
        <v>176847</v>
      </c>
      <c r="M46" s="307"/>
      <c r="N46" s="131">
        <v>209274</v>
      </c>
      <c r="O46" s="307">
        <v>500</v>
      </c>
      <c r="P46" s="131">
        <v>60570</v>
      </c>
      <c r="Q46" s="307"/>
      <c r="R46" s="131">
        <v>124756</v>
      </c>
      <c r="S46" s="307"/>
      <c r="T46" s="131">
        <v>86010</v>
      </c>
      <c r="U46" s="307"/>
      <c r="V46" s="131">
        <v>186305</v>
      </c>
      <c r="W46" s="307"/>
      <c r="X46" s="131">
        <v>6315</v>
      </c>
      <c r="Y46" s="307"/>
      <c r="Z46" s="131">
        <v>15521</v>
      </c>
      <c r="AA46" s="307">
        <v>500</v>
      </c>
      <c r="AB46" s="131">
        <v>36138</v>
      </c>
      <c r="AC46" s="307">
        <v>500</v>
      </c>
      <c r="AD46" s="131">
        <v>25967</v>
      </c>
      <c r="AE46" s="307">
        <v>500</v>
      </c>
      <c r="AF46" s="131">
        <v>16618</v>
      </c>
      <c r="AG46" s="307"/>
      <c r="AH46" s="131"/>
      <c r="AI46" s="307"/>
      <c r="AJ46" s="131">
        <v>438151</v>
      </c>
      <c r="AK46" s="307"/>
      <c r="AL46" s="131">
        <v>2724425</v>
      </c>
      <c r="AM46" s="307">
        <v>500</v>
      </c>
      <c r="AN46" s="131">
        <v>322652</v>
      </c>
      <c r="AO46" s="307"/>
      <c r="AP46" s="131">
        <v>2794</v>
      </c>
      <c r="AQ46" s="307"/>
      <c r="AR46" s="131">
        <v>1019279</v>
      </c>
      <c r="AS46" s="307"/>
      <c r="AT46" s="131">
        <v>17835</v>
      </c>
      <c r="AU46" s="307">
        <v>500</v>
      </c>
      <c r="AV46" s="131">
        <v>1362560</v>
      </c>
      <c r="AW46" s="307">
        <v>500</v>
      </c>
      <c r="AX46" s="145"/>
      <c r="AY46" s="131">
        <v>762631</v>
      </c>
      <c r="AZ46" s="307">
        <v>23</v>
      </c>
      <c r="BA46" s="145">
        <v>1070056</v>
      </c>
      <c r="BB46" s="307">
        <v>21</v>
      </c>
    </row>
    <row r="47" spans="1:54" x14ac:dyDescent="0.2">
      <c r="A47" s="1468" t="s">
        <v>4033</v>
      </c>
      <c r="B47" s="533">
        <v>529451</v>
      </c>
      <c r="C47" s="533">
        <v>1316632</v>
      </c>
      <c r="D47" s="131">
        <v>5834802</v>
      </c>
      <c r="E47" s="307"/>
      <c r="F47" s="131">
        <v>9132289</v>
      </c>
      <c r="G47" s="307"/>
      <c r="H47" s="131">
        <v>612272</v>
      </c>
      <c r="I47" s="307"/>
      <c r="J47" s="131">
        <v>7781487</v>
      </c>
      <c r="K47" s="307"/>
      <c r="L47" s="131">
        <v>1292542</v>
      </c>
      <c r="M47" s="307"/>
      <c r="N47" s="131">
        <v>851274</v>
      </c>
      <c r="O47" s="307"/>
      <c r="P47" s="131">
        <v>121669</v>
      </c>
      <c r="Q47" s="307"/>
      <c r="R47" s="131">
        <v>248563</v>
      </c>
      <c r="S47" s="307"/>
      <c r="T47" s="131">
        <v>267037</v>
      </c>
      <c r="U47" s="307"/>
      <c r="V47" s="131">
        <v>526402</v>
      </c>
      <c r="W47" s="307"/>
      <c r="X47" s="131">
        <v>15316</v>
      </c>
      <c r="Y47" s="307"/>
      <c r="Z47" s="131">
        <v>43122</v>
      </c>
      <c r="AA47" s="307"/>
      <c r="AB47" s="131">
        <v>72872</v>
      </c>
      <c r="AC47" s="307"/>
      <c r="AD47" s="131">
        <v>93091</v>
      </c>
      <c r="AE47" s="307"/>
      <c r="AF47" s="131">
        <v>63415</v>
      </c>
      <c r="AG47" s="307"/>
      <c r="AH47" s="131">
        <v>1251</v>
      </c>
      <c r="AI47" s="307"/>
      <c r="AJ47" s="131">
        <v>835</v>
      </c>
      <c r="AK47" s="307"/>
      <c r="AL47" s="131">
        <v>26958239</v>
      </c>
      <c r="AM47" s="307"/>
      <c r="AN47" s="131">
        <v>2255281</v>
      </c>
      <c r="AO47" s="307"/>
      <c r="AP47" s="131">
        <v>181157</v>
      </c>
      <c r="AQ47" s="307">
        <v>500</v>
      </c>
      <c r="AR47" s="131">
        <v>16086525</v>
      </c>
      <c r="AS47" s="307"/>
      <c r="AT47" s="131">
        <v>696202</v>
      </c>
      <c r="AU47" s="307"/>
      <c r="AV47" s="131">
        <v>19219165</v>
      </c>
      <c r="AW47" s="307">
        <v>500</v>
      </c>
      <c r="AX47" s="145">
        <v>5240</v>
      </c>
      <c r="AY47" s="131">
        <v>2657134</v>
      </c>
      <c r="AZ47" s="307">
        <v>58</v>
      </c>
      <c r="BA47" s="145">
        <v>2608985</v>
      </c>
      <c r="BB47" s="307">
        <v>85</v>
      </c>
    </row>
    <row r="48" spans="1:54" x14ac:dyDescent="0.2">
      <c r="A48" s="1468" t="s">
        <v>5198</v>
      </c>
      <c r="B48" s="533">
        <v>180725</v>
      </c>
      <c r="C48" s="533">
        <v>131194</v>
      </c>
      <c r="D48" s="131">
        <v>69486</v>
      </c>
      <c r="E48" s="307">
        <v>500</v>
      </c>
      <c r="F48" s="131">
        <v>705825</v>
      </c>
      <c r="G48" s="307"/>
      <c r="H48" s="131">
        <v>185111</v>
      </c>
      <c r="I48" s="307"/>
      <c r="J48" s="131">
        <v>4344888</v>
      </c>
      <c r="K48" s="307"/>
      <c r="L48" s="131">
        <v>510564</v>
      </c>
      <c r="M48" s="307">
        <v>750</v>
      </c>
      <c r="N48" s="131">
        <v>469654</v>
      </c>
      <c r="O48" s="307">
        <v>750</v>
      </c>
      <c r="P48" s="131">
        <v>55557</v>
      </c>
      <c r="Q48" s="307"/>
      <c r="R48" s="131">
        <v>301400</v>
      </c>
      <c r="S48" s="307"/>
      <c r="T48" s="131">
        <v>69179</v>
      </c>
      <c r="U48" s="307"/>
      <c r="V48" s="131">
        <v>243072</v>
      </c>
      <c r="W48" s="307">
        <v>500</v>
      </c>
      <c r="X48" s="131">
        <v>9712</v>
      </c>
      <c r="Y48" s="307">
        <v>500</v>
      </c>
      <c r="Z48" s="131">
        <v>14794</v>
      </c>
      <c r="AA48" s="307">
        <v>750</v>
      </c>
      <c r="AB48" s="131">
        <v>39815</v>
      </c>
      <c r="AC48" s="307">
        <v>250</v>
      </c>
      <c r="AD48" s="131">
        <v>47693</v>
      </c>
      <c r="AE48" s="307"/>
      <c r="AF48" s="131">
        <v>27573</v>
      </c>
      <c r="AG48" s="307">
        <v>750</v>
      </c>
      <c r="AH48" s="131">
        <v>208</v>
      </c>
      <c r="AI48" s="307"/>
      <c r="AJ48" s="131">
        <v>2079370</v>
      </c>
      <c r="AK48" s="307"/>
      <c r="AL48" s="131">
        <v>11360905</v>
      </c>
      <c r="AM48" s="307">
        <v>750</v>
      </c>
      <c r="AN48" s="131">
        <v>78935</v>
      </c>
      <c r="AO48" s="307">
        <v>500</v>
      </c>
      <c r="AP48" s="131">
        <v>38</v>
      </c>
      <c r="AQ48" s="307">
        <v>500</v>
      </c>
      <c r="AR48" s="131">
        <v>7131112</v>
      </c>
      <c r="AS48" s="307">
        <v>500</v>
      </c>
      <c r="AT48" s="131">
        <v>108085</v>
      </c>
      <c r="AU48" s="307"/>
      <c r="AV48" s="131">
        <v>7318171</v>
      </c>
      <c r="AW48" s="307">
        <v>500</v>
      </c>
      <c r="AX48" s="145"/>
      <c r="AY48" s="131">
        <v>1654977</v>
      </c>
      <c r="AZ48" s="307">
        <v>38</v>
      </c>
      <c r="BA48" s="145">
        <v>2394285</v>
      </c>
      <c r="BB48" s="307">
        <v>40</v>
      </c>
    </row>
    <row r="49" spans="1:59" x14ac:dyDescent="0.2">
      <c r="A49" s="1468" t="s">
        <v>4553</v>
      </c>
      <c r="B49" s="533">
        <v>2202</v>
      </c>
      <c r="C49" s="533">
        <v>9468</v>
      </c>
      <c r="D49" s="131"/>
      <c r="E49" s="307"/>
      <c r="F49" s="131">
        <v>7298</v>
      </c>
      <c r="G49" s="307">
        <v>250</v>
      </c>
      <c r="H49" s="131">
        <v>1418</v>
      </c>
      <c r="I49" s="307">
        <v>500</v>
      </c>
      <c r="J49" s="131">
        <v>8878</v>
      </c>
      <c r="K49" s="307">
        <v>250</v>
      </c>
      <c r="L49" s="131">
        <v>4198</v>
      </c>
      <c r="M49" s="307">
        <v>25</v>
      </c>
      <c r="N49" s="131">
        <v>5696</v>
      </c>
      <c r="O49" s="307">
        <v>425</v>
      </c>
      <c r="P49" s="131">
        <v>288</v>
      </c>
      <c r="Q49" s="307">
        <v>275</v>
      </c>
      <c r="R49" s="131">
        <v>1884</v>
      </c>
      <c r="S49" s="307">
        <v>275</v>
      </c>
      <c r="T49" s="131">
        <v>4384</v>
      </c>
      <c r="U49" s="307">
        <v>750</v>
      </c>
      <c r="V49" s="131">
        <v>1443</v>
      </c>
      <c r="W49" s="307">
        <v>500</v>
      </c>
      <c r="X49" s="131">
        <v>274</v>
      </c>
      <c r="Y49" s="307">
        <v>75</v>
      </c>
      <c r="Z49" s="131">
        <v>54</v>
      </c>
      <c r="AA49" s="307">
        <v>450</v>
      </c>
      <c r="AB49" s="131">
        <v>12745</v>
      </c>
      <c r="AC49" s="307">
        <v>550</v>
      </c>
      <c r="AD49" s="131">
        <v>528</v>
      </c>
      <c r="AE49" s="307">
        <v>500</v>
      </c>
      <c r="AF49" s="131">
        <v>241</v>
      </c>
      <c r="AG49" s="307"/>
      <c r="AH49" s="131"/>
      <c r="AI49" s="307"/>
      <c r="AJ49" s="131">
        <v>1042</v>
      </c>
      <c r="AK49" s="307">
        <v>500</v>
      </c>
      <c r="AL49" s="131">
        <v>50376</v>
      </c>
      <c r="AM49" s="307">
        <v>325</v>
      </c>
      <c r="AN49" s="131"/>
      <c r="AO49" s="307"/>
      <c r="AP49" s="131"/>
      <c r="AQ49" s="307"/>
      <c r="AR49" s="131">
        <v>27255</v>
      </c>
      <c r="AS49" s="307">
        <v>500</v>
      </c>
      <c r="AT49" s="131">
        <v>275501</v>
      </c>
      <c r="AU49" s="307"/>
      <c r="AV49" s="131">
        <v>302756</v>
      </c>
      <c r="AW49" s="307">
        <v>500</v>
      </c>
      <c r="AX49" s="145">
        <v>624</v>
      </c>
      <c r="AY49" s="131">
        <v>53335</v>
      </c>
      <c r="AZ49" s="307">
        <v>80</v>
      </c>
      <c r="BA49" s="145">
        <v>45088</v>
      </c>
      <c r="BB49" s="307">
        <v>80</v>
      </c>
    </row>
    <row r="50" spans="1:59" x14ac:dyDescent="0.2">
      <c r="A50" s="1468" t="s">
        <v>5104</v>
      </c>
      <c r="B50" s="533">
        <v>9696</v>
      </c>
      <c r="C50" s="533">
        <v>11524</v>
      </c>
      <c r="D50" s="131">
        <v>144</v>
      </c>
      <c r="E50" s="307"/>
      <c r="F50" s="131">
        <v>23641</v>
      </c>
      <c r="G50" s="307"/>
      <c r="H50" s="131">
        <v>2738</v>
      </c>
      <c r="I50" s="307">
        <v>500</v>
      </c>
      <c r="J50" s="131">
        <v>27228</v>
      </c>
      <c r="K50" s="307">
        <v>500</v>
      </c>
      <c r="L50" s="131">
        <v>2857</v>
      </c>
      <c r="M50" s="307">
        <v>500</v>
      </c>
      <c r="N50" s="131">
        <v>12807</v>
      </c>
      <c r="O50" s="307">
        <v>500</v>
      </c>
      <c r="P50" s="131">
        <v>3293</v>
      </c>
      <c r="Q50" s="307">
        <v>500</v>
      </c>
      <c r="R50" s="131">
        <v>1363</v>
      </c>
      <c r="S50" s="307"/>
      <c r="T50" s="131">
        <v>3453</v>
      </c>
      <c r="U50" s="307"/>
      <c r="V50" s="131">
        <v>7169</v>
      </c>
      <c r="W50" s="307">
        <v>750</v>
      </c>
      <c r="X50" s="131">
        <v>92</v>
      </c>
      <c r="Y50" s="307"/>
      <c r="Z50" s="131">
        <v>229</v>
      </c>
      <c r="AA50" s="307">
        <v>250</v>
      </c>
      <c r="AB50" s="131">
        <v>953</v>
      </c>
      <c r="AC50" s="307"/>
      <c r="AD50" s="131">
        <v>648</v>
      </c>
      <c r="AE50" s="307"/>
      <c r="AF50" s="131">
        <v>426</v>
      </c>
      <c r="AG50" s="307">
        <v>250</v>
      </c>
      <c r="AH50" s="131"/>
      <c r="AI50" s="307"/>
      <c r="AJ50" s="131">
        <v>15209</v>
      </c>
      <c r="AK50" s="307">
        <v>500</v>
      </c>
      <c r="AL50" s="131">
        <v>102254</v>
      </c>
      <c r="AM50" s="307">
        <v>250</v>
      </c>
      <c r="AN50" s="131">
        <v>12247</v>
      </c>
      <c r="AO50" s="307">
        <v>500</v>
      </c>
      <c r="AP50" s="131"/>
      <c r="AQ50" s="307"/>
      <c r="AR50" s="131">
        <v>26770</v>
      </c>
      <c r="AS50" s="307">
        <v>250</v>
      </c>
      <c r="AT50" s="131"/>
      <c r="AU50" s="307"/>
      <c r="AV50" s="131">
        <v>39017</v>
      </c>
      <c r="AW50" s="307">
        <v>750</v>
      </c>
      <c r="AX50" s="145">
        <v>224</v>
      </c>
      <c r="AY50" s="131">
        <v>58143</v>
      </c>
      <c r="AZ50" s="307">
        <v>20</v>
      </c>
      <c r="BA50" s="145">
        <v>102591</v>
      </c>
      <c r="BB50" s="307">
        <v>19</v>
      </c>
    </row>
    <row r="51" spans="1:59" x14ac:dyDescent="0.2">
      <c r="A51" s="1468" t="s">
        <v>1526</v>
      </c>
      <c r="B51" s="533">
        <v>74910</v>
      </c>
      <c r="C51" s="533">
        <v>15793</v>
      </c>
      <c r="D51" s="131">
        <v>130580</v>
      </c>
      <c r="E51" s="307"/>
      <c r="F51" s="131">
        <v>282857</v>
      </c>
      <c r="G51" s="307">
        <v>500</v>
      </c>
      <c r="H51" s="131">
        <v>3462</v>
      </c>
      <c r="I51" s="307"/>
      <c r="J51" s="131">
        <v>187917</v>
      </c>
      <c r="K51" s="307">
        <v>750</v>
      </c>
      <c r="L51" s="131">
        <v>58848</v>
      </c>
      <c r="M51" s="307">
        <v>300</v>
      </c>
      <c r="N51" s="131">
        <v>31947</v>
      </c>
      <c r="O51" s="307">
        <v>750</v>
      </c>
      <c r="P51" s="131">
        <v>8950</v>
      </c>
      <c r="Q51" s="307">
        <v>500</v>
      </c>
      <c r="R51" s="131">
        <v>42404</v>
      </c>
      <c r="S51" s="307">
        <v>250</v>
      </c>
      <c r="T51" s="131">
        <v>13705</v>
      </c>
      <c r="U51" s="307">
        <v>250</v>
      </c>
      <c r="V51" s="131">
        <v>20911</v>
      </c>
      <c r="W51" s="307"/>
      <c r="X51" s="131">
        <v>240</v>
      </c>
      <c r="Y51" s="307"/>
      <c r="Z51" s="131">
        <v>475</v>
      </c>
      <c r="AA51" s="307">
        <v>500</v>
      </c>
      <c r="AB51" s="131">
        <v>349</v>
      </c>
      <c r="AC51" s="307"/>
      <c r="AD51" s="131">
        <v>330</v>
      </c>
      <c r="AE51" s="307">
        <v>950</v>
      </c>
      <c r="AF51" s="131">
        <v>390</v>
      </c>
      <c r="AG51" s="307">
        <v>500</v>
      </c>
      <c r="AH51" s="131"/>
      <c r="AI51" s="307"/>
      <c r="AJ51" s="131"/>
      <c r="AK51" s="307"/>
      <c r="AL51" s="131">
        <v>783370</v>
      </c>
      <c r="AM51" s="307">
        <v>250</v>
      </c>
      <c r="AN51" s="131">
        <v>237239</v>
      </c>
      <c r="AO51" s="307"/>
      <c r="AP51" s="131">
        <v>92</v>
      </c>
      <c r="AQ51" s="307"/>
      <c r="AR51" s="131">
        <v>2256548</v>
      </c>
      <c r="AS51" s="307"/>
      <c r="AT51" s="131"/>
      <c r="AU51" s="307"/>
      <c r="AV51" s="131">
        <v>2493879</v>
      </c>
      <c r="AW51" s="307"/>
      <c r="AX51" s="145">
        <v>106</v>
      </c>
      <c r="AY51" s="131">
        <v>100810</v>
      </c>
      <c r="AZ51" s="307"/>
      <c r="BA51" s="145">
        <v>176627</v>
      </c>
      <c r="BB51" s="307">
        <v>17</v>
      </c>
    </row>
    <row r="52" spans="1:59" x14ac:dyDescent="0.2">
      <c r="A52" s="1468" t="s">
        <v>4034</v>
      </c>
      <c r="B52" s="533">
        <v>24049</v>
      </c>
      <c r="C52" s="533">
        <v>356872</v>
      </c>
      <c r="D52" s="131">
        <v>320628</v>
      </c>
      <c r="E52" s="307">
        <v>220</v>
      </c>
      <c r="F52" s="131">
        <v>510474</v>
      </c>
      <c r="G52" s="307">
        <v>280</v>
      </c>
      <c r="H52" s="131">
        <v>11933</v>
      </c>
      <c r="I52" s="307">
        <v>300</v>
      </c>
      <c r="J52" s="131">
        <v>379607</v>
      </c>
      <c r="K52" s="307">
        <v>280</v>
      </c>
      <c r="L52" s="131">
        <v>20365</v>
      </c>
      <c r="M52" s="307">
        <v>925</v>
      </c>
      <c r="N52" s="131">
        <v>19096</v>
      </c>
      <c r="O52" s="307">
        <v>850</v>
      </c>
      <c r="P52" s="131">
        <v>9311</v>
      </c>
      <c r="Q52" s="307">
        <v>150</v>
      </c>
      <c r="R52" s="131">
        <v>2696</v>
      </c>
      <c r="S52" s="307">
        <v>675</v>
      </c>
      <c r="T52" s="131">
        <v>1421</v>
      </c>
      <c r="U52" s="307"/>
      <c r="V52" s="131">
        <v>1411</v>
      </c>
      <c r="W52" s="307">
        <v>320</v>
      </c>
      <c r="X52" s="131">
        <v>20</v>
      </c>
      <c r="Y52" s="307"/>
      <c r="Z52" s="131">
        <v>76</v>
      </c>
      <c r="AA52" s="307">
        <v>205</v>
      </c>
      <c r="AB52" s="131">
        <v>100</v>
      </c>
      <c r="AC52" s="307">
        <v>690</v>
      </c>
      <c r="AD52" s="131">
        <v>673</v>
      </c>
      <c r="AE52" s="307">
        <v>480</v>
      </c>
      <c r="AF52" s="131">
        <v>166</v>
      </c>
      <c r="AG52" s="307"/>
      <c r="AH52" s="131"/>
      <c r="AI52" s="307"/>
      <c r="AJ52" s="131">
        <v>64451</v>
      </c>
      <c r="AK52" s="307"/>
      <c r="AL52" s="131">
        <v>1342433</v>
      </c>
      <c r="AM52" s="307">
        <v>415</v>
      </c>
      <c r="AN52" s="131"/>
      <c r="AO52" s="307"/>
      <c r="AP52" s="131"/>
      <c r="AQ52" s="307"/>
      <c r="AR52" s="131">
        <v>3978515</v>
      </c>
      <c r="AS52" s="307"/>
      <c r="AT52" s="131"/>
      <c r="AU52" s="307"/>
      <c r="AV52" s="131">
        <v>3978515</v>
      </c>
      <c r="AW52" s="307"/>
      <c r="AX52" s="145"/>
      <c r="AY52" s="131">
        <v>62623</v>
      </c>
      <c r="AZ52" s="307">
        <v>70</v>
      </c>
      <c r="BA52" s="145">
        <v>86964</v>
      </c>
      <c r="BB52" s="307">
        <v>70</v>
      </c>
    </row>
    <row r="53" spans="1:59" x14ac:dyDescent="0.2">
      <c r="A53" s="1468" t="s">
        <v>1527</v>
      </c>
      <c r="B53" s="533">
        <v>550923</v>
      </c>
      <c r="C53" s="533">
        <v>26555</v>
      </c>
      <c r="D53" s="131">
        <v>209434</v>
      </c>
      <c r="E53" s="307"/>
      <c r="F53" s="131">
        <v>82156</v>
      </c>
      <c r="G53" s="307"/>
      <c r="H53" s="131">
        <v>21952</v>
      </c>
      <c r="I53" s="307"/>
      <c r="J53" s="131">
        <v>237501</v>
      </c>
      <c r="K53" s="307"/>
      <c r="L53" s="131">
        <v>88349</v>
      </c>
      <c r="M53" s="307"/>
      <c r="N53" s="131">
        <v>90755</v>
      </c>
      <c r="O53" s="307"/>
      <c r="P53" s="131">
        <v>3070</v>
      </c>
      <c r="Q53" s="307"/>
      <c r="R53" s="131">
        <v>87648</v>
      </c>
      <c r="S53" s="307"/>
      <c r="T53" s="131">
        <v>34760</v>
      </c>
      <c r="U53" s="307"/>
      <c r="V53" s="131">
        <v>87720</v>
      </c>
      <c r="W53" s="307"/>
      <c r="X53" s="131">
        <v>1365</v>
      </c>
      <c r="Y53" s="307"/>
      <c r="Z53" s="131">
        <v>4001</v>
      </c>
      <c r="AA53" s="307"/>
      <c r="AB53" s="131">
        <v>13089</v>
      </c>
      <c r="AC53" s="307"/>
      <c r="AD53" s="131">
        <v>8393</v>
      </c>
      <c r="AE53" s="307"/>
      <c r="AF53" s="131">
        <v>8333</v>
      </c>
      <c r="AG53" s="307"/>
      <c r="AH53" s="131"/>
      <c r="AI53" s="307"/>
      <c r="AJ53" s="131">
        <v>592284</v>
      </c>
      <c r="AK53" s="307"/>
      <c r="AL53" s="131">
        <v>1580510</v>
      </c>
      <c r="AM53" s="307"/>
      <c r="AN53" s="131">
        <v>24646</v>
      </c>
      <c r="AO53" s="307"/>
      <c r="AP53" s="131">
        <v>125150</v>
      </c>
      <c r="AQ53" s="307"/>
      <c r="AR53" s="131">
        <v>2130081</v>
      </c>
      <c r="AS53" s="307"/>
      <c r="AT53" s="131"/>
      <c r="AU53" s="307"/>
      <c r="AV53" s="131">
        <v>2279877</v>
      </c>
      <c r="AW53" s="307"/>
      <c r="AX53" s="145"/>
      <c r="AY53" s="131">
        <v>317798</v>
      </c>
      <c r="AZ53" s="307">
        <v>99</v>
      </c>
      <c r="BA53" s="145">
        <v>390785</v>
      </c>
      <c r="BB53" s="307">
        <v>13</v>
      </c>
    </row>
    <row r="54" spans="1:59" x14ac:dyDescent="0.2">
      <c r="A54" s="794" t="s">
        <v>5199</v>
      </c>
      <c r="B54" s="808">
        <v>2198678</v>
      </c>
      <c r="C54" s="808">
        <v>2365334</v>
      </c>
      <c r="D54" s="240">
        <v>11223705</v>
      </c>
      <c r="E54" s="513">
        <v>992</v>
      </c>
      <c r="F54" s="240">
        <v>15205236</v>
      </c>
      <c r="G54" s="513">
        <v>839</v>
      </c>
      <c r="H54" s="240">
        <v>1234890</v>
      </c>
      <c r="I54" s="513">
        <v>700</v>
      </c>
      <c r="J54" s="240">
        <v>20544415</v>
      </c>
      <c r="K54" s="513">
        <v>780</v>
      </c>
      <c r="L54" s="240">
        <v>3969469</v>
      </c>
      <c r="M54" s="513"/>
      <c r="N54" s="240">
        <v>2978869</v>
      </c>
      <c r="O54" s="513">
        <v>815</v>
      </c>
      <c r="P54" s="240">
        <v>633439</v>
      </c>
      <c r="Q54" s="513">
        <v>93</v>
      </c>
      <c r="R54" s="240">
        <v>1628408</v>
      </c>
      <c r="S54" s="513">
        <v>75</v>
      </c>
      <c r="T54" s="240">
        <v>1270140</v>
      </c>
      <c r="U54" s="513"/>
      <c r="V54" s="240">
        <v>4541699</v>
      </c>
      <c r="W54" s="513">
        <v>316</v>
      </c>
      <c r="X54" s="240">
        <v>64085</v>
      </c>
      <c r="Y54" s="513">
        <v>212</v>
      </c>
      <c r="Z54" s="240">
        <v>176422</v>
      </c>
      <c r="AA54" s="513">
        <v>525</v>
      </c>
      <c r="AB54" s="240">
        <v>313576</v>
      </c>
      <c r="AC54" s="513">
        <v>42</v>
      </c>
      <c r="AD54" s="240">
        <v>386475</v>
      </c>
      <c r="AE54" s="513">
        <v>830</v>
      </c>
      <c r="AF54" s="240">
        <v>226190</v>
      </c>
      <c r="AG54" s="513">
        <v>530</v>
      </c>
      <c r="AH54" s="240">
        <v>1731</v>
      </c>
      <c r="AI54" s="513">
        <v>490</v>
      </c>
      <c r="AJ54" s="240">
        <v>3197532</v>
      </c>
      <c r="AK54" s="513">
        <v>500</v>
      </c>
      <c r="AL54" s="240">
        <v>67596288</v>
      </c>
      <c r="AM54" s="513">
        <v>740</v>
      </c>
      <c r="AN54" s="240">
        <v>5014969</v>
      </c>
      <c r="AO54" s="513"/>
      <c r="AP54" s="240">
        <v>3055431</v>
      </c>
      <c r="AQ54" s="513"/>
      <c r="AR54" s="240">
        <v>47115579</v>
      </c>
      <c r="AS54" s="513">
        <v>250</v>
      </c>
      <c r="AT54" s="240">
        <v>1207902</v>
      </c>
      <c r="AU54" s="513"/>
      <c r="AV54" s="240">
        <v>56393881</v>
      </c>
      <c r="AW54" s="513">
        <v>250</v>
      </c>
      <c r="AX54" s="318">
        <v>6194</v>
      </c>
      <c r="AY54" s="240">
        <v>10711207</v>
      </c>
      <c r="AZ54" s="513">
        <v>19</v>
      </c>
      <c r="BA54" s="318">
        <v>15962019</v>
      </c>
      <c r="BB54" s="513">
        <v>84</v>
      </c>
    </row>
    <row r="55" spans="1:59" x14ac:dyDescent="0.2">
      <c r="A55" s="622"/>
      <c r="B55" s="1145">
        <f>+SUM(B44:B53)</f>
        <v>2198678</v>
      </c>
      <c r="C55" s="1145">
        <f t="shared" ref="C55:BB55" si="1">+SUM(C44:C53)</f>
        <v>2365334</v>
      </c>
      <c r="D55" s="1145">
        <f t="shared" si="1"/>
        <v>11223704</v>
      </c>
      <c r="E55" s="1145">
        <f t="shared" si="1"/>
        <v>1992</v>
      </c>
      <c r="F55" s="1145">
        <f t="shared" si="1"/>
        <v>15205235</v>
      </c>
      <c r="G55" s="1145">
        <f t="shared" si="1"/>
        <v>1839</v>
      </c>
      <c r="H55" s="1147">
        <f t="shared" si="1"/>
        <v>1235189</v>
      </c>
      <c r="I55" s="1145">
        <f t="shared" si="1"/>
        <v>1700</v>
      </c>
      <c r="J55" s="1145">
        <f t="shared" si="1"/>
        <v>20544414</v>
      </c>
      <c r="K55" s="1145">
        <f t="shared" si="1"/>
        <v>1780</v>
      </c>
      <c r="L55" s="1145">
        <f t="shared" si="1"/>
        <v>3969466</v>
      </c>
      <c r="M55" s="1145">
        <f t="shared" si="1"/>
        <v>3000</v>
      </c>
      <c r="N55" s="1145">
        <f t="shared" si="1"/>
        <v>2978865</v>
      </c>
      <c r="O55" s="1147">
        <f t="shared" si="1"/>
        <v>4775</v>
      </c>
      <c r="P55" s="1145">
        <f t="shared" si="1"/>
        <v>623437</v>
      </c>
      <c r="Q55" s="1145">
        <f t="shared" si="1"/>
        <v>2093</v>
      </c>
      <c r="R55" s="1145">
        <f t="shared" si="1"/>
        <v>1628406</v>
      </c>
      <c r="S55" s="1145">
        <f t="shared" si="1"/>
        <v>2075</v>
      </c>
      <c r="T55" s="1145">
        <f t="shared" si="1"/>
        <v>1270139</v>
      </c>
      <c r="U55" s="1145">
        <f t="shared" si="1"/>
        <v>1000</v>
      </c>
      <c r="V55" s="1147">
        <f t="shared" si="1"/>
        <v>2354696</v>
      </c>
      <c r="W55" s="1145">
        <f t="shared" si="1"/>
        <v>3316</v>
      </c>
      <c r="X55" s="1145">
        <f t="shared" si="1"/>
        <v>64084</v>
      </c>
      <c r="Y55" s="1145">
        <f t="shared" si="1"/>
        <v>1212</v>
      </c>
      <c r="Z55" s="1145">
        <f t="shared" si="1"/>
        <v>176419</v>
      </c>
      <c r="AA55" s="1145">
        <f t="shared" si="1"/>
        <v>3526</v>
      </c>
      <c r="AB55" s="1145">
        <f t="shared" si="1"/>
        <v>313573</v>
      </c>
      <c r="AC55" s="1145">
        <f t="shared" si="1"/>
        <v>3042</v>
      </c>
      <c r="AD55" s="1145">
        <f t="shared" si="1"/>
        <v>386473</v>
      </c>
      <c r="AE55" s="1145">
        <f t="shared" si="1"/>
        <v>2830</v>
      </c>
      <c r="AF55" s="1145">
        <f t="shared" si="1"/>
        <v>226189</v>
      </c>
      <c r="AG55" s="1145">
        <f t="shared" si="1"/>
        <v>1530</v>
      </c>
      <c r="AH55" s="1145">
        <f t="shared" si="1"/>
        <v>1731</v>
      </c>
      <c r="AI55" s="1145">
        <f t="shared" si="1"/>
        <v>490</v>
      </c>
      <c r="AJ55" s="1145">
        <f t="shared" si="1"/>
        <v>3197531</v>
      </c>
      <c r="AK55" s="1145">
        <f t="shared" si="1"/>
        <v>1500</v>
      </c>
      <c r="AL55" s="1145">
        <f t="shared" si="1"/>
        <v>67596286</v>
      </c>
      <c r="AM55" s="1145">
        <f t="shared" si="1"/>
        <v>2740</v>
      </c>
      <c r="AN55" s="1145">
        <f t="shared" si="1"/>
        <v>5014968</v>
      </c>
      <c r="AO55" s="1145">
        <f t="shared" si="1"/>
        <v>1000</v>
      </c>
      <c r="AP55" s="1145">
        <f t="shared" si="1"/>
        <v>3055430</v>
      </c>
      <c r="AQ55" s="1145">
        <f t="shared" si="1"/>
        <v>1000</v>
      </c>
      <c r="AR55" s="1145">
        <f t="shared" si="1"/>
        <v>47115578</v>
      </c>
      <c r="AS55" s="1145">
        <f t="shared" si="1"/>
        <v>1250</v>
      </c>
      <c r="AT55" s="1145">
        <f t="shared" si="1"/>
        <v>1207901</v>
      </c>
      <c r="AU55" s="1145">
        <f t="shared" si="1"/>
        <v>1000</v>
      </c>
      <c r="AV55" s="1145">
        <f t="shared" si="1"/>
        <v>56393878</v>
      </c>
      <c r="AW55" s="1145">
        <f t="shared" si="1"/>
        <v>3250</v>
      </c>
      <c r="AX55" s="1145">
        <f t="shared" si="1"/>
        <v>6194</v>
      </c>
      <c r="AY55" s="1145">
        <f t="shared" si="1"/>
        <v>10711203</v>
      </c>
      <c r="AZ55" s="1145">
        <f t="shared" si="1"/>
        <v>419</v>
      </c>
      <c r="BA55" s="1145">
        <f t="shared" si="1"/>
        <v>15962016</v>
      </c>
      <c r="BB55" s="1145">
        <f t="shared" si="1"/>
        <v>384</v>
      </c>
    </row>
    <row r="56" spans="1:59" x14ac:dyDescent="0.2">
      <c r="A56" s="1514" t="s">
        <v>5200</v>
      </c>
      <c r="B56" s="1515"/>
      <c r="C56" s="1515"/>
      <c r="D56" s="1515"/>
      <c r="E56" s="1515"/>
      <c r="F56" s="1515"/>
      <c r="G56" s="1515"/>
      <c r="H56" s="1515"/>
      <c r="I56" s="1515"/>
      <c r="J56" s="1515"/>
      <c r="K56" s="1515"/>
      <c r="L56" s="1515"/>
      <c r="M56" s="1515"/>
      <c r="N56" s="1515"/>
      <c r="O56" s="1515"/>
      <c r="P56" s="1515"/>
      <c r="Q56" s="1515"/>
      <c r="R56" s="1515"/>
      <c r="S56" s="1515"/>
      <c r="T56" s="1515"/>
      <c r="U56" s="1515"/>
      <c r="V56" s="1515"/>
      <c r="W56" s="1515"/>
      <c r="X56" s="1515"/>
      <c r="Y56" s="1515"/>
      <c r="Z56" s="1515"/>
      <c r="AA56" s="1515"/>
      <c r="AB56" s="1515"/>
      <c r="AC56" s="1515"/>
      <c r="AD56" s="1515"/>
      <c r="AE56" s="1515"/>
      <c r="AF56" s="1515"/>
      <c r="AG56" s="1515"/>
      <c r="AH56" s="1515"/>
      <c r="AI56" s="1515"/>
      <c r="AJ56" s="1515"/>
      <c r="AK56" s="1515"/>
      <c r="AL56" s="1515"/>
      <c r="AM56" s="1515"/>
      <c r="AN56" s="1515"/>
      <c r="AO56" s="1515"/>
      <c r="AP56" s="1515"/>
      <c r="AQ56" s="1515"/>
      <c r="AR56" s="1515"/>
      <c r="AS56" s="1515"/>
      <c r="AT56" s="1515"/>
      <c r="AU56" s="1515"/>
      <c r="AV56" s="1515"/>
      <c r="AW56" s="1515"/>
      <c r="AX56" s="1515"/>
      <c r="AY56" s="1515"/>
      <c r="AZ56" s="1515"/>
      <c r="BA56" s="1515"/>
      <c r="BB56" s="1515"/>
    </row>
    <row r="57" spans="1:59" x14ac:dyDescent="0.2">
      <c r="A57" s="1516" t="s">
        <v>5201</v>
      </c>
      <c r="B57" s="1517"/>
      <c r="C57" s="1517"/>
      <c r="D57" s="1517"/>
      <c r="E57" s="1517"/>
      <c r="F57" s="1517"/>
      <c r="G57" s="1517"/>
      <c r="H57" s="1517"/>
      <c r="I57" s="1517"/>
      <c r="J57" s="1517"/>
      <c r="K57" s="1517"/>
      <c r="L57" s="1517"/>
      <c r="M57" s="1517"/>
      <c r="N57" s="1517"/>
      <c r="O57" s="1517"/>
      <c r="P57" s="1517"/>
      <c r="Q57" s="1517"/>
      <c r="R57" s="1517"/>
      <c r="S57" s="1517"/>
      <c r="T57" s="1517"/>
      <c r="U57" s="1517"/>
      <c r="V57" s="1517"/>
      <c r="W57" s="1517"/>
      <c r="X57" s="1517"/>
      <c r="Y57" s="1517"/>
      <c r="Z57" s="1517"/>
      <c r="AA57" s="1517"/>
      <c r="AB57" s="1517"/>
      <c r="AC57" s="1517"/>
      <c r="AD57" s="1517"/>
      <c r="AE57" s="1517"/>
      <c r="AF57" s="1517"/>
      <c r="AG57" s="1517"/>
      <c r="AH57" s="1517"/>
      <c r="AI57" s="1517"/>
      <c r="AJ57" s="1517"/>
      <c r="AK57" s="1517"/>
      <c r="AL57" s="1517"/>
      <c r="AM57" s="1517"/>
      <c r="AN57" s="1517"/>
      <c r="AO57" s="1517"/>
      <c r="AP57" s="1517"/>
      <c r="AQ57" s="1517"/>
      <c r="AR57" s="1517"/>
      <c r="AS57" s="1517"/>
      <c r="AT57" s="1517"/>
      <c r="AU57" s="1517"/>
      <c r="AV57" s="1517"/>
      <c r="AW57" s="1517"/>
      <c r="AX57" s="1517"/>
      <c r="AY57" s="1517"/>
      <c r="AZ57" s="1517"/>
      <c r="BA57" s="1517"/>
      <c r="BB57" s="1517"/>
    </row>
    <row r="61" spans="1:59" x14ac:dyDescent="0.2">
      <c r="A61" s="526" t="s">
        <v>1853</v>
      </c>
    </row>
    <row r="62" spans="1:59" ht="23.5" customHeight="1" x14ac:dyDescent="0.2">
      <c r="A62" s="1319" t="s">
        <v>5187</v>
      </c>
      <c r="B62" s="1320"/>
      <c r="C62" s="1320"/>
      <c r="D62" s="1320"/>
      <c r="E62" s="1320"/>
      <c r="F62" s="1320"/>
      <c r="G62" s="1320"/>
      <c r="H62" s="1320"/>
      <c r="I62" s="1320"/>
      <c r="J62" s="1320"/>
      <c r="K62" s="1320"/>
      <c r="L62" s="1320"/>
      <c r="M62" s="1320"/>
      <c r="N62" s="1320"/>
      <c r="O62" s="1320"/>
      <c r="P62" s="1320"/>
      <c r="Q62" s="1320"/>
      <c r="R62" s="1320"/>
      <c r="S62" s="1320"/>
      <c r="T62" s="1320"/>
      <c r="U62" s="1320"/>
      <c r="V62" s="1320"/>
      <c r="W62" s="1320"/>
      <c r="X62" s="1320"/>
      <c r="Y62" s="1320"/>
      <c r="Z62" s="1320"/>
      <c r="AA62" s="1320"/>
      <c r="AB62" s="1320"/>
      <c r="AC62" s="1320"/>
      <c r="AD62" s="1320"/>
      <c r="AE62" s="1320"/>
      <c r="AF62" s="1320"/>
      <c r="AG62" s="1320"/>
      <c r="AH62" s="1320"/>
      <c r="AI62" s="1320"/>
      <c r="AJ62" s="1320"/>
      <c r="AK62" s="1320"/>
      <c r="AL62" s="1320"/>
      <c r="AM62" s="1320"/>
      <c r="AN62" s="1320"/>
      <c r="AO62" s="1320"/>
      <c r="AP62" s="1320"/>
      <c r="AQ62" s="1320"/>
      <c r="AR62" s="1320"/>
      <c r="AS62" s="1320"/>
      <c r="AT62" s="1320"/>
      <c r="AU62" s="1320"/>
      <c r="AV62" s="1320"/>
      <c r="AW62" s="1320"/>
      <c r="AX62" s="1320"/>
      <c r="AY62" s="1320"/>
      <c r="AZ62" s="1320"/>
      <c r="BA62" s="1320"/>
      <c r="BB62" s="1320"/>
      <c r="BC62" s="1320"/>
      <c r="BD62" s="1320"/>
      <c r="BE62" s="1320"/>
      <c r="BF62" s="1320"/>
      <c r="BG62" s="1321"/>
    </row>
    <row r="63" spans="1:59" x14ac:dyDescent="0.2">
      <c r="A63" s="838" t="s">
        <v>1227</v>
      </c>
      <c r="B63" s="793" t="s">
        <v>3394</v>
      </c>
      <c r="C63" s="793"/>
      <c r="D63" s="793" t="s">
        <v>3576</v>
      </c>
      <c r="E63" s="793"/>
      <c r="F63" s="793"/>
      <c r="G63" s="793"/>
      <c r="H63" s="793"/>
      <c r="I63" s="793"/>
      <c r="J63" s="793"/>
      <c r="K63" s="793"/>
      <c r="L63" s="793"/>
      <c r="M63" s="793"/>
      <c r="N63" s="793"/>
      <c r="O63" s="793"/>
      <c r="P63" s="793"/>
      <c r="Q63" s="793"/>
      <c r="R63" s="793"/>
      <c r="S63" s="793"/>
      <c r="T63" s="793"/>
      <c r="U63" s="793"/>
      <c r="V63" s="793"/>
      <c r="W63" s="793"/>
      <c r="X63" s="793"/>
      <c r="Y63" s="793"/>
      <c r="Z63" s="793"/>
      <c r="AA63" s="793"/>
      <c r="AB63" s="793"/>
      <c r="AC63" s="793"/>
      <c r="AD63" s="793"/>
      <c r="AE63" s="793"/>
      <c r="AF63" s="793"/>
      <c r="AG63" s="793"/>
      <c r="AH63" s="793"/>
      <c r="AI63" s="793"/>
      <c r="AJ63" s="793"/>
      <c r="AK63" s="793"/>
      <c r="AL63" s="793"/>
      <c r="AM63" s="793"/>
      <c r="AN63" s="793"/>
      <c r="AO63" s="793"/>
      <c r="AP63" s="793"/>
      <c r="AQ63" s="793"/>
      <c r="AR63" s="793"/>
      <c r="AS63" s="793"/>
      <c r="AT63" s="793"/>
      <c r="AU63" s="793"/>
      <c r="AV63" s="793"/>
      <c r="AW63" s="793"/>
      <c r="AX63" s="1518" t="s">
        <v>4063</v>
      </c>
      <c r="AY63" s="1519" t="s">
        <v>3396</v>
      </c>
      <c r="AZ63" s="1520"/>
      <c r="BA63" s="1520"/>
      <c r="BB63" s="1520"/>
      <c r="BC63" s="1521"/>
      <c r="BD63" s="1522" t="s">
        <v>5202</v>
      </c>
      <c r="BE63" s="1522"/>
      <c r="BF63" s="1522"/>
      <c r="BG63" s="1522"/>
    </row>
    <row r="64" spans="1:59" ht="14.5" customHeight="1" x14ac:dyDescent="0.2">
      <c r="A64" s="838"/>
      <c r="B64" s="838" t="s">
        <v>3400</v>
      </c>
      <c r="C64" s="838" t="s">
        <v>4981</v>
      </c>
      <c r="D64" s="793" t="s">
        <v>4062</v>
      </c>
      <c r="E64" s="793"/>
      <c r="F64" s="793"/>
      <c r="G64" s="793"/>
      <c r="H64" s="793"/>
      <c r="I64" s="793"/>
      <c r="J64" s="793"/>
      <c r="K64" s="793"/>
      <c r="L64" s="793"/>
      <c r="M64" s="793"/>
      <c r="N64" s="793"/>
      <c r="O64" s="793"/>
      <c r="P64" s="793"/>
      <c r="Q64" s="793"/>
      <c r="R64" s="793"/>
      <c r="S64" s="793"/>
      <c r="T64" s="793"/>
      <c r="U64" s="793"/>
      <c r="V64" s="793"/>
      <c r="W64" s="793"/>
      <c r="X64" s="793"/>
      <c r="Y64" s="793"/>
      <c r="Z64" s="793"/>
      <c r="AA64" s="793"/>
      <c r="AB64" s="793"/>
      <c r="AC64" s="793"/>
      <c r="AD64" s="793"/>
      <c r="AE64" s="793"/>
      <c r="AF64" s="793"/>
      <c r="AG64" s="793"/>
      <c r="AH64" s="793"/>
      <c r="AI64" s="793"/>
      <c r="AJ64" s="793"/>
      <c r="AK64" s="793"/>
      <c r="AL64" s="793"/>
      <c r="AM64" s="793"/>
      <c r="AN64" s="793" t="s">
        <v>4869</v>
      </c>
      <c r="AO64" s="793"/>
      <c r="AP64" s="793"/>
      <c r="AQ64" s="793"/>
      <c r="AR64" s="793"/>
      <c r="AS64" s="793"/>
      <c r="AT64" s="793"/>
      <c r="AU64" s="793"/>
      <c r="AV64" s="793"/>
      <c r="AW64" s="793"/>
      <c r="AX64" s="1518"/>
      <c r="AY64" s="1523" t="s">
        <v>4060</v>
      </c>
      <c r="AZ64" s="1524"/>
      <c r="BA64" s="1525"/>
      <c r="BB64" s="1526" t="s">
        <v>5188</v>
      </c>
      <c r="BC64" s="1526"/>
      <c r="BD64" s="1526" t="s">
        <v>5203</v>
      </c>
      <c r="BE64" s="1526"/>
      <c r="BF64" s="1526" t="s">
        <v>5204</v>
      </c>
      <c r="BG64" s="1526"/>
    </row>
    <row r="65" spans="1:59" x14ac:dyDescent="0.2">
      <c r="A65" s="838"/>
      <c r="B65" s="838"/>
      <c r="C65" s="838"/>
      <c r="D65" s="1036" t="s">
        <v>3271</v>
      </c>
      <c r="E65" s="1036"/>
      <c r="F65" s="1036" t="s">
        <v>3272</v>
      </c>
      <c r="G65" s="1036"/>
      <c r="H65" s="1036" t="s">
        <v>3577</v>
      </c>
      <c r="I65" s="1036"/>
      <c r="J65" s="1036" t="s">
        <v>3578</v>
      </c>
      <c r="K65" s="1036"/>
      <c r="L65" s="1036" t="s">
        <v>3579</v>
      </c>
      <c r="M65" s="1036"/>
      <c r="N65" s="1036" t="s">
        <v>4948</v>
      </c>
      <c r="O65" s="1036"/>
      <c r="P65" s="1036" t="s">
        <v>4949</v>
      </c>
      <c r="Q65" s="1036"/>
      <c r="R65" s="1036" t="s">
        <v>4310</v>
      </c>
      <c r="S65" s="1036"/>
      <c r="T65" s="1036" t="s">
        <v>4950</v>
      </c>
      <c r="U65" s="1036"/>
      <c r="V65" s="1036" t="s">
        <v>4951</v>
      </c>
      <c r="W65" s="1036"/>
      <c r="X65" s="1527" t="s">
        <v>4952</v>
      </c>
      <c r="Y65" s="1527"/>
      <c r="Z65" s="1526" t="s">
        <v>4953</v>
      </c>
      <c r="AA65" s="1526"/>
      <c r="AB65" s="1526" t="s">
        <v>4954</v>
      </c>
      <c r="AC65" s="1526"/>
      <c r="AD65" s="1526" t="s">
        <v>4955</v>
      </c>
      <c r="AE65" s="1526"/>
      <c r="AF65" s="1526" t="s">
        <v>4956</v>
      </c>
      <c r="AG65" s="1526"/>
      <c r="AH65" s="1526" t="s">
        <v>3275</v>
      </c>
      <c r="AI65" s="1526"/>
      <c r="AJ65" s="1526" t="s">
        <v>5189</v>
      </c>
      <c r="AK65" s="1526"/>
      <c r="AL65" s="1526" t="s">
        <v>3276</v>
      </c>
      <c r="AM65" s="1526"/>
      <c r="AN65" s="1526" t="s">
        <v>5190</v>
      </c>
      <c r="AO65" s="1526"/>
      <c r="AP65" s="1526" t="s">
        <v>4068</v>
      </c>
      <c r="AQ65" s="1526"/>
      <c r="AR65" s="1526" t="s">
        <v>5191</v>
      </c>
      <c r="AS65" s="1526"/>
      <c r="AT65" s="1526" t="s">
        <v>5192</v>
      </c>
      <c r="AU65" s="1526"/>
      <c r="AV65" s="1526" t="s">
        <v>3276</v>
      </c>
      <c r="AW65" s="1526"/>
      <c r="AX65" s="1518"/>
      <c r="AY65" s="1528"/>
      <c r="AZ65" s="1529"/>
      <c r="BA65" s="1530"/>
      <c r="BB65" s="1526"/>
      <c r="BC65" s="1526"/>
      <c r="BD65" s="1526"/>
      <c r="BE65" s="1526"/>
      <c r="BF65" s="1526"/>
      <c r="BG65" s="1526"/>
    </row>
    <row r="66" spans="1:59" x14ac:dyDescent="0.2">
      <c r="A66" s="838"/>
      <c r="B66" s="1510" t="s">
        <v>3407</v>
      </c>
      <c r="C66" s="1510" t="s">
        <v>3407</v>
      </c>
      <c r="D66" s="1511" t="s">
        <v>5193</v>
      </c>
      <c r="E66" s="1511" t="s">
        <v>5194</v>
      </c>
      <c r="F66" s="1511" t="s">
        <v>5193</v>
      </c>
      <c r="G66" s="1511" t="s">
        <v>5194</v>
      </c>
      <c r="H66" s="1511" t="s">
        <v>5193</v>
      </c>
      <c r="I66" s="1511" t="s">
        <v>5194</v>
      </c>
      <c r="J66" s="1511" t="s">
        <v>5193</v>
      </c>
      <c r="K66" s="1511" t="s">
        <v>5194</v>
      </c>
      <c r="L66" s="1511" t="s">
        <v>5193</v>
      </c>
      <c r="M66" s="1511" t="s">
        <v>5194</v>
      </c>
      <c r="N66" s="1511" t="s">
        <v>5193</v>
      </c>
      <c r="O66" s="1511" t="s">
        <v>5194</v>
      </c>
      <c r="P66" s="1511" t="s">
        <v>5193</v>
      </c>
      <c r="Q66" s="1511" t="s">
        <v>5194</v>
      </c>
      <c r="R66" s="1511" t="s">
        <v>5193</v>
      </c>
      <c r="S66" s="1511" t="s">
        <v>5194</v>
      </c>
      <c r="T66" s="1511" t="s">
        <v>5193</v>
      </c>
      <c r="U66" s="1511" t="s">
        <v>5194</v>
      </c>
      <c r="V66" s="1511" t="s">
        <v>5193</v>
      </c>
      <c r="W66" s="1511" t="s">
        <v>5194</v>
      </c>
      <c r="X66" s="1531" t="s">
        <v>5193</v>
      </c>
      <c r="Y66" s="1531" t="s">
        <v>5194</v>
      </c>
      <c r="Z66" s="1532" t="s">
        <v>5193</v>
      </c>
      <c r="AA66" s="1532" t="s">
        <v>5194</v>
      </c>
      <c r="AB66" s="1532" t="s">
        <v>5193</v>
      </c>
      <c r="AC66" s="1532" t="s">
        <v>5194</v>
      </c>
      <c r="AD66" s="1532" t="s">
        <v>5193</v>
      </c>
      <c r="AE66" s="1532" t="s">
        <v>5194</v>
      </c>
      <c r="AF66" s="1532" t="s">
        <v>5193</v>
      </c>
      <c r="AG66" s="1532" t="s">
        <v>5194</v>
      </c>
      <c r="AH66" s="1532" t="s">
        <v>5193</v>
      </c>
      <c r="AI66" s="1532" t="s">
        <v>5194</v>
      </c>
      <c r="AJ66" s="1532" t="s">
        <v>5193</v>
      </c>
      <c r="AK66" s="1532" t="s">
        <v>5194</v>
      </c>
      <c r="AL66" s="1532" t="s">
        <v>5193</v>
      </c>
      <c r="AM66" s="1532" t="s">
        <v>5194</v>
      </c>
      <c r="AN66" s="1532" t="s">
        <v>5193</v>
      </c>
      <c r="AO66" s="1532" t="s">
        <v>5194</v>
      </c>
      <c r="AP66" s="1532" t="s">
        <v>5193</v>
      </c>
      <c r="AQ66" s="1532" t="s">
        <v>5194</v>
      </c>
      <c r="AR66" s="1532" t="s">
        <v>5193</v>
      </c>
      <c r="AS66" s="1532" t="s">
        <v>5194</v>
      </c>
      <c r="AT66" s="1532" t="s">
        <v>5193</v>
      </c>
      <c r="AU66" s="1532" t="s">
        <v>5194</v>
      </c>
      <c r="AV66" s="1532" t="s">
        <v>5193</v>
      </c>
      <c r="AW66" s="1532" t="s">
        <v>5194</v>
      </c>
      <c r="AX66" s="1512" t="s">
        <v>3407</v>
      </c>
      <c r="AY66" s="1512" t="s">
        <v>3373</v>
      </c>
      <c r="AZ66" s="1533" t="s">
        <v>5195</v>
      </c>
      <c r="BA66" s="1534"/>
      <c r="BB66" s="1512" t="s">
        <v>2764</v>
      </c>
      <c r="BC66" s="1512" t="s">
        <v>5195</v>
      </c>
      <c r="BD66" s="1532" t="s">
        <v>5193</v>
      </c>
      <c r="BE66" s="1532" t="s">
        <v>5194</v>
      </c>
      <c r="BF66" s="1512" t="s">
        <v>2764</v>
      </c>
      <c r="BG66" s="1512" t="s">
        <v>5195</v>
      </c>
    </row>
    <row r="67" spans="1:59" x14ac:dyDescent="0.2">
      <c r="A67" s="131" t="s">
        <v>5205</v>
      </c>
      <c r="B67" s="716"/>
      <c r="C67" s="716"/>
      <c r="D67" s="349"/>
      <c r="E67" s="717"/>
      <c r="F67" s="349"/>
      <c r="G67" s="717"/>
      <c r="H67" s="349"/>
      <c r="I67" s="717"/>
      <c r="J67" s="349"/>
      <c r="K67" s="717"/>
      <c r="L67" s="349"/>
      <c r="M67" s="717"/>
      <c r="N67" s="349"/>
      <c r="O67" s="717"/>
      <c r="P67" s="349"/>
      <c r="Q67" s="717"/>
      <c r="R67" s="349"/>
      <c r="S67" s="717"/>
      <c r="T67" s="349"/>
      <c r="U67" s="717"/>
      <c r="V67" s="349"/>
      <c r="W67" s="717"/>
      <c r="X67" s="1535"/>
      <c r="Y67" s="1536"/>
      <c r="Z67" s="674"/>
      <c r="AA67" s="675"/>
      <c r="AB67" s="674"/>
      <c r="AC67" s="675"/>
      <c r="AD67" s="674"/>
      <c r="AE67" s="675"/>
      <c r="AF67" s="674"/>
      <c r="AG67" s="675"/>
      <c r="AH67" s="674"/>
      <c r="AI67" s="675"/>
      <c r="AJ67" s="674"/>
      <c r="AK67" s="675"/>
      <c r="AL67" s="674"/>
      <c r="AM67" s="675"/>
      <c r="AN67" s="674"/>
      <c r="AO67" s="675"/>
      <c r="AP67" s="674"/>
      <c r="AQ67" s="675"/>
      <c r="AR67" s="674"/>
      <c r="AS67" s="675"/>
      <c r="AT67" s="674"/>
      <c r="AU67" s="675"/>
      <c r="AV67" s="674"/>
      <c r="AW67" s="675"/>
      <c r="AX67" s="141"/>
      <c r="AY67" s="674"/>
      <c r="AZ67" s="916"/>
      <c r="BA67" s="917"/>
      <c r="BB67" s="141"/>
      <c r="BC67" s="395"/>
      <c r="BD67" s="131"/>
      <c r="BE67" s="307"/>
      <c r="BF67" s="131"/>
      <c r="BG67" s="307"/>
    </row>
    <row r="68" spans="1:59" x14ac:dyDescent="0.2">
      <c r="A68" s="131" t="s">
        <v>3668</v>
      </c>
      <c r="B68" s="533">
        <v>475878</v>
      </c>
      <c r="C68" s="533">
        <v>440384</v>
      </c>
      <c r="D68" s="131">
        <v>3882024</v>
      </c>
      <c r="E68" s="307">
        <v>152</v>
      </c>
      <c r="F68" s="131">
        <v>4199695</v>
      </c>
      <c r="G68" s="307">
        <v>553</v>
      </c>
      <c r="H68" s="131">
        <v>541218</v>
      </c>
      <c r="I68" s="307">
        <v>400</v>
      </c>
      <c r="J68" s="131">
        <v>6962736</v>
      </c>
      <c r="K68" s="307"/>
      <c r="L68" s="131">
        <v>1858806</v>
      </c>
      <c r="M68" s="307">
        <v>500</v>
      </c>
      <c r="N68" s="131">
        <v>1381590</v>
      </c>
      <c r="O68" s="307"/>
      <c r="P68" s="131">
        <v>379654</v>
      </c>
      <c r="Q68" s="307">
        <v>324</v>
      </c>
      <c r="R68" s="131">
        <v>1127860</v>
      </c>
      <c r="S68" s="307">
        <v>470</v>
      </c>
      <c r="T68" s="131">
        <v>1207734</v>
      </c>
      <c r="U68" s="307">
        <v>500</v>
      </c>
      <c r="V68" s="131">
        <v>2109784</v>
      </c>
      <c r="W68" s="307">
        <v>656</v>
      </c>
      <c r="X68" s="1468"/>
      <c r="Y68" s="1537"/>
      <c r="Z68" s="140">
        <v>129410</v>
      </c>
      <c r="AA68" s="395">
        <v>497</v>
      </c>
      <c r="AB68" s="140">
        <v>172618</v>
      </c>
      <c r="AC68" s="395">
        <v>717</v>
      </c>
      <c r="AD68" s="140">
        <v>304295</v>
      </c>
      <c r="AE68" s="395">
        <v>400</v>
      </c>
      <c r="AF68" s="140">
        <v>110464</v>
      </c>
      <c r="AG68" s="395">
        <v>496</v>
      </c>
      <c r="AH68" s="140">
        <v>468</v>
      </c>
      <c r="AI68" s="395">
        <v>843</v>
      </c>
      <c r="AJ68" s="140">
        <v>260</v>
      </c>
      <c r="AK68" s="395"/>
      <c r="AL68" s="140">
        <v>24430299</v>
      </c>
      <c r="AM68" s="395"/>
      <c r="AN68" s="140">
        <v>1700819</v>
      </c>
      <c r="AO68" s="395"/>
      <c r="AP68" s="140">
        <v>1717444</v>
      </c>
      <c r="AQ68" s="395"/>
      <c r="AR68" s="140">
        <v>15877362</v>
      </c>
      <c r="AS68" s="395"/>
      <c r="AT68" s="140">
        <v>118508</v>
      </c>
      <c r="AU68" s="395"/>
      <c r="AV68" s="140">
        <v>19414133</v>
      </c>
      <c r="AW68" s="395"/>
      <c r="AX68" s="141"/>
      <c r="AY68" s="140">
        <v>6501518</v>
      </c>
      <c r="AZ68" s="141">
        <v>97</v>
      </c>
      <c r="BA68" s="142"/>
      <c r="BB68" s="141">
        <v>7740237</v>
      </c>
      <c r="BC68" s="395">
        <v>51</v>
      </c>
      <c r="BD68" s="131">
        <v>11168547</v>
      </c>
      <c r="BE68" s="307"/>
      <c r="BF68" s="131">
        <v>4373532</v>
      </c>
      <c r="BG68" s="307">
        <v>60</v>
      </c>
    </row>
    <row r="69" spans="1:59" x14ac:dyDescent="0.2">
      <c r="A69" s="131" t="s">
        <v>5206</v>
      </c>
      <c r="B69" s="533">
        <v>28701</v>
      </c>
      <c r="C69" s="533">
        <v>27965</v>
      </c>
      <c r="D69" s="131">
        <v>530831</v>
      </c>
      <c r="E69" s="307"/>
      <c r="F69" s="131">
        <v>110394</v>
      </c>
      <c r="G69" s="307"/>
      <c r="H69" s="131">
        <v>15127</v>
      </c>
      <c r="I69" s="307"/>
      <c r="J69" s="131">
        <v>283149</v>
      </c>
      <c r="K69" s="307"/>
      <c r="L69" s="131">
        <v>105304</v>
      </c>
      <c r="M69" s="307"/>
      <c r="N69" s="131">
        <v>126700</v>
      </c>
      <c r="O69" s="307"/>
      <c r="P69" s="131">
        <v>26189</v>
      </c>
      <c r="Q69" s="307"/>
      <c r="R69" s="131">
        <v>102448</v>
      </c>
      <c r="S69" s="307"/>
      <c r="T69" s="131">
        <v>82879</v>
      </c>
      <c r="U69" s="307"/>
      <c r="V69" s="131">
        <v>180671</v>
      </c>
      <c r="W69" s="307"/>
      <c r="X69" s="1468"/>
      <c r="Y69" s="1537"/>
      <c r="Z69" s="140">
        <v>10384</v>
      </c>
      <c r="AA69" s="395"/>
      <c r="AB69" s="140">
        <v>31553</v>
      </c>
      <c r="AC69" s="395"/>
      <c r="AD69" s="140">
        <v>21715</v>
      </c>
      <c r="AE69" s="395"/>
      <c r="AF69" s="140">
        <v>10273</v>
      </c>
      <c r="AG69" s="395"/>
      <c r="AH69" s="140"/>
      <c r="AI69" s="395"/>
      <c r="AJ69" s="140"/>
      <c r="AK69" s="395"/>
      <c r="AL69" s="140">
        <v>1641980</v>
      </c>
      <c r="AM69" s="395"/>
      <c r="AN69" s="140">
        <v>134118</v>
      </c>
      <c r="AO69" s="395"/>
      <c r="AP69" s="140">
        <v>622</v>
      </c>
      <c r="AQ69" s="395">
        <v>500</v>
      </c>
      <c r="AR69" s="140">
        <v>1170843</v>
      </c>
      <c r="AS69" s="395">
        <v>325</v>
      </c>
      <c r="AT69" s="140">
        <v>530</v>
      </c>
      <c r="AU69" s="395"/>
      <c r="AV69" s="140">
        <v>1306113</v>
      </c>
      <c r="AW69" s="395">
        <v>825</v>
      </c>
      <c r="AX69" s="141"/>
      <c r="AY69" s="140">
        <v>504657</v>
      </c>
      <c r="AZ69" s="141">
        <v>32</v>
      </c>
      <c r="BA69" s="142">
        <v>0.5</v>
      </c>
      <c r="BB69" s="141">
        <v>951520</v>
      </c>
      <c r="BC69" s="395"/>
      <c r="BD69" s="131">
        <v>602781</v>
      </c>
      <c r="BE69" s="307">
        <v>510</v>
      </c>
      <c r="BF69" s="131">
        <v>352050</v>
      </c>
      <c r="BG69" s="307">
        <v>70</v>
      </c>
    </row>
    <row r="70" spans="1:59" x14ac:dyDescent="0.2">
      <c r="A70" s="131" t="s">
        <v>4033</v>
      </c>
      <c r="B70" s="533">
        <v>545192</v>
      </c>
      <c r="C70" s="533">
        <v>1060335</v>
      </c>
      <c r="D70" s="131">
        <v>3949216</v>
      </c>
      <c r="E70" s="307"/>
      <c r="F70" s="131">
        <v>8358530</v>
      </c>
      <c r="G70" s="307"/>
      <c r="H70" s="131">
        <v>214417</v>
      </c>
      <c r="I70" s="307"/>
      <c r="J70" s="131">
        <v>3664950</v>
      </c>
      <c r="K70" s="307"/>
      <c r="L70" s="131">
        <v>1523629</v>
      </c>
      <c r="M70" s="307"/>
      <c r="N70" s="131">
        <v>655880</v>
      </c>
      <c r="O70" s="307"/>
      <c r="P70" s="131">
        <v>125376</v>
      </c>
      <c r="Q70" s="307"/>
      <c r="R70" s="131">
        <v>261633</v>
      </c>
      <c r="S70" s="307"/>
      <c r="T70" s="131">
        <v>364444</v>
      </c>
      <c r="U70" s="307"/>
      <c r="V70" s="131">
        <v>686890</v>
      </c>
      <c r="W70" s="307"/>
      <c r="X70" s="1468"/>
      <c r="Y70" s="1537"/>
      <c r="Z70" s="140">
        <v>48669</v>
      </c>
      <c r="AA70" s="395"/>
      <c r="AB70" s="140">
        <v>69151</v>
      </c>
      <c r="AC70" s="395"/>
      <c r="AD70" s="140">
        <v>90908</v>
      </c>
      <c r="AE70" s="395"/>
      <c r="AF70" s="140">
        <v>56453</v>
      </c>
      <c r="AG70" s="395"/>
      <c r="AH70" s="140">
        <v>318</v>
      </c>
      <c r="AI70" s="395"/>
      <c r="AJ70" s="140">
        <v>90</v>
      </c>
      <c r="AK70" s="395"/>
      <c r="AL70" s="140">
        <v>20095738</v>
      </c>
      <c r="AM70" s="395"/>
      <c r="AN70" s="140">
        <v>1282371</v>
      </c>
      <c r="AO70" s="395"/>
      <c r="AP70" s="140">
        <v>180439</v>
      </c>
      <c r="AQ70" s="395"/>
      <c r="AR70" s="140">
        <v>15500034</v>
      </c>
      <c r="AS70" s="395"/>
      <c r="AT70" s="140">
        <v>222303</v>
      </c>
      <c r="AU70" s="395"/>
      <c r="AV70" s="140">
        <v>17185147</v>
      </c>
      <c r="AW70" s="395"/>
      <c r="AX70" s="141">
        <v>1782</v>
      </c>
      <c r="AY70" s="140">
        <v>2389140</v>
      </c>
      <c r="AZ70" s="141">
        <v>21</v>
      </c>
      <c r="BA70" s="142"/>
      <c r="BB70" s="141">
        <v>3274373</v>
      </c>
      <c r="BC70" s="395"/>
      <c r="BD70" s="131">
        <v>2753744</v>
      </c>
      <c r="BE70" s="307"/>
      <c r="BF70" s="131">
        <v>1482617</v>
      </c>
      <c r="BG70" s="307"/>
    </row>
    <row r="71" spans="1:59" x14ac:dyDescent="0.2">
      <c r="A71" s="131" t="s">
        <v>5207</v>
      </c>
      <c r="B71" s="533">
        <v>160260</v>
      </c>
      <c r="C71" s="533">
        <v>120673</v>
      </c>
      <c r="D71" s="131">
        <v>65368</v>
      </c>
      <c r="E71" s="307">
        <v>500</v>
      </c>
      <c r="F71" s="131">
        <v>852690</v>
      </c>
      <c r="G71" s="307"/>
      <c r="H71" s="131">
        <v>192310</v>
      </c>
      <c r="I71" s="307"/>
      <c r="J71" s="131">
        <v>3330874</v>
      </c>
      <c r="K71" s="307">
        <v>500</v>
      </c>
      <c r="L71" s="131">
        <v>436239</v>
      </c>
      <c r="M71" s="307">
        <v>500</v>
      </c>
      <c r="N71" s="131">
        <v>501363</v>
      </c>
      <c r="O71" s="307"/>
      <c r="P71" s="131">
        <v>60893</v>
      </c>
      <c r="Q71" s="307"/>
      <c r="R71" s="131">
        <v>299356</v>
      </c>
      <c r="S71" s="307"/>
      <c r="T71" s="131">
        <v>80642</v>
      </c>
      <c r="U71" s="307">
        <v>500</v>
      </c>
      <c r="V71" s="131">
        <v>332285</v>
      </c>
      <c r="W71" s="307">
        <v>750</v>
      </c>
      <c r="X71" s="1468"/>
      <c r="Y71" s="1537"/>
      <c r="Z71" s="140">
        <v>15447</v>
      </c>
      <c r="AA71" s="395"/>
      <c r="AB71" s="140">
        <v>38387</v>
      </c>
      <c r="AC71" s="395">
        <v>500</v>
      </c>
      <c r="AD71" s="140">
        <v>39252</v>
      </c>
      <c r="AE71" s="395">
        <v>500</v>
      </c>
      <c r="AF71" s="140">
        <v>25333</v>
      </c>
      <c r="AG71" s="395">
        <v>500</v>
      </c>
      <c r="AH71" s="140">
        <v>1234391</v>
      </c>
      <c r="AI71" s="395"/>
      <c r="AJ71" s="140">
        <v>269</v>
      </c>
      <c r="AK71" s="395"/>
      <c r="AL71" s="140">
        <v>7514702</v>
      </c>
      <c r="AM71" s="395"/>
      <c r="AN71" s="140">
        <v>71426</v>
      </c>
      <c r="AO71" s="395"/>
      <c r="AP71" s="140">
        <v>5832</v>
      </c>
      <c r="AQ71" s="395"/>
      <c r="AR71" s="140">
        <v>6559934</v>
      </c>
      <c r="AS71" s="395"/>
      <c r="AT71" s="140">
        <v>75274</v>
      </c>
      <c r="AU71" s="395"/>
      <c r="AV71" s="140">
        <v>6712466</v>
      </c>
      <c r="AW71" s="395"/>
      <c r="AX71" s="141"/>
      <c r="AY71" s="140">
        <v>1602396</v>
      </c>
      <c r="AZ71" s="141">
        <v>65</v>
      </c>
      <c r="BA71" s="142"/>
      <c r="BB71" s="141">
        <v>2292419</v>
      </c>
      <c r="BC71" s="395">
        <v>40</v>
      </c>
      <c r="BD71" s="131">
        <v>6559483</v>
      </c>
      <c r="BE71" s="307"/>
      <c r="BF71" s="131">
        <v>2119700</v>
      </c>
      <c r="BG71" s="307"/>
    </row>
    <row r="72" spans="1:59" x14ac:dyDescent="0.2">
      <c r="A72" s="131" t="s">
        <v>4553</v>
      </c>
      <c r="B72" s="533">
        <v>1634</v>
      </c>
      <c r="C72" s="533">
        <v>7203</v>
      </c>
      <c r="D72" s="131"/>
      <c r="E72" s="307"/>
      <c r="F72" s="131">
        <v>1590</v>
      </c>
      <c r="G72" s="307">
        <v>500</v>
      </c>
      <c r="H72" s="131">
        <v>2774</v>
      </c>
      <c r="I72" s="307">
        <v>500</v>
      </c>
      <c r="J72" s="131">
        <v>5617</v>
      </c>
      <c r="K72" s="307">
        <v>500</v>
      </c>
      <c r="L72" s="131">
        <v>5587</v>
      </c>
      <c r="M72" s="307">
        <v>250</v>
      </c>
      <c r="N72" s="131">
        <v>2380</v>
      </c>
      <c r="O72" s="307">
        <v>475</v>
      </c>
      <c r="P72" s="131">
        <v>238</v>
      </c>
      <c r="Q72" s="307">
        <v>500</v>
      </c>
      <c r="R72" s="131">
        <v>1833</v>
      </c>
      <c r="S72" s="307">
        <v>72</v>
      </c>
      <c r="T72" s="131">
        <v>1598</v>
      </c>
      <c r="U72" s="307">
        <v>499</v>
      </c>
      <c r="V72" s="131">
        <v>425</v>
      </c>
      <c r="W72" s="307">
        <v>961</v>
      </c>
      <c r="X72" s="1468"/>
      <c r="Y72" s="1537"/>
      <c r="Z72" s="140">
        <v>63</v>
      </c>
      <c r="AA72" s="395">
        <v>12</v>
      </c>
      <c r="AB72" s="140">
        <v>13101</v>
      </c>
      <c r="AC72" s="395">
        <v>660</v>
      </c>
      <c r="AD72" s="140">
        <v>240</v>
      </c>
      <c r="AE72" s="395">
        <v>37</v>
      </c>
      <c r="AF72" s="140">
        <v>173</v>
      </c>
      <c r="AG72" s="395">
        <v>611</v>
      </c>
      <c r="AH72" s="140">
        <v>816</v>
      </c>
      <c r="AI72" s="395">
        <v>250</v>
      </c>
      <c r="AJ72" s="140"/>
      <c r="AK72" s="395"/>
      <c r="AL72" s="140">
        <v>36572</v>
      </c>
      <c r="AM72" s="395">
        <v>127</v>
      </c>
      <c r="AN72" s="140"/>
      <c r="AO72" s="395"/>
      <c r="AP72" s="140">
        <v>144</v>
      </c>
      <c r="AQ72" s="395"/>
      <c r="AR72" s="140">
        <v>14221</v>
      </c>
      <c r="AS72" s="395"/>
      <c r="AT72" s="140">
        <v>227184</v>
      </c>
      <c r="AU72" s="395"/>
      <c r="AV72" s="140">
        <v>241549</v>
      </c>
      <c r="AW72" s="395"/>
      <c r="AX72" s="141">
        <v>583</v>
      </c>
      <c r="AY72" s="140">
        <v>41381</v>
      </c>
      <c r="AZ72" s="141">
        <v>70</v>
      </c>
      <c r="BA72" s="142"/>
      <c r="BB72" s="141">
        <v>41431</v>
      </c>
      <c r="BC72" s="395"/>
      <c r="BD72" s="131"/>
      <c r="BE72" s="307"/>
      <c r="BF72" s="131"/>
      <c r="BG72" s="307"/>
    </row>
    <row r="73" spans="1:59" x14ac:dyDescent="0.2">
      <c r="A73" s="131" t="s">
        <v>5208</v>
      </c>
      <c r="B73" s="533">
        <v>1647</v>
      </c>
      <c r="C73" s="533">
        <v>10432</v>
      </c>
      <c r="D73" s="131"/>
      <c r="E73" s="307"/>
      <c r="F73" s="131"/>
      <c r="G73" s="307"/>
      <c r="H73" s="131"/>
      <c r="I73" s="307"/>
      <c r="J73" s="131"/>
      <c r="K73" s="307"/>
      <c r="L73" s="131"/>
      <c r="M73" s="307"/>
      <c r="N73" s="131"/>
      <c r="O73" s="307"/>
      <c r="P73" s="131"/>
      <c r="Q73" s="307"/>
      <c r="R73" s="131"/>
      <c r="S73" s="307"/>
      <c r="T73" s="131"/>
      <c r="U73" s="307"/>
      <c r="V73" s="131"/>
      <c r="W73" s="307"/>
      <c r="X73" s="1468"/>
      <c r="Y73" s="1537"/>
      <c r="Z73" s="140"/>
      <c r="AA73" s="395"/>
      <c r="AB73" s="140"/>
      <c r="AC73" s="395"/>
      <c r="AD73" s="140"/>
      <c r="AE73" s="395"/>
      <c r="AF73" s="140"/>
      <c r="AG73" s="395"/>
      <c r="AH73" s="140"/>
      <c r="AI73" s="395"/>
      <c r="AJ73" s="140"/>
      <c r="AK73" s="395"/>
      <c r="AL73" s="140"/>
      <c r="AM73" s="395"/>
      <c r="AN73" s="140">
        <v>45106</v>
      </c>
      <c r="AO73" s="395">
        <v>600</v>
      </c>
      <c r="AP73" s="140"/>
      <c r="AQ73" s="395"/>
      <c r="AR73" s="140">
        <v>144266</v>
      </c>
      <c r="AS73" s="395"/>
      <c r="AT73" s="140">
        <v>2884</v>
      </c>
      <c r="AU73" s="395"/>
      <c r="AV73" s="140">
        <v>192253</v>
      </c>
      <c r="AW73" s="395">
        <v>600</v>
      </c>
      <c r="AX73" s="141"/>
      <c r="AY73" s="140">
        <v>5143</v>
      </c>
      <c r="AZ73" s="141"/>
      <c r="BA73" s="142"/>
      <c r="BB73" s="141">
        <v>104001</v>
      </c>
      <c r="BC73" s="395">
        <v>40</v>
      </c>
      <c r="BD73" s="131">
        <v>141958</v>
      </c>
      <c r="BE73" s="307"/>
      <c r="BF73" s="131">
        <v>53641</v>
      </c>
      <c r="BG73" s="307">
        <v>73</v>
      </c>
    </row>
    <row r="74" spans="1:59" x14ac:dyDescent="0.2">
      <c r="A74" s="131" t="s">
        <v>1526</v>
      </c>
      <c r="B74" s="533">
        <v>59071</v>
      </c>
      <c r="C74" s="533">
        <v>17441</v>
      </c>
      <c r="D74" s="131">
        <v>102536</v>
      </c>
      <c r="E74" s="307"/>
      <c r="F74" s="131">
        <v>474981</v>
      </c>
      <c r="G74" s="307">
        <v>500</v>
      </c>
      <c r="H74" s="131">
        <v>3899</v>
      </c>
      <c r="I74" s="307"/>
      <c r="J74" s="131">
        <v>181538</v>
      </c>
      <c r="K74" s="307"/>
      <c r="L74" s="131">
        <v>52852</v>
      </c>
      <c r="M74" s="307"/>
      <c r="N74" s="131">
        <v>24067</v>
      </c>
      <c r="O74" s="307">
        <v>750</v>
      </c>
      <c r="P74" s="131">
        <v>6175</v>
      </c>
      <c r="Q74" s="307"/>
      <c r="R74" s="131">
        <v>26394</v>
      </c>
      <c r="S74" s="307"/>
      <c r="T74" s="131">
        <v>14918</v>
      </c>
      <c r="U74" s="307">
        <v>250</v>
      </c>
      <c r="V74" s="131">
        <v>20542</v>
      </c>
      <c r="W74" s="307">
        <v>500</v>
      </c>
      <c r="X74" s="1468"/>
      <c r="Y74" s="1537"/>
      <c r="Z74" s="140">
        <v>420</v>
      </c>
      <c r="AA74" s="395">
        <v>500</v>
      </c>
      <c r="AB74" s="140">
        <v>529</v>
      </c>
      <c r="AC74" s="395">
        <v>250</v>
      </c>
      <c r="AD74" s="140">
        <v>382</v>
      </c>
      <c r="AE74" s="395"/>
      <c r="AF74" s="140">
        <v>161</v>
      </c>
      <c r="AG74" s="395"/>
      <c r="AH74" s="140"/>
      <c r="AI74" s="395"/>
      <c r="AJ74" s="140"/>
      <c r="AK74" s="395"/>
      <c r="AL74" s="140">
        <v>909459</v>
      </c>
      <c r="AM74" s="395">
        <v>750</v>
      </c>
      <c r="AN74" s="140">
        <v>289122</v>
      </c>
      <c r="AO74" s="395"/>
      <c r="AP74" s="140">
        <v>400</v>
      </c>
      <c r="AQ74" s="395"/>
      <c r="AR74" s="140">
        <v>2725725</v>
      </c>
      <c r="AS74" s="395">
        <v>500</v>
      </c>
      <c r="AT74" s="140"/>
      <c r="AU74" s="395"/>
      <c r="AV74" s="140">
        <v>3015247</v>
      </c>
      <c r="AW74" s="395">
        <v>500</v>
      </c>
      <c r="AX74" s="141">
        <v>117</v>
      </c>
      <c r="AY74" s="140">
        <v>80950</v>
      </c>
      <c r="AZ74" s="141"/>
      <c r="BA74" s="142"/>
      <c r="BB74" s="141">
        <v>260762</v>
      </c>
      <c r="BC74" s="395">
        <v>33</v>
      </c>
      <c r="BD74" s="131">
        <v>172099</v>
      </c>
      <c r="BE74" s="307">
        <v>500</v>
      </c>
      <c r="BF74" s="131">
        <v>76353</v>
      </c>
      <c r="BG74" s="307"/>
    </row>
    <row r="75" spans="1:59" x14ac:dyDescent="0.2">
      <c r="A75" s="131" t="s">
        <v>4034</v>
      </c>
      <c r="B75" s="533">
        <v>11777</v>
      </c>
      <c r="C75" s="533">
        <v>152532</v>
      </c>
      <c r="D75" s="131">
        <v>306149</v>
      </c>
      <c r="E75" s="307"/>
      <c r="F75" s="131">
        <v>507686</v>
      </c>
      <c r="G75" s="307">
        <v>230</v>
      </c>
      <c r="H75" s="131">
        <v>5768</v>
      </c>
      <c r="I75" s="307">
        <v>765</v>
      </c>
      <c r="J75" s="131">
        <v>247612</v>
      </c>
      <c r="K75" s="307">
        <v>300</v>
      </c>
      <c r="L75" s="131">
        <v>16214</v>
      </c>
      <c r="M75" s="307">
        <v>500</v>
      </c>
      <c r="N75" s="131">
        <v>5991</v>
      </c>
      <c r="O75" s="307">
        <v>665</v>
      </c>
      <c r="P75" s="131">
        <v>3818</v>
      </c>
      <c r="Q75" s="307">
        <v>710</v>
      </c>
      <c r="R75" s="131">
        <v>1237</v>
      </c>
      <c r="S75" s="307">
        <v>250</v>
      </c>
      <c r="T75" s="131">
        <v>1118</v>
      </c>
      <c r="U75" s="307"/>
      <c r="V75" s="131">
        <v>1094</v>
      </c>
      <c r="W75" s="307"/>
      <c r="X75" s="1468"/>
      <c r="Y75" s="1537"/>
      <c r="Z75" s="140">
        <v>237</v>
      </c>
      <c r="AA75" s="395">
        <v>745</v>
      </c>
      <c r="AB75" s="140">
        <v>257</v>
      </c>
      <c r="AC75" s="395">
        <v>840</v>
      </c>
      <c r="AD75" s="140">
        <v>263</v>
      </c>
      <c r="AE75" s="395">
        <v>15</v>
      </c>
      <c r="AF75" s="140">
        <v>31</v>
      </c>
      <c r="AG75" s="395">
        <v>250</v>
      </c>
      <c r="AH75" s="140"/>
      <c r="AI75" s="395"/>
      <c r="AJ75" s="140">
        <v>4532</v>
      </c>
      <c r="AK75" s="395"/>
      <c r="AL75" s="140">
        <v>1102034</v>
      </c>
      <c r="AM75" s="395">
        <v>290</v>
      </c>
      <c r="AN75" s="140"/>
      <c r="AO75" s="395"/>
      <c r="AP75" s="140"/>
      <c r="AQ75" s="395"/>
      <c r="AR75" s="140">
        <v>2107468</v>
      </c>
      <c r="AS75" s="395"/>
      <c r="AT75" s="140"/>
      <c r="AU75" s="395"/>
      <c r="AV75" s="140">
        <v>2107468</v>
      </c>
      <c r="AW75" s="395"/>
      <c r="AX75" s="141"/>
      <c r="AY75" s="140">
        <v>53878</v>
      </c>
      <c r="AZ75" s="141">
        <v>23</v>
      </c>
      <c r="BA75" s="142"/>
      <c r="BB75" s="141">
        <v>35162</v>
      </c>
      <c r="BC75" s="395">
        <v>90</v>
      </c>
      <c r="BD75" s="131"/>
      <c r="BE75" s="307"/>
      <c r="BF75" s="131"/>
      <c r="BG75" s="307"/>
    </row>
    <row r="76" spans="1:59" x14ac:dyDescent="0.2">
      <c r="A76" s="131" t="s">
        <v>5209</v>
      </c>
      <c r="B76" s="533">
        <v>245059</v>
      </c>
      <c r="C76" s="533">
        <v>14861</v>
      </c>
      <c r="D76" s="131">
        <v>200228</v>
      </c>
      <c r="E76" s="307"/>
      <c r="F76" s="131">
        <v>105607</v>
      </c>
      <c r="G76" s="307"/>
      <c r="H76" s="131">
        <v>24630</v>
      </c>
      <c r="I76" s="307"/>
      <c r="J76" s="131">
        <v>333171</v>
      </c>
      <c r="K76" s="307"/>
      <c r="L76" s="131">
        <v>86203</v>
      </c>
      <c r="M76" s="307"/>
      <c r="N76" s="131">
        <v>104482</v>
      </c>
      <c r="O76" s="307"/>
      <c r="P76" s="131">
        <v>16477</v>
      </c>
      <c r="Q76" s="307"/>
      <c r="R76" s="131">
        <v>117293</v>
      </c>
      <c r="S76" s="307"/>
      <c r="T76" s="131">
        <v>59089</v>
      </c>
      <c r="U76" s="307"/>
      <c r="V76" s="131">
        <v>112892</v>
      </c>
      <c r="W76" s="307"/>
      <c r="X76" s="1468"/>
      <c r="Y76" s="1537"/>
      <c r="Z76" s="140">
        <v>5225</v>
      </c>
      <c r="AA76" s="395"/>
      <c r="AB76" s="140">
        <v>12044</v>
      </c>
      <c r="AC76" s="395"/>
      <c r="AD76" s="140">
        <v>10103</v>
      </c>
      <c r="AE76" s="395"/>
      <c r="AF76" s="140">
        <v>5461</v>
      </c>
      <c r="AG76" s="395"/>
      <c r="AH76" s="140">
        <v>110827</v>
      </c>
      <c r="AI76" s="395"/>
      <c r="AJ76" s="140"/>
      <c r="AK76" s="395"/>
      <c r="AL76" s="140">
        <v>1305000</v>
      </c>
      <c r="AM76" s="395"/>
      <c r="AN76" s="140">
        <v>16000</v>
      </c>
      <c r="AO76" s="395"/>
      <c r="AP76" s="140">
        <v>552</v>
      </c>
      <c r="AQ76" s="395"/>
      <c r="AR76" s="140">
        <v>2027053</v>
      </c>
      <c r="AS76" s="395"/>
      <c r="AT76" s="140"/>
      <c r="AU76" s="395"/>
      <c r="AV76" s="140">
        <v>2043045</v>
      </c>
      <c r="AW76" s="395"/>
      <c r="AX76" s="141"/>
      <c r="AY76" s="140">
        <v>349299</v>
      </c>
      <c r="AZ76" s="141">
        <v>6</v>
      </c>
      <c r="BA76" s="142"/>
      <c r="BB76" s="141">
        <v>388499</v>
      </c>
      <c r="BC76" s="395"/>
      <c r="BD76" s="131">
        <v>101790</v>
      </c>
      <c r="BE76" s="307"/>
      <c r="BF76" s="131">
        <v>45317</v>
      </c>
      <c r="BG76" s="307"/>
    </row>
    <row r="77" spans="1:59" x14ac:dyDescent="0.2">
      <c r="A77" s="622" t="s">
        <v>5199</v>
      </c>
      <c r="B77" s="716">
        <v>1529219</v>
      </c>
      <c r="C77" s="716">
        <v>1851826</v>
      </c>
      <c r="D77" s="349">
        <v>9036352</v>
      </c>
      <c r="E77" s="717">
        <v>652</v>
      </c>
      <c r="F77" s="349">
        <v>14609204</v>
      </c>
      <c r="G77" s="717">
        <v>783</v>
      </c>
      <c r="H77" s="349">
        <v>1000144</v>
      </c>
      <c r="I77" s="717">
        <v>665</v>
      </c>
      <c r="J77" s="349">
        <v>15009667</v>
      </c>
      <c r="K77" s="717">
        <v>800</v>
      </c>
      <c r="L77" s="349">
        <v>4084835</v>
      </c>
      <c r="M77" s="717">
        <v>750</v>
      </c>
      <c r="N77" s="349">
        <v>2802454</v>
      </c>
      <c r="O77" s="717">
        <v>800</v>
      </c>
      <c r="P77" s="349">
        <v>618821</v>
      </c>
      <c r="Q77" s="717">
        <v>534</v>
      </c>
      <c r="R77" s="349">
        <v>1938054</v>
      </c>
      <c r="S77" s="717">
        <v>792</v>
      </c>
      <c r="T77" s="349">
        <v>1812423</v>
      </c>
      <c r="U77" s="717">
        <v>749</v>
      </c>
      <c r="V77" s="349">
        <v>3444585</v>
      </c>
      <c r="W77" s="717">
        <v>867</v>
      </c>
      <c r="X77" s="1535"/>
      <c r="Y77" s="1536"/>
      <c r="Z77" s="674">
        <v>209856</v>
      </c>
      <c r="AA77" s="675">
        <v>754</v>
      </c>
      <c r="AB77" s="674">
        <v>337642</v>
      </c>
      <c r="AC77" s="675">
        <v>967</v>
      </c>
      <c r="AD77" s="674">
        <v>467158</v>
      </c>
      <c r="AE77" s="675">
        <v>952</v>
      </c>
      <c r="AF77" s="674">
        <v>208350</v>
      </c>
      <c r="AG77" s="675">
        <v>857</v>
      </c>
      <c r="AH77" s="674">
        <v>1346831</v>
      </c>
      <c r="AI77" s="675">
        <v>93</v>
      </c>
      <c r="AJ77" s="674">
        <v>5151</v>
      </c>
      <c r="AK77" s="675"/>
      <c r="AL77" s="674">
        <v>57035784</v>
      </c>
      <c r="AM77" s="675">
        <v>167</v>
      </c>
      <c r="AN77" s="674">
        <v>3538962</v>
      </c>
      <c r="AO77" s="675">
        <v>600</v>
      </c>
      <c r="AP77" s="674">
        <v>1905233</v>
      </c>
      <c r="AQ77" s="675">
        <v>500</v>
      </c>
      <c r="AR77" s="674">
        <v>46126906</v>
      </c>
      <c r="AS77" s="675">
        <v>825</v>
      </c>
      <c r="AT77" s="674">
        <v>646683</v>
      </c>
      <c r="AU77" s="675"/>
      <c r="AV77" s="674">
        <v>52217785</v>
      </c>
      <c r="AW77" s="675">
        <v>925</v>
      </c>
      <c r="AX77" s="916">
        <v>2482</v>
      </c>
      <c r="AY77" s="674">
        <v>11528365</v>
      </c>
      <c r="AZ77" s="916">
        <v>14</v>
      </c>
      <c r="BA77" s="917">
        <v>0.5</v>
      </c>
      <c r="BB77" s="916">
        <v>15088406</v>
      </c>
      <c r="BC77" s="675">
        <v>54</v>
      </c>
      <c r="BD77" s="240">
        <v>21500433</v>
      </c>
      <c r="BE77" s="513">
        <v>10</v>
      </c>
      <c r="BF77" s="240">
        <v>8506212</v>
      </c>
      <c r="BG77" s="513">
        <v>3</v>
      </c>
    </row>
    <row r="78" spans="1:59" x14ac:dyDescent="0.2">
      <c r="A78" s="622"/>
      <c r="B78" s="1145">
        <f>+SUM(B67:B76)</f>
        <v>1529219</v>
      </c>
      <c r="C78" s="1145">
        <f t="shared" ref="C78:BG78" si="2">+SUM(C67:C76)</f>
        <v>1851826</v>
      </c>
      <c r="D78" s="1145">
        <f t="shared" si="2"/>
        <v>9036352</v>
      </c>
      <c r="E78" s="1145">
        <f t="shared" si="2"/>
        <v>652</v>
      </c>
      <c r="F78" s="1147">
        <f t="shared" si="2"/>
        <v>14611173</v>
      </c>
      <c r="G78" s="1145">
        <f t="shared" si="2"/>
        <v>1783</v>
      </c>
      <c r="H78" s="1145">
        <f t="shared" si="2"/>
        <v>1000143</v>
      </c>
      <c r="I78" s="1145">
        <f t="shared" si="2"/>
        <v>1665</v>
      </c>
      <c r="J78" s="1147">
        <f t="shared" si="2"/>
        <v>15009647</v>
      </c>
      <c r="K78" s="1147">
        <f t="shared" si="2"/>
        <v>1300</v>
      </c>
      <c r="L78" s="1145">
        <f t="shared" si="2"/>
        <v>4084834</v>
      </c>
      <c r="M78" s="1145">
        <f t="shared" si="2"/>
        <v>1750</v>
      </c>
      <c r="N78" s="1145">
        <f t="shared" si="2"/>
        <v>2802453</v>
      </c>
      <c r="O78" s="1147">
        <f t="shared" si="2"/>
        <v>1890</v>
      </c>
      <c r="P78" s="1145">
        <f t="shared" si="2"/>
        <v>618820</v>
      </c>
      <c r="Q78" s="1145">
        <f t="shared" si="2"/>
        <v>1534</v>
      </c>
      <c r="R78" s="1145">
        <f t="shared" si="2"/>
        <v>1938054</v>
      </c>
      <c r="S78" s="1145">
        <f t="shared" si="2"/>
        <v>792</v>
      </c>
      <c r="T78" s="1145">
        <f t="shared" si="2"/>
        <v>1812422</v>
      </c>
      <c r="U78" s="1145">
        <f t="shared" si="2"/>
        <v>1749</v>
      </c>
      <c r="V78" s="1145">
        <f t="shared" si="2"/>
        <v>3444583</v>
      </c>
      <c r="W78" s="1145">
        <f t="shared" si="2"/>
        <v>2867</v>
      </c>
      <c r="X78" s="1145">
        <f t="shared" si="2"/>
        <v>0</v>
      </c>
      <c r="Y78" s="1145">
        <f t="shared" si="2"/>
        <v>0</v>
      </c>
      <c r="Z78" s="1145">
        <f t="shared" si="2"/>
        <v>209855</v>
      </c>
      <c r="AA78" s="1145">
        <f t="shared" si="2"/>
        <v>1754</v>
      </c>
      <c r="AB78" s="1145">
        <f t="shared" si="2"/>
        <v>337640</v>
      </c>
      <c r="AC78" s="1145">
        <f t="shared" si="2"/>
        <v>2967</v>
      </c>
      <c r="AD78" s="1145">
        <f t="shared" si="2"/>
        <v>467158</v>
      </c>
      <c r="AE78" s="1145">
        <f t="shared" si="2"/>
        <v>952</v>
      </c>
      <c r="AF78" s="1145">
        <f t="shared" si="2"/>
        <v>208349</v>
      </c>
      <c r="AG78" s="1145">
        <f t="shared" si="2"/>
        <v>1857</v>
      </c>
      <c r="AH78" s="1147">
        <f t="shared" si="2"/>
        <v>1346820</v>
      </c>
      <c r="AI78" s="1145">
        <f t="shared" si="2"/>
        <v>1093</v>
      </c>
      <c r="AJ78" s="1145">
        <f t="shared" si="2"/>
        <v>5151</v>
      </c>
      <c r="AK78" s="1145">
        <f t="shared" si="2"/>
        <v>0</v>
      </c>
      <c r="AL78" s="1145">
        <f t="shared" si="2"/>
        <v>57035784</v>
      </c>
      <c r="AM78" s="1145">
        <f t="shared" si="2"/>
        <v>1167</v>
      </c>
      <c r="AN78" s="1145">
        <f t="shared" si="2"/>
        <v>3538962</v>
      </c>
      <c r="AO78" s="1145">
        <f t="shared" si="2"/>
        <v>600</v>
      </c>
      <c r="AP78" s="1147">
        <f t="shared" si="2"/>
        <v>1905433</v>
      </c>
      <c r="AQ78" s="1145">
        <f t="shared" si="2"/>
        <v>500</v>
      </c>
      <c r="AR78" s="1145">
        <f t="shared" si="2"/>
        <v>46126906</v>
      </c>
      <c r="AS78" s="1145">
        <f t="shared" si="2"/>
        <v>825</v>
      </c>
      <c r="AT78" s="1145">
        <f t="shared" si="2"/>
        <v>646683</v>
      </c>
      <c r="AU78" s="1145">
        <f t="shared" si="2"/>
        <v>0</v>
      </c>
      <c r="AV78" s="1147">
        <f t="shared" si="2"/>
        <v>52217421</v>
      </c>
      <c r="AW78" s="1145">
        <f t="shared" si="2"/>
        <v>1925</v>
      </c>
      <c r="AX78" s="1145">
        <f t="shared" si="2"/>
        <v>2482</v>
      </c>
      <c r="AY78" s="1145">
        <f t="shared" si="2"/>
        <v>11528362</v>
      </c>
      <c r="AZ78" s="1145">
        <f t="shared" si="2"/>
        <v>314</v>
      </c>
      <c r="BA78" s="1146">
        <f t="shared" si="2"/>
        <v>0.5</v>
      </c>
      <c r="BB78" s="1145">
        <f t="shared" si="2"/>
        <v>15088404</v>
      </c>
      <c r="BC78" s="1145">
        <f t="shared" si="2"/>
        <v>254</v>
      </c>
      <c r="BD78" s="1147">
        <f t="shared" si="2"/>
        <v>21500402</v>
      </c>
      <c r="BE78" s="1145">
        <f t="shared" si="2"/>
        <v>1010</v>
      </c>
      <c r="BF78" s="1147">
        <f t="shared" si="2"/>
        <v>8503210</v>
      </c>
      <c r="BG78" s="1145">
        <f t="shared" si="2"/>
        <v>203</v>
      </c>
    </row>
    <row r="79" spans="1:59" x14ac:dyDescent="0.2">
      <c r="A79" s="1148" t="s">
        <v>5210</v>
      </c>
      <c r="B79" s="1149"/>
      <c r="C79" s="1149"/>
      <c r="D79" s="1149"/>
      <c r="E79" s="1149"/>
      <c r="F79" s="1149"/>
      <c r="G79" s="1149"/>
      <c r="H79" s="1149"/>
      <c r="I79" s="1149"/>
      <c r="J79" s="1149"/>
      <c r="K79" s="1149"/>
      <c r="L79" s="1149"/>
      <c r="M79" s="1149"/>
      <c r="N79" s="1149"/>
      <c r="O79" s="1149"/>
      <c r="P79" s="1149"/>
      <c r="Q79" s="1149"/>
      <c r="R79" s="1149"/>
      <c r="S79" s="1149"/>
      <c r="T79" s="1149"/>
      <c r="U79" s="1149"/>
      <c r="V79" s="1149"/>
      <c r="W79" s="1149"/>
      <c r="X79" s="1149"/>
      <c r="Y79" s="1149"/>
      <c r="Z79" s="1149"/>
      <c r="AA79" s="1149"/>
      <c r="AB79" s="1149"/>
      <c r="AC79" s="1149"/>
      <c r="AD79" s="1149"/>
      <c r="AE79" s="1149"/>
      <c r="AF79" s="1149"/>
      <c r="AG79" s="1149"/>
      <c r="AH79" s="1149"/>
      <c r="AI79" s="1149"/>
      <c r="AJ79" s="1149"/>
      <c r="AK79" s="1149"/>
      <c r="AL79" s="1149"/>
      <c r="AM79" s="1149"/>
      <c r="AN79" s="1149"/>
      <c r="AO79" s="1149"/>
      <c r="AP79" s="1149"/>
      <c r="AQ79" s="1149"/>
      <c r="AR79" s="1149"/>
      <c r="AS79" s="1149"/>
      <c r="AT79" s="1149"/>
      <c r="AU79" s="1149"/>
      <c r="AV79" s="1149"/>
      <c r="AW79" s="1149"/>
      <c r="AX79" s="1149"/>
      <c r="AY79" s="1149"/>
      <c r="AZ79" s="1149"/>
      <c r="BA79" s="1149"/>
      <c r="BB79" s="1149"/>
      <c r="BC79" s="1149"/>
      <c r="BD79" s="1149"/>
      <c r="BE79" s="1149"/>
      <c r="BF79" s="1149"/>
      <c r="BG79" s="717"/>
    </row>
    <row r="80" spans="1:59" x14ac:dyDescent="0.2">
      <c r="A80" s="588" t="s">
        <v>5211</v>
      </c>
      <c r="B80" s="589"/>
      <c r="C80" s="589"/>
      <c r="D80" s="589"/>
      <c r="E80" s="589"/>
      <c r="F80" s="589"/>
      <c r="G80" s="589"/>
      <c r="H80" s="589"/>
      <c r="I80" s="589"/>
      <c r="J80" s="589"/>
      <c r="K80" s="589"/>
      <c r="L80" s="589"/>
      <c r="M80" s="589"/>
      <c r="N80" s="589"/>
      <c r="O80" s="589"/>
      <c r="P80" s="589"/>
      <c r="Q80" s="589"/>
      <c r="R80" s="589"/>
      <c r="S80" s="589"/>
      <c r="T80" s="589"/>
      <c r="U80" s="589"/>
      <c r="V80" s="589"/>
      <c r="W80" s="589"/>
      <c r="X80" s="589"/>
      <c r="Y80" s="589"/>
      <c r="Z80" s="589"/>
      <c r="AA80" s="589"/>
      <c r="AB80" s="589"/>
      <c r="AC80" s="589"/>
      <c r="AD80" s="589"/>
      <c r="AE80" s="589"/>
      <c r="AF80" s="589"/>
      <c r="AG80" s="589"/>
      <c r="AH80" s="589"/>
      <c r="AI80" s="589"/>
      <c r="AJ80" s="589"/>
      <c r="AK80" s="589"/>
      <c r="AL80" s="589"/>
      <c r="AM80" s="589"/>
      <c r="AN80" s="589"/>
      <c r="AO80" s="589"/>
      <c r="AP80" s="589"/>
      <c r="AQ80" s="589"/>
      <c r="AR80" s="589"/>
      <c r="AS80" s="589"/>
      <c r="AT80" s="589"/>
      <c r="AU80" s="589"/>
      <c r="AV80" s="589"/>
      <c r="AW80" s="589"/>
      <c r="AX80" s="589"/>
      <c r="AY80" s="589"/>
      <c r="AZ80" s="589"/>
      <c r="BA80" s="589"/>
      <c r="BB80" s="589"/>
      <c r="BC80" s="589"/>
      <c r="BD80" s="589"/>
      <c r="BE80" s="589"/>
      <c r="BF80" s="589"/>
      <c r="BG80" s="307"/>
    </row>
    <row r="81" spans="1:67" x14ac:dyDescent="0.2">
      <c r="A81" s="588" t="s">
        <v>5212</v>
      </c>
      <c r="B81" s="589"/>
      <c r="C81" s="589"/>
      <c r="D81" s="589"/>
      <c r="E81" s="589"/>
      <c r="F81" s="589"/>
      <c r="G81" s="589"/>
      <c r="H81" s="589"/>
      <c r="I81" s="589"/>
      <c r="J81" s="589"/>
      <c r="K81" s="589"/>
      <c r="L81" s="589"/>
      <c r="M81" s="589"/>
      <c r="N81" s="589"/>
      <c r="O81" s="589"/>
      <c r="P81" s="589"/>
      <c r="Q81" s="589"/>
      <c r="R81" s="589"/>
      <c r="S81" s="589"/>
      <c r="T81" s="589"/>
      <c r="U81" s="589"/>
      <c r="V81" s="589"/>
      <c r="W81" s="589"/>
      <c r="X81" s="589"/>
      <c r="Y81" s="589"/>
      <c r="Z81" s="589"/>
      <c r="AA81" s="589"/>
      <c r="AB81" s="589"/>
      <c r="AC81" s="589"/>
      <c r="AD81" s="589"/>
      <c r="AE81" s="589"/>
      <c r="AF81" s="589"/>
      <c r="AG81" s="589"/>
      <c r="AH81" s="589"/>
      <c r="AI81" s="589"/>
      <c r="AJ81" s="589"/>
      <c r="AK81" s="589"/>
      <c r="AL81" s="589"/>
      <c r="AM81" s="589"/>
      <c r="AN81" s="589"/>
      <c r="AO81" s="589"/>
      <c r="AP81" s="589"/>
      <c r="AQ81" s="589"/>
      <c r="AR81" s="589"/>
      <c r="AS81" s="589"/>
      <c r="AT81" s="589"/>
      <c r="AU81" s="589"/>
      <c r="AV81" s="589"/>
      <c r="AW81" s="589"/>
      <c r="AX81" s="589"/>
      <c r="AY81" s="589"/>
      <c r="AZ81" s="589"/>
      <c r="BA81" s="589"/>
      <c r="BB81" s="589"/>
      <c r="BC81" s="145"/>
      <c r="BD81" s="145"/>
      <c r="BE81" s="145"/>
      <c r="BF81" s="145"/>
      <c r="BG81" s="307"/>
    </row>
    <row r="82" spans="1:67" x14ac:dyDescent="0.2">
      <c r="A82" s="588" t="s">
        <v>5213</v>
      </c>
      <c r="B82" s="589"/>
      <c r="C82" s="589"/>
      <c r="D82" s="589"/>
      <c r="E82" s="589"/>
      <c r="F82" s="589"/>
      <c r="G82" s="589"/>
      <c r="H82" s="589"/>
      <c r="I82" s="589"/>
      <c r="J82" s="589"/>
      <c r="K82" s="589"/>
      <c r="L82" s="589"/>
      <c r="M82" s="589"/>
      <c r="N82" s="589"/>
      <c r="O82" s="589"/>
      <c r="P82" s="589"/>
      <c r="Q82" s="589"/>
      <c r="R82" s="589"/>
      <c r="S82" s="589"/>
      <c r="T82" s="589"/>
      <c r="U82" s="589"/>
      <c r="V82" s="589"/>
      <c r="W82" s="589"/>
      <c r="X82" s="589"/>
      <c r="Y82" s="589"/>
      <c r="Z82" s="589"/>
      <c r="AA82" s="589"/>
      <c r="AB82" s="589"/>
      <c r="AC82" s="589"/>
      <c r="AD82" s="589"/>
      <c r="AE82" s="589"/>
      <c r="AF82" s="589"/>
      <c r="AG82" s="589"/>
      <c r="AH82" s="589"/>
      <c r="AI82" s="589"/>
      <c r="AJ82" s="589"/>
      <c r="AK82" s="589"/>
      <c r="AL82" s="589"/>
      <c r="AM82" s="589"/>
      <c r="AN82" s="589"/>
      <c r="AO82" s="589"/>
      <c r="AP82" s="589"/>
      <c r="AQ82" s="589"/>
      <c r="AR82" s="589"/>
      <c r="AS82" s="589"/>
      <c r="AT82" s="589"/>
      <c r="AU82" s="589"/>
      <c r="AV82" s="589"/>
      <c r="AW82" s="589"/>
      <c r="AX82" s="589"/>
      <c r="AY82" s="589"/>
      <c r="AZ82" s="589"/>
      <c r="BA82" s="589"/>
      <c r="BB82" s="589"/>
      <c r="BC82" s="145"/>
      <c r="BD82" s="145"/>
      <c r="BE82" s="145"/>
      <c r="BF82" s="145"/>
      <c r="BG82" s="307"/>
    </row>
    <row r="83" spans="1:67" x14ac:dyDescent="0.2">
      <c r="A83" s="588" t="s">
        <v>5214</v>
      </c>
      <c r="B83" s="589"/>
      <c r="C83" s="589"/>
      <c r="D83" s="589"/>
      <c r="E83" s="589"/>
      <c r="F83" s="589"/>
      <c r="G83" s="589"/>
      <c r="H83" s="589"/>
      <c r="I83" s="589"/>
      <c r="J83" s="589"/>
      <c r="K83" s="589"/>
      <c r="L83" s="589"/>
      <c r="M83" s="589"/>
      <c r="N83" s="589"/>
      <c r="O83" s="589"/>
      <c r="P83" s="589"/>
      <c r="Q83" s="589"/>
      <c r="R83" s="589"/>
      <c r="S83" s="589"/>
      <c r="T83" s="589"/>
      <c r="U83" s="589"/>
      <c r="V83" s="589"/>
      <c r="W83" s="589"/>
      <c r="X83" s="589"/>
      <c r="Y83" s="589"/>
      <c r="Z83" s="589"/>
      <c r="AA83" s="589"/>
      <c r="AB83" s="589"/>
      <c r="AC83" s="589"/>
      <c r="AD83" s="589"/>
      <c r="AE83" s="589"/>
      <c r="AF83" s="589"/>
      <c r="AG83" s="589"/>
      <c r="AH83" s="589"/>
      <c r="AI83" s="589"/>
      <c r="AJ83" s="589"/>
      <c r="AK83" s="589"/>
      <c r="AL83" s="589"/>
      <c r="AM83" s="589"/>
      <c r="AN83" s="589"/>
      <c r="AO83" s="589"/>
      <c r="AP83" s="589"/>
      <c r="AQ83" s="589"/>
      <c r="AR83" s="589"/>
      <c r="AS83" s="589"/>
      <c r="AT83" s="589"/>
      <c r="AU83" s="589"/>
      <c r="AV83" s="589"/>
      <c r="AW83" s="589"/>
      <c r="AX83" s="589"/>
      <c r="AY83" s="589"/>
      <c r="AZ83" s="589"/>
      <c r="BA83" s="589"/>
      <c r="BB83" s="589"/>
      <c r="BC83" s="145"/>
      <c r="BD83" s="145"/>
      <c r="BE83" s="145"/>
      <c r="BF83" s="145"/>
      <c r="BG83" s="307"/>
    </row>
    <row r="84" spans="1:67" x14ac:dyDescent="0.2">
      <c r="A84" s="940" t="s">
        <v>5215</v>
      </c>
      <c r="B84" s="941"/>
      <c r="C84" s="941"/>
      <c r="D84" s="941"/>
      <c r="E84" s="941"/>
      <c r="F84" s="941"/>
      <c r="G84" s="941"/>
      <c r="H84" s="941"/>
      <c r="I84" s="941"/>
      <c r="J84" s="941"/>
      <c r="K84" s="941"/>
      <c r="L84" s="941"/>
      <c r="M84" s="941"/>
      <c r="N84" s="941"/>
      <c r="O84" s="941"/>
      <c r="P84" s="941"/>
      <c r="Q84" s="941"/>
      <c r="R84" s="941"/>
      <c r="S84" s="941"/>
      <c r="T84" s="941"/>
      <c r="U84" s="941"/>
      <c r="V84" s="941"/>
      <c r="W84" s="941"/>
      <c r="X84" s="941"/>
      <c r="Y84" s="941"/>
      <c r="Z84" s="941"/>
      <c r="AA84" s="941"/>
      <c r="AB84" s="941"/>
      <c r="AC84" s="941"/>
      <c r="AD84" s="941"/>
      <c r="AE84" s="941"/>
      <c r="AF84" s="941"/>
      <c r="AG84" s="941"/>
      <c r="AH84" s="941"/>
      <c r="AI84" s="941"/>
      <c r="AJ84" s="941"/>
      <c r="AK84" s="941"/>
      <c r="AL84" s="941"/>
      <c r="AM84" s="941"/>
      <c r="AN84" s="941"/>
      <c r="AO84" s="941"/>
      <c r="AP84" s="941"/>
      <c r="AQ84" s="941"/>
      <c r="AR84" s="941"/>
      <c r="AS84" s="941"/>
      <c r="AT84" s="941"/>
      <c r="AU84" s="941"/>
      <c r="AV84" s="941"/>
      <c r="AW84" s="941"/>
      <c r="AX84" s="941"/>
      <c r="AY84" s="941"/>
      <c r="AZ84" s="941"/>
      <c r="BA84" s="941"/>
      <c r="BB84" s="941"/>
      <c r="BC84" s="309"/>
      <c r="BD84" s="309"/>
      <c r="BE84" s="309"/>
      <c r="BF84" s="309"/>
      <c r="BG84" s="364"/>
    </row>
    <row r="88" spans="1:67" x14ac:dyDescent="0.2">
      <c r="A88" s="526" t="s">
        <v>1226</v>
      </c>
    </row>
    <row r="89" spans="1:67" ht="31.75" customHeight="1" x14ac:dyDescent="0.2">
      <c r="A89" s="1272" t="s">
        <v>5216</v>
      </c>
      <c r="B89" s="1272"/>
      <c r="C89" s="1272"/>
      <c r="D89" s="1272"/>
      <c r="E89" s="1272"/>
      <c r="F89" s="1272"/>
      <c r="G89" s="1272"/>
      <c r="H89" s="1272"/>
      <c r="I89" s="1272"/>
      <c r="J89" s="1272"/>
      <c r="K89" s="1272"/>
      <c r="L89" s="1272"/>
      <c r="M89" s="1272"/>
      <c r="N89" s="1272"/>
      <c r="O89" s="1272"/>
      <c r="P89" s="1272"/>
      <c r="Q89" s="1272"/>
      <c r="R89" s="1272"/>
      <c r="S89" s="1272"/>
      <c r="T89" s="1272"/>
      <c r="U89" s="1272"/>
      <c r="V89" s="1272"/>
      <c r="W89" s="1272"/>
      <c r="X89" s="1272"/>
      <c r="Y89" s="1272"/>
      <c r="Z89" s="1272"/>
      <c r="AA89" s="1272"/>
      <c r="AB89" s="1272"/>
      <c r="AC89" s="1272"/>
      <c r="AD89" s="1272"/>
      <c r="AE89" s="1272"/>
      <c r="AF89" s="1272"/>
      <c r="AG89" s="1272"/>
      <c r="AH89" s="1272"/>
      <c r="AI89" s="1272"/>
      <c r="AJ89" s="1272"/>
      <c r="AK89" s="1272"/>
      <c r="AL89" s="1272"/>
      <c r="AM89" s="1272"/>
      <c r="AN89" s="1272"/>
      <c r="AO89" s="1272"/>
      <c r="AP89" s="1272"/>
      <c r="AQ89" s="1272"/>
      <c r="AR89" s="1272"/>
      <c r="AS89" s="1272"/>
      <c r="AT89" s="1272"/>
      <c r="AU89" s="1272"/>
      <c r="AV89" s="1272"/>
      <c r="AW89" s="1272"/>
      <c r="AX89" s="1272"/>
      <c r="AY89" s="1272"/>
      <c r="AZ89" s="1272"/>
      <c r="BA89" s="1272"/>
      <c r="BB89" s="1272"/>
      <c r="BC89" s="1272"/>
      <c r="BD89" s="1272"/>
      <c r="BE89" s="1272"/>
      <c r="BF89" s="1272"/>
      <c r="BG89" s="1272"/>
      <c r="BH89" s="1272"/>
      <c r="BI89" s="1272"/>
      <c r="BJ89" s="1272"/>
      <c r="BK89" s="1272"/>
      <c r="BL89" s="1272"/>
      <c r="BM89" s="1272"/>
      <c r="BN89" s="1272"/>
      <c r="BO89" s="1272"/>
    </row>
    <row r="90" spans="1:67" x14ac:dyDescent="0.2">
      <c r="A90" s="1267" t="s">
        <v>3254</v>
      </c>
      <c r="B90" s="618" t="s">
        <v>5217</v>
      </c>
      <c r="C90" s="793"/>
      <c r="D90" s="793"/>
      <c r="E90" s="793"/>
      <c r="F90" s="793"/>
      <c r="G90" s="793"/>
      <c r="H90" s="793"/>
      <c r="I90" s="793"/>
      <c r="J90" s="793"/>
      <c r="K90" s="793"/>
      <c r="L90" s="793"/>
      <c r="M90" s="793"/>
      <c r="N90" s="793"/>
      <c r="O90" s="793"/>
      <c r="P90" s="793"/>
      <c r="Q90" s="793"/>
      <c r="R90" s="793"/>
      <c r="S90" s="793"/>
      <c r="T90" s="793"/>
      <c r="U90" s="793"/>
      <c r="V90" s="793"/>
      <c r="W90" s="793"/>
      <c r="X90" s="793"/>
      <c r="Y90" s="793"/>
      <c r="Z90" s="793"/>
      <c r="AA90" s="793"/>
      <c r="AB90" s="793"/>
      <c r="AC90" s="793"/>
      <c r="AD90" s="793"/>
      <c r="AE90" s="793"/>
      <c r="AF90" s="793"/>
      <c r="AG90" s="793"/>
      <c r="AH90" s="793"/>
      <c r="AI90" s="793"/>
      <c r="AJ90" s="793"/>
      <c r="AK90" s="793"/>
      <c r="AL90" s="793"/>
      <c r="AM90" s="793"/>
      <c r="AN90" s="793"/>
      <c r="AO90" s="793"/>
      <c r="AP90" s="793"/>
      <c r="AQ90" s="793"/>
      <c r="AR90" s="793"/>
      <c r="AS90" s="793"/>
      <c r="AT90" s="793"/>
      <c r="AU90" s="793"/>
      <c r="AV90" s="793"/>
      <c r="AW90" s="793"/>
      <c r="AX90" s="793"/>
      <c r="AY90" s="793"/>
      <c r="AZ90" s="793"/>
      <c r="BA90" s="793"/>
      <c r="BB90" s="793"/>
      <c r="BC90" s="793"/>
      <c r="BD90" s="793"/>
      <c r="BE90" s="793"/>
      <c r="BF90" s="793"/>
      <c r="BG90" s="793"/>
      <c r="BH90" s="793"/>
      <c r="BI90" s="793"/>
      <c r="BJ90" s="793"/>
      <c r="BK90" s="793"/>
      <c r="BL90" s="793"/>
      <c r="BM90" s="793"/>
      <c r="BN90" s="793"/>
      <c r="BO90" s="793"/>
    </row>
    <row r="91" spans="1:67" ht="25.25" customHeight="1" x14ac:dyDescent="0.2">
      <c r="A91" s="1267"/>
      <c r="B91" s="1342" t="s">
        <v>5218</v>
      </c>
      <c r="C91" s="1141"/>
      <c r="D91" s="1141"/>
      <c r="E91" s="1141" t="s">
        <v>5087</v>
      </c>
      <c r="F91" s="1141"/>
      <c r="G91" s="1141"/>
      <c r="H91" s="1141" t="s">
        <v>5088</v>
      </c>
      <c r="I91" s="1141"/>
      <c r="J91" s="1141"/>
      <c r="K91" s="1141" t="s">
        <v>5089</v>
      </c>
      <c r="L91" s="1141"/>
      <c r="M91" s="1141"/>
      <c r="N91" s="1141" t="s">
        <v>5090</v>
      </c>
      <c r="O91" s="1141"/>
      <c r="P91" s="1141"/>
      <c r="Q91" s="1141" t="s">
        <v>5091</v>
      </c>
      <c r="R91" s="1141"/>
      <c r="S91" s="1141"/>
      <c r="T91" s="1141" t="s">
        <v>5092</v>
      </c>
      <c r="U91" s="1141"/>
      <c r="V91" s="1141"/>
      <c r="W91" s="1141" t="s">
        <v>5093</v>
      </c>
      <c r="X91" s="1141"/>
      <c r="Y91" s="1141"/>
      <c r="Z91" s="1141" t="s">
        <v>5094</v>
      </c>
      <c r="AA91" s="1141"/>
      <c r="AB91" s="1141"/>
      <c r="AC91" s="1141" t="s">
        <v>5095</v>
      </c>
      <c r="AD91" s="1141"/>
      <c r="AE91" s="1141"/>
      <c r="AF91" s="1141" t="s">
        <v>5096</v>
      </c>
      <c r="AG91" s="1141"/>
      <c r="AH91" s="1141"/>
      <c r="AI91" s="1141" t="s">
        <v>5097</v>
      </c>
      <c r="AJ91" s="1141"/>
      <c r="AK91" s="1141"/>
      <c r="AL91" s="1141" t="s">
        <v>5219</v>
      </c>
      <c r="AM91" s="1141"/>
      <c r="AN91" s="1141"/>
      <c r="AO91" s="1141" t="s">
        <v>5220</v>
      </c>
      <c r="AP91" s="1141"/>
      <c r="AQ91" s="1141"/>
      <c r="AR91" s="1141" t="s">
        <v>4632</v>
      </c>
      <c r="AS91" s="1141"/>
      <c r="AT91" s="1141"/>
      <c r="AU91" s="1141" t="s">
        <v>5221</v>
      </c>
      <c r="AV91" s="1141"/>
      <c r="AW91" s="1141"/>
      <c r="AX91" s="1141" t="s">
        <v>5222</v>
      </c>
      <c r="AY91" s="1141"/>
      <c r="AZ91" s="1141"/>
      <c r="BA91" s="1141" t="s">
        <v>5223</v>
      </c>
      <c r="BB91" s="1141"/>
      <c r="BC91" s="1141"/>
      <c r="BD91" s="1141" t="s">
        <v>5224</v>
      </c>
      <c r="BE91" s="1141"/>
      <c r="BF91" s="1141"/>
      <c r="BG91" s="1141" t="s">
        <v>5225</v>
      </c>
      <c r="BH91" s="1141"/>
      <c r="BI91" s="1141"/>
      <c r="BJ91" s="1141" t="s">
        <v>5226</v>
      </c>
      <c r="BK91" s="1141"/>
      <c r="BL91" s="1141"/>
      <c r="BM91" s="1141" t="s">
        <v>3263</v>
      </c>
      <c r="BN91" s="1141"/>
      <c r="BO91" s="1141"/>
    </row>
    <row r="92" spans="1:67" x14ac:dyDescent="0.2">
      <c r="A92" s="1267"/>
      <c r="B92" s="1480" t="s">
        <v>2764</v>
      </c>
      <c r="C92" s="1276" t="s">
        <v>5195</v>
      </c>
      <c r="D92" s="1276"/>
      <c r="E92" s="1273" t="s">
        <v>2764</v>
      </c>
      <c r="F92" s="1276" t="s">
        <v>5195</v>
      </c>
      <c r="G92" s="1276"/>
      <c r="H92" s="1273" t="s">
        <v>2764</v>
      </c>
      <c r="I92" s="1276" t="s">
        <v>5195</v>
      </c>
      <c r="J92" s="1276"/>
      <c r="K92" s="1273" t="s">
        <v>2764</v>
      </c>
      <c r="L92" s="1276" t="s">
        <v>5195</v>
      </c>
      <c r="M92" s="1276"/>
      <c r="N92" s="1273" t="s">
        <v>2764</v>
      </c>
      <c r="O92" s="1276" t="s">
        <v>5195</v>
      </c>
      <c r="P92" s="1276"/>
      <c r="Q92" s="1273" t="s">
        <v>2764</v>
      </c>
      <c r="R92" s="1276" t="s">
        <v>5195</v>
      </c>
      <c r="S92" s="1276"/>
      <c r="T92" s="1273" t="s">
        <v>2764</v>
      </c>
      <c r="U92" s="1276" t="s">
        <v>5195</v>
      </c>
      <c r="V92" s="1276"/>
      <c r="W92" s="1273" t="s">
        <v>2764</v>
      </c>
      <c r="X92" s="1276" t="s">
        <v>5195</v>
      </c>
      <c r="Y92" s="1276"/>
      <c r="Z92" s="1273" t="s">
        <v>2764</v>
      </c>
      <c r="AA92" s="1276" t="s">
        <v>5195</v>
      </c>
      <c r="AB92" s="1276"/>
      <c r="AC92" s="1273" t="s">
        <v>2764</v>
      </c>
      <c r="AD92" s="1276" t="s">
        <v>5195</v>
      </c>
      <c r="AE92" s="1276"/>
      <c r="AF92" s="1273" t="s">
        <v>2764</v>
      </c>
      <c r="AG92" s="1276" t="s">
        <v>5195</v>
      </c>
      <c r="AH92" s="1276"/>
      <c r="AI92" s="1273" t="s">
        <v>2764</v>
      </c>
      <c r="AJ92" s="1276" t="s">
        <v>5195</v>
      </c>
      <c r="AK92" s="1276"/>
      <c r="AL92" s="1273" t="s">
        <v>2764</v>
      </c>
      <c r="AM92" s="1276" t="s">
        <v>5195</v>
      </c>
      <c r="AN92" s="1276"/>
      <c r="AO92" s="1273" t="s">
        <v>2764</v>
      </c>
      <c r="AP92" s="1276" t="s">
        <v>5195</v>
      </c>
      <c r="AQ92" s="1276"/>
      <c r="AR92" s="1273" t="s">
        <v>2764</v>
      </c>
      <c r="AS92" s="1276" t="s">
        <v>5195</v>
      </c>
      <c r="AT92" s="1276"/>
      <c r="AU92" s="1273" t="s">
        <v>2764</v>
      </c>
      <c r="AV92" s="1276" t="s">
        <v>5195</v>
      </c>
      <c r="AW92" s="1276"/>
      <c r="AX92" s="1273" t="s">
        <v>2764</v>
      </c>
      <c r="AY92" s="1276" t="s">
        <v>5195</v>
      </c>
      <c r="AZ92" s="1276"/>
      <c r="BA92" s="1273" t="s">
        <v>2764</v>
      </c>
      <c r="BB92" s="1276" t="s">
        <v>5195</v>
      </c>
      <c r="BC92" s="1276"/>
      <c r="BD92" s="1273" t="s">
        <v>2764</v>
      </c>
      <c r="BE92" s="1276" t="s">
        <v>5195</v>
      </c>
      <c r="BF92" s="1276"/>
      <c r="BG92" s="1273" t="s">
        <v>2764</v>
      </c>
      <c r="BH92" s="1276" t="s">
        <v>5195</v>
      </c>
      <c r="BI92" s="1276"/>
      <c r="BJ92" s="1273" t="s">
        <v>2764</v>
      </c>
      <c r="BK92" s="1276" t="s">
        <v>5195</v>
      </c>
      <c r="BL92" s="1276"/>
      <c r="BM92" s="1273" t="s">
        <v>2764</v>
      </c>
      <c r="BN92" s="1276" t="s">
        <v>5195</v>
      </c>
      <c r="BO92" s="1276"/>
    </row>
    <row r="93" spans="1:67" x14ac:dyDescent="0.2">
      <c r="A93" s="533" t="s">
        <v>5205</v>
      </c>
      <c r="B93" s="349"/>
      <c r="C93" s="350"/>
      <c r="D93" s="717"/>
      <c r="E93" s="349"/>
      <c r="F93" s="350"/>
      <c r="G93" s="717"/>
      <c r="H93" s="349"/>
      <c r="I93" s="350"/>
      <c r="J93" s="717"/>
      <c r="K93" s="349"/>
      <c r="L93" s="350"/>
      <c r="M93" s="717"/>
      <c r="N93" s="349"/>
      <c r="O93" s="350"/>
      <c r="P93" s="717"/>
      <c r="Q93" s="349"/>
      <c r="R93" s="350"/>
      <c r="S93" s="717"/>
      <c r="T93" s="349"/>
      <c r="U93" s="350"/>
      <c r="V93" s="717"/>
      <c r="W93" s="349"/>
      <c r="X93" s="350"/>
      <c r="Y93" s="717"/>
      <c r="Z93" s="349"/>
      <c r="AA93" s="350"/>
      <c r="AB93" s="717"/>
      <c r="AC93" s="349"/>
      <c r="AD93" s="350"/>
      <c r="AE93" s="717"/>
      <c r="AF93" s="349"/>
      <c r="AG93" s="350"/>
      <c r="AH93" s="717"/>
      <c r="AI93" s="349"/>
      <c r="AJ93" s="350"/>
      <c r="AK93" s="717"/>
      <c r="AL93" s="349"/>
      <c r="AM93" s="350"/>
      <c r="AN93" s="717"/>
      <c r="AO93" s="349"/>
      <c r="AP93" s="350"/>
      <c r="AQ93" s="717"/>
      <c r="AR93" s="349"/>
      <c r="AS93" s="350"/>
      <c r="AT93" s="717"/>
      <c r="AU93" s="349"/>
      <c r="AV93" s="350"/>
      <c r="AW93" s="717"/>
      <c r="AX93" s="349"/>
      <c r="AY93" s="350"/>
      <c r="AZ93" s="717"/>
      <c r="BA93" s="349"/>
      <c r="BB93" s="350"/>
      <c r="BC93" s="717"/>
      <c r="BD93" s="349"/>
      <c r="BE93" s="350"/>
      <c r="BF93" s="717"/>
      <c r="BG93" s="349"/>
      <c r="BH93" s="350"/>
      <c r="BI93" s="717"/>
      <c r="BJ93" s="349"/>
      <c r="BK93" s="350"/>
      <c r="BL93" s="717"/>
      <c r="BM93" s="349"/>
      <c r="BN93" s="350"/>
      <c r="BO93" s="717"/>
    </row>
    <row r="94" spans="1:67" x14ac:dyDescent="0.2">
      <c r="A94" s="533" t="s">
        <v>3668</v>
      </c>
      <c r="B94" s="131">
        <v>41976</v>
      </c>
      <c r="C94" s="145">
        <v>95</v>
      </c>
      <c r="D94" s="307"/>
      <c r="E94" s="131">
        <v>12305</v>
      </c>
      <c r="F94" s="145">
        <v>15</v>
      </c>
      <c r="G94" s="307"/>
      <c r="H94" s="131">
        <v>348136</v>
      </c>
      <c r="I94" s="145">
        <v>80</v>
      </c>
      <c r="J94" s="307"/>
      <c r="K94" s="131">
        <v>185880</v>
      </c>
      <c r="L94" s="145">
        <v>65</v>
      </c>
      <c r="M94" s="307"/>
      <c r="N94" s="131">
        <v>276318</v>
      </c>
      <c r="O94" s="145"/>
      <c r="P94" s="307"/>
      <c r="Q94" s="131">
        <v>113896</v>
      </c>
      <c r="R94" s="145">
        <v>30</v>
      </c>
      <c r="S94" s="307"/>
      <c r="T94" s="131">
        <v>451144</v>
      </c>
      <c r="U94" s="145">
        <v>20</v>
      </c>
      <c r="V94" s="307"/>
      <c r="W94" s="131">
        <v>603867</v>
      </c>
      <c r="X94" s="145">
        <v>25</v>
      </c>
      <c r="Y94" s="307"/>
      <c r="Z94" s="131">
        <v>1265870</v>
      </c>
      <c r="AA94" s="145">
        <v>80</v>
      </c>
      <c r="AB94" s="307"/>
      <c r="AC94" s="131">
        <v>31215</v>
      </c>
      <c r="AD94" s="145">
        <v>30</v>
      </c>
      <c r="AE94" s="307"/>
      <c r="AF94" s="131">
        <v>103528</v>
      </c>
      <c r="AG94" s="145">
        <v>40</v>
      </c>
      <c r="AH94" s="307"/>
      <c r="AI94" s="131">
        <v>155356</v>
      </c>
      <c r="AJ94" s="145">
        <v>85</v>
      </c>
      <c r="AK94" s="307"/>
      <c r="AL94" s="131">
        <v>304295</v>
      </c>
      <c r="AM94" s="145">
        <v>40</v>
      </c>
      <c r="AN94" s="307"/>
      <c r="AO94" s="131">
        <v>132557</v>
      </c>
      <c r="AP94" s="145">
        <v>40</v>
      </c>
      <c r="AQ94" s="307"/>
      <c r="AR94" s="131">
        <v>45</v>
      </c>
      <c r="AS94" s="145">
        <v>10</v>
      </c>
      <c r="AT94" s="307"/>
      <c r="AU94" s="131">
        <v>1449</v>
      </c>
      <c r="AV94" s="145">
        <v>80</v>
      </c>
      <c r="AW94" s="307"/>
      <c r="AX94" s="131">
        <v>102805</v>
      </c>
      <c r="AY94" s="145">
        <v>90</v>
      </c>
      <c r="AZ94" s="307"/>
      <c r="BA94" s="131">
        <v>1007172</v>
      </c>
      <c r="BB94" s="145">
        <v>90</v>
      </c>
      <c r="BC94" s="307"/>
      <c r="BD94" s="131">
        <v>538605</v>
      </c>
      <c r="BE94" s="145">
        <v>45</v>
      </c>
      <c r="BF94" s="307"/>
      <c r="BG94" s="131">
        <v>245689</v>
      </c>
      <c r="BH94" s="145">
        <v>95</v>
      </c>
      <c r="BI94" s="307"/>
      <c r="BJ94" s="131"/>
      <c r="BK94" s="145"/>
      <c r="BL94" s="307"/>
      <c r="BM94" s="131">
        <v>5922118</v>
      </c>
      <c r="BN94" s="145">
        <v>55</v>
      </c>
      <c r="BO94" s="307"/>
    </row>
    <row r="95" spans="1:67" x14ac:dyDescent="0.2">
      <c r="A95" s="533" t="s">
        <v>1517</v>
      </c>
      <c r="B95" s="131">
        <v>1460</v>
      </c>
      <c r="C95" s="145">
        <v>55</v>
      </c>
      <c r="D95" s="307"/>
      <c r="E95" s="131">
        <v>762</v>
      </c>
      <c r="F95" s="145">
        <v>60</v>
      </c>
      <c r="G95" s="307"/>
      <c r="H95" s="131">
        <v>21656</v>
      </c>
      <c r="I95" s="145">
        <v>70</v>
      </c>
      <c r="J95" s="307"/>
      <c r="K95" s="131">
        <v>17302</v>
      </c>
      <c r="L95" s="145">
        <v>35</v>
      </c>
      <c r="M95" s="307"/>
      <c r="N95" s="131">
        <v>45453</v>
      </c>
      <c r="O95" s="145">
        <v>80</v>
      </c>
      <c r="P95" s="307"/>
      <c r="Q95" s="131">
        <v>14520</v>
      </c>
      <c r="R95" s="145"/>
      <c r="S95" s="307"/>
      <c r="T95" s="131">
        <v>62735</v>
      </c>
      <c r="U95" s="145">
        <v>80</v>
      </c>
      <c r="V95" s="307"/>
      <c r="W95" s="131">
        <v>62781</v>
      </c>
      <c r="X95" s="145">
        <v>80</v>
      </c>
      <c r="Y95" s="307"/>
      <c r="Z95" s="131">
        <v>156395</v>
      </c>
      <c r="AA95" s="145">
        <v>40</v>
      </c>
      <c r="AB95" s="307"/>
      <c r="AC95" s="131">
        <v>4906</v>
      </c>
      <c r="AD95" s="145">
        <v>30</v>
      </c>
      <c r="AE95" s="307"/>
      <c r="AF95" s="131">
        <v>15847</v>
      </c>
      <c r="AG95" s="145">
        <v>90</v>
      </c>
      <c r="AH95" s="307"/>
      <c r="AI95" s="131">
        <v>39437</v>
      </c>
      <c r="AJ95" s="145">
        <v>50</v>
      </c>
      <c r="AK95" s="307"/>
      <c r="AL95" s="131">
        <v>34958</v>
      </c>
      <c r="AM95" s="145"/>
      <c r="AN95" s="307"/>
      <c r="AO95" s="131">
        <v>21765</v>
      </c>
      <c r="AP95" s="145">
        <v>50</v>
      </c>
      <c r="AQ95" s="307"/>
      <c r="AR95" s="131">
        <v>15881</v>
      </c>
      <c r="AS95" s="145">
        <v>35</v>
      </c>
      <c r="AT95" s="307"/>
      <c r="AU95" s="131">
        <v>56</v>
      </c>
      <c r="AV95" s="145"/>
      <c r="AW95" s="307"/>
      <c r="AX95" s="131">
        <v>7489</v>
      </c>
      <c r="AY95" s="145">
        <v>20</v>
      </c>
      <c r="AZ95" s="307"/>
      <c r="BA95" s="131">
        <v>103823</v>
      </c>
      <c r="BB95" s="145">
        <v>60</v>
      </c>
      <c r="BC95" s="307"/>
      <c r="BD95" s="131">
        <v>54688</v>
      </c>
      <c r="BE95" s="145">
        <v>95</v>
      </c>
      <c r="BF95" s="307"/>
      <c r="BG95" s="131">
        <v>21243</v>
      </c>
      <c r="BH95" s="145">
        <v>45</v>
      </c>
      <c r="BI95" s="307"/>
      <c r="BJ95" s="131">
        <v>101016</v>
      </c>
      <c r="BK95" s="145">
        <v>80</v>
      </c>
      <c r="BL95" s="307"/>
      <c r="BM95" s="131">
        <v>602109</v>
      </c>
      <c r="BN95" s="145">
        <v>95</v>
      </c>
      <c r="BO95" s="307"/>
    </row>
    <row r="96" spans="1:67" x14ac:dyDescent="0.2">
      <c r="A96" s="533" t="s">
        <v>4033</v>
      </c>
      <c r="B96" s="131">
        <v>83585</v>
      </c>
      <c r="C96" s="145">
        <v>30</v>
      </c>
      <c r="D96" s="307"/>
      <c r="E96" s="131">
        <v>5360</v>
      </c>
      <c r="F96" s="145">
        <v>40</v>
      </c>
      <c r="G96" s="307"/>
      <c r="H96" s="131">
        <v>183247</v>
      </c>
      <c r="I96" s="145">
        <v>50</v>
      </c>
      <c r="J96" s="307"/>
      <c r="K96" s="131">
        <v>152362</v>
      </c>
      <c r="L96" s="145">
        <v>90</v>
      </c>
      <c r="M96" s="307"/>
      <c r="N96" s="131">
        <v>131176</v>
      </c>
      <c r="O96" s="145"/>
      <c r="P96" s="307"/>
      <c r="Q96" s="131">
        <v>37612</v>
      </c>
      <c r="R96" s="145">
        <v>80</v>
      </c>
      <c r="S96" s="307"/>
      <c r="T96" s="131">
        <v>104653</v>
      </c>
      <c r="U96" s="145">
        <v>20</v>
      </c>
      <c r="V96" s="307"/>
      <c r="W96" s="131">
        <v>182222</v>
      </c>
      <c r="X96" s="145"/>
      <c r="Y96" s="307"/>
      <c r="Z96" s="131">
        <v>414133</v>
      </c>
      <c r="AA96" s="145">
        <v>40</v>
      </c>
      <c r="AB96" s="307"/>
      <c r="AC96" s="131">
        <v>17628</v>
      </c>
      <c r="AD96" s="145">
        <v>80</v>
      </c>
      <c r="AE96" s="307"/>
      <c r="AF96" s="131">
        <v>38935</v>
      </c>
      <c r="AG96" s="145">
        <v>20</v>
      </c>
      <c r="AH96" s="307"/>
      <c r="AI96" s="131">
        <v>62235</v>
      </c>
      <c r="AJ96" s="145">
        <v>90</v>
      </c>
      <c r="AK96" s="307"/>
      <c r="AL96" s="131">
        <v>90908</v>
      </c>
      <c r="AM96" s="145">
        <v>30</v>
      </c>
      <c r="AN96" s="307"/>
      <c r="AO96" s="131">
        <v>67743</v>
      </c>
      <c r="AP96" s="145">
        <v>20</v>
      </c>
      <c r="AQ96" s="307"/>
      <c r="AR96" s="131">
        <v>60159</v>
      </c>
      <c r="AS96" s="145">
        <v>60</v>
      </c>
      <c r="AT96" s="307"/>
      <c r="AU96" s="131">
        <v>432</v>
      </c>
      <c r="AV96" s="145"/>
      <c r="AW96" s="307"/>
      <c r="AX96" s="131">
        <v>37463</v>
      </c>
      <c r="AY96" s="145">
        <v>15</v>
      </c>
      <c r="AZ96" s="307"/>
      <c r="BA96" s="131">
        <v>391304</v>
      </c>
      <c r="BB96" s="145"/>
      <c r="BC96" s="307"/>
      <c r="BD96" s="131">
        <v>175644</v>
      </c>
      <c r="BE96" s="145">
        <v>15</v>
      </c>
      <c r="BF96" s="307"/>
      <c r="BG96" s="131">
        <v>72213</v>
      </c>
      <c r="BH96" s="145">
        <v>10</v>
      </c>
      <c r="BI96" s="307"/>
      <c r="BJ96" s="131">
        <v>11244</v>
      </c>
      <c r="BK96" s="145">
        <v>5</v>
      </c>
      <c r="BL96" s="307"/>
      <c r="BM96" s="131">
        <v>2237647</v>
      </c>
      <c r="BN96" s="145">
        <v>95</v>
      </c>
      <c r="BO96" s="307"/>
    </row>
    <row r="97" spans="1:67" x14ac:dyDescent="0.2">
      <c r="A97" s="533" t="s">
        <v>1519</v>
      </c>
      <c r="B97" s="131">
        <v>6963</v>
      </c>
      <c r="C97" s="145">
        <v>50</v>
      </c>
      <c r="D97" s="307"/>
      <c r="E97" s="131">
        <v>3477</v>
      </c>
      <c r="F97" s="145">
        <v>15</v>
      </c>
      <c r="G97" s="307"/>
      <c r="H97" s="131">
        <v>135940</v>
      </c>
      <c r="I97" s="145">
        <v>40</v>
      </c>
      <c r="J97" s="307"/>
      <c r="K97" s="131">
        <v>28741</v>
      </c>
      <c r="L97" s="145">
        <v>15</v>
      </c>
      <c r="M97" s="307"/>
      <c r="N97" s="131">
        <v>69224</v>
      </c>
      <c r="O97" s="145">
        <v>65</v>
      </c>
      <c r="P97" s="307"/>
      <c r="Q97" s="131">
        <v>11271</v>
      </c>
      <c r="R97" s="145">
        <v>20</v>
      </c>
      <c r="S97" s="307"/>
      <c r="T97" s="131">
        <v>97939</v>
      </c>
      <c r="U97" s="145">
        <v>25</v>
      </c>
      <c r="V97" s="307"/>
      <c r="W97" s="131">
        <v>19320</v>
      </c>
      <c r="X97" s="145">
        <v>35</v>
      </c>
      <c r="Y97" s="307"/>
      <c r="Z97" s="131">
        <v>103064</v>
      </c>
      <c r="AA97" s="145">
        <v>55</v>
      </c>
      <c r="AB97" s="307"/>
      <c r="AC97" s="131">
        <v>2629</v>
      </c>
      <c r="AD97" s="145">
        <v>15</v>
      </c>
      <c r="AE97" s="307"/>
      <c r="AF97" s="131">
        <v>7063</v>
      </c>
      <c r="AG97" s="145">
        <v>20</v>
      </c>
      <c r="AH97" s="307"/>
      <c r="AI97" s="131">
        <v>22528</v>
      </c>
      <c r="AJ97" s="145">
        <v>35</v>
      </c>
      <c r="AK97" s="307"/>
      <c r="AL97" s="131">
        <v>30174</v>
      </c>
      <c r="AM97" s="145">
        <v>50</v>
      </c>
      <c r="AN97" s="307"/>
      <c r="AO97" s="131">
        <v>24005</v>
      </c>
      <c r="AP97" s="145">
        <v>55</v>
      </c>
      <c r="AQ97" s="307"/>
      <c r="AR97" s="131">
        <v>78</v>
      </c>
      <c r="AS97" s="145">
        <v>50</v>
      </c>
      <c r="AT97" s="307"/>
      <c r="AU97" s="131">
        <v>1724</v>
      </c>
      <c r="AV97" s="145">
        <v>10</v>
      </c>
      <c r="AW97" s="307"/>
      <c r="AX97" s="131">
        <v>36259</v>
      </c>
      <c r="AY97" s="145">
        <v>45</v>
      </c>
      <c r="AZ97" s="307"/>
      <c r="BA97" s="131">
        <v>133702</v>
      </c>
      <c r="BB97" s="145">
        <v>35</v>
      </c>
      <c r="BC97" s="307"/>
      <c r="BD97" s="131">
        <v>81726</v>
      </c>
      <c r="BE97" s="145">
        <v>15</v>
      </c>
      <c r="BF97" s="307"/>
      <c r="BG97" s="131">
        <v>401811</v>
      </c>
      <c r="BH97" s="145"/>
      <c r="BI97" s="307"/>
      <c r="BJ97" s="131">
        <v>2083</v>
      </c>
      <c r="BK97" s="145">
        <v>45</v>
      </c>
      <c r="BL97" s="307"/>
      <c r="BM97" s="131">
        <v>1275611</v>
      </c>
      <c r="BN97" s="145">
        <v>55</v>
      </c>
      <c r="BO97" s="307"/>
    </row>
    <row r="98" spans="1:67" x14ac:dyDescent="0.2">
      <c r="A98" s="533" t="s">
        <v>4553</v>
      </c>
      <c r="B98" s="131">
        <v>16</v>
      </c>
      <c r="C98" s="145">
        <v>20</v>
      </c>
      <c r="D98" s="307"/>
      <c r="E98" s="131">
        <v>69</v>
      </c>
      <c r="F98" s="145">
        <v>50</v>
      </c>
      <c r="G98" s="307"/>
      <c r="H98" s="131">
        <v>281</v>
      </c>
      <c r="I98" s="145"/>
      <c r="J98" s="307"/>
      <c r="K98" s="131">
        <v>558</v>
      </c>
      <c r="L98" s="145">
        <v>75</v>
      </c>
      <c r="M98" s="307"/>
      <c r="N98" s="131">
        <v>479</v>
      </c>
      <c r="O98" s="145">
        <v>70</v>
      </c>
      <c r="P98" s="307"/>
      <c r="Q98" s="131">
        <v>71</v>
      </c>
      <c r="R98" s="145">
        <v>60</v>
      </c>
      <c r="S98" s="307"/>
      <c r="T98" s="131">
        <v>733</v>
      </c>
      <c r="U98" s="145">
        <v>65</v>
      </c>
      <c r="V98" s="307"/>
      <c r="W98" s="131">
        <v>784</v>
      </c>
      <c r="X98" s="145">
        <v>5</v>
      </c>
      <c r="Y98" s="307"/>
      <c r="Z98" s="131">
        <v>249</v>
      </c>
      <c r="AA98" s="145">
        <v>80</v>
      </c>
      <c r="AB98" s="307"/>
      <c r="AC98" s="131">
        <v>92</v>
      </c>
      <c r="AD98" s="145"/>
      <c r="AE98" s="307"/>
      <c r="AF98" s="131">
        <v>50</v>
      </c>
      <c r="AG98" s="145">
        <v>45</v>
      </c>
      <c r="AH98" s="307"/>
      <c r="AI98" s="131">
        <v>11757</v>
      </c>
      <c r="AJ98" s="145">
        <v>45</v>
      </c>
      <c r="AK98" s="307"/>
      <c r="AL98" s="131">
        <v>240</v>
      </c>
      <c r="AM98" s="145">
        <v>10</v>
      </c>
      <c r="AN98" s="307"/>
      <c r="AO98" s="131">
        <v>95</v>
      </c>
      <c r="AP98" s="145">
        <v>45</v>
      </c>
      <c r="AQ98" s="307"/>
      <c r="AR98" s="131">
        <v>1024</v>
      </c>
      <c r="AS98" s="145">
        <v>65</v>
      </c>
      <c r="AT98" s="307"/>
      <c r="AU98" s="131"/>
      <c r="AV98" s="145"/>
      <c r="AW98" s="307"/>
      <c r="AX98" s="131">
        <v>21</v>
      </c>
      <c r="AY98" s="145">
        <v>95</v>
      </c>
      <c r="AZ98" s="307"/>
      <c r="BA98" s="131">
        <v>3892</v>
      </c>
      <c r="BB98" s="145">
        <v>50</v>
      </c>
      <c r="BC98" s="307"/>
      <c r="BD98" s="131">
        <v>2370</v>
      </c>
      <c r="BE98" s="145">
        <v>65</v>
      </c>
      <c r="BF98" s="307"/>
      <c r="BG98" s="131"/>
      <c r="BH98" s="145"/>
      <c r="BI98" s="307"/>
      <c r="BJ98" s="131"/>
      <c r="BK98" s="145"/>
      <c r="BL98" s="307"/>
      <c r="BM98" s="131">
        <v>21843</v>
      </c>
      <c r="BN98" s="145">
        <v>30</v>
      </c>
      <c r="BO98" s="307"/>
    </row>
    <row r="99" spans="1:67" x14ac:dyDescent="0.2">
      <c r="A99" s="533" t="s">
        <v>5227</v>
      </c>
      <c r="B99" s="131">
        <v>169</v>
      </c>
      <c r="C99" s="145">
        <v>90</v>
      </c>
      <c r="D99" s="307"/>
      <c r="E99" s="131">
        <v>60</v>
      </c>
      <c r="F99" s="145">
        <v>75</v>
      </c>
      <c r="G99" s="307"/>
      <c r="H99" s="131">
        <v>1420</v>
      </c>
      <c r="I99" s="145">
        <v>80</v>
      </c>
      <c r="J99" s="307"/>
      <c r="K99" s="131">
        <v>619</v>
      </c>
      <c r="L99" s="145">
        <v>70</v>
      </c>
      <c r="M99" s="307"/>
      <c r="N99" s="131">
        <v>2438</v>
      </c>
      <c r="O99" s="145">
        <v>65</v>
      </c>
      <c r="P99" s="307"/>
      <c r="Q99" s="131">
        <v>649</v>
      </c>
      <c r="R99" s="145">
        <v>85</v>
      </c>
      <c r="S99" s="307"/>
      <c r="T99" s="131">
        <v>2211</v>
      </c>
      <c r="U99" s="145">
        <v>40</v>
      </c>
      <c r="V99" s="307"/>
      <c r="W99" s="131">
        <v>1799</v>
      </c>
      <c r="X99" s="145">
        <v>15</v>
      </c>
      <c r="Y99" s="307"/>
      <c r="Z99" s="131">
        <v>2603</v>
      </c>
      <c r="AA99" s="145">
        <v>50</v>
      </c>
      <c r="AB99" s="307"/>
      <c r="AC99" s="131">
        <v>488</v>
      </c>
      <c r="AD99" s="145">
        <v>5</v>
      </c>
      <c r="AE99" s="307"/>
      <c r="AF99" s="131">
        <v>340</v>
      </c>
      <c r="AG99" s="145">
        <v>10</v>
      </c>
      <c r="AH99" s="307"/>
      <c r="AI99" s="131">
        <v>2360</v>
      </c>
      <c r="AJ99" s="145">
        <v>80</v>
      </c>
      <c r="AK99" s="307"/>
      <c r="AL99" s="131">
        <v>1603</v>
      </c>
      <c r="AM99" s="145">
        <v>90</v>
      </c>
      <c r="AN99" s="307"/>
      <c r="AO99" s="131">
        <v>2007</v>
      </c>
      <c r="AP99" s="145">
        <v>15</v>
      </c>
      <c r="AQ99" s="307"/>
      <c r="AR99" s="131"/>
      <c r="AS99" s="145"/>
      <c r="AT99" s="307"/>
      <c r="AU99" s="131"/>
      <c r="AV99" s="145"/>
      <c r="AW99" s="307"/>
      <c r="AX99" s="131">
        <v>1284</v>
      </c>
      <c r="AY99" s="145">
        <v>60</v>
      </c>
      <c r="AZ99" s="307"/>
      <c r="BA99" s="131">
        <v>3332</v>
      </c>
      <c r="BB99" s="145"/>
      <c r="BC99" s="307"/>
      <c r="BD99" s="131">
        <v>2426</v>
      </c>
      <c r="BE99" s="145">
        <v>20</v>
      </c>
      <c r="BF99" s="307"/>
      <c r="BG99" s="131">
        <v>3406</v>
      </c>
      <c r="BH99" s="145">
        <v>40</v>
      </c>
      <c r="BI99" s="307"/>
      <c r="BJ99" s="131">
        <v>6470</v>
      </c>
      <c r="BK99" s="145">
        <v>15</v>
      </c>
      <c r="BL99" s="307"/>
      <c r="BM99" s="131">
        <v>23776</v>
      </c>
      <c r="BN99" s="145">
        <v>40</v>
      </c>
      <c r="BO99" s="307"/>
    </row>
    <row r="100" spans="1:67" x14ac:dyDescent="0.2">
      <c r="A100" s="533" t="s">
        <v>5105</v>
      </c>
      <c r="B100" s="131">
        <v>4750</v>
      </c>
      <c r="C100" s="145">
        <v>65</v>
      </c>
      <c r="D100" s="307"/>
      <c r="E100" s="131">
        <v>97</v>
      </c>
      <c r="F100" s="145">
        <v>75</v>
      </c>
      <c r="G100" s="307"/>
      <c r="H100" s="131">
        <v>9076</v>
      </c>
      <c r="I100" s="145">
        <v>90</v>
      </c>
      <c r="J100" s="307"/>
      <c r="K100" s="131">
        <v>5285</v>
      </c>
      <c r="L100" s="145">
        <v>20</v>
      </c>
      <c r="M100" s="307"/>
      <c r="N100" s="131">
        <v>4813</v>
      </c>
      <c r="O100" s="145">
        <v>55</v>
      </c>
      <c r="P100" s="307"/>
      <c r="Q100" s="131">
        <v>1852</v>
      </c>
      <c r="R100" s="145">
        <v>50</v>
      </c>
      <c r="S100" s="307"/>
      <c r="T100" s="131">
        <v>10557</v>
      </c>
      <c r="U100" s="145">
        <v>60</v>
      </c>
      <c r="V100" s="307"/>
      <c r="W100" s="131">
        <v>7459</v>
      </c>
      <c r="X100" s="145">
        <v>15</v>
      </c>
      <c r="Y100" s="307"/>
      <c r="Z100" s="131">
        <v>12325</v>
      </c>
      <c r="AA100" s="145">
        <v>50</v>
      </c>
      <c r="AB100" s="307"/>
      <c r="AC100" s="131">
        <v>44</v>
      </c>
      <c r="AD100" s="145">
        <v>10</v>
      </c>
      <c r="AE100" s="307"/>
      <c r="AF100" s="131">
        <v>336</v>
      </c>
      <c r="AG100" s="145">
        <v>40</v>
      </c>
      <c r="AH100" s="307"/>
      <c r="AI100" s="131">
        <v>476</v>
      </c>
      <c r="AJ100" s="145">
        <v>35</v>
      </c>
      <c r="AK100" s="307"/>
      <c r="AL100" s="131">
        <v>382</v>
      </c>
      <c r="AM100" s="145"/>
      <c r="AN100" s="307"/>
      <c r="AO100" s="131">
        <v>193</v>
      </c>
      <c r="AP100" s="145">
        <v>20</v>
      </c>
      <c r="AQ100" s="307"/>
      <c r="AR100" s="131"/>
      <c r="AS100" s="145"/>
      <c r="AT100" s="307"/>
      <c r="AU100" s="131"/>
      <c r="AV100" s="145"/>
      <c r="AW100" s="307"/>
      <c r="AX100" s="131">
        <v>184</v>
      </c>
      <c r="AY100" s="145">
        <v>20</v>
      </c>
      <c r="AZ100" s="307"/>
      <c r="BA100" s="131">
        <v>14304</v>
      </c>
      <c r="BB100" s="145">
        <v>20</v>
      </c>
      <c r="BC100" s="307"/>
      <c r="BD100" s="131">
        <v>6058</v>
      </c>
      <c r="BE100" s="145">
        <v>95</v>
      </c>
      <c r="BF100" s="307"/>
      <c r="BG100" s="131">
        <v>3012</v>
      </c>
      <c r="BH100" s="145">
        <v>70</v>
      </c>
      <c r="BI100" s="307"/>
      <c r="BJ100" s="131">
        <v>439</v>
      </c>
      <c r="BK100" s="145"/>
      <c r="BL100" s="307"/>
      <c r="BM100" s="131">
        <v>82771</v>
      </c>
      <c r="BN100" s="145">
        <v>70</v>
      </c>
      <c r="BO100" s="307"/>
    </row>
    <row r="101" spans="1:67" x14ac:dyDescent="0.2">
      <c r="A101" s="533" t="s">
        <v>4034</v>
      </c>
      <c r="B101" s="131">
        <v>4947</v>
      </c>
      <c r="C101" s="145">
        <v>40</v>
      </c>
      <c r="D101" s="307"/>
      <c r="E101" s="131">
        <v>144</v>
      </c>
      <c r="F101" s="145">
        <v>30</v>
      </c>
      <c r="G101" s="307"/>
      <c r="H101" s="131">
        <v>11641</v>
      </c>
      <c r="I101" s="145">
        <v>90</v>
      </c>
      <c r="J101" s="307"/>
      <c r="K101" s="131">
        <v>1674</v>
      </c>
      <c r="L101" s="145">
        <v>45</v>
      </c>
      <c r="M101" s="307"/>
      <c r="N101" s="131">
        <v>1193</v>
      </c>
      <c r="O101" s="145">
        <v>80</v>
      </c>
      <c r="P101" s="307"/>
      <c r="Q101" s="131">
        <v>1040</v>
      </c>
      <c r="R101" s="145">
        <v>75</v>
      </c>
      <c r="S101" s="307"/>
      <c r="T101" s="131">
        <v>607</v>
      </c>
      <c r="U101" s="145">
        <v>90</v>
      </c>
      <c r="V101" s="307"/>
      <c r="W101" s="131">
        <v>559</v>
      </c>
      <c r="X101" s="145"/>
      <c r="Y101" s="307"/>
      <c r="Z101" s="131">
        <v>656</v>
      </c>
      <c r="AA101" s="145">
        <v>40</v>
      </c>
      <c r="AB101" s="307"/>
      <c r="AC101" s="131">
        <v>15</v>
      </c>
      <c r="AD101" s="145">
        <v>20</v>
      </c>
      <c r="AE101" s="307"/>
      <c r="AF101" s="131">
        <v>190</v>
      </c>
      <c r="AG101" s="145">
        <v>20</v>
      </c>
      <c r="AH101" s="307"/>
      <c r="AI101" s="131">
        <v>215</v>
      </c>
      <c r="AJ101" s="145">
        <v>85</v>
      </c>
      <c r="AK101" s="307"/>
      <c r="AL101" s="131">
        <v>263</v>
      </c>
      <c r="AM101" s="145">
        <v>5</v>
      </c>
      <c r="AN101" s="307"/>
      <c r="AO101" s="131">
        <v>44</v>
      </c>
      <c r="AP101" s="145">
        <v>70</v>
      </c>
      <c r="AQ101" s="307"/>
      <c r="AR101" s="131"/>
      <c r="AS101" s="145"/>
      <c r="AT101" s="307"/>
      <c r="AU101" s="131"/>
      <c r="AV101" s="145"/>
      <c r="AW101" s="307"/>
      <c r="AX101" s="131">
        <v>157</v>
      </c>
      <c r="AY101" s="145">
        <v>95</v>
      </c>
      <c r="AZ101" s="307"/>
      <c r="BA101" s="131">
        <v>5507</v>
      </c>
      <c r="BB101" s="145">
        <v>45</v>
      </c>
      <c r="BC101" s="307"/>
      <c r="BD101" s="131">
        <v>2564</v>
      </c>
      <c r="BE101" s="145">
        <v>50</v>
      </c>
      <c r="BF101" s="307"/>
      <c r="BG101" s="131"/>
      <c r="BH101" s="145"/>
      <c r="BI101" s="307"/>
      <c r="BJ101" s="131">
        <v>259</v>
      </c>
      <c r="BK101" s="145">
        <v>55</v>
      </c>
      <c r="BL101" s="307"/>
      <c r="BM101" s="131">
        <v>31164</v>
      </c>
      <c r="BN101" s="145">
        <v>45</v>
      </c>
      <c r="BO101" s="307"/>
    </row>
    <row r="102" spans="1:67" x14ac:dyDescent="0.2">
      <c r="A102" s="533" t="s">
        <v>1527</v>
      </c>
      <c r="B102" s="131">
        <v>1056</v>
      </c>
      <c r="C102" s="145">
        <v>55</v>
      </c>
      <c r="D102" s="307"/>
      <c r="E102" s="131">
        <v>615</v>
      </c>
      <c r="F102" s="145">
        <v>85</v>
      </c>
      <c r="G102" s="307"/>
      <c r="H102" s="131">
        <v>16658</v>
      </c>
      <c r="I102" s="145">
        <v>55</v>
      </c>
      <c r="J102" s="307"/>
      <c r="K102" s="131">
        <v>8620</v>
      </c>
      <c r="L102" s="145">
        <v>30</v>
      </c>
      <c r="M102" s="307"/>
      <c r="N102" s="131">
        <v>20896</v>
      </c>
      <c r="O102" s="145">
        <v>40</v>
      </c>
      <c r="P102" s="307"/>
      <c r="Q102" s="131">
        <v>4943</v>
      </c>
      <c r="R102" s="145"/>
      <c r="S102" s="307"/>
      <c r="T102" s="131">
        <v>46881</v>
      </c>
      <c r="U102" s="145">
        <v>20</v>
      </c>
      <c r="V102" s="307"/>
      <c r="W102" s="131">
        <v>30207</v>
      </c>
      <c r="X102" s="145">
        <v>50</v>
      </c>
      <c r="Y102" s="307"/>
      <c r="Z102" s="131">
        <v>66939</v>
      </c>
      <c r="AA102" s="145">
        <v>60</v>
      </c>
      <c r="AB102" s="307"/>
      <c r="AC102" s="131">
        <v>859</v>
      </c>
      <c r="AD102" s="145">
        <v>60</v>
      </c>
      <c r="AE102" s="307"/>
      <c r="AF102" s="131">
        <v>4180</v>
      </c>
      <c r="AG102" s="145"/>
      <c r="AH102" s="307"/>
      <c r="AI102" s="131">
        <v>10839</v>
      </c>
      <c r="AJ102" s="145">
        <v>60</v>
      </c>
      <c r="AK102" s="307"/>
      <c r="AL102" s="131">
        <v>10103</v>
      </c>
      <c r="AM102" s="145"/>
      <c r="AN102" s="307"/>
      <c r="AO102" s="131">
        <v>6553</v>
      </c>
      <c r="AP102" s="145">
        <v>20</v>
      </c>
      <c r="AQ102" s="307"/>
      <c r="AR102" s="131">
        <v>10051</v>
      </c>
      <c r="AS102" s="145">
        <v>60</v>
      </c>
      <c r="AT102" s="307"/>
      <c r="AU102" s="131"/>
      <c r="AV102" s="145"/>
      <c r="AW102" s="307"/>
      <c r="AX102" s="131">
        <v>4018</v>
      </c>
      <c r="AY102" s="145">
        <v>40</v>
      </c>
      <c r="AZ102" s="307"/>
      <c r="BA102" s="131">
        <v>27446</v>
      </c>
      <c r="BB102" s="145">
        <v>65</v>
      </c>
      <c r="BC102" s="307"/>
      <c r="BD102" s="131">
        <v>17918</v>
      </c>
      <c r="BE102" s="145">
        <v>90</v>
      </c>
      <c r="BF102" s="307"/>
      <c r="BG102" s="131">
        <v>2424</v>
      </c>
      <c r="BH102" s="145">
        <v>55</v>
      </c>
      <c r="BI102" s="307"/>
      <c r="BJ102" s="131">
        <v>126493</v>
      </c>
      <c r="BK102" s="145">
        <v>85</v>
      </c>
      <c r="BL102" s="307"/>
      <c r="BM102" s="131">
        <v>164720</v>
      </c>
      <c r="BN102" s="145">
        <v>60</v>
      </c>
      <c r="BO102" s="307"/>
    </row>
    <row r="103" spans="1:67" ht="16.75" customHeight="1" x14ac:dyDescent="0.2">
      <c r="A103" s="785" t="s">
        <v>5228</v>
      </c>
      <c r="B103" s="240">
        <v>144927</v>
      </c>
      <c r="C103" s="318"/>
      <c r="D103" s="513"/>
      <c r="E103" s="240">
        <v>22893</v>
      </c>
      <c r="F103" s="318">
        <v>25</v>
      </c>
      <c r="G103" s="513"/>
      <c r="H103" s="240">
        <v>728060</v>
      </c>
      <c r="I103" s="318">
        <v>55</v>
      </c>
      <c r="J103" s="513"/>
      <c r="K103" s="240">
        <v>401045</v>
      </c>
      <c r="L103" s="318">
        <v>45</v>
      </c>
      <c r="M103" s="513"/>
      <c r="N103" s="240">
        <v>551994</v>
      </c>
      <c r="O103" s="318">
        <v>55</v>
      </c>
      <c r="P103" s="513"/>
      <c r="Q103" s="240">
        <v>185858</v>
      </c>
      <c r="R103" s="318"/>
      <c r="S103" s="513"/>
      <c r="T103" s="240">
        <v>777464</v>
      </c>
      <c r="U103" s="318">
        <v>20</v>
      </c>
      <c r="V103" s="513"/>
      <c r="W103" s="240">
        <v>909000</v>
      </c>
      <c r="X103" s="318">
        <v>25</v>
      </c>
      <c r="Y103" s="513"/>
      <c r="Z103" s="240">
        <v>2022238</v>
      </c>
      <c r="AA103" s="318">
        <v>95</v>
      </c>
      <c r="AB103" s="513"/>
      <c r="AC103" s="240">
        <v>57878</v>
      </c>
      <c r="AD103" s="318">
        <v>70</v>
      </c>
      <c r="AE103" s="513"/>
      <c r="AF103" s="240">
        <v>170472</v>
      </c>
      <c r="AG103" s="318">
        <v>50</v>
      </c>
      <c r="AH103" s="513"/>
      <c r="AI103" s="240">
        <v>305208</v>
      </c>
      <c r="AJ103" s="318">
        <v>65</v>
      </c>
      <c r="AK103" s="513"/>
      <c r="AL103" s="240">
        <v>472928</v>
      </c>
      <c r="AM103" s="318">
        <v>25</v>
      </c>
      <c r="AN103" s="513"/>
      <c r="AO103" s="240">
        <v>254965</v>
      </c>
      <c r="AP103" s="318">
        <v>35</v>
      </c>
      <c r="AQ103" s="513"/>
      <c r="AR103" s="240">
        <v>87240</v>
      </c>
      <c r="AS103" s="318">
        <v>80</v>
      </c>
      <c r="AT103" s="513"/>
      <c r="AU103" s="240">
        <v>3661</v>
      </c>
      <c r="AV103" s="318">
        <v>90</v>
      </c>
      <c r="AW103" s="513"/>
      <c r="AX103" s="240">
        <v>189684</v>
      </c>
      <c r="AY103" s="318">
        <v>80</v>
      </c>
      <c r="AZ103" s="513"/>
      <c r="BA103" s="240">
        <v>1690485</v>
      </c>
      <c r="BB103" s="318">
        <v>65</v>
      </c>
      <c r="BC103" s="513"/>
      <c r="BD103" s="240">
        <v>880963</v>
      </c>
      <c r="BE103" s="318">
        <v>90</v>
      </c>
      <c r="BF103" s="513"/>
      <c r="BG103" s="240">
        <v>750801</v>
      </c>
      <c r="BH103" s="318">
        <v>15</v>
      </c>
      <c r="BI103" s="513"/>
      <c r="BJ103" s="240">
        <v>248006</v>
      </c>
      <c r="BK103" s="318">
        <v>85</v>
      </c>
      <c r="BL103" s="513"/>
      <c r="BM103" s="240">
        <v>10361764</v>
      </c>
      <c r="BN103" s="318">
        <v>55</v>
      </c>
      <c r="BO103" s="513"/>
    </row>
    <row r="104" spans="1:67" ht="16.75" customHeight="1" x14ac:dyDescent="0.2">
      <c r="A104" s="622"/>
      <c r="B104" s="1145">
        <f>+SUM(B93:B102)</f>
        <v>144922</v>
      </c>
      <c r="C104" s="1145">
        <f t="shared" ref="C104:BN104" si="3">+SUM(C93:C102)</f>
        <v>500</v>
      </c>
      <c r="D104" s="1145">
        <f t="shared" si="3"/>
        <v>0</v>
      </c>
      <c r="E104" s="1145">
        <f t="shared" si="3"/>
        <v>22889</v>
      </c>
      <c r="F104" s="1147">
        <f t="shared" si="3"/>
        <v>445</v>
      </c>
      <c r="G104" s="1145">
        <f t="shared" si="3"/>
        <v>0</v>
      </c>
      <c r="H104" s="1145">
        <f t="shared" si="3"/>
        <v>728055</v>
      </c>
      <c r="I104" s="1145">
        <f t="shared" si="3"/>
        <v>555</v>
      </c>
      <c r="J104" s="1145">
        <f t="shared" si="3"/>
        <v>0</v>
      </c>
      <c r="K104" s="1145">
        <f t="shared" si="3"/>
        <v>401041</v>
      </c>
      <c r="L104" s="1145">
        <f t="shared" si="3"/>
        <v>445</v>
      </c>
      <c r="M104" s="1145">
        <f t="shared" si="3"/>
        <v>0</v>
      </c>
      <c r="N104" s="1145">
        <f t="shared" si="3"/>
        <v>551990</v>
      </c>
      <c r="O104" s="1145">
        <f t="shared" si="3"/>
        <v>455</v>
      </c>
      <c r="P104" s="1145">
        <f t="shared" si="3"/>
        <v>0</v>
      </c>
      <c r="Q104" s="1145">
        <f t="shared" si="3"/>
        <v>185854</v>
      </c>
      <c r="R104" s="1145">
        <f t="shared" si="3"/>
        <v>400</v>
      </c>
      <c r="S104" s="1145">
        <f t="shared" si="3"/>
        <v>0</v>
      </c>
      <c r="T104" s="1145">
        <f t="shared" si="3"/>
        <v>777460</v>
      </c>
      <c r="U104" s="1145">
        <f t="shared" si="3"/>
        <v>420</v>
      </c>
      <c r="V104" s="1145">
        <f t="shared" si="3"/>
        <v>0</v>
      </c>
      <c r="W104" s="1145">
        <f t="shared" si="3"/>
        <v>908998</v>
      </c>
      <c r="X104" s="1145">
        <f t="shared" si="3"/>
        <v>225</v>
      </c>
      <c r="Y104" s="1145">
        <f t="shared" si="3"/>
        <v>0</v>
      </c>
      <c r="Z104" s="1145">
        <f t="shared" si="3"/>
        <v>2022234</v>
      </c>
      <c r="AA104" s="1145">
        <f t="shared" si="3"/>
        <v>495</v>
      </c>
      <c r="AB104" s="1145">
        <f t="shared" si="3"/>
        <v>0</v>
      </c>
      <c r="AC104" s="1145">
        <f t="shared" si="3"/>
        <v>57876</v>
      </c>
      <c r="AD104" s="1147">
        <f t="shared" si="3"/>
        <v>250</v>
      </c>
      <c r="AE104" s="1145">
        <f t="shared" si="3"/>
        <v>0</v>
      </c>
      <c r="AF104" s="1145">
        <f t="shared" si="3"/>
        <v>170469</v>
      </c>
      <c r="AG104" s="1147">
        <f t="shared" si="3"/>
        <v>285</v>
      </c>
      <c r="AH104" s="1145">
        <f t="shared" si="3"/>
        <v>0</v>
      </c>
      <c r="AI104" s="1145">
        <f t="shared" si="3"/>
        <v>305203</v>
      </c>
      <c r="AJ104" s="1145">
        <f t="shared" si="3"/>
        <v>565</v>
      </c>
      <c r="AK104" s="1145">
        <f t="shared" si="3"/>
        <v>0</v>
      </c>
      <c r="AL104" s="1145">
        <f t="shared" si="3"/>
        <v>472926</v>
      </c>
      <c r="AM104" s="1145">
        <f t="shared" si="3"/>
        <v>225</v>
      </c>
      <c r="AN104" s="1145">
        <f t="shared" si="3"/>
        <v>0</v>
      </c>
      <c r="AO104" s="1145">
        <f t="shared" si="3"/>
        <v>254962</v>
      </c>
      <c r="AP104" s="1145">
        <f t="shared" si="3"/>
        <v>335</v>
      </c>
      <c r="AQ104" s="1145">
        <f t="shared" si="3"/>
        <v>0</v>
      </c>
      <c r="AR104" s="1145">
        <f t="shared" si="3"/>
        <v>87238</v>
      </c>
      <c r="AS104" s="1145">
        <f t="shared" si="3"/>
        <v>280</v>
      </c>
      <c r="AT104" s="1145">
        <f t="shared" si="3"/>
        <v>0</v>
      </c>
      <c r="AU104" s="1145">
        <f t="shared" si="3"/>
        <v>3661</v>
      </c>
      <c r="AV104" s="1145">
        <f t="shared" si="3"/>
        <v>90</v>
      </c>
      <c r="AW104" s="1145">
        <f t="shared" si="3"/>
        <v>0</v>
      </c>
      <c r="AX104" s="1145">
        <f t="shared" si="3"/>
        <v>189680</v>
      </c>
      <c r="AY104" s="1145">
        <f t="shared" si="3"/>
        <v>480</v>
      </c>
      <c r="AZ104" s="1145">
        <f t="shared" si="3"/>
        <v>0</v>
      </c>
      <c r="BA104" s="1145">
        <f t="shared" si="3"/>
        <v>1690482</v>
      </c>
      <c r="BB104" s="1145">
        <f t="shared" si="3"/>
        <v>365</v>
      </c>
      <c r="BC104" s="1145">
        <f t="shared" si="3"/>
        <v>0</v>
      </c>
      <c r="BD104" s="1147">
        <f t="shared" si="3"/>
        <v>881999</v>
      </c>
      <c r="BE104" s="1145">
        <f t="shared" si="3"/>
        <v>490</v>
      </c>
      <c r="BF104" s="1145">
        <f t="shared" si="3"/>
        <v>0</v>
      </c>
      <c r="BG104" s="1147">
        <f t="shared" si="3"/>
        <v>749798</v>
      </c>
      <c r="BH104" s="1145">
        <f t="shared" si="3"/>
        <v>315</v>
      </c>
      <c r="BI104" s="1145">
        <f t="shared" si="3"/>
        <v>0</v>
      </c>
      <c r="BJ104" s="1145">
        <f t="shared" si="3"/>
        <v>248004</v>
      </c>
      <c r="BK104" s="1145">
        <f t="shared" si="3"/>
        <v>285</v>
      </c>
      <c r="BL104" s="1145">
        <f t="shared" si="3"/>
        <v>0</v>
      </c>
      <c r="BM104" s="1145">
        <f t="shared" si="3"/>
        <v>10361759</v>
      </c>
      <c r="BN104" s="1147">
        <f t="shared" si="3"/>
        <v>545</v>
      </c>
      <c r="BO104" s="1145">
        <f t="shared" ref="BO104" si="4">+SUM(BO93:BO102)</f>
        <v>0</v>
      </c>
    </row>
    <row r="105" spans="1:67" ht="16.75" customHeight="1" x14ac:dyDescent="0.2">
      <c r="A105" s="1058" t="s">
        <v>5229</v>
      </c>
      <c r="B105" s="1059"/>
      <c r="C105" s="1059"/>
      <c r="D105" s="1059"/>
      <c r="E105" s="1059"/>
      <c r="F105" s="1059"/>
      <c r="G105" s="1059"/>
      <c r="H105" s="1059"/>
      <c r="I105" s="1059"/>
      <c r="J105" s="1059"/>
      <c r="K105" s="1059"/>
      <c r="L105" s="1059"/>
      <c r="M105" s="1059"/>
      <c r="N105" s="1059"/>
      <c r="O105" s="1059"/>
      <c r="P105" s="1059"/>
      <c r="Q105" s="1059"/>
      <c r="R105" s="1059"/>
      <c r="S105" s="1059"/>
      <c r="T105" s="1059"/>
      <c r="U105" s="1059"/>
      <c r="V105" s="1059"/>
      <c r="W105" s="1059"/>
      <c r="X105" s="1059"/>
      <c r="Y105" s="1059"/>
      <c r="Z105" s="1059"/>
      <c r="AA105" s="1059"/>
      <c r="AB105" s="1059"/>
      <c r="AC105" s="1059"/>
      <c r="AD105" s="1059"/>
      <c r="AE105" s="1059"/>
      <c r="AF105" s="1059"/>
      <c r="AG105" s="1059"/>
      <c r="AH105" s="1059"/>
      <c r="AI105" s="1059"/>
      <c r="AJ105" s="1059"/>
      <c r="AK105" s="1059"/>
      <c r="AL105" s="1059"/>
      <c r="AM105" s="1059"/>
      <c r="AN105" s="1059"/>
      <c r="AO105" s="1059"/>
      <c r="AP105" s="1059"/>
      <c r="AQ105" s="1059"/>
      <c r="AR105" s="1059"/>
      <c r="AS105" s="1059"/>
      <c r="AT105" s="1059"/>
      <c r="AU105" s="1059"/>
      <c r="AV105" s="1059"/>
      <c r="AW105" s="1059"/>
      <c r="AX105" s="1059"/>
      <c r="AY105" s="1059"/>
      <c r="AZ105" s="1059"/>
      <c r="BA105" s="1059"/>
      <c r="BB105" s="1059"/>
      <c r="BC105" s="1059"/>
      <c r="BD105" s="1059"/>
      <c r="BE105" s="1059"/>
      <c r="BF105" s="1059"/>
      <c r="BG105" s="1059"/>
      <c r="BH105" s="1059"/>
      <c r="BI105" s="1059"/>
      <c r="BJ105" s="1059"/>
      <c r="BK105" s="1059"/>
      <c r="BL105" s="1059"/>
      <c r="BM105" s="1059"/>
      <c r="BN105" s="1059"/>
      <c r="BO105" s="1060"/>
    </row>
    <row r="106" spans="1:67" ht="16.75" customHeight="1" x14ac:dyDescent="0.2">
      <c r="A106" s="480" t="s">
        <v>5230</v>
      </c>
      <c r="B106" s="481"/>
      <c r="C106" s="481"/>
      <c r="D106" s="481"/>
      <c r="E106" s="481"/>
      <c r="F106" s="481"/>
      <c r="G106" s="481"/>
      <c r="H106" s="481"/>
      <c r="I106" s="481"/>
      <c r="J106" s="481"/>
      <c r="K106" s="481"/>
      <c r="L106" s="481"/>
      <c r="M106" s="481"/>
      <c r="N106" s="481"/>
      <c r="O106" s="481"/>
      <c r="P106" s="481"/>
      <c r="Q106" s="481"/>
      <c r="R106" s="481"/>
      <c r="S106" s="481"/>
      <c r="T106" s="481"/>
      <c r="U106" s="481"/>
      <c r="V106" s="481"/>
      <c r="W106" s="481"/>
      <c r="X106" s="481"/>
      <c r="Y106" s="481"/>
      <c r="Z106" s="481"/>
      <c r="AA106" s="481"/>
      <c r="AB106" s="481"/>
      <c r="AC106" s="481"/>
      <c r="AD106" s="481"/>
      <c r="AE106" s="481"/>
      <c r="AF106" s="481"/>
      <c r="AG106" s="481"/>
      <c r="AH106" s="481"/>
      <c r="AI106" s="481"/>
      <c r="AJ106" s="481"/>
      <c r="AK106" s="481"/>
      <c r="AL106" s="481"/>
      <c r="AM106" s="481"/>
      <c r="AN106" s="481"/>
      <c r="AO106" s="481"/>
      <c r="AP106" s="481"/>
      <c r="AQ106" s="481"/>
      <c r="AR106" s="481"/>
      <c r="AS106" s="481"/>
      <c r="AT106" s="481"/>
      <c r="AU106" s="481"/>
      <c r="AV106" s="481"/>
      <c r="AW106" s="481"/>
      <c r="AX106" s="481"/>
      <c r="AY106" s="481"/>
      <c r="AZ106" s="481"/>
      <c r="BA106" s="481"/>
      <c r="BB106" s="481"/>
      <c r="BC106" s="481"/>
      <c r="BD106" s="481"/>
      <c r="BE106" s="481"/>
      <c r="BF106" s="481"/>
      <c r="BG106" s="481"/>
      <c r="BH106" s="481"/>
      <c r="BI106" s="481"/>
      <c r="BJ106" s="481"/>
      <c r="BK106" s="481"/>
      <c r="BL106" s="481"/>
      <c r="BM106" s="481"/>
      <c r="BN106" s="481"/>
      <c r="BO106" s="676"/>
    </row>
    <row r="107" spans="1:67" ht="16.75" customHeight="1" x14ac:dyDescent="0.2">
      <c r="A107" s="514" t="s">
        <v>5231</v>
      </c>
      <c r="B107" s="515"/>
      <c r="C107" s="515"/>
      <c r="D107" s="515"/>
      <c r="E107" s="515"/>
      <c r="F107" s="515"/>
      <c r="G107" s="515"/>
      <c r="H107" s="515"/>
      <c r="I107" s="515"/>
      <c r="J107" s="515"/>
      <c r="K107" s="515"/>
      <c r="L107" s="515"/>
      <c r="M107" s="515"/>
      <c r="N107" s="515"/>
      <c r="O107" s="515"/>
      <c r="P107" s="515"/>
      <c r="Q107" s="515"/>
      <c r="R107" s="515"/>
      <c r="S107" s="515"/>
      <c r="T107" s="515"/>
      <c r="U107" s="515"/>
      <c r="V107" s="515"/>
      <c r="W107" s="515"/>
      <c r="X107" s="515"/>
      <c r="Y107" s="515"/>
      <c r="Z107" s="515"/>
      <c r="AA107" s="515"/>
      <c r="AB107" s="515"/>
      <c r="AC107" s="515"/>
      <c r="AD107" s="515"/>
      <c r="AE107" s="515"/>
      <c r="AF107" s="515"/>
      <c r="AG107" s="515"/>
      <c r="AH107" s="515"/>
      <c r="AI107" s="515"/>
      <c r="AJ107" s="515"/>
      <c r="AK107" s="515"/>
      <c r="AL107" s="515"/>
      <c r="AM107" s="515"/>
      <c r="AN107" s="515"/>
      <c r="AO107" s="515"/>
      <c r="AP107" s="515"/>
      <c r="AQ107" s="515"/>
      <c r="AR107" s="515"/>
      <c r="AS107" s="515"/>
      <c r="AT107" s="515"/>
      <c r="AU107" s="515"/>
      <c r="AV107" s="515"/>
      <c r="AW107" s="515"/>
      <c r="AX107" s="515"/>
      <c r="AY107" s="515"/>
      <c r="AZ107" s="515"/>
      <c r="BA107" s="515"/>
      <c r="BB107" s="515"/>
      <c r="BC107" s="515"/>
      <c r="BD107" s="515"/>
      <c r="BE107" s="515"/>
      <c r="BF107" s="515"/>
      <c r="BG107" s="515"/>
      <c r="BH107" s="515"/>
      <c r="BI107" s="515"/>
      <c r="BJ107" s="515"/>
      <c r="BK107" s="515"/>
      <c r="BL107" s="515"/>
      <c r="BM107" s="515"/>
      <c r="BN107" s="515"/>
      <c r="BO107" s="1029"/>
    </row>
    <row r="111" spans="1:67" x14ac:dyDescent="0.2">
      <c r="A111" s="526" t="s">
        <v>1272</v>
      </c>
    </row>
    <row r="112" spans="1:67" ht="43.75" customHeight="1" x14ac:dyDescent="0.2">
      <c r="A112" s="1538" t="s">
        <v>5232</v>
      </c>
      <c r="B112" s="1538"/>
      <c r="C112" s="1538"/>
      <c r="D112" s="1538"/>
      <c r="E112" s="1538"/>
      <c r="F112" s="1538"/>
      <c r="G112" s="1538"/>
      <c r="H112" s="1538"/>
      <c r="I112" s="1538"/>
      <c r="J112" s="1538"/>
      <c r="K112" s="1538"/>
      <c r="L112" s="1538"/>
      <c r="M112" s="1538"/>
      <c r="N112" s="1538"/>
      <c r="O112" s="1538"/>
      <c r="P112" s="1538"/>
      <c r="Q112" s="1538"/>
      <c r="R112" s="1538"/>
      <c r="S112" s="1538"/>
      <c r="T112" s="1538"/>
      <c r="U112" s="1538"/>
      <c r="V112" s="1538"/>
      <c r="W112" s="1538"/>
      <c r="X112" s="1538"/>
      <c r="Y112" s="1538"/>
      <c r="Z112" s="1538"/>
      <c r="AA112" s="1538"/>
      <c r="AB112" s="1538"/>
      <c r="AC112" s="1538"/>
      <c r="AD112" s="1538"/>
      <c r="AE112" s="1538"/>
      <c r="AF112" s="1538"/>
      <c r="AG112" s="1538"/>
      <c r="AH112" s="1538"/>
      <c r="AI112" s="1538"/>
      <c r="AJ112" s="1538"/>
      <c r="AK112" s="1538"/>
      <c r="AL112" s="1538"/>
      <c r="AM112" s="1538"/>
      <c r="AN112" s="1538"/>
      <c r="AO112" s="1538"/>
      <c r="AP112" s="1538"/>
      <c r="AQ112" s="1538"/>
      <c r="AR112" s="1538"/>
      <c r="AS112" s="1538"/>
      <c r="AT112" s="1538"/>
      <c r="AU112" s="1538"/>
      <c r="AV112" s="1538"/>
      <c r="AW112" s="1538"/>
      <c r="AX112" s="1538"/>
      <c r="AY112" s="1538"/>
      <c r="AZ112" s="1538"/>
      <c r="BA112" s="1538"/>
      <c r="BB112" s="1538"/>
      <c r="BC112" s="1538"/>
      <c r="BD112" s="1538"/>
      <c r="BE112" s="1538"/>
      <c r="BF112" s="1538"/>
      <c r="BG112" s="1538"/>
      <c r="BH112" s="1538"/>
      <c r="BI112" s="1538"/>
    </row>
    <row r="113" spans="1:61" x14ac:dyDescent="0.2">
      <c r="A113" s="1267" t="s">
        <v>3254</v>
      </c>
      <c r="B113" s="1267" t="s">
        <v>5217</v>
      </c>
      <c r="C113" s="1267"/>
      <c r="D113" s="1267"/>
      <c r="E113" s="1267"/>
      <c r="F113" s="1267"/>
      <c r="G113" s="1267"/>
      <c r="H113" s="1267"/>
      <c r="I113" s="1267"/>
      <c r="J113" s="1267"/>
      <c r="K113" s="1267"/>
      <c r="L113" s="1267"/>
      <c r="M113" s="1267"/>
      <c r="N113" s="1267"/>
      <c r="O113" s="1267"/>
      <c r="P113" s="1267"/>
      <c r="Q113" s="1267"/>
      <c r="R113" s="1267"/>
      <c r="S113" s="1267"/>
      <c r="T113" s="1267"/>
      <c r="U113" s="1267"/>
      <c r="V113" s="1267"/>
      <c r="W113" s="1267"/>
      <c r="X113" s="1267"/>
      <c r="Y113" s="1267"/>
      <c r="Z113" s="1267"/>
      <c r="AA113" s="1267"/>
      <c r="AB113" s="1267"/>
      <c r="AC113" s="1267"/>
      <c r="AD113" s="1267"/>
      <c r="AE113" s="1267"/>
      <c r="AF113" s="1267"/>
      <c r="AG113" s="1267"/>
      <c r="AH113" s="1267"/>
      <c r="AI113" s="1267"/>
      <c r="AJ113" s="1267"/>
      <c r="AK113" s="1267"/>
      <c r="AL113" s="1267"/>
      <c r="AM113" s="1267"/>
      <c r="AN113" s="1267"/>
      <c r="AO113" s="1267"/>
      <c r="AP113" s="1267"/>
      <c r="AQ113" s="1267"/>
      <c r="AR113" s="1267"/>
      <c r="AS113" s="1267"/>
      <c r="AT113" s="1267"/>
      <c r="AU113" s="1267"/>
      <c r="AV113" s="1267"/>
      <c r="AW113" s="1267"/>
      <c r="AX113" s="1267"/>
      <c r="AY113" s="1267"/>
      <c r="AZ113" s="1267"/>
      <c r="BA113" s="1267"/>
      <c r="BB113" s="1267"/>
      <c r="BC113" s="1267"/>
      <c r="BD113" s="1267"/>
      <c r="BE113" s="1267"/>
      <c r="BF113" s="1267"/>
      <c r="BG113" s="1267"/>
      <c r="BH113" s="1267"/>
      <c r="BI113" s="1267"/>
    </row>
    <row r="114" spans="1:61" x14ac:dyDescent="0.2">
      <c r="A114" s="1267"/>
      <c r="B114" s="1141" t="s">
        <v>5233</v>
      </c>
      <c r="C114" s="1141"/>
      <c r="D114" s="1141"/>
      <c r="E114" s="1141" t="s">
        <v>5234</v>
      </c>
      <c r="F114" s="1141"/>
      <c r="G114" s="1141"/>
      <c r="H114" s="1141" t="s">
        <v>5235</v>
      </c>
      <c r="I114" s="1141"/>
      <c r="J114" s="1141"/>
      <c r="K114" s="1141" t="s">
        <v>5236</v>
      </c>
      <c r="L114" s="1141"/>
      <c r="M114" s="1141"/>
      <c r="N114" s="1141" t="s">
        <v>5237</v>
      </c>
      <c r="O114" s="1141"/>
      <c r="P114" s="1141"/>
      <c r="Q114" s="1141" t="s">
        <v>5238</v>
      </c>
      <c r="R114" s="1141"/>
      <c r="S114" s="1141"/>
      <c r="T114" s="1141" t="s">
        <v>5239</v>
      </c>
      <c r="U114" s="1141"/>
      <c r="V114" s="1141"/>
      <c r="W114" s="1141" t="s">
        <v>5240</v>
      </c>
      <c r="X114" s="1141"/>
      <c r="Y114" s="1141"/>
      <c r="Z114" s="1141" t="s">
        <v>5241</v>
      </c>
      <c r="AA114" s="1141"/>
      <c r="AB114" s="1141"/>
      <c r="AC114" s="1141" t="s">
        <v>5242</v>
      </c>
      <c r="AD114" s="1141"/>
      <c r="AE114" s="1141"/>
      <c r="AF114" s="1141" t="s">
        <v>5243</v>
      </c>
      <c r="AG114" s="1141"/>
      <c r="AH114" s="1141"/>
      <c r="AI114" s="1141" t="s">
        <v>5244</v>
      </c>
      <c r="AJ114" s="1141"/>
      <c r="AK114" s="1141"/>
      <c r="AL114" s="1141" t="s">
        <v>5245</v>
      </c>
      <c r="AM114" s="1141"/>
      <c r="AN114" s="1141"/>
      <c r="AO114" s="1141" t="s">
        <v>5246</v>
      </c>
      <c r="AP114" s="1141"/>
      <c r="AQ114" s="1141"/>
      <c r="AR114" s="1141" t="s">
        <v>5189</v>
      </c>
      <c r="AS114" s="1141"/>
      <c r="AT114" s="1141"/>
      <c r="AU114" s="1141" t="s">
        <v>5247</v>
      </c>
      <c r="AV114" s="1141"/>
      <c r="AW114" s="1141"/>
      <c r="AX114" s="1141" t="s">
        <v>3275</v>
      </c>
      <c r="AY114" s="1141"/>
      <c r="AZ114" s="1141"/>
      <c r="BA114" s="1141" t="s">
        <v>5248</v>
      </c>
      <c r="BB114" s="1141"/>
      <c r="BC114" s="1141"/>
      <c r="BD114" s="1141" t="s">
        <v>4582</v>
      </c>
      <c r="BE114" s="1141"/>
      <c r="BF114" s="1141"/>
      <c r="BG114" s="1141" t="s">
        <v>2519</v>
      </c>
      <c r="BH114" s="1141"/>
      <c r="BI114" s="1141"/>
    </row>
    <row r="115" spans="1:61" x14ac:dyDescent="0.2">
      <c r="A115" s="1267"/>
      <c r="B115" s="1273" t="s">
        <v>2764</v>
      </c>
      <c r="C115" s="1276" t="s">
        <v>5195</v>
      </c>
      <c r="D115" s="1276"/>
      <c r="E115" s="1273" t="s">
        <v>2764</v>
      </c>
      <c r="F115" s="1276" t="s">
        <v>5195</v>
      </c>
      <c r="G115" s="1276"/>
      <c r="H115" s="1273" t="s">
        <v>2764</v>
      </c>
      <c r="I115" s="1276" t="s">
        <v>5195</v>
      </c>
      <c r="J115" s="1276"/>
      <c r="K115" s="1273" t="s">
        <v>2764</v>
      </c>
      <c r="L115" s="1276" t="s">
        <v>5195</v>
      </c>
      <c r="M115" s="1276"/>
      <c r="N115" s="1273" t="s">
        <v>2764</v>
      </c>
      <c r="O115" s="1276" t="s">
        <v>5195</v>
      </c>
      <c r="P115" s="1276"/>
      <c r="Q115" s="1273" t="s">
        <v>2764</v>
      </c>
      <c r="R115" s="1276" t="s">
        <v>5195</v>
      </c>
      <c r="S115" s="1276"/>
      <c r="T115" s="1273" t="s">
        <v>2764</v>
      </c>
      <c r="U115" s="1276" t="s">
        <v>5195</v>
      </c>
      <c r="V115" s="1276"/>
      <c r="W115" s="1273" t="s">
        <v>2764</v>
      </c>
      <c r="X115" s="1276" t="s">
        <v>5195</v>
      </c>
      <c r="Y115" s="1276"/>
      <c r="Z115" s="1273" t="s">
        <v>2764</v>
      </c>
      <c r="AA115" s="1276" t="s">
        <v>5195</v>
      </c>
      <c r="AB115" s="1276"/>
      <c r="AC115" s="1273" t="s">
        <v>2764</v>
      </c>
      <c r="AD115" s="1276" t="s">
        <v>5195</v>
      </c>
      <c r="AE115" s="1276"/>
      <c r="AF115" s="1273" t="s">
        <v>2764</v>
      </c>
      <c r="AG115" s="1276" t="s">
        <v>5195</v>
      </c>
      <c r="AH115" s="1276"/>
      <c r="AI115" s="1273" t="s">
        <v>2764</v>
      </c>
      <c r="AJ115" s="1276" t="s">
        <v>5195</v>
      </c>
      <c r="AK115" s="1276"/>
      <c r="AL115" s="1273" t="s">
        <v>2764</v>
      </c>
      <c r="AM115" s="1276" t="s">
        <v>5195</v>
      </c>
      <c r="AN115" s="1276"/>
      <c r="AO115" s="1273" t="s">
        <v>2764</v>
      </c>
      <c r="AP115" s="1276" t="s">
        <v>5195</v>
      </c>
      <c r="AQ115" s="1276"/>
      <c r="AR115" s="1273" t="s">
        <v>2764</v>
      </c>
      <c r="AS115" s="1276" t="s">
        <v>5195</v>
      </c>
      <c r="AT115" s="1276"/>
      <c r="AU115" s="1273" t="s">
        <v>2764</v>
      </c>
      <c r="AV115" s="1276" t="s">
        <v>5195</v>
      </c>
      <c r="AW115" s="1276"/>
      <c r="AX115" s="1273" t="s">
        <v>2764</v>
      </c>
      <c r="AY115" s="1276" t="s">
        <v>5195</v>
      </c>
      <c r="AZ115" s="1276"/>
      <c r="BA115" s="1273" t="s">
        <v>2764</v>
      </c>
      <c r="BB115" s="1276" t="s">
        <v>5195</v>
      </c>
      <c r="BC115" s="1276"/>
      <c r="BD115" s="1273" t="s">
        <v>2764</v>
      </c>
      <c r="BE115" s="1276" t="s">
        <v>5195</v>
      </c>
      <c r="BF115" s="1276"/>
      <c r="BG115" s="1273" t="s">
        <v>2764</v>
      </c>
      <c r="BH115" s="1276" t="s">
        <v>5195</v>
      </c>
      <c r="BI115" s="1276"/>
    </row>
    <row r="116" spans="1:61" x14ac:dyDescent="0.2">
      <c r="A116" s="533" t="s">
        <v>5205</v>
      </c>
      <c r="B116" s="349">
        <v>33</v>
      </c>
      <c r="C116" s="350">
        <v>5</v>
      </c>
      <c r="D116" s="717"/>
      <c r="E116" s="349">
        <v>14</v>
      </c>
      <c r="F116" s="350">
        <v>60</v>
      </c>
      <c r="G116" s="717"/>
      <c r="H116" s="349">
        <v>835</v>
      </c>
      <c r="I116" s="350">
        <v>85</v>
      </c>
      <c r="J116" s="717"/>
      <c r="K116" s="349">
        <v>202</v>
      </c>
      <c r="L116" s="350">
        <v>80</v>
      </c>
      <c r="M116" s="717"/>
      <c r="N116" s="349">
        <v>595</v>
      </c>
      <c r="O116" s="350">
        <v>20</v>
      </c>
      <c r="P116" s="717"/>
      <c r="Q116" s="349">
        <v>110</v>
      </c>
      <c r="R116" s="350">
        <v>70</v>
      </c>
      <c r="S116" s="717"/>
      <c r="T116" s="349">
        <v>294</v>
      </c>
      <c r="U116" s="350"/>
      <c r="V116" s="717"/>
      <c r="W116" s="349">
        <v>375</v>
      </c>
      <c r="X116" s="350">
        <v>50</v>
      </c>
      <c r="Y116" s="717"/>
      <c r="Z116" s="349">
        <v>413</v>
      </c>
      <c r="AA116" s="350">
        <v>10</v>
      </c>
      <c r="AB116" s="717"/>
      <c r="AC116" s="349"/>
      <c r="AD116" s="350"/>
      <c r="AE116" s="717"/>
      <c r="AF116" s="349">
        <v>20</v>
      </c>
      <c r="AG116" s="350">
        <v>80</v>
      </c>
      <c r="AH116" s="717"/>
      <c r="AI116" s="349">
        <v>204</v>
      </c>
      <c r="AJ116" s="350">
        <v>75</v>
      </c>
      <c r="AK116" s="717"/>
      <c r="AL116" s="349">
        <v>230</v>
      </c>
      <c r="AM116" s="350">
        <v>35</v>
      </c>
      <c r="AN116" s="717"/>
      <c r="AO116" s="349"/>
      <c r="AP116" s="350"/>
      <c r="AQ116" s="717"/>
      <c r="AR116" s="349"/>
      <c r="AS116" s="350"/>
      <c r="AT116" s="717"/>
      <c r="AU116" s="349">
        <v>35</v>
      </c>
      <c r="AV116" s="350">
        <v>50</v>
      </c>
      <c r="AW116" s="717"/>
      <c r="AX116" s="349">
        <v>525</v>
      </c>
      <c r="AY116" s="350">
        <v>95</v>
      </c>
      <c r="AZ116" s="717"/>
      <c r="BA116" s="349">
        <v>580</v>
      </c>
      <c r="BB116" s="350"/>
      <c r="BC116" s="717"/>
      <c r="BD116" s="349">
        <v>1546</v>
      </c>
      <c r="BE116" s="350">
        <v>65</v>
      </c>
      <c r="BF116" s="717"/>
      <c r="BG116" s="349">
        <v>2935</v>
      </c>
      <c r="BH116" s="350">
        <v>60</v>
      </c>
      <c r="BI116" s="717"/>
    </row>
    <row r="117" spans="1:61" x14ac:dyDescent="0.2">
      <c r="A117" s="533" t="s">
        <v>3668</v>
      </c>
      <c r="B117" s="131">
        <v>42592</v>
      </c>
      <c r="C117" s="145">
        <v>45</v>
      </c>
      <c r="D117" s="307"/>
      <c r="E117" s="131">
        <v>9775</v>
      </c>
      <c r="F117" s="145">
        <v>75</v>
      </c>
      <c r="G117" s="307"/>
      <c r="H117" s="131">
        <v>355474</v>
      </c>
      <c r="I117" s="145">
        <v>25</v>
      </c>
      <c r="J117" s="307"/>
      <c r="K117" s="131">
        <v>181286</v>
      </c>
      <c r="L117" s="145">
        <v>85</v>
      </c>
      <c r="M117" s="307"/>
      <c r="N117" s="131">
        <v>257077</v>
      </c>
      <c r="O117" s="145">
        <v>30</v>
      </c>
      <c r="P117" s="307"/>
      <c r="Q117" s="131">
        <v>108108</v>
      </c>
      <c r="R117" s="145">
        <v>35</v>
      </c>
      <c r="S117" s="307"/>
      <c r="T117" s="131">
        <v>326783</v>
      </c>
      <c r="U117" s="145">
        <v>15</v>
      </c>
      <c r="V117" s="307"/>
      <c r="W117" s="131">
        <v>394719</v>
      </c>
      <c r="X117" s="145">
        <v>50</v>
      </c>
      <c r="Y117" s="307"/>
      <c r="Z117" s="131">
        <v>767745</v>
      </c>
      <c r="AA117" s="145">
        <v>45</v>
      </c>
      <c r="AB117" s="307"/>
      <c r="AC117" s="131">
        <v>21525</v>
      </c>
      <c r="AD117" s="145">
        <v>45</v>
      </c>
      <c r="AE117" s="307"/>
      <c r="AF117" s="131">
        <v>78497</v>
      </c>
      <c r="AG117" s="145">
        <v>50</v>
      </c>
      <c r="AH117" s="307"/>
      <c r="AI117" s="131">
        <v>123557</v>
      </c>
      <c r="AJ117" s="145">
        <v>5</v>
      </c>
      <c r="AK117" s="307"/>
      <c r="AL117" s="131">
        <v>208920</v>
      </c>
      <c r="AM117" s="145">
        <v>15</v>
      </c>
      <c r="AN117" s="307"/>
      <c r="AO117" s="131">
        <v>130832</v>
      </c>
      <c r="AP117" s="145">
        <v>45</v>
      </c>
      <c r="AQ117" s="307"/>
      <c r="AR117" s="131">
        <v>489</v>
      </c>
      <c r="AS117" s="145"/>
      <c r="AT117" s="307"/>
      <c r="AU117" s="131">
        <v>114506</v>
      </c>
      <c r="AV117" s="145">
        <v>85</v>
      </c>
      <c r="AW117" s="307"/>
      <c r="AX117" s="131">
        <v>13706</v>
      </c>
      <c r="AY117" s="145">
        <v>60</v>
      </c>
      <c r="AZ117" s="307"/>
      <c r="BA117" s="131">
        <v>759516</v>
      </c>
      <c r="BB117" s="145">
        <v>90</v>
      </c>
      <c r="BC117" s="307"/>
      <c r="BD117" s="131"/>
      <c r="BE117" s="145"/>
      <c r="BF117" s="307"/>
      <c r="BG117" s="131">
        <v>3895115</v>
      </c>
      <c r="BH117" s="145"/>
      <c r="BI117" s="307"/>
    </row>
    <row r="118" spans="1:61" x14ac:dyDescent="0.2">
      <c r="A118" s="533" t="s">
        <v>1517</v>
      </c>
      <c r="B118" s="131">
        <v>1519</v>
      </c>
      <c r="C118" s="145">
        <v>10</v>
      </c>
      <c r="D118" s="307"/>
      <c r="E118" s="131">
        <v>628</v>
      </c>
      <c r="F118" s="145">
        <v>55</v>
      </c>
      <c r="G118" s="307"/>
      <c r="H118" s="131">
        <v>22175</v>
      </c>
      <c r="I118" s="145">
        <v>50</v>
      </c>
      <c r="J118" s="307"/>
      <c r="K118" s="131">
        <v>18336</v>
      </c>
      <c r="L118" s="145">
        <v>60</v>
      </c>
      <c r="M118" s="307"/>
      <c r="N118" s="131">
        <v>41015</v>
      </c>
      <c r="O118" s="145">
        <v>90</v>
      </c>
      <c r="P118" s="307"/>
      <c r="Q118" s="131">
        <v>18192</v>
      </c>
      <c r="R118" s="145">
        <v>20</v>
      </c>
      <c r="S118" s="307"/>
      <c r="T118" s="131">
        <v>49642</v>
      </c>
      <c r="U118" s="145">
        <v>20</v>
      </c>
      <c r="V118" s="307"/>
      <c r="W118" s="131">
        <v>42845</v>
      </c>
      <c r="X118" s="145">
        <v>10</v>
      </c>
      <c r="Y118" s="307"/>
      <c r="Z118" s="131">
        <v>111409</v>
      </c>
      <c r="AA118" s="145"/>
      <c r="AB118" s="307"/>
      <c r="AC118" s="131">
        <v>4337</v>
      </c>
      <c r="AD118" s="145">
        <v>20</v>
      </c>
      <c r="AE118" s="307"/>
      <c r="AF118" s="131">
        <v>12399</v>
      </c>
      <c r="AG118" s="145">
        <v>50</v>
      </c>
      <c r="AH118" s="307"/>
      <c r="AI118" s="131">
        <v>32334</v>
      </c>
      <c r="AJ118" s="145">
        <v>55</v>
      </c>
      <c r="AK118" s="307"/>
      <c r="AL118" s="131">
        <v>24918</v>
      </c>
      <c r="AM118" s="145"/>
      <c r="AN118" s="307"/>
      <c r="AO118" s="131">
        <v>18506</v>
      </c>
      <c r="AP118" s="145">
        <v>25</v>
      </c>
      <c r="AQ118" s="307"/>
      <c r="AR118" s="131"/>
      <c r="AS118" s="145"/>
      <c r="AT118" s="307"/>
      <c r="AU118" s="131">
        <v>20087</v>
      </c>
      <c r="AV118" s="145">
        <v>35</v>
      </c>
      <c r="AW118" s="307"/>
      <c r="AX118" s="131">
        <v>19367</v>
      </c>
      <c r="AY118" s="145">
        <v>75</v>
      </c>
      <c r="AZ118" s="307"/>
      <c r="BA118" s="131">
        <v>84439</v>
      </c>
      <c r="BB118" s="145">
        <v>80</v>
      </c>
      <c r="BC118" s="307"/>
      <c r="BD118" s="131">
        <v>79892</v>
      </c>
      <c r="BE118" s="145">
        <v>10</v>
      </c>
      <c r="BF118" s="307"/>
      <c r="BG118" s="131">
        <v>442262</v>
      </c>
      <c r="BH118" s="145">
        <v>55</v>
      </c>
      <c r="BI118" s="307"/>
    </row>
    <row r="119" spans="1:61" x14ac:dyDescent="0.2">
      <c r="A119" s="533" t="s">
        <v>4033</v>
      </c>
      <c r="B119" s="131">
        <v>91322</v>
      </c>
      <c r="C119" s="145">
        <v>89</v>
      </c>
      <c r="D119" s="307"/>
      <c r="E119" s="131">
        <v>15306</v>
      </c>
      <c r="F119" s="145">
        <v>77</v>
      </c>
      <c r="G119" s="307"/>
      <c r="H119" s="131">
        <v>389074</v>
      </c>
      <c r="I119" s="145">
        <v>35</v>
      </c>
      <c r="J119" s="307"/>
      <c r="K119" s="131">
        <v>129254</v>
      </c>
      <c r="L119" s="145">
        <v>20</v>
      </c>
      <c r="M119" s="307"/>
      <c r="N119" s="131">
        <v>170254</v>
      </c>
      <c r="O119" s="145">
        <v>80</v>
      </c>
      <c r="P119" s="307"/>
      <c r="Q119" s="131">
        <v>36501</v>
      </c>
      <c r="R119" s="145">
        <v>30</v>
      </c>
      <c r="S119" s="307"/>
      <c r="T119" s="131">
        <v>99425</v>
      </c>
      <c r="U119" s="145">
        <v>20</v>
      </c>
      <c r="V119" s="307"/>
      <c r="W119" s="131">
        <v>133518</v>
      </c>
      <c r="X119" s="145">
        <v>50</v>
      </c>
      <c r="Y119" s="307"/>
      <c r="Z119" s="131">
        <v>315841</v>
      </c>
      <c r="AA119" s="145">
        <v>20</v>
      </c>
      <c r="AB119" s="307"/>
      <c r="AC119" s="131">
        <v>10721</v>
      </c>
      <c r="AD119" s="145">
        <v>20</v>
      </c>
      <c r="AE119" s="307"/>
      <c r="AF119" s="131">
        <v>34497</v>
      </c>
      <c r="AG119" s="145">
        <v>60</v>
      </c>
      <c r="AH119" s="307"/>
      <c r="AI119" s="131">
        <v>65584</v>
      </c>
      <c r="AJ119" s="145">
        <v>80</v>
      </c>
      <c r="AK119" s="307"/>
      <c r="AL119" s="131">
        <v>93091</v>
      </c>
      <c r="AM119" s="145"/>
      <c r="AN119" s="307"/>
      <c r="AO119" s="131">
        <v>76098</v>
      </c>
      <c r="AP119" s="145"/>
      <c r="AQ119" s="307"/>
      <c r="AR119" s="131">
        <v>5141</v>
      </c>
      <c r="AS119" s="145">
        <v>25</v>
      </c>
      <c r="AT119" s="307"/>
      <c r="AU119" s="131">
        <v>32663</v>
      </c>
      <c r="AV119" s="145">
        <v>75</v>
      </c>
      <c r="AW119" s="307"/>
      <c r="AX119" s="131">
        <v>80</v>
      </c>
      <c r="AY119" s="145">
        <v>25</v>
      </c>
      <c r="AZ119" s="307"/>
      <c r="BA119" s="131">
        <v>415005</v>
      </c>
      <c r="BB119" s="145">
        <v>65</v>
      </c>
      <c r="BC119" s="307"/>
      <c r="BD119" s="131">
        <v>5838</v>
      </c>
      <c r="BE119" s="145">
        <v>40</v>
      </c>
      <c r="BF119" s="307"/>
      <c r="BG119" s="131">
        <v>2107544</v>
      </c>
      <c r="BH119" s="145">
        <v>31</v>
      </c>
      <c r="BI119" s="307"/>
    </row>
    <row r="120" spans="1:61" x14ac:dyDescent="0.2">
      <c r="A120" s="533" t="s">
        <v>1519</v>
      </c>
      <c r="B120" s="131">
        <v>5183</v>
      </c>
      <c r="C120" s="145">
        <v>90</v>
      </c>
      <c r="D120" s="307"/>
      <c r="E120" s="131">
        <v>3669</v>
      </c>
      <c r="F120" s="145">
        <v>25</v>
      </c>
      <c r="G120" s="307"/>
      <c r="H120" s="131">
        <v>148563</v>
      </c>
      <c r="I120" s="145">
        <v>90</v>
      </c>
      <c r="J120" s="307"/>
      <c r="K120" s="131">
        <v>36725</v>
      </c>
      <c r="L120" s="145">
        <v>90</v>
      </c>
      <c r="M120" s="307"/>
      <c r="N120" s="131">
        <v>63071</v>
      </c>
      <c r="O120" s="145">
        <v>35</v>
      </c>
      <c r="P120" s="307"/>
      <c r="Q120" s="131">
        <v>14093</v>
      </c>
      <c r="R120" s="145">
        <v>90</v>
      </c>
      <c r="S120" s="307"/>
      <c r="T120" s="131">
        <v>107085</v>
      </c>
      <c r="U120" s="145">
        <v>80</v>
      </c>
      <c r="V120" s="307"/>
      <c r="W120" s="131">
        <v>23067</v>
      </c>
      <c r="X120" s="145">
        <v>15</v>
      </c>
      <c r="Y120" s="307"/>
      <c r="Z120" s="131">
        <v>95555</v>
      </c>
      <c r="AA120" s="145">
        <v>15</v>
      </c>
      <c r="AB120" s="307"/>
      <c r="AC120" s="131">
        <v>5240</v>
      </c>
      <c r="AD120" s="145">
        <v>85</v>
      </c>
      <c r="AE120" s="307"/>
      <c r="AF120" s="131">
        <v>10797</v>
      </c>
      <c r="AG120" s="145">
        <v>40</v>
      </c>
      <c r="AH120" s="307"/>
      <c r="AI120" s="131">
        <v>27371</v>
      </c>
      <c r="AJ120" s="145">
        <v>95</v>
      </c>
      <c r="AK120" s="307"/>
      <c r="AL120" s="131">
        <v>42118</v>
      </c>
      <c r="AM120" s="145"/>
      <c r="AN120" s="307"/>
      <c r="AO120" s="131">
        <v>38966</v>
      </c>
      <c r="AP120" s="145">
        <v>65</v>
      </c>
      <c r="AQ120" s="307"/>
      <c r="AR120" s="131">
        <v>512</v>
      </c>
      <c r="AS120" s="145"/>
      <c r="AT120" s="307"/>
      <c r="AU120" s="131"/>
      <c r="AV120" s="145"/>
      <c r="AW120" s="307"/>
      <c r="AX120" s="131">
        <v>86374</v>
      </c>
      <c r="AY120" s="145">
        <v>50</v>
      </c>
      <c r="AZ120" s="307"/>
      <c r="BA120" s="131">
        <v>142777</v>
      </c>
      <c r="BB120" s="145">
        <v>65</v>
      </c>
      <c r="BC120" s="307"/>
      <c r="BD120" s="131">
        <v>1209</v>
      </c>
      <c r="BE120" s="145">
        <v>55</v>
      </c>
      <c r="BF120" s="307"/>
      <c r="BG120" s="131">
        <v>849965</v>
      </c>
      <c r="BH120" s="145">
        <v>75</v>
      </c>
      <c r="BI120" s="307"/>
    </row>
    <row r="121" spans="1:61" x14ac:dyDescent="0.2">
      <c r="A121" s="533" t="s">
        <v>4553</v>
      </c>
      <c r="B121" s="131">
        <v>202</v>
      </c>
      <c r="C121" s="145">
        <v>25</v>
      </c>
      <c r="D121" s="307"/>
      <c r="E121" s="131">
        <v>227</v>
      </c>
      <c r="F121" s="145">
        <v>75</v>
      </c>
      <c r="G121" s="307"/>
      <c r="H121" s="131">
        <v>438</v>
      </c>
      <c r="I121" s="145">
        <v>55</v>
      </c>
      <c r="J121" s="307"/>
      <c r="K121" s="131">
        <v>419</v>
      </c>
      <c r="L121" s="145">
        <v>15</v>
      </c>
      <c r="M121" s="307"/>
      <c r="N121" s="131">
        <v>1159</v>
      </c>
      <c r="O121" s="145">
        <v>10</v>
      </c>
      <c r="P121" s="307"/>
      <c r="Q121" s="131">
        <v>85</v>
      </c>
      <c r="R121" s="145">
        <v>25</v>
      </c>
      <c r="S121" s="307"/>
      <c r="T121" s="131">
        <v>756</v>
      </c>
      <c r="U121" s="145">
        <v>75</v>
      </c>
      <c r="V121" s="307"/>
      <c r="W121" s="131">
        <v>2193</v>
      </c>
      <c r="X121" s="145">
        <v>10</v>
      </c>
      <c r="Y121" s="307"/>
      <c r="Z121" s="131">
        <v>882</v>
      </c>
      <c r="AA121" s="145">
        <v>30</v>
      </c>
      <c r="AB121" s="307"/>
      <c r="AC121" s="131">
        <v>172</v>
      </c>
      <c r="AD121" s="145">
        <v>60</v>
      </c>
      <c r="AE121" s="307"/>
      <c r="AF121" s="131">
        <v>131</v>
      </c>
      <c r="AG121" s="145">
        <v>15</v>
      </c>
      <c r="AH121" s="307"/>
      <c r="AI121" s="131">
        <v>11454</v>
      </c>
      <c r="AJ121" s="145">
        <v>15</v>
      </c>
      <c r="AK121" s="307"/>
      <c r="AL121" s="131">
        <v>478</v>
      </c>
      <c r="AM121" s="145"/>
      <c r="AN121" s="307"/>
      <c r="AO121" s="131">
        <v>200</v>
      </c>
      <c r="AP121" s="145">
        <v>35</v>
      </c>
      <c r="AQ121" s="307"/>
      <c r="AR121" s="131"/>
      <c r="AS121" s="145"/>
      <c r="AT121" s="307"/>
      <c r="AU121" s="131">
        <v>125</v>
      </c>
      <c r="AV121" s="145">
        <v>15</v>
      </c>
      <c r="AW121" s="307"/>
      <c r="AX121" s="131">
        <v>169</v>
      </c>
      <c r="AY121" s="145">
        <v>90</v>
      </c>
      <c r="AZ121" s="307"/>
      <c r="BA121" s="131">
        <v>4651</v>
      </c>
      <c r="BB121" s="145">
        <v>90</v>
      </c>
      <c r="BC121" s="307"/>
      <c r="BD121" s="131"/>
      <c r="BE121" s="145"/>
      <c r="BF121" s="307"/>
      <c r="BG121" s="131">
        <v>23747</v>
      </c>
      <c r="BH121" s="145">
        <v>40</v>
      </c>
      <c r="BI121" s="307"/>
    </row>
    <row r="122" spans="1:61" x14ac:dyDescent="0.2">
      <c r="A122" s="533" t="s">
        <v>5227</v>
      </c>
      <c r="B122" s="131">
        <v>236</v>
      </c>
      <c r="C122" s="145">
        <v>55</v>
      </c>
      <c r="D122" s="307"/>
      <c r="E122" s="131">
        <v>68</v>
      </c>
      <c r="F122" s="145">
        <v>50</v>
      </c>
      <c r="G122" s="307"/>
      <c r="H122" s="131">
        <v>1361</v>
      </c>
      <c r="I122" s="145">
        <v>55</v>
      </c>
      <c r="J122" s="307"/>
      <c r="K122" s="131">
        <v>286</v>
      </c>
      <c r="L122" s="145">
        <v>15</v>
      </c>
      <c r="M122" s="307"/>
      <c r="N122" s="131">
        <v>2581</v>
      </c>
      <c r="O122" s="145">
        <v>50</v>
      </c>
      <c r="P122" s="307"/>
      <c r="Q122" s="131">
        <v>988</v>
      </c>
      <c r="R122" s="145">
        <v>5</v>
      </c>
      <c r="S122" s="307"/>
      <c r="T122" s="131">
        <v>545</v>
      </c>
      <c r="U122" s="145">
        <v>20</v>
      </c>
      <c r="V122" s="307"/>
      <c r="W122" s="131">
        <v>1726</v>
      </c>
      <c r="X122" s="145">
        <v>50</v>
      </c>
      <c r="Y122" s="307"/>
      <c r="Z122" s="131">
        <v>4301</v>
      </c>
      <c r="AA122" s="145">
        <v>85</v>
      </c>
      <c r="AB122" s="307"/>
      <c r="AC122" s="131">
        <v>64</v>
      </c>
      <c r="AD122" s="145">
        <v>40</v>
      </c>
      <c r="AE122" s="307"/>
      <c r="AF122" s="131">
        <v>183</v>
      </c>
      <c r="AG122" s="145">
        <v>40</v>
      </c>
      <c r="AH122" s="307"/>
      <c r="AI122" s="131">
        <v>858</v>
      </c>
      <c r="AJ122" s="145">
        <v>15</v>
      </c>
      <c r="AK122" s="307"/>
      <c r="AL122" s="131">
        <v>648</v>
      </c>
      <c r="AM122" s="145"/>
      <c r="AN122" s="307"/>
      <c r="AO122" s="131">
        <v>511</v>
      </c>
      <c r="AP122" s="145">
        <v>50</v>
      </c>
      <c r="AQ122" s="307"/>
      <c r="AR122" s="131"/>
      <c r="AS122" s="145"/>
      <c r="AT122" s="307"/>
      <c r="AU122" s="131">
        <v>232</v>
      </c>
      <c r="AV122" s="145">
        <v>55</v>
      </c>
      <c r="AW122" s="307"/>
      <c r="AX122" s="131">
        <v>1479</v>
      </c>
      <c r="AY122" s="145">
        <v>25</v>
      </c>
      <c r="AZ122" s="307"/>
      <c r="BA122" s="131">
        <v>2250</v>
      </c>
      <c r="BB122" s="145">
        <v>25</v>
      </c>
      <c r="BC122" s="307"/>
      <c r="BD122" s="131">
        <v>6756</v>
      </c>
      <c r="BE122" s="145">
        <v>90</v>
      </c>
      <c r="BF122" s="307"/>
      <c r="BG122" s="131">
        <v>11566</v>
      </c>
      <c r="BH122" s="145">
        <v>45</v>
      </c>
      <c r="BI122" s="307"/>
    </row>
    <row r="123" spans="1:61" x14ac:dyDescent="0.2">
      <c r="A123" s="533" t="s">
        <v>5105</v>
      </c>
      <c r="B123" s="131">
        <v>2829</v>
      </c>
      <c r="C123" s="145">
        <v>25</v>
      </c>
      <c r="D123" s="307"/>
      <c r="E123" s="131">
        <v>86</v>
      </c>
      <c r="F123" s="145">
        <v>65</v>
      </c>
      <c r="G123" s="307"/>
      <c r="H123" s="131">
        <v>9395</v>
      </c>
      <c r="I123" s="145">
        <v>90</v>
      </c>
      <c r="J123" s="307"/>
      <c r="K123" s="131">
        <v>5884</v>
      </c>
      <c r="L123" s="145">
        <v>85</v>
      </c>
      <c r="M123" s="307"/>
      <c r="N123" s="131">
        <v>6389</v>
      </c>
      <c r="O123" s="145">
        <v>55</v>
      </c>
      <c r="P123" s="307"/>
      <c r="Q123" s="131">
        <v>2685</v>
      </c>
      <c r="R123" s="145">
        <v>15</v>
      </c>
      <c r="S123" s="307"/>
      <c r="T123" s="131">
        <v>16961</v>
      </c>
      <c r="U123" s="145">
        <v>70</v>
      </c>
      <c r="V123" s="307"/>
      <c r="W123" s="131">
        <v>6350</v>
      </c>
      <c r="X123" s="145">
        <v>75</v>
      </c>
      <c r="Y123" s="307"/>
      <c r="Z123" s="131">
        <v>13149</v>
      </c>
      <c r="AA123" s="145"/>
      <c r="AB123" s="307"/>
      <c r="AC123" s="131">
        <v>168</v>
      </c>
      <c r="AD123" s="145"/>
      <c r="AE123" s="307"/>
      <c r="AF123" s="131">
        <v>380</v>
      </c>
      <c r="AG123" s="145">
        <v>40</v>
      </c>
      <c r="AH123" s="307"/>
      <c r="AI123" s="131">
        <v>314</v>
      </c>
      <c r="AJ123" s="145">
        <v>10</v>
      </c>
      <c r="AK123" s="307"/>
      <c r="AL123" s="131">
        <v>330</v>
      </c>
      <c r="AM123" s="145">
        <v>95</v>
      </c>
      <c r="AN123" s="307"/>
      <c r="AO123" s="131">
        <v>468</v>
      </c>
      <c r="AP123" s="145">
        <v>50</v>
      </c>
      <c r="AQ123" s="307"/>
      <c r="AR123" s="131"/>
      <c r="AS123" s="145"/>
      <c r="AT123" s="307"/>
      <c r="AU123" s="131">
        <v>665</v>
      </c>
      <c r="AV123" s="145">
        <v>80</v>
      </c>
      <c r="AW123" s="307"/>
      <c r="AX123" s="131"/>
      <c r="AY123" s="145"/>
      <c r="AZ123" s="307"/>
      <c r="BA123" s="131">
        <v>16225</v>
      </c>
      <c r="BB123" s="145">
        <v>90</v>
      </c>
      <c r="BC123" s="307"/>
      <c r="BD123" s="131">
        <v>491</v>
      </c>
      <c r="BE123" s="145">
        <v>20</v>
      </c>
      <c r="BF123" s="307"/>
      <c r="BG123" s="131">
        <v>81795</v>
      </c>
      <c r="BH123" s="145">
        <v>25</v>
      </c>
      <c r="BI123" s="307"/>
    </row>
    <row r="124" spans="1:61" x14ac:dyDescent="0.2">
      <c r="A124" s="533" t="s">
        <v>4034</v>
      </c>
      <c r="B124" s="131">
        <v>5105</v>
      </c>
      <c r="C124" s="145"/>
      <c r="D124" s="307"/>
      <c r="E124" s="131">
        <v>298</v>
      </c>
      <c r="F124" s="145">
        <v>45</v>
      </c>
      <c r="G124" s="307"/>
      <c r="H124" s="131">
        <v>18980</v>
      </c>
      <c r="I124" s="145">
        <v>50</v>
      </c>
      <c r="J124" s="307"/>
      <c r="K124" s="131">
        <v>2036</v>
      </c>
      <c r="L124" s="145">
        <v>60</v>
      </c>
      <c r="M124" s="307"/>
      <c r="N124" s="131">
        <v>4150</v>
      </c>
      <c r="O124" s="145">
        <v>40</v>
      </c>
      <c r="P124" s="307"/>
      <c r="Q124" s="131">
        <v>2793</v>
      </c>
      <c r="R124" s="145">
        <v>50</v>
      </c>
      <c r="S124" s="307"/>
      <c r="T124" s="131">
        <v>1078</v>
      </c>
      <c r="U124" s="145">
        <v>75</v>
      </c>
      <c r="V124" s="307"/>
      <c r="W124" s="131">
        <v>710</v>
      </c>
      <c r="X124" s="145">
        <v>50</v>
      </c>
      <c r="Y124" s="307"/>
      <c r="Z124" s="131">
        <v>846</v>
      </c>
      <c r="AA124" s="145">
        <v>85</v>
      </c>
      <c r="AB124" s="307"/>
      <c r="AC124" s="131">
        <v>14</v>
      </c>
      <c r="AD124" s="145"/>
      <c r="AE124" s="307"/>
      <c r="AF124" s="131">
        <v>61</v>
      </c>
      <c r="AG124" s="145"/>
      <c r="AH124" s="307"/>
      <c r="AI124" s="131">
        <v>90</v>
      </c>
      <c r="AJ124" s="145">
        <v>70</v>
      </c>
      <c r="AK124" s="307"/>
      <c r="AL124" s="131">
        <v>673</v>
      </c>
      <c r="AM124" s="145">
        <v>55</v>
      </c>
      <c r="AN124" s="307"/>
      <c r="AO124" s="131">
        <v>199</v>
      </c>
      <c r="AP124" s="145">
        <v>20</v>
      </c>
      <c r="AQ124" s="307"/>
      <c r="AR124" s="131">
        <v>3</v>
      </c>
      <c r="AS124" s="145"/>
      <c r="AT124" s="307"/>
      <c r="AU124" s="131">
        <v>696</v>
      </c>
      <c r="AV124" s="145">
        <v>45</v>
      </c>
      <c r="AW124" s="307"/>
      <c r="AX124" s="131">
        <v>6158</v>
      </c>
      <c r="AY124" s="145">
        <v>40</v>
      </c>
      <c r="AZ124" s="307"/>
      <c r="BA124" s="131">
        <v>10701</v>
      </c>
      <c r="BB124" s="145">
        <v>10</v>
      </c>
      <c r="BC124" s="307"/>
      <c r="BD124" s="131">
        <v>396</v>
      </c>
      <c r="BE124" s="145">
        <v>95</v>
      </c>
      <c r="BF124" s="307"/>
      <c r="BG124" s="131">
        <v>54201</v>
      </c>
      <c r="BH124" s="145"/>
      <c r="BI124" s="307"/>
    </row>
    <row r="125" spans="1:61" x14ac:dyDescent="0.2">
      <c r="A125" s="533" t="s">
        <v>1527</v>
      </c>
      <c r="B125" s="131">
        <v>821</v>
      </c>
      <c r="C125" s="145">
        <v>80</v>
      </c>
      <c r="D125" s="307"/>
      <c r="E125" s="131">
        <v>541</v>
      </c>
      <c r="F125" s="145">
        <v>45</v>
      </c>
      <c r="G125" s="307"/>
      <c r="H125" s="131">
        <v>11875</v>
      </c>
      <c r="I125" s="145">
        <v>5</v>
      </c>
      <c r="J125" s="307"/>
      <c r="K125" s="131">
        <v>9261</v>
      </c>
      <c r="L125" s="145">
        <v>40</v>
      </c>
      <c r="M125" s="307"/>
      <c r="N125" s="131">
        <v>18151</v>
      </c>
      <c r="O125" s="145"/>
      <c r="P125" s="307"/>
      <c r="Q125" s="131">
        <v>3921</v>
      </c>
      <c r="R125" s="145"/>
      <c r="S125" s="307"/>
      <c r="T125" s="131">
        <v>35059</v>
      </c>
      <c r="U125" s="145">
        <v>20</v>
      </c>
      <c r="V125" s="307"/>
      <c r="W125" s="131">
        <v>17380</v>
      </c>
      <c r="X125" s="145"/>
      <c r="Y125" s="307"/>
      <c r="Z125" s="131">
        <v>52632</v>
      </c>
      <c r="AA125" s="145"/>
      <c r="AB125" s="307"/>
      <c r="AC125" s="131">
        <v>955</v>
      </c>
      <c r="AD125" s="145">
        <v>50</v>
      </c>
      <c r="AE125" s="307"/>
      <c r="AF125" s="131">
        <v>3200</v>
      </c>
      <c r="AG125" s="145">
        <v>80</v>
      </c>
      <c r="AH125" s="307"/>
      <c r="AI125" s="131">
        <v>11780</v>
      </c>
      <c r="AJ125" s="145">
        <v>10</v>
      </c>
      <c r="AK125" s="307"/>
      <c r="AL125" s="131">
        <v>8393</v>
      </c>
      <c r="AM125" s="145"/>
      <c r="AN125" s="307"/>
      <c r="AO125" s="131">
        <v>9999</v>
      </c>
      <c r="AP125" s="145">
        <v>60</v>
      </c>
      <c r="AQ125" s="307"/>
      <c r="AR125" s="131">
        <v>250</v>
      </c>
      <c r="AS125" s="145">
        <v>40</v>
      </c>
      <c r="AT125" s="307"/>
      <c r="AU125" s="131">
        <v>5949</v>
      </c>
      <c r="AV125" s="145">
        <v>15</v>
      </c>
      <c r="AW125" s="307"/>
      <c r="AX125" s="131">
        <v>20339</v>
      </c>
      <c r="AY125" s="145">
        <v>40</v>
      </c>
      <c r="AZ125" s="307"/>
      <c r="BA125" s="131">
        <v>26190</v>
      </c>
      <c r="BB125" s="145">
        <v>65</v>
      </c>
      <c r="BC125" s="307"/>
      <c r="BD125" s="131">
        <v>100022</v>
      </c>
      <c r="BE125" s="145"/>
      <c r="BF125" s="307"/>
      <c r="BG125" s="131">
        <v>136679</v>
      </c>
      <c r="BH125" s="145">
        <v>50</v>
      </c>
      <c r="BI125" s="307"/>
    </row>
    <row r="126" spans="1:61" x14ac:dyDescent="0.2">
      <c r="A126" s="785" t="s">
        <v>5228</v>
      </c>
      <c r="B126" s="240">
        <v>149846</v>
      </c>
      <c r="C126" s="318">
        <v>24</v>
      </c>
      <c r="D126" s="513"/>
      <c r="E126" s="240">
        <v>30617</v>
      </c>
      <c r="F126" s="318">
        <v>72</v>
      </c>
      <c r="G126" s="513"/>
      <c r="H126" s="240">
        <v>958175</v>
      </c>
      <c r="I126" s="318">
        <v>50</v>
      </c>
      <c r="J126" s="513"/>
      <c r="K126" s="240">
        <v>383694</v>
      </c>
      <c r="L126" s="318">
        <v>50</v>
      </c>
      <c r="M126" s="513"/>
      <c r="N126" s="240">
        <v>564446</v>
      </c>
      <c r="O126" s="318">
        <v>20</v>
      </c>
      <c r="P126" s="513"/>
      <c r="Q126" s="240">
        <v>187479</v>
      </c>
      <c r="R126" s="318">
        <v>40</v>
      </c>
      <c r="S126" s="513"/>
      <c r="T126" s="240">
        <v>637632</v>
      </c>
      <c r="U126" s="318">
        <v>5</v>
      </c>
      <c r="V126" s="513"/>
      <c r="W126" s="240">
        <v>622886</v>
      </c>
      <c r="X126" s="318">
        <v>60</v>
      </c>
      <c r="Y126" s="513"/>
      <c r="Z126" s="240">
        <v>1362775</v>
      </c>
      <c r="AA126" s="318">
        <v>90</v>
      </c>
      <c r="AB126" s="513"/>
      <c r="AC126" s="240">
        <v>43199</v>
      </c>
      <c r="AD126" s="318">
        <v>20</v>
      </c>
      <c r="AE126" s="513"/>
      <c r="AF126" s="240">
        <v>140169</v>
      </c>
      <c r="AG126" s="318">
        <v>55</v>
      </c>
      <c r="AH126" s="513"/>
      <c r="AI126" s="240">
        <v>273550</v>
      </c>
      <c r="AJ126" s="318">
        <v>30</v>
      </c>
      <c r="AK126" s="513"/>
      <c r="AL126" s="240">
        <v>379801</v>
      </c>
      <c r="AM126" s="318"/>
      <c r="AN126" s="513"/>
      <c r="AO126" s="240">
        <v>275782</v>
      </c>
      <c r="AP126" s="318">
        <v>50</v>
      </c>
      <c r="AQ126" s="513"/>
      <c r="AR126" s="240">
        <v>6395</v>
      </c>
      <c r="AS126" s="318">
        <v>65</v>
      </c>
      <c r="AT126" s="513"/>
      <c r="AU126" s="240">
        <v>174962</v>
      </c>
      <c r="AV126" s="318">
        <v>55</v>
      </c>
      <c r="AW126" s="513"/>
      <c r="AX126" s="240">
        <v>148212</v>
      </c>
      <c r="AY126" s="318"/>
      <c r="AZ126" s="513"/>
      <c r="BA126" s="240">
        <v>1462339</v>
      </c>
      <c r="BB126" s="318">
        <v>80</v>
      </c>
      <c r="BC126" s="513"/>
      <c r="BD126" s="240">
        <v>196153</v>
      </c>
      <c r="BE126" s="318">
        <v>75</v>
      </c>
      <c r="BF126" s="513"/>
      <c r="BG126" s="240">
        <v>7605812</v>
      </c>
      <c r="BH126" s="318">
        <v>81</v>
      </c>
      <c r="BI126" s="513"/>
    </row>
    <row r="127" spans="1:61" x14ac:dyDescent="0.2">
      <c r="A127" s="622"/>
      <c r="B127" s="1145">
        <f>+SUM(B116:B125)</f>
        <v>149842</v>
      </c>
      <c r="C127" s="1145">
        <f t="shared" ref="C127:BI127" si="5">+SUM(C116:C125)</f>
        <v>424</v>
      </c>
      <c r="D127" s="1145">
        <f t="shared" si="5"/>
        <v>0</v>
      </c>
      <c r="E127" s="1145">
        <f t="shared" si="5"/>
        <v>30612</v>
      </c>
      <c r="F127" s="1145">
        <f t="shared" si="5"/>
        <v>572</v>
      </c>
      <c r="G127" s="1145">
        <f t="shared" si="5"/>
        <v>0</v>
      </c>
      <c r="H127" s="1145">
        <f t="shared" si="5"/>
        <v>958170</v>
      </c>
      <c r="I127" s="1145">
        <f t="shared" si="5"/>
        <v>540</v>
      </c>
      <c r="J127" s="1145">
        <f t="shared" si="5"/>
        <v>0</v>
      </c>
      <c r="K127" s="1145">
        <f t="shared" si="5"/>
        <v>383689</v>
      </c>
      <c r="L127" s="1145">
        <f t="shared" si="5"/>
        <v>550</v>
      </c>
      <c r="M127" s="1145">
        <f t="shared" si="5"/>
        <v>0</v>
      </c>
      <c r="N127" s="1145">
        <f t="shared" si="5"/>
        <v>564442</v>
      </c>
      <c r="O127" s="1145">
        <f t="shared" si="5"/>
        <v>410</v>
      </c>
      <c r="P127" s="1145">
        <f t="shared" si="5"/>
        <v>0</v>
      </c>
      <c r="Q127" s="1145">
        <f t="shared" si="5"/>
        <v>187476</v>
      </c>
      <c r="R127" s="1145">
        <f t="shared" si="5"/>
        <v>340</v>
      </c>
      <c r="S127" s="1145">
        <f t="shared" si="5"/>
        <v>0</v>
      </c>
      <c r="T127" s="1145">
        <f t="shared" si="5"/>
        <v>637628</v>
      </c>
      <c r="U127" s="1147">
        <f t="shared" si="5"/>
        <v>395</v>
      </c>
      <c r="V127" s="1145">
        <f t="shared" si="5"/>
        <v>0</v>
      </c>
      <c r="W127" s="1145">
        <f t="shared" si="5"/>
        <v>622883</v>
      </c>
      <c r="X127" s="1145">
        <f t="shared" si="5"/>
        <v>360</v>
      </c>
      <c r="Y127" s="1145">
        <f t="shared" si="5"/>
        <v>0</v>
      </c>
      <c r="Z127" s="1145">
        <f t="shared" si="5"/>
        <v>1362773</v>
      </c>
      <c r="AA127" s="1145">
        <f t="shared" si="5"/>
        <v>290</v>
      </c>
      <c r="AB127" s="1145">
        <f t="shared" si="5"/>
        <v>0</v>
      </c>
      <c r="AC127" s="1145">
        <f t="shared" si="5"/>
        <v>43196</v>
      </c>
      <c r="AD127" s="1145">
        <f t="shared" si="5"/>
        <v>320</v>
      </c>
      <c r="AE127" s="1145">
        <f t="shared" si="5"/>
        <v>0</v>
      </c>
      <c r="AF127" s="1145">
        <f t="shared" si="5"/>
        <v>140165</v>
      </c>
      <c r="AG127" s="1145">
        <f t="shared" si="5"/>
        <v>455</v>
      </c>
      <c r="AH127" s="1145">
        <f t="shared" si="5"/>
        <v>0</v>
      </c>
      <c r="AI127" s="1145">
        <f t="shared" si="5"/>
        <v>273546</v>
      </c>
      <c r="AJ127" s="1145">
        <f t="shared" si="5"/>
        <v>430</v>
      </c>
      <c r="AK127" s="1145">
        <f t="shared" si="5"/>
        <v>0</v>
      </c>
      <c r="AL127" s="1145">
        <f t="shared" si="5"/>
        <v>379799</v>
      </c>
      <c r="AM127" s="1145">
        <f t="shared" si="5"/>
        <v>200</v>
      </c>
      <c r="AN127" s="1145">
        <f t="shared" si="5"/>
        <v>0</v>
      </c>
      <c r="AO127" s="1145">
        <f t="shared" si="5"/>
        <v>275779</v>
      </c>
      <c r="AP127" s="1145">
        <f t="shared" si="5"/>
        <v>350</v>
      </c>
      <c r="AQ127" s="1145">
        <f t="shared" si="5"/>
        <v>0</v>
      </c>
      <c r="AR127" s="1145">
        <f t="shared" si="5"/>
        <v>6395</v>
      </c>
      <c r="AS127" s="1145">
        <f t="shared" si="5"/>
        <v>65</v>
      </c>
      <c r="AT127" s="1145">
        <f t="shared" si="5"/>
        <v>0</v>
      </c>
      <c r="AU127" s="1145">
        <f t="shared" si="5"/>
        <v>174958</v>
      </c>
      <c r="AV127" s="1145">
        <f t="shared" si="5"/>
        <v>455</v>
      </c>
      <c r="AW127" s="1145">
        <f t="shared" si="5"/>
        <v>0</v>
      </c>
      <c r="AX127" s="1145">
        <f t="shared" si="5"/>
        <v>148197</v>
      </c>
      <c r="AY127" s="1145">
        <f t="shared" si="5"/>
        <v>500</v>
      </c>
      <c r="AZ127" s="1145">
        <f t="shared" si="5"/>
        <v>0</v>
      </c>
      <c r="BA127" s="1145">
        <f t="shared" si="5"/>
        <v>1462334</v>
      </c>
      <c r="BB127" s="1145">
        <f t="shared" si="5"/>
        <v>580</v>
      </c>
      <c r="BC127" s="1145">
        <f t="shared" si="5"/>
        <v>0</v>
      </c>
      <c r="BD127" s="1145">
        <f t="shared" si="5"/>
        <v>196150</v>
      </c>
      <c r="BE127" s="1145">
        <f t="shared" si="5"/>
        <v>375</v>
      </c>
      <c r="BF127" s="1145">
        <f t="shared" si="5"/>
        <v>0</v>
      </c>
      <c r="BG127" s="1145">
        <f t="shared" si="5"/>
        <v>7605809</v>
      </c>
      <c r="BH127" s="1145">
        <f t="shared" si="5"/>
        <v>381</v>
      </c>
      <c r="BI127" s="1145">
        <f t="shared" si="5"/>
        <v>0</v>
      </c>
    </row>
    <row r="128" spans="1:61" x14ac:dyDescent="0.2">
      <c r="A128" s="1148" t="s">
        <v>5249</v>
      </c>
      <c r="B128" s="1149"/>
      <c r="C128" s="1149"/>
      <c r="D128" s="1149"/>
      <c r="E128" s="1149"/>
      <c r="F128" s="1149"/>
      <c r="G128" s="1149"/>
      <c r="H128" s="1149"/>
      <c r="I128" s="1149"/>
      <c r="J128" s="1149"/>
      <c r="K128" s="1149"/>
      <c r="L128" s="1149"/>
      <c r="M128" s="1149"/>
      <c r="N128" s="1149"/>
      <c r="O128" s="1149"/>
      <c r="P128" s="1149"/>
      <c r="Q128" s="1149"/>
      <c r="R128" s="1149"/>
      <c r="S128" s="1149"/>
      <c r="T128" s="1149"/>
      <c r="U128" s="1149"/>
      <c r="V128" s="1149"/>
      <c r="W128" s="1149"/>
      <c r="X128" s="1149"/>
      <c r="Y128" s="1149"/>
      <c r="Z128" s="1149"/>
      <c r="AA128" s="1149"/>
      <c r="AB128" s="1149"/>
      <c r="AC128" s="1149"/>
      <c r="AD128" s="1149"/>
      <c r="AE128" s="1149"/>
      <c r="AF128" s="1149"/>
      <c r="AG128" s="1149"/>
      <c r="AH128" s="1149"/>
      <c r="AI128" s="1149"/>
      <c r="AJ128" s="1149"/>
      <c r="AK128" s="1149"/>
      <c r="AL128" s="1149"/>
      <c r="AM128" s="1149"/>
      <c r="AN128" s="1149"/>
      <c r="AO128" s="1149"/>
      <c r="AP128" s="1149"/>
      <c r="AQ128" s="1149"/>
      <c r="AR128" s="1149"/>
      <c r="AS128" s="1149"/>
      <c r="AT128" s="1149"/>
      <c r="AU128" s="1149"/>
      <c r="AV128" s="1149"/>
      <c r="AW128" s="1149"/>
      <c r="AX128" s="1149"/>
      <c r="AY128" s="1149"/>
      <c r="AZ128" s="1149"/>
      <c r="BA128" s="1149"/>
      <c r="BB128" s="1149"/>
      <c r="BC128" s="1149"/>
      <c r="BD128" s="1149"/>
      <c r="BE128" s="1149"/>
      <c r="BF128" s="1149"/>
      <c r="BG128" s="1149"/>
      <c r="BH128" s="1149"/>
      <c r="BI128" s="1150"/>
    </row>
    <row r="129" spans="1:61" x14ac:dyDescent="0.2">
      <c r="A129" s="588" t="s">
        <v>5250</v>
      </c>
      <c r="B129" s="589"/>
      <c r="C129" s="589"/>
      <c r="D129" s="589"/>
      <c r="E129" s="589"/>
      <c r="F129" s="589"/>
      <c r="G129" s="589"/>
      <c r="H129" s="589"/>
      <c r="I129" s="589"/>
      <c r="J129" s="589"/>
      <c r="K129" s="589"/>
      <c r="L129" s="589"/>
      <c r="M129" s="589"/>
      <c r="N129" s="589"/>
      <c r="O129" s="589"/>
      <c r="P129" s="589"/>
      <c r="Q129" s="589"/>
      <c r="R129" s="589"/>
      <c r="S129" s="589"/>
      <c r="T129" s="589"/>
      <c r="U129" s="589"/>
      <c r="V129" s="589"/>
      <c r="W129" s="589"/>
      <c r="X129" s="589"/>
      <c r="Y129" s="589"/>
      <c r="Z129" s="589"/>
      <c r="AA129" s="589"/>
      <c r="AB129" s="589"/>
      <c r="AC129" s="589"/>
      <c r="AD129" s="589"/>
      <c r="AE129" s="589"/>
      <c r="AF129" s="589"/>
      <c r="AG129" s="589"/>
      <c r="AH129" s="589"/>
      <c r="AI129" s="589"/>
      <c r="AJ129" s="589"/>
      <c r="AK129" s="589"/>
      <c r="AL129" s="589"/>
      <c r="AM129" s="589"/>
      <c r="AN129" s="589"/>
      <c r="AO129" s="589"/>
      <c r="AP129" s="589"/>
      <c r="AQ129" s="589"/>
      <c r="AR129" s="589"/>
      <c r="AS129" s="589"/>
      <c r="AT129" s="589"/>
      <c r="AU129" s="589"/>
      <c r="AV129" s="589"/>
      <c r="AW129" s="589"/>
      <c r="AX129" s="589"/>
      <c r="AY129" s="589"/>
      <c r="AZ129" s="589"/>
      <c r="BA129" s="589"/>
      <c r="BB129" s="589"/>
      <c r="BC129" s="589"/>
      <c r="BD129" s="589"/>
      <c r="BE129" s="589"/>
      <c r="BF129" s="589"/>
      <c r="BG129" s="589"/>
      <c r="BH129" s="589"/>
      <c r="BI129" s="800"/>
    </row>
    <row r="130" spans="1:61" x14ac:dyDescent="0.2">
      <c r="A130" s="940" t="s">
        <v>5251</v>
      </c>
      <c r="B130" s="941"/>
      <c r="C130" s="941"/>
      <c r="D130" s="941"/>
      <c r="E130" s="941"/>
      <c r="F130" s="941"/>
      <c r="G130" s="941"/>
      <c r="H130" s="941"/>
      <c r="I130" s="941"/>
      <c r="J130" s="941"/>
      <c r="K130" s="941"/>
      <c r="L130" s="941"/>
      <c r="M130" s="941"/>
      <c r="N130" s="941"/>
      <c r="O130" s="941"/>
      <c r="P130" s="941"/>
      <c r="Q130" s="941"/>
      <c r="R130" s="941"/>
      <c r="S130" s="941"/>
      <c r="T130" s="941"/>
      <c r="U130" s="941"/>
      <c r="V130" s="941"/>
      <c r="W130" s="941"/>
      <c r="X130" s="941"/>
      <c r="Y130" s="941"/>
      <c r="Z130" s="941"/>
      <c r="AA130" s="941"/>
      <c r="AB130" s="941"/>
      <c r="AC130" s="941"/>
      <c r="AD130" s="941"/>
      <c r="AE130" s="941"/>
      <c r="AF130" s="941"/>
      <c r="AG130" s="941"/>
      <c r="AH130" s="941"/>
      <c r="AI130" s="941"/>
      <c r="AJ130" s="941"/>
      <c r="AK130" s="941"/>
      <c r="AL130" s="941"/>
      <c r="AM130" s="941"/>
      <c r="AN130" s="941"/>
      <c r="AO130" s="941"/>
      <c r="AP130" s="941"/>
      <c r="AQ130" s="941"/>
      <c r="AR130" s="941"/>
      <c r="AS130" s="941"/>
      <c r="AT130" s="941"/>
      <c r="AU130" s="941"/>
      <c r="AV130" s="941"/>
      <c r="AW130" s="941"/>
      <c r="AX130" s="941"/>
      <c r="AY130" s="941"/>
      <c r="AZ130" s="941"/>
      <c r="BA130" s="941"/>
      <c r="BB130" s="941"/>
      <c r="BC130" s="941"/>
      <c r="BD130" s="941"/>
      <c r="BE130" s="941"/>
      <c r="BF130" s="941"/>
      <c r="BG130" s="941"/>
      <c r="BH130" s="941"/>
      <c r="BI130" s="1151"/>
    </row>
  </sheetData>
  <mergeCells count="187">
    <mergeCell ref="A128:BI128"/>
    <mergeCell ref="A129:BI129"/>
    <mergeCell ref="A130:BI130"/>
    <mergeCell ref="AS115:AT115"/>
    <mergeCell ref="AV115:AW115"/>
    <mergeCell ref="AY115:AZ115"/>
    <mergeCell ref="BB115:BC115"/>
    <mergeCell ref="BE115:BF115"/>
    <mergeCell ref="BH115:BI115"/>
    <mergeCell ref="AA115:AB115"/>
    <mergeCell ref="AD115:AE115"/>
    <mergeCell ref="AG115:AH115"/>
    <mergeCell ref="AJ115:AK115"/>
    <mergeCell ref="AM115:AN115"/>
    <mergeCell ref="AP115:AQ115"/>
    <mergeCell ref="BD114:BF114"/>
    <mergeCell ref="BG114:BI114"/>
    <mergeCell ref="C115:D115"/>
    <mergeCell ref="F115:G115"/>
    <mergeCell ref="I115:J115"/>
    <mergeCell ref="L115:M115"/>
    <mergeCell ref="O115:P115"/>
    <mergeCell ref="R115:S115"/>
    <mergeCell ref="U115:V115"/>
    <mergeCell ref="X115:Y115"/>
    <mergeCell ref="AL114:AN114"/>
    <mergeCell ref="AO114:AQ114"/>
    <mergeCell ref="AR114:AT114"/>
    <mergeCell ref="AU114:AW114"/>
    <mergeCell ref="AX114:AZ114"/>
    <mergeCell ref="BA114:BC114"/>
    <mergeCell ref="T114:V114"/>
    <mergeCell ref="W114:Y114"/>
    <mergeCell ref="Z114:AB114"/>
    <mergeCell ref="AC114:AE114"/>
    <mergeCell ref="AF114:AH114"/>
    <mergeCell ref="AI114:AK114"/>
    <mergeCell ref="A107:BO107"/>
    <mergeCell ref="A112:BI112"/>
    <mergeCell ref="A113:A115"/>
    <mergeCell ref="B113:BI113"/>
    <mergeCell ref="B114:D114"/>
    <mergeCell ref="E114:G114"/>
    <mergeCell ref="H114:J114"/>
    <mergeCell ref="K114:M114"/>
    <mergeCell ref="N114:P114"/>
    <mergeCell ref="Q114:S114"/>
    <mergeCell ref="BE92:BF92"/>
    <mergeCell ref="BH92:BI92"/>
    <mergeCell ref="BK92:BL92"/>
    <mergeCell ref="BN92:BO92"/>
    <mergeCell ref="A105:BO105"/>
    <mergeCell ref="A106:BO106"/>
    <mergeCell ref="AM92:AN92"/>
    <mergeCell ref="AP92:AQ92"/>
    <mergeCell ref="AS92:AT92"/>
    <mergeCell ref="AV92:AW92"/>
    <mergeCell ref="AY92:AZ92"/>
    <mergeCell ref="BB92:BC92"/>
    <mergeCell ref="U92:V92"/>
    <mergeCell ref="X92:Y92"/>
    <mergeCell ref="AA92:AB92"/>
    <mergeCell ref="AD92:AE92"/>
    <mergeCell ref="AG92:AH92"/>
    <mergeCell ref="AJ92:AK92"/>
    <mergeCell ref="BD91:BF91"/>
    <mergeCell ref="BG91:BI91"/>
    <mergeCell ref="BJ91:BL91"/>
    <mergeCell ref="BM91:BO91"/>
    <mergeCell ref="C92:D92"/>
    <mergeCell ref="F92:G92"/>
    <mergeCell ref="I92:J92"/>
    <mergeCell ref="L92:M92"/>
    <mergeCell ref="O92:P92"/>
    <mergeCell ref="R92:S92"/>
    <mergeCell ref="AL91:AN91"/>
    <mergeCell ref="AO91:AQ91"/>
    <mergeCell ref="AR91:AT91"/>
    <mergeCell ref="AU91:AW91"/>
    <mergeCell ref="AX91:AZ91"/>
    <mergeCell ref="BA91:BC91"/>
    <mergeCell ref="T91:V91"/>
    <mergeCell ref="W91:Y91"/>
    <mergeCell ref="Z91:AB91"/>
    <mergeCell ref="AC91:AE91"/>
    <mergeCell ref="AF91:AH91"/>
    <mergeCell ref="AI91:AK91"/>
    <mergeCell ref="A84:BB84"/>
    <mergeCell ref="A89:BO89"/>
    <mergeCell ref="A90:A92"/>
    <mergeCell ref="B90:BO90"/>
    <mergeCell ref="B91:D91"/>
    <mergeCell ref="E91:G91"/>
    <mergeCell ref="H91:J91"/>
    <mergeCell ref="K91:M91"/>
    <mergeCell ref="N91:P91"/>
    <mergeCell ref="Q91:S91"/>
    <mergeCell ref="AZ66:BA66"/>
    <mergeCell ref="A79:BF79"/>
    <mergeCell ref="A80:BF80"/>
    <mergeCell ref="A81:BB81"/>
    <mergeCell ref="A82:BB82"/>
    <mergeCell ref="A83:BB83"/>
    <mergeCell ref="AL65:AM65"/>
    <mergeCell ref="AN65:AO65"/>
    <mergeCell ref="AP65:AQ65"/>
    <mergeCell ref="AR65:AS65"/>
    <mergeCell ref="AT65:AU65"/>
    <mergeCell ref="AV65:AW65"/>
    <mergeCell ref="Z65:AA65"/>
    <mergeCell ref="AB65:AC65"/>
    <mergeCell ref="AD65:AE65"/>
    <mergeCell ref="AF65:AG65"/>
    <mergeCell ref="AH65:AI65"/>
    <mergeCell ref="AJ65:AK65"/>
    <mergeCell ref="N65:O65"/>
    <mergeCell ref="P65:Q65"/>
    <mergeCell ref="R65:S65"/>
    <mergeCell ref="T65:U65"/>
    <mergeCell ref="V65:W65"/>
    <mergeCell ref="X65:Y65"/>
    <mergeCell ref="AN64:AW64"/>
    <mergeCell ref="AY64:BA65"/>
    <mergeCell ref="BB64:BC65"/>
    <mergeCell ref="BD64:BE65"/>
    <mergeCell ref="BF64:BG65"/>
    <mergeCell ref="D65:E65"/>
    <mergeCell ref="F65:G65"/>
    <mergeCell ref="H65:I65"/>
    <mergeCell ref="J65:K65"/>
    <mergeCell ref="L65:M65"/>
    <mergeCell ref="A62:BG62"/>
    <mergeCell ref="A63:A66"/>
    <mergeCell ref="B63:C63"/>
    <mergeCell ref="D63:AW63"/>
    <mergeCell ref="AX63:AX65"/>
    <mergeCell ref="AY63:BC63"/>
    <mergeCell ref="BD63:BG63"/>
    <mergeCell ref="B64:B65"/>
    <mergeCell ref="C64:C65"/>
    <mergeCell ref="D64:AM64"/>
    <mergeCell ref="AP42:AQ42"/>
    <mergeCell ref="AR42:AS42"/>
    <mergeCell ref="AT42:AU42"/>
    <mergeCell ref="AV42:AW42"/>
    <mergeCell ref="A56:BB56"/>
    <mergeCell ref="A57:BB57"/>
    <mergeCell ref="AD42:AE42"/>
    <mergeCell ref="AF42:AG42"/>
    <mergeCell ref="AH42:AI42"/>
    <mergeCell ref="AJ42:AK42"/>
    <mergeCell ref="AL42:AM42"/>
    <mergeCell ref="AN42:AO42"/>
    <mergeCell ref="R42:S42"/>
    <mergeCell ref="T42:U42"/>
    <mergeCell ref="V42:W42"/>
    <mergeCell ref="X42:Y42"/>
    <mergeCell ref="Z42:AA42"/>
    <mergeCell ref="AB42:AC42"/>
    <mergeCell ref="AN41:AW41"/>
    <mergeCell ref="AY41:AZ42"/>
    <mergeCell ref="BA41:BB42"/>
    <mergeCell ref="D42:E42"/>
    <mergeCell ref="F42:G42"/>
    <mergeCell ref="H42:I42"/>
    <mergeCell ref="J42:K42"/>
    <mergeCell ref="L42:M42"/>
    <mergeCell ref="N42:O42"/>
    <mergeCell ref="P42:Q42"/>
    <mergeCell ref="A35:N35"/>
    <mergeCell ref="A39:BB39"/>
    <mergeCell ref="A40:A43"/>
    <mergeCell ref="B40:C40"/>
    <mergeCell ref="D40:AW40"/>
    <mergeCell ref="AX40:AX42"/>
    <mergeCell ref="AY40:BB40"/>
    <mergeCell ref="B41:B42"/>
    <mergeCell ref="C41:C42"/>
    <mergeCell ref="D41:AM41"/>
    <mergeCell ref="A4:N4"/>
    <mergeCell ref="A5:A6"/>
    <mergeCell ref="B5:B6"/>
    <mergeCell ref="C5:K5"/>
    <mergeCell ref="L5:N6"/>
    <mergeCell ref="C6:E6"/>
    <mergeCell ref="F6:H6"/>
    <mergeCell ref="I6:K6"/>
  </mergeCells>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U210"/>
  <sheetViews>
    <sheetView topLeftCell="D87" workbookViewId="0">
      <selection activeCell="B1" sqref="B1"/>
    </sheetView>
  </sheetViews>
  <sheetFormatPr baseColWidth="10" defaultRowHeight="15" x14ac:dyDescent="0.2"/>
  <cols>
    <col min="1" max="1" width="43.1640625" style="107" customWidth="1"/>
    <col min="2" max="2" width="11.83203125" style="107" customWidth="1"/>
    <col min="3" max="3" width="12.1640625" style="107" customWidth="1"/>
    <col min="4" max="4" width="10.33203125" style="107" customWidth="1"/>
    <col min="5" max="5" width="15.1640625" style="107" customWidth="1"/>
    <col min="6" max="6" width="5.83203125" style="107" customWidth="1"/>
    <col min="7" max="7" width="10.1640625" style="107" customWidth="1"/>
    <col min="8" max="8" width="10.83203125" style="107" customWidth="1"/>
    <col min="9" max="9" width="7.6640625" style="107" customWidth="1"/>
    <col min="10" max="10" width="10.33203125" style="107" customWidth="1"/>
    <col min="11" max="11" width="10.83203125" style="107" customWidth="1"/>
    <col min="12" max="12" width="9.1640625" style="107" customWidth="1"/>
    <col min="13" max="13" width="10.33203125" style="107" customWidth="1"/>
    <col min="14" max="14" width="10.83203125" style="107" customWidth="1"/>
    <col min="15" max="15" width="6.5" style="107" customWidth="1"/>
    <col min="16" max="16" width="10.33203125" style="107" bestFit="1" customWidth="1"/>
    <col min="17" max="17" width="10.83203125" style="107"/>
    <col min="18" max="18" width="6.33203125" style="107" customWidth="1"/>
    <col min="19" max="19" width="10.33203125" style="107" bestFit="1" customWidth="1"/>
    <col min="20" max="16384" width="10.83203125" style="107"/>
  </cols>
  <sheetData>
    <row r="1" spans="1:17" x14ac:dyDescent="0.2">
      <c r="A1" s="972" t="s">
        <v>5252</v>
      </c>
    </row>
    <row r="3" spans="1:17" x14ac:dyDescent="0.2">
      <c r="A3" s="526" t="s">
        <v>1111</v>
      </c>
    </row>
    <row r="4" spans="1:17" ht="36.5" customHeight="1" x14ac:dyDescent="0.2">
      <c r="A4" s="1539" t="s">
        <v>5253</v>
      </c>
      <c r="B4" s="1539"/>
      <c r="C4" s="1539"/>
      <c r="D4" s="1539"/>
      <c r="E4" s="1539"/>
      <c r="F4" s="1539"/>
      <c r="G4" s="1539"/>
      <c r="H4" s="1539"/>
      <c r="I4" s="1539"/>
      <c r="J4" s="1539"/>
      <c r="K4" s="1539"/>
      <c r="L4" s="1539"/>
      <c r="M4" s="1539"/>
    </row>
    <row r="5" spans="1:17" ht="27" customHeight="1" x14ac:dyDescent="0.2">
      <c r="A5" s="751" t="s">
        <v>5254</v>
      </c>
      <c r="B5" s="1540">
        <v>1895</v>
      </c>
      <c r="C5" s="1540"/>
      <c r="D5" s="1540"/>
      <c r="E5" s="1541">
        <v>1896</v>
      </c>
      <c r="F5" s="1541"/>
      <c r="G5" s="1541"/>
      <c r="H5" s="1540" t="s">
        <v>5255</v>
      </c>
      <c r="I5" s="1540"/>
      <c r="J5" s="1540"/>
      <c r="K5" s="1540">
        <v>1897</v>
      </c>
      <c r="L5" s="1540"/>
      <c r="M5" s="1540"/>
    </row>
    <row r="6" spans="1:17" x14ac:dyDescent="0.2">
      <c r="A6" s="716" t="s">
        <v>1174</v>
      </c>
      <c r="B6" s="349">
        <v>10847966</v>
      </c>
      <c r="C6" s="350">
        <v>81</v>
      </c>
      <c r="D6" s="352"/>
      <c r="E6" s="674">
        <v>13919239</v>
      </c>
      <c r="F6" s="916">
        <v>17</v>
      </c>
      <c r="G6" s="917">
        <v>0.5</v>
      </c>
      <c r="H6" s="349">
        <v>24767205</v>
      </c>
      <c r="I6" s="350">
        <v>98</v>
      </c>
      <c r="J6" s="352">
        <v>0.5</v>
      </c>
      <c r="K6" s="349">
        <v>13537301</v>
      </c>
      <c r="L6" s="350">
        <v>45</v>
      </c>
      <c r="M6" s="352">
        <v>0.5</v>
      </c>
    </row>
    <row r="7" spans="1:17" x14ac:dyDescent="0.2">
      <c r="A7" s="533" t="s">
        <v>1569</v>
      </c>
      <c r="B7" s="131">
        <v>1644452</v>
      </c>
      <c r="C7" s="145">
        <v>30</v>
      </c>
      <c r="D7" s="133"/>
      <c r="E7" s="140">
        <v>1702061</v>
      </c>
      <c r="F7" s="141">
        <v>95</v>
      </c>
      <c r="G7" s="142"/>
      <c r="H7" s="131">
        <v>3346514</v>
      </c>
      <c r="I7" s="145">
        <v>25</v>
      </c>
      <c r="J7" s="133"/>
      <c r="K7" s="131">
        <v>1767607</v>
      </c>
      <c r="L7" s="145">
        <v>35</v>
      </c>
      <c r="M7" s="133"/>
    </row>
    <row r="8" spans="1:17" x14ac:dyDescent="0.2">
      <c r="A8" s="533" t="s">
        <v>5256</v>
      </c>
      <c r="B8" s="131">
        <v>1718844</v>
      </c>
      <c r="C8" s="145">
        <v>55</v>
      </c>
      <c r="D8" s="133"/>
      <c r="E8" s="140">
        <v>1115062</v>
      </c>
      <c r="F8" s="141">
        <v>95</v>
      </c>
      <c r="G8" s="142"/>
      <c r="H8" s="131">
        <v>2833907</v>
      </c>
      <c r="I8" s="145">
        <v>50</v>
      </c>
      <c r="J8" s="133"/>
      <c r="K8" s="131">
        <v>78520</v>
      </c>
      <c r="L8" s="145"/>
      <c r="M8" s="133"/>
    </row>
    <row r="9" spans="1:17" x14ac:dyDescent="0.2">
      <c r="A9" s="533" t="s">
        <v>5172</v>
      </c>
      <c r="B9" s="131">
        <v>488161</v>
      </c>
      <c r="C9" s="145"/>
      <c r="D9" s="133"/>
      <c r="E9" s="140">
        <v>557038</v>
      </c>
      <c r="F9" s="141">
        <v>35</v>
      </c>
      <c r="G9" s="142"/>
      <c r="H9" s="131">
        <v>1045199</v>
      </c>
      <c r="I9" s="145">
        <v>35</v>
      </c>
      <c r="J9" s="133"/>
      <c r="K9" s="131">
        <v>733762</v>
      </c>
      <c r="L9" s="145">
        <v>90</v>
      </c>
      <c r="M9" s="133"/>
    </row>
    <row r="10" spans="1:17" x14ac:dyDescent="0.2">
      <c r="A10" s="533" t="s">
        <v>5257</v>
      </c>
      <c r="B10" s="131">
        <v>663126</v>
      </c>
      <c r="C10" s="145">
        <v>12</v>
      </c>
      <c r="D10" s="133">
        <v>0.5</v>
      </c>
      <c r="E10" s="140">
        <v>804751</v>
      </c>
      <c r="F10" s="141">
        <v>75</v>
      </c>
      <c r="G10" s="142"/>
      <c r="H10" s="131">
        <v>1467877</v>
      </c>
      <c r="I10" s="145">
        <v>87</v>
      </c>
      <c r="J10" s="133">
        <v>0.5</v>
      </c>
      <c r="K10" s="131">
        <v>659477</v>
      </c>
      <c r="L10" s="145">
        <v>70</v>
      </c>
      <c r="M10" s="133"/>
    </row>
    <row r="11" spans="1:17" x14ac:dyDescent="0.2">
      <c r="A11" s="533" t="s">
        <v>5258</v>
      </c>
      <c r="B11" s="131"/>
      <c r="C11" s="145"/>
      <c r="D11" s="133"/>
      <c r="E11" s="140"/>
      <c r="F11" s="141"/>
      <c r="G11" s="142"/>
      <c r="H11" s="131"/>
      <c r="I11" s="145"/>
      <c r="J11" s="133"/>
      <c r="K11" s="131">
        <v>320930</v>
      </c>
      <c r="L11" s="145">
        <v>20</v>
      </c>
      <c r="M11" s="133"/>
    </row>
    <row r="12" spans="1:17" x14ac:dyDescent="0.2">
      <c r="A12" s="533" t="s">
        <v>3287</v>
      </c>
      <c r="B12" s="131">
        <v>275771</v>
      </c>
      <c r="C12" s="145">
        <v>20</v>
      </c>
      <c r="D12" s="133"/>
      <c r="E12" s="140">
        <v>389519</v>
      </c>
      <c r="F12" s="141">
        <v>37</v>
      </c>
      <c r="G12" s="142">
        <v>0.5</v>
      </c>
      <c r="H12" s="131">
        <v>665290</v>
      </c>
      <c r="I12" s="145">
        <v>57</v>
      </c>
      <c r="J12" s="133">
        <v>0.5</v>
      </c>
      <c r="K12" s="131">
        <v>310864</v>
      </c>
      <c r="L12" s="145">
        <v>57</v>
      </c>
      <c r="M12" s="133"/>
    </row>
    <row r="13" spans="1:17" x14ac:dyDescent="0.2">
      <c r="A13" s="533" t="s">
        <v>1175</v>
      </c>
      <c r="B13" s="131">
        <v>120430</v>
      </c>
      <c r="C13" s="145">
        <v>36</v>
      </c>
      <c r="D13" s="133"/>
      <c r="E13" s="140">
        <v>242945</v>
      </c>
      <c r="F13" s="141">
        <v>90</v>
      </c>
      <c r="G13" s="142">
        <v>0.5</v>
      </c>
      <c r="H13" s="131">
        <v>363376</v>
      </c>
      <c r="I13" s="145">
        <v>26</v>
      </c>
      <c r="J13" s="133">
        <v>0.5</v>
      </c>
      <c r="K13" s="131">
        <v>230698</v>
      </c>
      <c r="L13" s="145">
        <v>69</v>
      </c>
      <c r="M13" s="133"/>
    </row>
    <row r="14" spans="1:17" x14ac:dyDescent="0.2">
      <c r="A14" s="533" t="s">
        <v>5052</v>
      </c>
      <c r="B14" s="131">
        <v>132513</v>
      </c>
      <c r="C14" s="145"/>
      <c r="D14" s="133"/>
      <c r="E14" s="140">
        <v>175558</v>
      </c>
      <c r="F14" s="141"/>
      <c r="G14" s="142"/>
      <c r="H14" s="131">
        <v>308071</v>
      </c>
      <c r="I14" s="145"/>
      <c r="J14" s="133"/>
      <c r="K14" s="131">
        <v>177957</v>
      </c>
      <c r="L14" s="145"/>
      <c r="M14" s="133"/>
    </row>
    <row r="15" spans="1:17" x14ac:dyDescent="0.2">
      <c r="A15" s="533" t="s">
        <v>5054</v>
      </c>
      <c r="B15" s="131">
        <v>68140</v>
      </c>
      <c r="C15" s="145">
        <v>30</v>
      </c>
      <c r="D15" s="133"/>
      <c r="E15" s="140">
        <v>58462</v>
      </c>
      <c r="F15" s="141">
        <v>25</v>
      </c>
      <c r="G15" s="142"/>
      <c r="H15" s="131">
        <v>126602</v>
      </c>
      <c r="I15" s="145">
        <v>55</v>
      </c>
      <c r="J15" s="133"/>
      <c r="K15" s="131">
        <v>74437</v>
      </c>
      <c r="L15" s="145">
        <v>5</v>
      </c>
      <c r="M15" s="133"/>
      <c r="O15" s="107">
        <v>1895</v>
      </c>
      <c r="P15" s="107">
        <v>1896</v>
      </c>
      <c r="Q15" s="107">
        <v>1897</v>
      </c>
    </row>
    <row r="16" spans="1:17" x14ac:dyDescent="0.2">
      <c r="A16" s="533" t="s">
        <v>5259</v>
      </c>
      <c r="B16" s="131">
        <v>60000</v>
      </c>
      <c r="C16" s="145"/>
      <c r="D16" s="133"/>
      <c r="E16" s="140">
        <v>953031</v>
      </c>
      <c r="F16" s="141">
        <v>90</v>
      </c>
      <c r="G16" s="142"/>
      <c r="H16" s="131">
        <v>1013031</v>
      </c>
      <c r="I16" s="145">
        <v>90</v>
      </c>
      <c r="J16" s="133"/>
      <c r="K16" s="131">
        <v>942589</v>
      </c>
      <c r="L16" s="145">
        <v>55</v>
      </c>
      <c r="M16" s="133"/>
      <c r="O16" s="107">
        <f t="shared" ref="O16" si="0">B16</f>
        <v>60000</v>
      </c>
      <c r="P16" s="107">
        <f t="shared" ref="P16" si="1">E16</f>
        <v>953031</v>
      </c>
      <c r="Q16" s="107">
        <f t="shared" ref="Q16" si="2">K16</f>
        <v>942589</v>
      </c>
    </row>
    <row r="17" spans="1:13" ht="43.25" customHeight="1" x14ac:dyDescent="0.2">
      <c r="A17" s="1451" t="s">
        <v>5260</v>
      </c>
      <c r="B17" s="131">
        <v>25000</v>
      </c>
      <c r="C17" s="145"/>
      <c r="D17" s="133"/>
      <c r="E17" s="140">
        <v>25000</v>
      </c>
      <c r="F17" s="141"/>
      <c r="G17" s="142"/>
      <c r="H17" s="131">
        <v>50000</v>
      </c>
      <c r="I17" s="145"/>
      <c r="J17" s="133"/>
      <c r="K17" s="131">
        <v>25000</v>
      </c>
      <c r="L17" s="145"/>
      <c r="M17" s="133"/>
    </row>
    <row r="18" spans="1:13" x14ac:dyDescent="0.2">
      <c r="A18" s="533" t="s">
        <v>5261</v>
      </c>
      <c r="B18" s="131">
        <v>17286</v>
      </c>
      <c r="C18" s="145">
        <v>25</v>
      </c>
      <c r="D18" s="133"/>
      <c r="E18" s="140"/>
      <c r="F18" s="141"/>
      <c r="G18" s="142"/>
      <c r="H18" s="131">
        <v>17286</v>
      </c>
      <c r="I18" s="145">
        <v>25</v>
      </c>
      <c r="J18" s="133"/>
      <c r="K18" s="131">
        <v>145693</v>
      </c>
      <c r="L18" s="145">
        <v>60</v>
      </c>
      <c r="M18" s="133"/>
    </row>
    <row r="19" spans="1:13" x14ac:dyDescent="0.2">
      <c r="A19" s="533" t="s">
        <v>5262</v>
      </c>
      <c r="B19" s="131">
        <v>21731</v>
      </c>
      <c r="C19" s="145">
        <v>40</v>
      </c>
      <c r="D19" s="133"/>
      <c r="E19" s="140">
        <v>31585</v>
      </c>
      <c r="F19" s="141">
        <v>55</v>
      </c>
      <c r="G19" s="142"/>
      <c r="H19" s="131">
        <v>53316</v>
      </c>
      <c r="I19" s="145">
        <v>95</v>
      </c>
      <c r="J19" s="133"/>
      <c r="K19" s="131">
        <v>29349</v>
      </c>
      <c r="L19" s="145">
        <v>45</v>
      </c>
      <c r="M19" s="133"/>
    </row>
    <row r="20" spans="1:13" x14ac:dyDescent="0.2">
      <c r="A20" s="533" t="s">
        <v>5062</v>
      </c>
      <c r="B20" s="131">
        <v>30000</v>
      </c>
      <c r="C20" s="145"/>
      <c r="D20" s="133"/>
      <c r="E20" s="140">
        <v>30000</v>
      </c>
      <c r="F20" s="141"/>
      <c r="G20" s="142"/>
      <c r="H20" s="131">
        <v>60000</v>
      </c>
      <c r="I20" s="145"/>
      <c r="J20" s="133"/>
      <c r="K20" s="131">
        <v>30000</v>
      </c>
      <c r="L20" s="145"/>
      <c r="M20" s="133"/>
    </row>
    <row r="21" spans="1:13" x14ac:dyDescent="0.2">
      <c r="A21" s="533" t="s">
        <v>5263</v>
      </c>
      <c r="B21" s="131">
        <v>3999</v>
      </c>
      <c r="C21" s="145">
        <v>90</v>
      </c>
      <c r="D21" s="133"/>
      <c r="E21" s="140">
        <v>3999</v>
      </c>
      <c r="F21" s="141"/>
      <c r="G21" s="142"/>
      <c r="H21" s="131">
        <v>7998</v>
      </c>
      <c r="I21" s="145">
        <v>90</v>
      </c>
      <c r="J21" s="133"/>
      <c r="K21" s="131">
        <v>3999</v>
      </c>
      <c r="L21" s="145">
        <v>90</v>
      </c>
      <c r="M21" s="133"/>
    </row>
    <row r="22" spans="1:13" x14ac:dyDescent="0.2">
      <c r="A22" s="533" t="s">
        <v>5064</v>
      </c>
      <c r="B22" s="131">
        <v>20437</v>
      </c>
      <c r="C22" s="145">
        <v>25</v>
      </c>
      <c r="D22" s="133"/>
      <c r="E22" s="140">
        <v>11676</v>
      </c>
      <c r="F22" s="141">
        <v>50</v>
      </c>
      <c r="G22" s="142"/>
      <c r="H22" s="131">
        <v>32113</v>
      </c>
      <c r="I22" s="145">
        <v>75</v>
      </c>
      <c r="J22" s="133"/>
      <c r="K22" s="131">
        <v>14568</v>
      </c>
      <c r="L22" s="145">
        <v>50</v>
      </c>
      <c r="M22" s="133"/>
    </row>
    <row r="23" spans="1:13" x14ac:dyDescent="0.2">
      <c r="A23" s="533" t="s">
        <v>5264</v>
      </c>
      <c r="B23" s="131">
        <v>7016</v>
      </c>
      <c r="C23" s="145">
        <v>95</v>
      </c>
      <c r="D23" s="133"/>
      <c r="E23" s="140">
        <v>17187</v>
      </c>
      <c r="F23" s="141">
        <v>60</v>
      </c>
      <c r="G23" s="142"/>
      <c r="H23" s="131">
        <v>24204</v>
      </c>
      <c r="I23" s="145">
        <v>55</v>
      </c>
      <c r="J23" s="133"/>
      <c r="K23" s="131">
        <v>20947</v>
      </c>
      <c r="L23" s="145">
        <v>60</v>
      </c>
      <c r="M23" s="133"/>
    </row>
    <row r="24" spans="1:13" x14ac:dyDescent="0.2">
      <c r="A24" s="533" t="s">
        <v>1808</v>
      </c>
      <c r="B24" s="131">
        <v>5584</v>
      </c>
      <c r="C24" s="145">
        <v>65</v>
      </c>
      <c r="D24" s="133"/>
      <c r="E24" s="140">
        <v>10884</v>
      </c>
      <c r="F24" s="141">
        <v>25</v>
      </c>
      <c r="G24" s="142"/>
      <c r="H24" s="131">
        <v>16468</v>
      </c>
      <c r="I24" s="145">
        <v>90</v>
      </c>
      <c r="J24" s="133"/>
      <c r="K24" s="131">
        <v>18959</v>
      </c>
      <c r="L24" s="145">
        <v>40</v>
      </c>
      <c r="M24" s="133"/>
    </row>
    <row r="25" spans="1:13" x14ac:dyDescent="0.2">
      <c r="A25" s="533" t="s">
        <v>5066</v>
      </c>
      <c r="B25" s="131">
        <v>32985</v>
      </c>
      <c r="C25" s="145">
        <v>25</v>
      </c>
      <c r="D25" s="133"/>
      <c r="E25" s="140">
        <v>32353</v>
      </c>
      <c r="F25" s="141">
        <v>20</v>
      </c>
      <c r="G25" s="142"/>
      <c r="H25" s="131">
        <v>65338</v>
      </c>
      <c r="I25" s="145">
        <v>45</v>
      </c>
      <c r="J25" s="133"/>
      <c r="K25" s="131">
        <v>35999</v>
      </c>
      <c r="L25" s="145">
        <v>55</v>
      </c>
      <c r="M25" s="133"/>
    </row>
    <row r="26" spans="1:13" x14ac:dyDescent="0.2">
      <c r="A26" s="533" t="s">
        <v>5067</v>
      </c>
      <c r="B26" s="131">
        <v>1040</v>
      </c>
      <c r="C26" s="145">
        <v>50</v>
      </c>
      <c r="D26" s="133"/>
      <c r="E26" s="140">
        <v>315</v>
      </c>
      <c r="F26" s="141"/>
      <c r="G26" s="142"/>
      <c r="H26" s="131">
        <v>1355</v>
      </c>
      <c r="I26" s="145">
        <v>50</v>
      </c>
      <c r="J26" s="133"/>
      <c r="K26" s="131">
        <v>235</v>
      </c>
      <c r="L26" s="145">
        <v>70</v>
      </c>
      <c r="M26" s="133"/>
    </row>
    <row r="27" spans="1:13" x14ac:dyDescent="0.2">
      <c r="A27" s="533" t="s">
        <v>5068</v>
      </c>
      <c r="B27" s="131">
        <v>1367</v>
      </c>
      <c r="C27" s="145">
        <v>50</v>
      </c>
      <c r="D27" s="133"/>
      <c r="E27" s="140">
        <v>4166</v>
      </c>
      <c r="F27" s="141">
        <v>50</v>
      </c>
      <c r="G27" s="142"/>
      <c r="H27" s="131">
        <v>5534</v>
      </c>
      <c r="I27" s="145"/>
      <c r="J27" s="133"/>
      <c r="K27" s="131">
        <v>4071</v>
      </c>
      <c r="L27" s="145">
        <v>50</v>
      </c>
      <c r="M27" s="133"/>
    </row>
    <row r="28" spans="1:13" x14ac:dyDescent="0.2">
      <c r="A28" s="533" t="s">
        <v>2763</v>
      </c>
      <c r="B28" s="131">
        <v>77858</v>
      </c>
      <c r="C28" s="145">
        <v>20</v>
      </c>
      <c r="D28" s="133"/>
      <c r="E28" s="140">
        <v>357035</v>
      </c>
      <c r="F28" s="141">
        <v>20</v>
      </c>
      <c r="G28" s="142"/>
      <c r="H28" s="131">
        <v>434893</v>
      </c>
      <c r="I28" s="145">
        <v>40</v>
      </c>
      <c r="J28" s="133"/>
      <c r="K28" s="131">
        <v>350284</v>
      </c>
      <c r="L28" s="145">
        <v>80</v>
      </c>
      <c r="M28" s="133"/>
    </row>
    <row r="29" spans="1:13" x14ac:dyDescent="0.2">
      <c r="A29" s="533" t="s">
        <v>5070</v>
      </c>
      <c r="B29" s="131">
        <v>2295</v>
      </c>
      <c r="C29" s="145"/>
      <c r="D29" s="133"/>
      <c r="E29" s="140">
        <v>1655</v>
      </c>
      <c r="F29" s="141"/>
      <c r="G29" s="142"/>
      <c r="H29" s="131">
        <v>3950</v>
      </c>
      <c r="I29" s="145"/>
      <c r="J29" s="133"/>
      <c r="K29" s="131">
        <v>1375</v>
      </c>
      <c r="L29" s="145"/>
      <c r="M29" s="133"/>
    </row>
    <row r="30" spans="1:13" x14ac:dyDescent="0.2">
      <c r="A30" s="533" t="s">
        <v>5265</v>
      </c>
      <c r="B30" s="131">
        <v>7250</v>
      </c>
      <c r="C30" s="145">
        <v>70</v>
      </c>
      <c r="D30" s="133"/>
      <c r="E30" s="140">
        <v>960</v>
      </c>
      <c r="F30" s="141"/>
      <c r="G30" s="142"/>
      <c r="H30" s="131">
        <v>8210</v>
      </c>
      <c r="I30" s="145">
        <v>70</v>
      </c>
      <c r="J30" s="133"/>
      <c r="K30" s="131">
        <v>4800</v>
      </c>
      <c r="L30" s="145"/>
      <c r="M30" s="133"/>
    </row>
    <row r="31" spans="1:13" x14ac:dyDescent="0.2">
      <c r="A31" s="535"/>
      <c r="B31" s="240">
        <v>16273259</v>
      </c>
      <c r="C31" s="318">
        <v>19</v>
      </c>
      <c r="D31" s="241">
        <v>0.5</v>
      </c>
      <c r="E31" s="240">
        <v>20444489</v>
      </c>
      <c r="F31" s="318">
        <v>40</v>
      </c>
      <c r="G31" s="241">
        <v>0.5</v>
      </c>
      <c r="H31" s="240">
        <v>36717748</v>
      </c>
      <c r="I31" s="318">
        <v>60</v>
      </c>
      <c r="J31" s="241"/>
      <c r="K31" s="240">
        <v>19519431</v>
      </c>
      <c r="L31" s="318">
        <v>46</v>
      </c>
      <c r="M31" s="241">
        <v>0.5</v>
      </c>
    </row>
    <row r="32" spans="1:13" x14ac:dyDescent="0.2">
      <c r="A32" s="131"/>
      <c r="B32" s="1145">
        <f>+SUM(B6:B30)</f>
        <v>16273251</v>
      </c>
      <c r="C32" s="1145">
        <f t="shared" ref="C32:M32" si="3">+SUM(C6:C30)</f>
        <v>819</v>
      </c>
      <c r="D32" s="1146">
        <f t="shared" si="3"/>
        <v>0.5</v>
      </c>
      <c r="E32" s="1145">
        <f t="shared" si="3"/>
        <v>20444481</v>
      </c>
      <c r="F32" s="1145">
        <f t="shared" si="3"/>
        <v>839</v>
      </c>
      <c r="G32" s="1146">
        <f t="shared" si="3"/>
        <v>1.5</v>
      </c>
      <c r="H32" s="1145">
        <f t="shared" si="3"/>
        <v>36717737</v>
      </c>
      <c r="I32" s="1145">
        <f t="shared" si="3"/>
        <v>1158</v>
      </c>
      <c r="J32" s="1146">
        <f t="shared" si="3"/>
        <v>2</v>
      </c>
      <c r="K32" s="1145">
        <f t="shared" si="3"/>
        <v>19519421</v>
      </c>
      <c r="L32" s="1145">
        <f t="shared" si="3"/>
        <v>1046</v>
      </c>
      <c r="M32" s="1146">
        <f t="shared" si="3"/>
        <v>0.5</v>
      </c>
    </row>
    <row r="33" spans="1:19" ht="27.5" customHeight="1" x14ac:dyDescent="0.2">
      <c r="A33" s="1542" t="s">
        <v>3</v>
      </c>
      <c r="B33" s="1298"/>
      <c r="C33" s="1298"/>
      <c r="D33" s="1298"/>
      <c r="E33" s="1298"/>
      <c r="F33" s="1298"/>
      <c r="G33" s="1298"/>
      <c r="H33" s="1298"/>
      <c r="I33" s="1298"/>
      <c r="J33" s="1298"/>
      <c r="K33" s="1298"/>
      <c r="L33" s="1298"/>
      <c r="M33" s="1543"/>
    </row>
    <row r="34" spans="1:19" ht="27" customHeight="1" x14ac:dyDescent="0.2">
      <c r="A34" s="585" t="s">
        <v>5266</v>
      </c>
      <c r="B34" s="586"/>
      <c r="C34" s="586"/>
      <c r="D34" s="586"/>
      <c r="E34" s="586"/>
      <c r="F34" s="586"/>
      <c r="G34" s="586"/>
      <c r="H34" s="586"/>
      <c r="I34" s="586"/>
      <c r="J34" s="586"/>
      <c r="K34" s="586"/>
      <c r="L34" s="586"/>
      <c r="M34" s="587"/>
    </row>
    <row r="35" spans="1:19" x14ac:dyDescent="0.2">
      <c r="A35" s="585" t="s">
        <v>5267</v>
      </c>
      <c r="B35" s="586"/>
      <c r="C35" s="586"/>
      <c r="D35" s="586"/>
      <c r="E35" s="586"/>
      <c r="F35" s="586"/>
      <c r="G35" s="586"/>
      <c r="H35" s="586"/>
      <c r="I35" s="586"/>
      <c r="J35" s="586"/>
      <c r="K35" s="586"/>
      <c r="L35" s="586"/>
      <c r="M35" s="587"/>
    </row>
    <row r="36" spans="1:19" ht="29.5" customHeight="1" x14ac:dyDescent="0.2">
      <c r="A36" s="1087" t="s">
        <v>5268</v>
      </c>
      <c r="B36" s="145">
        <v>471977</v>
      </c>
      <c r="C36" s="145">
        <v>77</v>
      </c>
      <c r="D36" s="180">
        <f>1/2</f>
        <v>0.5</v>
      </c>
      <c r="E36" s="495"/>
      <c r="F36" s="495"/>
      <c r="G36" s="495"/>
      <c r="H36" s="495"/>
      <c r="I36" s="495"/>
      <c r="J36" s="495"/>
      <c r="K36" s="495"/>
      <c r="L36" s="495"/>
      <c r="M36" s="550"/>
    </row>
    <row r="37" spans="1:19" ht="46" thickBot="1" x14ac:dyDescent="0.25">
      <c r="A37" s="539" t="s">
        <v>5269</v>
      </c>
      <c r="B37" s="187">
        <v>187499</v>
      </c>
      <c r="C37" s="187">
        <v>92</v>
      </c>
      <c r="D37" s="190">
        <v>0.5</v>
      </c>
      <c r="E37" s="187">
        <v>659477</v>
      </c>
      <c r="F37" s="187">
        <v>70</v>
      </c>
      <c r="G37" s="190"/>
      <c r="H37" s="495"/>
      <c r="I37" s="495"/>
      <c r="J37" s="495"/>
      <c r="K37" s="495"/>
      <c r="L37" s="495"/>
      <c r="M37" s="550"/>
    </row>
    <row r="38" spans="1:19" ht="27" customHeight="1" x14ac:dyDescent="0.2">
      <c r="A38" s="585" t="s">
        <v>5270</v>
      </c>
      <c r="B38" s="586"/>
      <c r="C38" s="586"/>
      <c r="D38" s="586"/>
      <c r="E38" s="586"/>
      <c r="F38" s="586"/>
      <c r="G38" s="586"/>
      <c r="H38" s="586"/>
      <c r="I38" s="586"/>
      <c r="J38" s="586"/>
      <c r="K38" s="586"/>
      <c r="L38" s="586"/>
      <c r="M38" s="587"/>
    </row>
    <row r="39" spans="1:19" ht="42.5" customHeight="1" x14ac:dyDescent="0.2">
      <c r="A39" s="585" t="s">
        <v>5271</v>
      </c>
      <c r="B39" s="586"/>
      <c r="C39" s="586"/>
      <c r="D39" s="586"/>
      <c r="E39" s="586"/>
      <c r="F39" s="586"/>
      <c r="G39" s="586"/>
      <c r="H39" s="586"/>
      <c r="I39" s="586"/>
      <c r="J39" s="586"/>
      <c r="K39" s="586"/>
      <c r="L39" s="586"/>
      <c r="M39" s="587"/>
    </row>
    <row r="40" spans="1:19" ht="28.25" customHeight="1" x14ac:dyDescent="0.2">
      <c r="A40" s="625" t="s">
        <v>5272</v>
      </c>
      <c r="B40" s="626"/>
      <c r="C40" s="626"/>
      <c r="D40" s="626"/>
      <c r="E40" s="626"/>
      <c r="F40" s="626"/>
      <c r="G40" s="626"/>
      <c r="H40" s="626"/>
      <c r="I40" s="626"/>
      <c r="J40" s="626"/>
      <c r="K40" s="626"/>
      <c r="L40" s="626"/>
      <c r="M40" s="627"/>
    </row>
    <row r="44" spans="1:19" x14ac:dyDescent="0.2">
      <c r="A44" s="526" t="s">
        <v>1428</v>
      </c>
    </row>
    <row r="45" spans="1:19" ht="39.5" customHeight="1" x14ac:dyDescent="0.2">
      <c r="A45" s="1265" t="s">
        <v>5273</v>
      </c>
      <c r="B45" s="1265"/>
      <c r="C45" s="1265"/>
      <c r="D45" s="1265"/>
      <c r="E45" s="1265"/>
      <c r="F45" s="1265"/>
      <c r="G45" s="1265"/>
      <c r="H45" s="1265"/>
      <c r="I45" s="1265"/>
      <c r="J45" s="1265"/>
      <c r="K45" s="1265"/>
      <c r="L45" s="1265"/>
      <c r="M45" s="1265"/>
      <c r="N45" s="1265"/>
      <c r="O45" s="1265"/>
      <c r="P45" s="1265"/>
      <c r="Q45" s="1265"/>
      <c r="R45" s="1265"/>
      <c r="S45" s="1265"/>
    </row>
    <row r="46" spans="1:19" s="1546" customFormat="1" ht="27" customHeight="1" x14ac:dyDescent="0.15">
      <c r="A46" s="1544" t="s">
        <v>1854</v>
      </c>
      <c r="B46" s="1545" t="s">
        <v>5274</v>
      </c>
      <c r="C46" s="1545"/>
      <c r="D46" s="1545"/>
      <c r="E46" s="1545" t="s">
        <v>5275</v>
      </c>
      <c r="F46" s="1545"/>
      <c r="G46" s="1545"/>
      <c r="H46" s="1545" t="s">
        <v>5276</v>
      </c>
      <c r="I46" s="1545"/>
      <c r="J46" s="1545"/>
      <c r="K46" s="1545" t="s">
        <v>5277</v>
      </c>
      <c r="L46" s="1545"/>
      <c r="M46" s="1545"/>
      <c r="N46" s="1545" t="s">
        <v>5278</v>
      </c>
      <c r="O46" s="1545"/>
      <c r="P46" s="1545"/>
      <c r="Q46" s="1545" t="s">
        <v>5279</v>
      </c>
      <c r="R46" s="1545"/>
      <c r="S46" s="1545"/>
    </row>
    <row r="47" spans="1:19" x14ac:dyDescent="0.2">
      <c r="A47" s="131" t="s">
        <v>5280</v>
      </c>
      <c r="B47" s="131">
        <v>10997</v>
      </c>
      <c r="C47" s="145">
        <v>1</v>
      </c>
      <c r="D47" s="307"/>
      <c r="E47" s="131">
        <v>17918</v>
      </c>
      <c r="F47" s="145">
        <v>25</v>
      </c>
      <c r="G47" s="307"/>
      <c r="H47" s="131">
        <v>2935</v>
      </c>
      <c r="I47" s="145">
        <v>60</v>
      </c>
      <c r="J47" s="307"/>
      <c r="K47" s="131" t="s">
        <v>5281</v>
      </c>
      <c r="L47" s="145"/>
      <c r="M47" s="307"/>
      <c r="N47" s="131" t="s">
        <v>5281</v>
      </c>
      <c r="O47" s="145"/>
      <c r="P47" s="307"/>
      <c r="Q47" s="131">
        <v>11825</v>
      </c>
      <c r="R47" s="145">
        <v>95</v>
      </c>
      <c r="S47" s="307"/>
    </row>
    <row r="48" spans="1:19" x14ac:dyDescent="0.2">
      <c r="A48" s="131" t="s">
        <v>3668</v>
      </c>
      <c r="B48" s="131">
        <v>5181266</v>
      </c>
      <c r="C48" s="145">
        <v>10</v>
      </c>
      <c r="D48" s="307"/>
      <c r="E48" s="131">
        <v>5707069</v>
      </c>
      <c r="F48" s="145">
        <v>70</v>
      </c>
      <c r="G48" s="307"/>
      <c r="H48" s="131">
        <v>4057061</v>
      </c>
      <c r="I48" s="145">
        <v>80</v>
      </c>
      <c r="J48" s="307"/>
      <c r="K48" s="131">
        <v>6003333</v>
      </c>
      <c r="L48" s="145">
        <v>10</v>
      </c>
      <c r="M48" s="307"/>
      <c r="N48" s="131">
        <v>7287941</v>
      </c>
      <c r="O48" s="145">
        <v>85</v>
      </c>
      <c r="P48" s="307"/>
      <c r="Q48" s="131">
        <v>7919486</v>
      </c>
      <c r="R48" s="145">
        <v>15</v>
      </c>
      <c r="S48" s="307"/>
    </row>
    <row r="49" spans="1:19" x14ac:dyDescent="0.2">
      <c r="A49" s="131" t="s">
        <v>1517</v>
      </c>
      <c r="B49" s="131">
        <v>482012</v>
      </c>
      <c r="C49" s="145">
        <v>15</v>
      </c>
      <c r="D49" s="307"/>
      <c r="E49" s="131">
        <v>336608</v>
      </c>
      <c r="F49" s="145">
        <v>30</v>
      </c>
      <c r="G49" s="307"/>
      <c r="H49" s="131">
        <v>450897</v>
      </c>
      <c r="I49" s="145">
        <v>80</v>
      </c>
      <c r="J49" s="307"/>
      <c r="K49" s="131">
        <v>616277</v>
      </c>
      <c r="L49" s="145">
        <v>60</v>
      </c>
      <c r="M49" s="307"/>
      <c r="N49" s="131">
        <v>692145</v>
      </c>
      <c r="O49" s="145">
        <v>75</v>
      </c>
      <c r="P49" s="307"/>
      <c r="Q49" s="131">
        <v>867554</v>
      </c>
      <c r="R49" s="145"/>
      <c r="S49" s="307"/>
    </row>
    <row r="50" spans="1:19" x14ac:dyDescent="0.2">
      <c r="A50" s="131" t="s">
        <v>4033</v>
      </c>
      <c r="B50" s="131">
        <v>1527199</v>
      </c>
      <c r="C50" s="145">
        <v>55</v>
      </c>
      <c r="D50" s="307"/>
      <c r="E50" s="131">
        <v>1851892</v>
      </c>
      <c r="F50" s="145">
        <v>82</v>
      </c>
      <c r="G50" s="307"/>
      <c r="H50" s="131">
        <v>2230348</v>
      </c>
      <c r="I50" s="145">
        <v>50</v>
      </c>
      <c r="J50" s="307"/>
      <c r="K50" s="131">
        <v>2281829</v>
      </c>
      <c r="L50" s="145">
        <v>50</v>
      </c>
      <c r="M50" s="307"/>
      <c r="N50" s="131">
        <v>3305992</v>
      </c>
      <c r="O50" s="145">
        <v>34</v>
      </c>
      <c r="P50" s="307"/>
      <c r="Q50" s="131">
        <v>2883888</v>
      </c>
      <c r="R50" s="145">
        <v>52</v>
      </c>
      <c r="S50" s="307"/>
    </row>
    <row r="51" spans="1:19" x14ac:dyDescent="0.2">
      <c r="A51" s="131" t="s">
        <v>1519</v>
      </c>
      <c r="B51" s="131">
        <v>798706</v>
      </c>
      <c r="C51" s="145">
        <v>70</v>
      </c>
      <c r="D51" s="307"/>
      <c r="E51" s="131">
        <v>859669</v>
      </c>
      <c r="F51" s="145">
        <v>10</v>
      </c>
      <c r="G51" s="307"/>
      <c r="H51" s="131">
        <v>872374</v>
      </c>
      <c r="I51" s="145">
        <v>80</v>
      </c>
      <c r="J51" s="307"/>
      <c r="K51" s="131">
        <v>1289956</v>
      </c>
      <c r="L51" s="145">
        <v>25</v>
      </c>
      <c r="M51" s="307"/>
      <c r="N51" s="131">
        <v>1952795</v>
      </c>
      <c r="O51" s="145">
        <v>25</v>
      </c>
      <c r="P51" s="307"/>
      <c r="Q51" s="131">
        <v>1141859</v>
      </c>
      <c r="R51" s="145">
        <v>35</v>
      </c>
      <c r="S51" s="307"/>
    </row>
    <row r="52" spans="1:19" x14ac:dyDescent="0.2">
      <c r="A52" s="131" t="s">
        <v>4553</v>
      </c>
      <c r="B52" s="131">
        <v>23222</v>
      </c>
      <c r="C52" s="145">
        <v>75</v>
      </c>
      <c r="D52" s="307"/>
      <c r="E52" s="131">
        <v>18180</v>
      </c>
      <c r="F52" s="145">
        <v>30</v>
      </c>
      <c r="G52" s="307"/>
      <c r="H52" s="131">
        <v>23945</v>
      </c>
      <c r="I52" s="145">
        <v>45</v>
      </c>
      <c r="J52" s="307"/>
      <c r="K52" s="131">
        <v>21997</v>
      </c>
      <c r="L52" s="145">
        <v>10</v>
      </c>
      <c r="M52" s="307"/>
      <c r="N52" s="131">
        <v>24376</v>
      </c>
      <c r="O52" s="145">
        <v>85</v>
      </c>
      <c r="P52" s="307"/>
      <c r="Q52" s="131">
        <v>14902</v>
      </c>
      <c r="R52" s="145">
        <v>65</v>
      </c>
      <c r="S52" s="307"/>
    </row>
    <row r="53" spans="1:19" x14ac:dyDescent="0.2">
      <c r="A53" s="131" t="s">
        <v>5282</v>
      </c>
      <c r="B53" s="131">
        <v>14828</v>
      </c>
      <c r="C53" s="145">
        <v>5</v>
      </c>
      <c r="D53" s="307"/>
      <c r="E53" s="131">
        <v>7513</v>
      </c>
      <c r="F53" s="145">
        <v>95</v>
      </c>
      <c r="G53" s="307"/>
      <c r="H53" s="131">
        <v>12072</v>
      </c>
      <c r="I53" s="145">
        <v>50</v>
      </c>
      <c r="J53" s="307"/>
      <c r="K53" s="131">
        <v>23887</v>
      </c>
      <c r="L53" s="145">
        <v>95</v>
      </c>
      <c r="M53" s="307"/>
      <c r="N53" s="131">
        <v>82546</v>
      </c>
      <c r="O53" s="145">
        <v>40</v>
      </c>
      <c r="P53" s="307"/>
      <c r="Q53" s="131">
        <v>34863</v>
      </c>
      <c r="R53" s="145">
        <v>10</v>
      </c>
      <c r="S53" s="307"/>
    </row>
    <row r="54" spans="1:19" x14ac:dyDescent="0.2">
      <c r="A54" s="131" t="s">
        <v>1526</v>
      </c>
      <c r="B54" s="131">
        <v>73881</v>
      </c>
      <c r="C54" s="145">
        <v>40</v>
      </c>
      <c r="D54" s="307"/>
      <c r="E54" s="131">
        <v>92960</v>
      </c>
      <c r="F54" s="145">
        <v>75</v>
      </c>
      <c r="G54" s="307"/>
      <c r="H54" s="131">
        <v>82700</v>
      </c>
      <c r="I54" s="145">
        <v>55</v>
      </c>
      <c r="J54" s="307"/>
      <c r="K54" s="131">
        <v>84332</v>
      </c>
      <c r="L54" s="145">
        <v>75</v>
      </c>
      <c r="M54" s="307"/>
      <c r="N54" s="131">
        <v>87028</v>
      </c>
      <c r="O54" s="145">
        <v>55</v>
      </c>
      <c r="P54" s="307"/>
      <c r="Q54" s="131">
        <v>85798</v>
      </c>
      <c r="R54" s="145">
        <v>85</v>
      </c>
      <c r="S54" s="307"/>
    </row>
    <row r="55" spans="1:19" x14ac:dyDescent="0.2">
      <c r="A55" s="131" t="s">
        <v>4034</v>
      </c>
      <c r="B55" s="131">
        <v>128158</v>
      </c>
      <c r="C55" s="145">
        <v>15</v>
      </c>
      <c r="D55" s="307"/>
      <c r="E55" s="131">
        <v>145805</v>
      </c>
      <c r="F55" s="145">
        <v>5</v>
      </c>
      <c r="G55" s="307"/>
      <c r="H55" s="131">
        <v>61029</v>
      </c>
      <c r="I55" s="145">
        <v>70</v>
      </c>
      <c r="J55" s="307"/>
      <c r="K55" s="131">
        <v>41353</v>
      </c>
      <c r="L55" s="145">
        <v>55</v>
      </c>
      <c r="M55" s="307"/>
      <c r="N55" s="131">
        <v>46994</v>
      </c>
      <c r="O55" s="145">
        <v>40</v>
      </c>
      <c r="P55" s="307"/>
      <c r="Q55" s="131">
        <v>61483</v>
      </c>
      <c r="R55" s="145">
        <v>95</v>
      </c>
      <c r="S55" s="307"/>
    </row>
    <row r="56" spans="1:19" x14ac:dyDescent="0.2">
      <c r="A56" s="131" t="s">
        <v>1527</v>
      </c>
      <c r="B56" s="131">
        <v>118122</v>
      </c>
      <c r="C56" s="145">
        <v>30</v>
      </c>
      <c r="D56" s="307"/>
      <c r="E56" s="131">
        <v>122557</v>
      </c>
      <c r="F56" s="145">
        <v>15</v>
      </c>
      <c r="G56" s="307"/>
      <c r="H56" s="131">
        <v>138989</v>
      </c>
      <c r="I56" s="145">
        <v>95</v>
      </c>
      <c r="J56" s="307"/>
      <c r="K56" s="131">
        <v>387921</v>
      </c>
      <c r="L56" s="145">
        <v>50</v>
      </c>
      <c r="M56" s="307"/>
      <c r="N56" s="131">
        <v>218000</v>
      </c>
      <c r="O56" s="145">
        <v>70</v>
      </c>
      <c r="P56" s="307"/>
      <c r="Q56" s="131">
        <v>234691</v>
      </c>
      <c r="R56" s="145">
        <v>15</v>
      </c>
      <c r="S56" s="307"/>
    </row>
    <row r="57" spans="1:19" x14ac:dyDescent="0.2">
      <c r="A57" s="230" t="s">
        <v>5283</v>
      </c>
      <c r="B57" s="240">
        <v>8358394</v>
      </c>
      <c r="C57" s="318">
        <v>16</v>
      </c>
      <c r="D57" s="513"/>
      <c r="E57" s="240">
        <v>9160175</v>
      </c>
      <c r="F57" s="318">
        <v>37</v>
      </c>
      <c r="G57" s="513"/>
      <c r="H57" s="240">
        <v>7932356</v>
      </c>
      <c r="I57" s="318">
        <v>65</v>
      </c>
      <c r="J57" s="513"/>
      <c r="K57" s="240">
        <v>10750889</v>
      </c>
      <c r="L57" s="318">
        <v>30</v>
      </c>
      <c r="M57" s="513"/>
      <c r="N57" s="240">
        <v>13697823</v>
      </c>
      <c r="O57" s="318">
        <v>9</v>
      </c>
      <c r="P57" s="513"/>
      <c r="Q57" s="240">
        <v>13256353</v>
      </c>
      <c r="R57" s="318">
        <v>67</v>
      </c>
      <c r="S57" s="513"/>
    </row>
    <row r="58" spans="1:19" x14ac:dyDescent="0.2">
      <c r="A58" s="230"/>
      <c r="B58" s="1117">
        <f>+SUM(B47:B56)</f>
        <v>8358391</v>
      </c>
      <c r="C58" s="1117">
        <f t="shared" ref="C58:S58" si="4">+SUM(C47:C56)</f>
        <v>316</v>
      </c>
      <c r="D58" s="1117">
        <f t="shared" si="4"/>
        <v>0</v>
      </c>
      <c r="E58" s="1117">
        <f t="shared" si="4"/>
        <v>9160171</v>
      </c>
      <c r="F58" s="1117">
        <f t="shared" si="4"/>
        <v>437</v>
      </c>
      <c r="G58" s="1117">
        <f t="shared" si="4"/>
        <v>0</v>
      </c>
      <c r="H58" s="1117">
        <f t="shared" si="4"/>
        <v>7932350</v>
      </c>
      <c r="I58" s="1117">
        <f t="shared" si="4"/>
        <v>665</v>
      </c>
      <c r="J58" s="1117">
        <f t="shared" si="4"/>
        <v>0</v>
      </c>
      <c r="K58" s="1117">
        <f t="shared" si="4"/>
        <v>10750885</v>
      </c>
      <c r="L58" s="1117">
        <f t="shared" si="4"/>
        <v>430</v>
      </c>
      <c r="M58" s="1117">
        <f t="shared" si="4"/>
        <v>0</v>
      </c>
      <c r="N58" s="1117">
        <f t="shared" si="4"/>
        <v>13697817</v>
      </c>
      <c r="O58" s="1117">
        <f t="shared" si="4"/>
        <v>509</v>
      </c>
      <c r="P58" s="1117">
        <f t="shared" si="4"/>
        <v>0</v>
      </c>
      <c r="Q58" s="1117">
        <f t="shared" si="4"/>
        <v>13256349</v>
      </c>
      <c r="R58" s="1117">
        <f t="shared" si="4"/>
        <v>467</v>
      </c>
      <c r="S58" s="1117">
        <f t="shared" si="4"/>
        <v>0</v>
      </c>
    </row>
    <row r="59" spans="1:19" ht="30.5" customHeight="1" x14ac:dyDescent="0.2">
      <c r="A59" s="879" t="s">
        <v>5284</v>
      </c>
      <c r="B59" s="880"/>
      <c r="C59" s="880"/>
      <c r="D59" s="880"/>
      <c r="E59" s="880"/>
      <c r="F59" s="880"/>
      <c r="G59" s="880"/>
      <c r="H59" s="880"/>
      <c r="I59" s="880"/>
      <c r="J59" s="880"/>
      <c r="K59" s="880"/>
      <c r="L59" s="880"/>
      <c r="M59" s="880"/>
      <c r="N59" s="880"/>
      <c r="O59" s="880"/>
      <c r="P59" s="880"/>
      <c r="Q59" s="880"/>
      <c r="R59" s="880"/>
      <c r="S59" s="881"/>
    </row>
    <row r="63" spans="1:19" x14ac:dyDescent="0.2">
      <c r="A63" s="526" t="s">
        <v>1182</v>
      </c>
    </row>
    <row r="64" spans="1:19" ht="16" x14ac:dyDescent="0.2">
      <c r="A64" s="1265" t="s">
        <v>5285</v>
      </c>
      <c r="B64" s="1265"/>
      <c r="C64" s="1265"/>
      <c r="D64" s="1265"/>
      <c r="E64" s="1265"/>
      <c r="F64" s="1265"/>
      <c r="G64" s="1265"/>
      <c r="H64" s="1265"/>
      <c r="I64" s="1265"/>
      <c r="J64" s="1265"/>
      <c r="K64" s="1265"/>
      <c r="L64" s="1265"/>
      <c r="M64" s="1265"/>
      <c r="N64" s="1265"/>
      <c r="O64" s="1265"/>
      <c r="P64" s="1265"/>
      <c r="Q64" s="1265"/>
      <c r="R64" s="1265"/>
      <c r="S64" s="1265"/>
    </row>
    <row r="65" spans="1:19" x14ac:dyDescent="0.2">
      <c r="A65" s="1544" t="s">
        <v>1854</v>
      </c>
      <c r="B65" s="1545" t="s">
        <v>5274</v>
      </c>
      <c r="C65" s="1545"/>
      <c r="D65" s="1545"/>
      <c r="E65" s="1545" t="s">
        <v>5275</v>
      </c>
      <c r="F65" s="1545"/>
      <c r="G65" s="1545"/>
      <c r="H65" s="1545" t="s">
        <v>5276</v>
      </c>
      <c r="I65" s="1545"/>
      <c r="J65" s="1545"/>
      <c r="K65" s="1545" t="s">
        <v>5277</v>
      </c>
      <c r="L65" s="1545"/>
      <c r="M65" s="1545"/>
      <c r="N65" s="1545" t="s">
        <v>5278</v>
      </c>
      <c r="O65" s="1545"/>
      <c r="P65" s="1545"/>
      <c r="Q65" s="1545" t="s">
        <v>5279</v>
      </c>
      <c r="R65" s="1545"/>
      <c r="S65" s="1545"/>
    </row>
    <row r="66" spans="1:19" x14ac:dyDescent="0.2">
      <c r="A66" s="131" t="s">
        <v>5280</v>
      </c>
      <c r="B66" s="131">
        <v>11598</v>
      </c>
      <c r="C66" s="145"/>
      <c r="D66" s="133"/>
      <c r="E66" s="131">
        <v>10486</v>
      </c>
      <c r="F66" s="145">
        <v>20</v>
      </c>
      <c r="G66" s="307"/>
      <c r="H66" s="131">
        <v>3453</v>
      </c>
      <c r="I66" s="145">
        <v>30</v>
      </c>
      <c r="J66" s="307"/>
      <c r="K66" s="131" t="s">
        <v>5281</v>
      </c>
      <c r="L66" s="145"/>
      <c r="M66" s="307"/>
      <c r="N66" s="131" t="s">
        <v>5281</v>
      </c>
      <c r="O66" s="145"/>
      <c r="P66" s="307"/>
      <c r="Q66" s="131">
        <v>8145</v>
      </c>
      <c r="R66" s="145">
        <v>60</v>
      </c>
      <c r="S66" s="307"/>
    </row>
    <row r="67" spans="1:19" x14ac:dyDescent="0.2">
      <c r="A67" s="131" t="s">
        <v>3668</v>
      </c>
      <c r="B67" s="131">
        <v>115171</v>
      </c>
      <c r="C67" s="145">
        <v>15</v>
      </c>
      <c r="D67" s="133"/>
      <c r="E67" s="131">
        <v>135454</v>
      </c>
      <c r="F67" s="145">
        <v>30</v>
      </c>
      <c r="G67" s="307"/>
      <c r="H67" s="131">
        <v>132295</v>
      </c>
      <c r="I67" s="145">
        <v>45</v>
      </c>
      <c r="J67" s="307"/>
      <c r="K67" s="131">
        <v>137139</v>
      </c>
      <c r="L67" s="145">
        <v>65</v>
      </c>
      <c r="M67" s="307"/>
      <c r="N67" s="131">
        <v>139250</v>
      </c>
      <c r="O67" s="145">
        <v>25</v>
      </c>
      <c r="P67" s="307"/>
      <c r="Q67" s="131">
        <v>166381</v>
      </c>
      <c r="R67" s="145">
        <v>40</v>
      </c>
      <c r="S67" s="307"/>
    </row>
    <row r="68" spans="1:19" x14ac:dyDescent="0.2">
      <c r="A68" s="131" t="s">
        <v>1517</v>
      </c>
      <c r="B68" s="131">
        <v>55777</v>
      </c>
      <c r="C68" s="145">
        <v>25</v>
      </c>
      <c r="D68" s="133"/>
      <c r="E68" s="131">
        <v>54882</v>
      </c>
      <c r="F68" s="145">
        <v>35</v>
      </c>
      <c r="G68" s="307"/>
      <c r="H68" s="131">
        <v>58722</v>
      </c>
      <c r="I68" s="145">
        <v>5</v>
      </c>
      <c r="J68" s="307"/>
      <c r="K68" s="131">
        <v>59099</v>
      </c>
      <c r="L68" s="145">
        <v>60</v>
      </c>
      <c r="M68" s="307"/>
      <c r="N68" s="131">
        <v>67277</v>
      </c>
      <c r="O68" s="145">
        <v>55</v>
      </c>
      <c r="P68" s="307"/>
      <c r="Q68" s="131">
        <v>69022</v>
      </c>
      <c r="R68" s="145">
        <v>45</v>
      </c>
      <c r="S68" s="307"/>
    </row>
    <row r="69" spans="1:19" x14ac:dyDescent="0.2">
      <c r="A69" s="131" t="s">
        <v>4033</v>
      </c>
      <c r="B69" s="131">
        <v>158532</v>
      </c>
      <c r="C69" s="145">
        <v>3</v>
      </c>
      <c r="D69" s="133"/>
      <c r="E69" s="131">
        <v>159324</v>
      </c>
      <c r="F69" s="145">
        <v>5</v>
      </c>
      <c r="G69" s="307"/>
      <c r="H69" s="131">
        <v>169357</v>
      </c>
      <c r="I69" s="145">
        <v>20</v>
      </c>
      <c r="J69" s="307"/>
      <c r="K69" s="131">
        <v>179679</v>
      </c>
      <c r="L69" s="145">
        <v>40</v>
      </c>
      <c r="M69" s="307"/>
      <c r="N69" s="131">
        <v>162634</v>
      </c>
      <c r="O69" s="145">
        <v>90</v>
      </c>
      <c r="P69" s="307"/>
      <c r="Q69" s="131">
        <v>167029</v>
      </c>
      <c r="R69" s="145">
        <v>75</v>
      </c>
      <c r="S69" s="307"/>
    </row>
    <row r="70" spans="1:19" x14ac:dyDescent="0.2">
      <c r="A70" s="131" t="s">
        <v>1519</v>
      </c>
      <c r="B70" s="131">
        <v>51344</v>
      </c>
      <c r="C70" s="145">
        <v>75</v>
      </c>
      <c r="D70" s="133"/>
      <c r="E70" s="131">
        <v>45696</v>
      </c>
      <c r="F70" s="145">
        <v>10</v>
      </c>
      <c r="G70" s="307"/>
      <c r="H70" s="131">
        <v>47419</v>
      </c>
      <c r="I70" s="145">
        <v>35</v>
      </c>
      <c r="J70" s="307"/>
      <c r="K70" s="131">
        <v>41144</v>
      </c>
      <c r="L70" s="145">
        <v>15</v>
      </c>
      <c r="M70" s="307"/>
      <c r="N70" s="131">
        <v>42367</v>
      </c>
      <c r="O70" s="145">
        <v>80</v>
      </c>
      <c r="P70" s="307"/>
      <c r="Q70" s="131">
        <v>48996</v>
      </c>
      <c r="R70" s="145">
        <v>35</v>
      </c>
      <c r="S70" s="307"/>
    </row>
    <row r="71" spans="1:19" x14ac:dyDescent="0.2">
      <c r="A71" s="131" t="s">
        <v>4553</v>
      </c>
      <c r="B71" s="131">
        <v>14065</v>
      </c>
      <c r="C71" s="145">
        <v>45</v>
      </c>
      <c r="D71" s="133"/>
      <c r="E71" s="131">
        <v>18943</v>
      </c>
      <c r="F71" s="145">
        <v>20</v>
      </c>
      <c r="G71" s="307"/>
      <c r="H71" s="131">
        <v>18995</v>
      </c>
      <c r="I71" s="145">
        <v>85</v>
      </c>
      <c r="J71" s="307"/>
      <c r="K71" s="131">
        <v>15554</v>
      </c>
      <c r="L71" s="145">
        <v>5</v>
      </c>
      <c r="M71" s="307"/>
      <c r="N71" s="131">
        <v>17850</v>
      </c>
      <c r="O71" s="145"/>
      <c r="P71" s="307"/>
      <c r="Q71" s="131">
        <v>24969</v>
      </c>
      <c r="R71" s="145">
        <v>65</v>
      </c>
      <c r="S71" s="307"/>
    </row>
    <row r="72" spans="1:19" x14ac:dyDescent="0.2">
      <c r="A72" s="131" t="s">
        <v>5282</v>
      </c>
      <c r="B72" s="131">
        <v>11646</v>
      </c>
      <c r="C72" s="145">
        <v>32</v>
      </c>
      <c r="D72" s="133">
        <v>0.5</v>
      </c>
      <c r="E72" s="131">
        <v>2497</v>
      </c>
      <c r="F72" s="145">
        <v>45</v>
      </c>
      <c r="G72" s="307"/>
      <c r="H72" s="131">
        <v>7109</v>
      </c>
      <c r="I72" s="145">
        <v>65</v>
      </c>
      <c r="J72" s="307"/>
      <c r="K72" s="131">
        <v>5617</v>
      </c>
      <c r="L72" s="145">
        <v>55</v>
      </c>
      <c r="M72" s="307"/>
      <c r="N72" s="131">
        <v>13344</v>
      </c>
      <c r="O72" s="145">
        <v>35</v>
      </c>
      <c r="P72" s="307"/>
      <c r="Q72" s="131">
        <v>8819</v>
      </c>
      <c r="R72" s="145"/>
      <c r="S72" s="307"/>
    </row>
    <row r="73" spans="1:19" x14ac:dyDescent="0.2">
      <c r="A73" s="131" t="s">
        <v>1526</v>
      </c>
      <c r="B73" s="131">
        <v>48114</v>
      </c>
      <c r="C73" s="145">
        <v>50</v>
      </c>
      <c r="D73" s="133"/>
      <c r="E73" s="131">
        <v>39627</v>
      </c>
      <c r="F73" s="145">
        <v>10</v>
      </c>
      <c r="G73" s="307"/>
      <c r="H73" s="131">
        <v>54898</v>
      </c>
      <c r="I73" s="145">
        <v>65</v>
      </c>
      <c r="J73" s="307"/>
      <c r="K73" s="131">
        <v>49039</v>
      </c>
      <c r="L73" s="145">
        <v>85</v>
      </c>
      <c r="M73" s="307"/>
      <c r="N73" s="131">
        <v>73878</v>
      </c>
      <c r="O73" s="145">
        <v>40</v>
      </c>
      <c r="P73" s="307"/>
      <c r="Q73" s="131">
        <v>68173</v>
      </c>
      <c r="R73" s="145">
        <v>10</v>
      </c>
      <c r="S73" s="307"/>
    </row>
    <row r="74" spans="1:19" x14ac:dyDescent="0.2">
      <c r="A74" s="131" t="s">
        <v>4034</v>
      </c>
      <c r="B74" s="131">
        <v>22180</v>
      </c>
      <c r="C74" s="145">
        <v>60</v>
      </c>
      <c r="D74" s="133"/>
      <c r="E74" s="131">
        <v>23081</v>
      </c>
      <c r="F74" s="145">
        <v>15</v>
      </c>
      <c r="G74" s="307"/>
      <c r="H74" s="131">
        <v>22654</v>
      </c>
      <c r="I74" s="145">
        <v>60</v>
      </c>
      <c r="J74" s="307"/>
      <c r="K74" s="131">
        <v>20297</v>
      </c>
      <c r="L74" s="145">
        <v>45</v>
      </c>
      <c r="M74" s="307"/>
      <c r="N74" s="131">
        <v>32186</v>
      </c>
      <c r="O74" s="145">
        <v>80</v>
      </c>
      <c r="P74" s="307"/>
      <c r="Q74" s="131">
        <v>31795</v>
      </c>
      <c r="R74" s="145">
        <v>80</v>
      </c>
      <c r="S74" s="307"/>
    </row>
    <row r="75" spans="1:19" x14ac:dyDescent="0.2">
      <c r="A75" s="131" t="s">
        <v>1527</v>
      </c>
      <c r="B75" s="131">
        <v>34851</v>
      </c>
      <c r="C75" s="145">
        <v>10</v>
      </c>
      <c r="D75" s="133"/>
      <c r="E75" s="131">
        <v>33564</v>
      </c>
      <c r="F75" s="145">
        <v>65</v>
      </c>
      <c r="G75" s="307"/>
      <c r="H75" s="131">
        <v>34046</v>
      </c>
      <c r="I75" s="145">
        <v>50</v>
      </c>
      <c r="J75" s="307"/>
      <c r="K75" s="131">
        <v>32137</v>
      </c>
      <c r="L75" s="145">
        <v>75</v>
      </c>
      <c r="M75" s="307"/>
      <c r="N75" s="131">
        <v>34194</v>
      </c>
      <c r="O75" s="145">
        <v>35</v>
      </c>
      <c r="P75" s="307"/>
      <c r="Q75" s="131">
        <v>36871</v>
      </c>
      <c r="R75" s="145">
        <v>45</v>
      </c>
      <c r="S75" s="307"/>
    </row>
    <row r="76" spans="1:19" x14ac:dyDescent="0.2">
      <c r="A76" s="230" t="s">
        <v>5283</v>
      </c>
      <c r="B76" s="240">
        <v>523281</v>
      </c>
      <c r="C76" s="318">
        <v>15</v>
      </c>
      <c r="D76" s="241">
        <v>0.5</v>
      </c>
      <c r="E76" s="240">
        <v>523556</v>
      </c>
      <c r="F76" s="318">
        <v>55</v>
      </c>
      <c r="G76" s="513"/>
      <c r="H76" s="240">
        <v>548952</v>
      </c>
      <c r="I76" s="318">
        <v>60</v>
      </c>
      <c r="J76" s="513"/>
      <c r="K76" s="240">
        <v>539699</v>
      </c>
      <c r="L76" s="318">
        <v>45</v>
      </c>
      <c r="M76" s="513"/>
      <c r="N76" s="240">
        <v>582964</v>
      </c>
      <c r="O76" s="318">
        <v>40</v>
      </c>
      <c r="P76" s="513"/>
      <c r="Q76" s="240">
        <v>630204</v>
      </c>
      <c r="R76" s="318">
        <v>55</v>
      </c>
      <c r="S76" s="513"/>
    </row>
    <row r="77" spans="1:19" x14ac:dyDescent="0.2">
      <c r="A77" s="230"/>
      <c r="B77" s="1117">
        <f>+SUM(B66:B75)</f>
        <v>523278</v>
      </c>
      <c r="C77" s="1117">
        <f t="shared" ref="C77:S77" si="5">+SUM(C66:C75)</f>
        <v>315</v>
      </c>
      <c r="D77" s="1487">
        <f t="shared" si="5"/>
        <v>0.5</v>
      </c>
      <c r="E77" s="1117">
        <f t="shared" si="5"/>
        <v>523554</v>
      </c>
      <c r="F77" s="1117">
        <f t="shared" si="5"/>
        <v>255</v>
      </c>
      <c r="G77" s="1117">
        <f t="shared" si="5"/>
        <v>0</v>
      </c>
      <c r="H77" s="1117">
        <f t="shared" si="5"/>
        <v>548948</v>
      </c>
      <c r="I77" s="1117">
        <f t="shared" si="5"/>
        <v>460</v>
      </c>
      <c r="J77" s="1117">
        <f t="shared" si="5"/>
        <v>0</v>
      </c>
      <c r="K77" s="1488">
        <f t="shared" si="5"/>
        <v>539705</v>
      </c>
      <c r="L77" s="1117">
        <f t="shared" si="5"/>
        <v>445</v>
      </c>
      <c r="M77" s="1117">
        <f t="shared" si="5"/>
        <v>0</v>
      </c>
      <c r="N77" s="1117">
        <f t="shared" si="5"/>
        <v>582980</v>
      </c>
      <c r="O77" s="1117">
        <f t="shared" si="5"/>
        <v>440</v>
      </c>
      <c r="P77" s="1117">
        <f t="shared" si="5"/>
        <v>0</v>
      </c>
      <c r="Q77" s="1117">
        <f t="shared" si="5"/>
        <v>630200</v>
      </c>
      <c r="R77" s="1117">
        <f t="shared" si="5"/>
        <v>455</v>
      </c>
      <c r="S77" s="1117">
        <f t="shared" si="5"/>
        <v>0</v>
      </c>
    </row>
    <row r="78" spans="1:19" ht="29.5" customHeight="1" x14ac:dyDescent="0.2">
      <c r="A78" s="879" t="s">
        <v>5286</v>
      </c>
      <c r="B78" s="880"/>
      <c r="C78" s="880"/>
      <c r="D78" s="880"/>
      <c r="E78" s="880"/>
      <c r="F78" s="880"/>
      <c r="G78" s="880"/>
      <c r="H78" s="880"/>
      <c r="I78" s="880"/>
      <c r="J78" s="880"/>
      <c r="K78" s="880"/>
      <c r="L78" s="880"/>
      <c r="M78" s="880"/>
      <c r="N78" s="880"/>
      <c r="O78" s="880"/>
      <c r="P78" s="880"/>
      <c r="Q78" s="880"/>
      <c r="R78" s="880"/>
      <c r="S78" s="881"/>
    </row>
    <row r="82" spans="1:21" x14ac:dyDescent="0.2">
      <c r="A82" s="526" t="s">
        <v>1226</v>
      </c>
    </row>
    <row r="83" spans="1:21" ht="38.5" customHeight="1" x14ac:dyDescent="0.2">
      <c r="A83" s="1319" t="s">
        <v>5287</v>
      </c>
      <c r="B83" s="1320"/>
      <c r="C83" s="1320"/>
      <c r="D83" s="1320"/>
      <c r="E83" s="1320"/>
      <c r="F83" s="1320"/>
      <c r="G83" s="1320"/>
      <c r="H83" s="1320"/>
      <c r="I83" s="1320"/>
      <c r="J83" s="1320"/>
      <c r="K83" s="1320"/>
      <c r="L83" s="1320"/>
      <c r="M83" s="1320"/>
      <c r="N83" s="1320"/>
      <c r="O83" s="1320"/>
      <c r="P83" s="1320"/>
      <c r="Q83" s="1320"/>
      <c r="R83" s="1320"/>
      <c r="S83" s="1320"/>
      <c r="T83" s="1320"/>
      <c r="U83" s="1321"/>
    </row>
    <row r="84" spans="1:21" x14ac:dyDescent="0.2">
      <c r="A84" s="711" t="s">
        <v>4056</v>
      </c>
      <c r="B84" s="846"/>
      <c r="C84" s="846"/>
      <c r="D84" s="1000" t="s">
        <v>1880</v>
      </c>
      <c r="E84" s="779"/>
      <c r="F84" s="779"/>
      <c r="G84" s="779"/>
      <c r="H84" s="779"/>
      <c r="I84" s="779"/>
      <c r="J84" s="779"/>
      <c r="K84" s="779"/>
      <c r="L84" s="779"/>
      <c r="M84" s="779"/>
      <c r="N84" s="779"/>
      <c r="O84" s="779"/>
      <c r="P84" s="779"/>
      <c r="Q84" s="779"/>
      <c r="R84" s="779"/>
      <c r="S84" s="779"/>
      <c r="T84" s="779"/>
      <c r="U84" s="780"/>
    </row>
    <row r="85" spans="1:21" x14ac:dyDescent="0.2">
      <c r="A85" s="1460"/>
      <c r="B85" s="846"/>
      <c r="C85" s="846"/>
      <c r="D85" s="1267">
        <v>1892</v>
      </c>
      <c r="E85" s="1267"/>
      <c r="F85" s="1267"/>
      <c r="G85" s="1267">
        <v>1893</v>
      </c>
      <c r="H85" s="1267"/>
      <c r="I85" s="1267"/>
      <c r="J85" s="1267">
        <v>1894</v>
      </c>
      <c r="K85" s="1267"/>
      <c r="L85" s="1267"/>
      <c r="M85" s="1267">
        <v>1895</v>
      </c>
      <c r="N85" s="1267"/>
      <c r="O85" s="1267"/>
      <c r="P85" s="1267">
        <v>1896</v>
      </c>
      <c r="Q85" s="1267"/>
      <c r="R85" s="1267"/>
      <c r="S85" s="1267">
        <v>1897</v>
      </c>
      <c r="T85" s="1267"/>
      <c r="U85" s="1267"/>
    </row>
    <row r="86" spans="1:21" x14ac:dyDescent="0.2">
      <c r="A86" s="1460"/>
      <c r="B86" s="846"/>
      <c r="C86" s="846"/>
      <c r="D86" s="1547" t="s">
        <v>3405</v>
      </c>
      <c r="E86" s="1421" t="s">
        <v>1636</v>
      </c>
      <c r="F86" s="1421"/>
      <c r="G86" s="1547" t="s">
        <v>3405</v>
      </c>
      <c r="H86" s="1421" t="s">
        <v>1636</v>
      </c>
      <c r="I86" s="1421"/>
      <c r="J86" s="1547" t="s">
        <v>3405</v>
      </c>
      <c r="K86" s="1421" t="s">
        <v>1636</v>
      </c>
      <c r="L86" s="1421"/>
      <c r="M86" s="1547" t="s">
        <v>3405</v>
      </c>
      <c r="N86" s="1421" t="s">
        <v>1636</v>
      </c>
      <c r="O86" s="1421"/>
      <c r="P86" s="1547" t="s">
        <v>3405</v>
      </c>
      <c r="Q86" s="1421" t="s">
        <v>1636</v>
      </c>
      <c r="R86" s="1421"/>
      <c r="S86" s="1547" t="s">
        <v>3405</v>
      </c>
      <c r="T86" s="1421" t="s">
        <v>1636</v>
      </c>
      <c r="U86" s="1421"/>
    </row>
    <row r="87" spans="1:21" x14ac:dyDescent="0.2">
      <c r="A87" s="1460"/>
      <c r="B87" s="1548" t="s">
        <v>4841</v>
      </c>
      <c r="C87" s="1422" t="s">
        <v>4792</v>
      </c>
      <c r="D87" s="716">
        <v>1136</v>
      </c>
      <c r="E87" s="145">
        <v>46528</v>
      </c>
      <c r="F87" s="133">
        <v>0.5</v>
      </c>
      <c r="G87" s="716">
        <v>912</v>
      </c>
      <c r="H87" s="145">
        <v>55841</v>
      </c>
      <c r="I87" s="145"/>
      <c r="J87" s="716">
        <v>888</v>
      </c>
      <c r="K87" s="145">
        <v>42567</v>
      </c>
      <c r="L87" s="307"/>
      <c r="M87" s="716">
        <v>940</v>
      </c>
      <c r="N87" s="145">
        <v>35398</v>
      </c>
      <c r="O87" s="307"/>
      <c r="P87" s="716">
        <v>1392</v>
      </c>
      <c r="Q87" s="145">
        <v>45873</v>
      </c>
      <c r="R87" s="307"/>
      <c r="S87" s="716">
        <v>1151</v>
      </c>
      <c r="T87" s="145">
        <v>43646</v>
      </c>
      <c r="U87" s="133">
        <v>0.5</v>
      </c>
    </row>
    <row r="88" spans="1:21" x14ac:dyDescent="0.2">
      <c r="A88" s="1460"/>
      <c r="B88" s="1548"/>
      <c r="C88" s="1422" t="s">
        <v>4793</v>
      </c>
      <c r="D88" s="533">
        <v>531</v>
      </c>
      <c r="E88" s="145">
        <v>646505</v>
      </c>
      <c r="F88" s="133"/>
      <c r="G88" s="533">
        <v>598</v>
      </c>
      <c r="H88" s="145">
        <v>750536</v>
      </c>
      <c r="I88" s="145"/>
      <c r="J88" s="533">
        <v>685</v>
      </c>
      <c r="K88" s="145">
        <v>849278</v>
      </c>
      <c r="L88" s="307"/>
      <c r="M88" s="533">
        <v>643</v>
      </c>
      <c r="N88" s="145">
        <v>788420</v>
      </c>
      <c r="O88" s="307"/>
      <c r="P88" s="533">
        <v>682</v>
      </c>
      <c r="Q88" s="145">
        <v>864891</v>
      </c>
      <c r="R88" s="307"/>
      <c r="S88" s="533">
        <v>740</v>
      </c>
      <c r="T88" s="145">
        <v>814811</v>
      </c>
      <c r="U88" s="133"/>
    </row>
    <row r="89" spans="1:21" x14ac:dyDescent="0.2">
      <c r="A89" s="1460"/>
      <c r="B89" s="1548"/>
      <c r="C89" s="1422" t="s">
        <v>4843</v>
      </c>
      <c r="D89" s="808">
        <v>1667</v>
      </c>
      <c r="E89" s="318">
        <v>693033</v>
      </c>
      <c r="F89" s="241">
        <v>0.5</v>
      </c>
      <c r="G89" s="808">
        <v>1510</v>
      </c>
      <c r="H89" s="318">
        <v>806377</v>
      </c>
      <c r="I89" s="318"/>
      <c r="J89" s="808">
        <v>1573</v>
      </c>
      <c r="K89" s="318">
        <v>891845</v>
      </c>
      <c r="L89" s="513"/>
      <c r="M89" s="808">
        <v>1583</v>
      </c>
      <c r="N89" s="318">
        <v>823818</v>
      </c>
      <c r="O89" s="513"/>
      <c r="P89" s="808">
        <v>2074</v>
      </c>
      <c r="Q89" s="318">
        <v>64</v>
      </c>
      <c r="R89" s="513"/>
      <c r="S89" s="808">
        <v>1891</v>
      </c>
      <c r="T89" s="318">
        <v>858457</v>
      </c>
      <c r="U89" s="241">
        <v>0.5</v>
      </c>
    </row>
    <row r="90" spans="1:21" x14ac:dyDescent="0.2">
      <c r="A90" s="1460"/>
      <c r="B90" s="1549"/>
      <c r="C90" s="1422"/>
      <c r="D90" s="1550">
        <f>+SUM(D87:D88)</f>
        <v>1667</v>
      </c>
      <c r="E90" s="1550">
        <f t="shared" ref="E90:U90" si="6">+SUM(E87:E88)</f>
        <v>693033</v>
      </c>
      <c r="F90" s="1551">
        <f t="shared" si="6"/>
        <v>0.5</v>
      </c>
      <c r="G90" s="1550">
        <f t="shared" si="6"/>
        <v>1510</v>
      </c>
      <c r="H90" s="1550">
        <f t="shared" si="6"/>
        <v>806377</v>
      </c>
      <c r="I90" s="1550">
        <f t="shared" si="6"/>
        <v>0</v>
      </c>
      <c r="J90" s="1550">
        <f t="shared" si="6"/>
        <v>1573</v>
      </c>
      <c r="K90" s="1550">
        <f t="shared" si="6"/>
        <v>891845</v>
      </c>
      <c r="L90" s="1550">
        <f t="shared" si="6"/>
        <v>0</v>
      </c>
      <c r="M90" s="1550">
        <f t="shared" si="6"/>
        <v>1583</v>
      </c>
      <c r="N90" s="1550">
        <f t="shared" si="6"/>
        <v>823818</v>
      </c>
      <c r="O90" s="1550">
        <f t="shared" si="6"/>
        <v>0</v>
      </c>
      <c r="P90" s="1550">
        <f t="shared" si="6"/>
        <v>2074</v>
      </c>
      <c r="Q90" s="1552">
        <f t="shared" si="6"/>
        <v>910764</v>
      </c>
      <c r="R90" s="1550">
        <f t="shared" si="6"/>
        <v>0</v>
      </c>
      <c r="S90" s="1550">
        <f t="shared" si="6"/>
        <v>1891</v>
      </c>
      <c r="T90" s="1550">
        <f t="shared" si="6"/>
        <v>858457</v>
      </c>
      <c r="U90" s="1551">
        <f t="shared" si="6"/>
        <v>0.5</v>
      </c>
    </row>
    <row r="91" spans="1:21" x14ac:dyDescent="0.2">
      <c r="A91" s="1460"/>
      <c r="B91" s="1548" t="s">
        <v>4845</v>
      </c>
      <c r="C91" s="1422" t="s">
        <v>4792</v>
      </c>
      <c r="D91" s="533">
        <v>1102</v>
      </c>
      <c r="E91" s="145">
        <v>41630</v>
      </c>
      <c r="F91" s="133">
        <v>0.5</v>
      </c>
      <c r="G91" s="533">
        <v>894</v>
      </c>
      <c r="H91" s="145">
        <v>54181</v>
      </c>
      <c r="I91" s="145"/>
      <c r="J91" s="533">
        <v>855</v>
      </c>
      <c r="K91" s="145">
        <v>39387</v>
      </c>
      <c r="L91" s="307"/>
      <c r="M91" s="533">
        <v>935</v>
      </c>
      <c r="N91" s="145">
        <v>34996</v>
      </c>
      <c r="O91" s="133">
        <v>0.5</v>
      </c>
      <c r="P91" s="533">
        <v>1391</v>
      </c>
      <c r="Q91" s="145">
        <v>47654</v>
      </c>
      <c r="R91" s="133">
        <v>0.5</v>
      </c>
      <c r="S91" s="533">
        <v>1125</v>
      </c>
      <c r="T91" s="145">
        <v>43677</v>
      </c>
      <c r="U91" s="133">
        <v>0.5</v>
      </c>
    </row>
    <row r="92" spans="1:21" x14ac:dyDescent="0.2">
      <c r="A92" s="1460"/>
      <c r="B92" s="1548" t="s">
        <v>4846</v>
      </c>
      <c r="C92" s="1422" t="s">
        <v>4793</v>
      </c>
      <c r="D92" s="533">
        <v>520</v>
      </c>
      <c r="E92" s="145">
        <v>637934</v>
      </c>
      <c r="F92" s="133"/>
      <c r="G92" s="533">
        <v>581</v>
      </c>
      <c r="H92" s="145">
        <v>1382673</v>
      </c>
      <c r="I92" s="145"/>
      <c r="J92" s="533">
        <v>683</v>
      </c>
      <c r="K92" s="145">
        <v>852033</v>
      </c>
      <c r="L92" s="307"/>
      <c r="M92" s="533">
        <v>638</v>
      </c>
      <c r="N92" s="145">
        <v>786357</v>
      </c>
      <c r="O92" s="133"/>
      <c r="P92" s="533">
        <v>670</v>
      </c>
      <c r="Q92" s="145">
        <v>819476</v>
      </c>
      <c r="R92" s="133"/>
      <c r="S92" s="533">
        <v>735</v>
      </c>
      <c r="T92" s="145">
        <v>757033</v>
      </c>
      <c r="U92" s="133"/>
    </row>
    <row r="93" spans="1:21" x14ac:dyDescent="0.2">
      <c r="A93" s="1460"/>
      <c r="B93" s="1548"/>
      <c r="C93" s="1422" t="s">
        <v>4843</v>
      </c>
      <c r="D93" s="808">
        <v>1662</v>
      </c>
      <c r="E93" s="318">
        <v>679564</v>
      </c>
      <c r="F93" s="241">
        <v>0.5</v>
      </c>
      <c r="G93" s="808">
        <v>1475</v>
      </c>
      <c r="H93" s="318">
        <v>1436854</v>
      </c>
      <c r="I93" s="318"/>
      <c r="J93" s="808">
        <v>1548</v>
      </c>
      <c r="K93" s="318">
        <v>891420</v>
      </c>
      <c r="L93" s="513"/>
      <c r="M93" s="808">
        <v>1573</v>
      </c>
      <c r="N93" s="318">
        <v>821353</v>
      </c>
      <c r="O93" s="241">
        <v>0.5</v>
      </c>
      <c r="P93" s="808">
        <v>2061</v>
      </c>
      <c r="Q93" s="318">
        <v>867130</v>
      </c>
      <c r="R93" s="241">
        <v>0.5</v>
      </c>
      <c r="S93" s="808">
        <v>1850</v>
      </c>
      <c r="T93" s="318">
        <v>800710</v>
      </c>
      <c r="U93" s="241">
        <v>0.5</v>
      </c>
    </row>
    <row r="94" spans="1:21" x14ac:dyDescent="0.2">
      <c r="A94" s="715"/>
      <c r="B94" s="1549"/>
      <c r="C94" s="1422"/>
      <c r="D94" s="246">
        <f>+SUM(D91:D92)</f>
        <v>1622</v>
      </c>
      <c r="E94" s="246">
        <f t="shared" ref="E94:U94" si="7">+SUM(E91:E92)</f>
        <v>679564</v>
      </c>
      <c r="F94" s="1551">
        <f t="shared" si="7"/>
        <v>0.5</v>
      </c>
      <c r="G94" s="246">
        <f t="shared" si="7"/>
        <v>1475</v>
      </c>
      <c r="H94" s="246">
        <f t="shared" si="7"/>
        <v>1436854</v>
      </c>
      <c r="I94" s="246">
        <f t="shared" si="7"/>
        <v>0</v>
      </c>
      <c r="J94" s="1116">
        <f t="shared" si="7"/>
        <v>1538</v>
      </c>
      <c r="K94" s="246">
        <f t="shared" si="7"/>
        <v>891420</v>
      </c>
      <c r="L94" s="246">
        <f t="shared" si="7"/>
        <v>0</v>
      </c>
      <c r="M94" s="246">
        <f t="shared" si="7"/>
        <v>1573</v>
      </c>
      <c r="N94" s="246">
        <f t="shared" si="7"/>
        <v>821353</v>
      </c>
      <c r="O94" s="1551">
        <f t="shared" si="7"/>
        <v>0.5</v>
      </c>
      <c r="P94" s="246">
        <f t="shared" si="7"/>
        <v>2061</v>
      </c>
      <c r="Q94" s="246">
        <f t="shared" si="7"/>
        <v>867130</v>
      </c>
      <c r="R94" s="1551">
        <f t="shared" si="7"/>
        <v>0.5</v>
      </c>
      <c r="S94" s="246">
        <f t="shared" si="7"/>
        <v>1860</v>
      </c>
      <c r="T94" s="246">
        <f t="shared" si="7"/>
        <v>800710</v>
      </c>
      <c r="U94" s="1551">
        <f t="shared" si="7"/>
        <v>0.5</v>
      </c>
    </row>
    <row r="95" spans="1:21" x14ac:dyDescent="0.2">
      <c r="A95" s="711" t="s">
        <v>3394</v>
      </c>
      <c r="B95" s="842"/>
      <c r="C95" s="716"/>
      <c r="D95" s="1427" t="s">
        <v>5288</v>
      </c>
      <c r="E95" s="1428"/>
      <c r="F95" s="1429"/>
      <c r="G95" s="1427" t="s">
        <v>5288</v>
      </c>
      <c r="H95" s="1428"/>
      <c r="I95" s="1429"/>
      <c r="J95" s="1427" t="s">
        <v>5288</v>
      </c>
      <c r="K95" s="1428"/>
      <c r="L95" s="1429"/>
      <c r="M95" s="1427" t="s">
        <v>5288</v>
      </c>
      <c r="N95" s="1428"/>
      <c r="O95" s="1429"/>
      <c r="P95" s="1427" t="s">
        <v>5288</v>
      </c>
      <c r="Q95" s="1428"/>
      <c r="R95" s="1429"/>
      <c r="S95" s="1427" t="s">
        <v>5288</v>
      </c>
      <c r="T95" s="1428"/>
      <c r="U95" s="1429"/>
    </row>
    <row r="96" spans="1:21" x14ac:dyDescent="0.2">
      <c r="A96" s="1460"/>
      <c r="B96" s="846"/>
      <c r="C96" s="1422" t="s">
        <v>4848</v>
      </c>
      <c r="D96" s="353">
        <v>3007434</v>
      </c>
      <c r="E96" s="354"/>
      <c r="F96" s="604"/>
      <c r="G96" s="353">
        <v>3986854</v>
      </c>
      <c r="H96" s="354"/>
      <c r="I96" s="604"/>
      <c r="J96" s="353">
        <v>2198678</v>
      </c>
      <c r="K96" s="354"/>
      <c r="L96" s="604"/>
      <c r="M96" s="353">
        <v>1529219</v>
      </c>
      <c r="N96" s="354"/>
      <c r="O96" s="604"/>
      <c r="P96" s="353">
        <v>2379970</v>
      </c>
      <c r="Q96" s="354"/>
      <c r="R96" s="604"/>
      <c r="S96" s="353">
        <v>2210407</v>
      </c>
      <c r="T96" s="354"/>
      <c r="U96" s="604"/>
    </row>
    <row r="97" spans="1:21" x14ac:dyDescent="0.2">
      <c r="A97" s="1460"/>
      <c r="B97" s="846"/>
      <c r="C97" s="1422" t="s">
        <v>4850</v>
      </c>
      <c r="D97" s="355">
        <v>1444733</v>
      </c>
      <c r="E97" s="356"/>
      <c r="F97" s="357"/>
      <c r="G97" s="355">
        <v>1512446</v>
      </c>
      <c r="H97" s="356"/>
      <c r="I97" s="357"/>
      <c r="J97" s="355">
        <v>2365334</v>
      </c>
      <c r="K97" s="356"/>
      <c r="L97" s="357"/>
      <c r="M97" s="355">
        <v>1852326</v>
      </c>
      <c r="N97" s="356"/>
      <c r="O97" s="357"/>
      <c r="P97" s="355">
        <v>1852326</v>
      </c>
      <c r="Q97" s="356"/>
      <c r="R97" s="357"/>
      <c r="S97" s="355">
        <v>1576912</v>
      </c>
      <c r="T97" s="356"/>
      <c r="U97" s="357"/>
    </row>
    <row r="98" spans="1:21" x14ac:dyDescent="0.2">
      <c r="A98" s="1460"/>
      <c r="B98" s="846"/>
      <c r="C98" s="1422" t="s">
        <v>4843</v>
      </c>
      <c r="D98" s="616">
        <v>4451167</v>
      </c>
      <c r="E98" s="617"/>
      <c r="F98" s="618"/>
      <c r="G98" s="616">
        <v>5499300</v>
      </c>
      <c r="H98" s="617"/>
      <c r="I98" s="618"/>
      <c r="J98" s="616">
        <v>4564012</v>
      </c>
      <c r="K98" s="617"/>
      <c r="L98" s="618"/>
      <c r="M98" s="616">
        <v>3381045</v>
      </c>
      <c r="N98" s="617"/>
      <c r="O98" s="618"/>
      <c r="P98" s="616">
        <v>4232296</v>
      </c>
      <c r="Q98" s="617"/>
      <c r="R98" s="618"/>
      <c r="S98" s="616">
        <v>3787319</v>
      </c>
      <c r="T98" s="617"/>
      <c r="U98" s="618"/>
    </row>
    <row r="99" spans="1:21" x14ac:dyDescent="0.2">
      <c r="A99" s="715"/>
      <c r="B99" s="850"/>
      <c r="C99" s="1422"/>
      <c r="D99" s="1553">
        <f>+SUM(D96:F97)</f>
        <v>4452167</v>
      </c>
      <c r="E99" s="1554"/>
      <c r="F99" s="1555"/>
      <c r="G99" s="1556">
        <f>+SUM(G96:I97)</f>
        <v>5499300</v>
      </c>
      <c r="H99" s="1557"/>
      <c r="I99" s="1558"/>
      <c r="J99" s="1556">
        <f>+SUM(J96:L97)</f>
        <v>4564012</v>
      </c>
      <c r="K99" s="1557"/>
      <c r="L99" s="1558"/>
      <c r="M99" s="1553">
        <f>+SUM(M96:O97)</f>
        <v>3381545</v>
      </c>
      <c r="N99" s="1554"/>
      <c r="O99" s="1555"/>
      <c r="P99" s="1556">
        <f>+SUM(P96:R97)</f>
        <v>4232296</v>
      </c>
      <c r="Q99" s="1557"/>
      <c r="R99" s="1558"/>
      <c r="S99" s="1556">
        <f>+SUM(S96:U97)</f>
        <v>3787319</v>
      </c>
      <c r="T99" s="1557"/>
      <c r="U99" s="1558"/>
    </row>
    <row r="100" spans="1:21" x14ac:dyDescent="0.2">
      <c r="A100" s="711" t="s">
        <v>3576</v>
      </c>
      <c r="B100" s="1559" t="s">
        <v>4062</v>
      </c>
      <c r="C100" s="1038"/>
      <c r="D100" s="1434" t="s">
        <v>4036</v>
      </c>
      <c r="E100" s="1435"/>
      <c r="F100" s="1436" t="s">
        <v>4806</v>
      </c>
      <c r="G100" s="1434" t="s">
        <v>4036</v>
      </c>
      <c r="H100" s="1435"/>
      <c r="I100" s="1436" t="s">
        <v>4806</v>
      </c>
      <c r="J100" s="1434" t="s">
        <v>4036</v>
      </c>
      <c r="K100" s="1435"/>
      <c r="L100" s="1436" t="s">
        <v>4806</v>
      </c>
      <c r="M100" s="1434" t="s">
        <v>4036</v>
      </c>
      <c r="N100" s="1435"/>
      <c r="O100" s="1436" t="s">
        <v>4806</v>
      </c>
      <c r="P100" s="1434" t="s">
        <v>4036</v>
      </c>
      <c r="Q100" s="1435"/>
      <c r="R100" s="1436" t="s">
        <v>4806</v>
      </c>
      <c r="S100" s="1434" t="s">
        <v>4036</v>
      </c>
      <c r="T100" s="1435"/>
      <c r="U100" s="1437" t="s">
        <v>4806</v>
      </c>
    </row>
    <row r="101" spans="1:21" x14ac:dyDescent="0.2">
      <c r="A101" s="1460"/>
      <c r="B101" s="1560"/>
      <c r="C101" s="1439" t="s">
        <v>4565</v>
      </c>
      <c r="D101" s="131"/>
      <c r="E101" s="145">
        <v>8548754</v>
      </c>
      <c r="F101" s="145">
        <v>586</v>
      </c>
      <c r="G101" s="131"/>
      <c r="H101" s="145">
        <v>14157724</v>
      </c>
      <c r="I101" s="307">
        <v>261</v>
      </c>
      <c r="J101" s="145"/>
      <c r="K101" s="145">
        <v>11223705</v>
      </c>
      <c r="L101" s="307">
        <v>992</v>
      </c>
      <c r="M101" s="145"/>
      <c r="N101" s="145">
        <v>9036352</v>
      </c>
      <c r="O101" s="307">
        <v>652</v>
      </c>
      <c r="P101" s="145"/>
      <c r="Q101" s="145">
        <v>8883066</v>
      </c>
      <c r="R101" s="307">
        <v>59</v>
      </c>
      <c r="S101" s="145"/>
      <c r="T101" s="145">
        <v>9516170</v>
      </c>
      <c r="U101" s="307">
        <v>910</v>
      </c>
    </row>
    <row r="102" spans="1:21" x14ac:dyDescent="0.2">
      <c r="A102" s="1460"/>
      <c r="B102" s="1560"/>
      <c r="C102" s="1439" t="s">
        <v>4852</v>
      </c>
      <c r="D102" s="131"/>
      <c r="E102" s="145">
        <v>8150236</v>
      </c>
      <c r="F102" s="145">
        <v>449</v>
      </c>
      <c r="G102" s="131"/>
      <c r="H102" s="145">
        <v>12216917</v>
      </c>
      <c r="I102" s="307">
        <v>600</v>
      </c>
      <c r="J102" s="145"/>
      <c r="K102" s="145">
        <v>15205236</v>
      </c>
      <c r="L102" s="307">
        <v>839</v>
      </c>
      <c r="M102" s="145"/>
      <c r="N102" s="145">
        <v>14609204</v>
      </c>
      <c r="O102" s="307">
        <v>783</v>
      </c>
      <c r="P102" s="145"/>
      <c r="Q102" s="145">
        <v>13947721</v>
      </c>
      <c r="R102" s="307"/>
      <c r="S102" s="145"/>
      <c r="T102" s="145">
        <v>18212144</v>
      </c>
      <c r="U102" s="307">
        <v>970</v>
      </c>
    </row>
    <row r="103" spans="1:21" x14ac:dyDescent="0.2">
      <c r="A103" s="1460"/>
      <c r="B103" s="1560"/>
      <c r="C103" s="1439" t="s">
        <v>4853</v>
      </c>
      <c r="D103" s="131"/>
      <c r="E103" s="145">
        <v>1137052</v>
      </c>
      <c r="F103" s="145">
        <v>956</v>
      </c>
      <c r="G103" s="131"/>
      <c r="H103" s="145">
        <v>2521142</v>
      </c>
      <c r="I103" s="307">
        <v>500</v>
      </c>
      <c r="J103" s="145"/>
      <c r="K103" s="145">
        <v>1234890</v>
      </c>
      <c r="L103" s="307">
        <v>700</v>
      </c>
      <c r="M103" s="145"/>
      <c r="N103" s="145">
        <v>1000144</v>
      </c>
      <c r="O103" s="307">
        <v>665</v>
      </c>
      <c r="P103" s="145"/>
      <c r="Q103" s="145">
        <v>2008179</v>
      </c>
      <c r="R103" s="307">
        <v>750</v>
      </c>
      <c r="S103" s="145"/>
      <c r="T103" s="145">
        <v>3738999</v>
      </c>
      <c r="U103" s="307"/>
    </row>
    <row r="104" spans="1:21" x14ac:dyDescent="0.2">
      <c r="A104" s="1460"/>
      <c r="B104" s="1560"/>
      <c r="C104" s="1439" t="s">
        <v>4854</v>
      </c>
      <c r="D104" s="131"/>
      <c r="E104" s="145">
        <v>19719570</v>
      </c>
      <c r="F104" s="145">
        <v>291</v>
      </c>
      <c r="G104" s="131"/>
      <c r="H104" s="145">
        <v>17845244</v>
      </c>
      <c r="I104" s="307">
        <v>640</v>
      </c>
      <c r="J104" s="145"/>
      <c r="K104" s="145">
        <v>20544415</v>
      </c>
      <c r="L104" s="307">
        <v>780</v>
      </c>
      <c r="M104" s="145"/>
      <c r="N104" s="145">
        <v>15009667</v>
      </c>
      <c r="O104" s="307">
        <v>800</v>
      </c>
      <c r="P104" s="145"/>
      <c r="Q104" s="145">
        <v>20764491</v>
      </c>
      <c r="R104" s="307">
        <v>400</v>
      </c>
      <c r="S104" s="145"/>
      <c r="T104" s="145">
        <v>21912355</v>
      </c>
      <c r="U104" s="307">
        <v>905</v>
      </c>
    </row>
    <row r="105" spans="1:21" x14ac:dyDescent="0.2">
      <c r="A105" s="1460"/>
      <c r="B105" s="1560"/>
      <c r="C105" s="1439" t="s">
        <v>4855</v>
      </c>
      <c r="D105" s="131"/>
      <c r="E105" s="145">
        <v>3750231</v>
      </c>
      <c r="F105" s="145">
        <v>495</v>
      </c>
      <c r="G105" s="131"/>
      <c r="H105" s="145">
        <v>3578928</v>
      </c>
      <c r="I105" s="307"/>
      <c r="J105" s="145"/>
      <c r="K105" s="145">
        <v>3969460</v>
      </c>
      <c r="L105" s="307"/>
      <c r="M105" s="145"/>
      <c r="N105" s="145">
        <v>4084835</v>
      </c>
      <c r="O105" s="307">
        <v>750</v>
      </c>
      <c r="P105" s="145"/>
      <c r="Q105" s="145">
        <v>5478025</v>
      </c>
      <c r="R105" s="307">
        <v>162</v>
      </c>
      <c r="S105" s="145"/>
      <c r="T105" s="145">
        <v>6030360</v>
      </c>
      <c r="U105" s="307">
        <v>425</v>
      </c>
    </row>
    <row r="106" spans="1:21" x14ac:dyDescent="0.2">
      <c r="A106" s="1460"/>
      <c r="B106" s="1560"/>
      <c r="C106" s="1439" t="s">
        <v>4856</v>
      </c>
      <c r="D106" s="131"/>
      <c r="E106" s="145">
        <v>2785804</v>
      </c>
      <c r="F106" s="145">
        <v>243</v>
      </c>
      <c r="G106" s="131"/>
      <c r="H106" s="145">
        <v>3696683</v>
      </c>
      <c r="I106" s="307">
        <v>715</v>
      </c>
      <c r="J106" s="145"/>
      <c r="K106" s="145">
        <v>2978869</v>
      </c>
      <c r="L106" s="307">
        <v>815</v>
      </c>
      <c r="M106" s="145"/>
      <c r="N106" s="145">
        <v>2802454</v>
      </c>
      <c r="O106" s="307">
        <v>800</v>
      </c>
      <c r="P106" s="145"/>
      <c r="Q106" s="145">
        <v>4766715</v>
      </c>
      <c r="R106" s="307">
        <v>625</v>
      </c>
      <c r="S106" s="145"/>
      <c r="T106" s="145">
        <v>5151411</v>
      </c>
      <c r="U106" s="307">
        <v>740</v>
      </c>
    </row>
    <row r="107" spans="1:21" x14ac:dyDescent="0.2">
      <c r="A107" s="1460"/>
      <c r="B107" s="1560"/>
      <c r="C107" s="1439" t="s">
        <v>4857</v>
      </c>
      <c r="D107" s="131"/>
      <c r="E107" s="145">
        <v>719152</v>
      </c>
      <c r="F107" s="145">
        <v>647</v>
      </c>
      <c r="G107" s="131"/>
      <c r="H107" s="145">
        <v>824463</v>
      </c>
      <c r="I107" s="307">
        <v>22</v>
      </c>
      <c r="J107" s="145"/>
      <c r="K107" s="145">
        <v>633439</v>
      </c>
      <c r="L107" s="307">
        <v>93</v>
      </c>
      <c r="M107" s="145"/>
      <c r="N107" s="145">
        <v>618821</v>
      </c>
      <c r="O107" s="307">
        <v>534</v>
      </c>
      <c r="P107" s="145"/>
      <c r="Q107" s="145">
        <v>942426</v>
      </c>
      <c r="R107" s="307">
        <v>440</v>
      </c>
      <c r="S107" s="145"/>
      <c r="T107" s="145">
        <v>1454102</v>
      </c>
      <c r="U107" s="307">
        <v>161</v>
      </c>
    </row>
    <row r="108" spans="1:21" x14ac:dyDescent="0.2">
      <c r="A108" s="1460"/>
      <c r="B108" s="1560"/>
      <c r="C108" s="1439" t="s">
        <v>4858</v>
      </c>
      <c r="D108" s="131"/>
      <c r="E108" s="145">
        <v>2330561</v>
      </c>
      <c r="F108" s="145">
        <v>408</v>
      </c>
      <c r="G108" s="131"/>
      <c r="H108" s="145">
        <v>2704822</v>
      </c>
      <c r="I108" s="307">
        <v>565</v>
      </c>
      <c r="J108" s="145"/>
      <c r="K108" s="145">
        <v>1628408</v>
      </c>
      <c r="L108" s="307">
        <v>75</v>
      </c>
      <c r="M108" s="145"/>
      <c r="N108" s="145">
        <v>1938054</v>
      </c>
      <c r="O108" s="307">
        <v>792</v>
      </c>
      <c r="P108" s="145"/>
      <c r="Q108" s="145">
        <v>3262303</v>
      </c>
      <c r="R108" s="307">
        <v>62</v>
      </c>
      <c r="S108" s="145"/>
      <c r="T108" s="145">
        <v>2983733</v>
      </c>
      <c r="U108" s="307">
        <v>583</v>
      </c>
    </row>
    <row r="109" spans="1:21" x14ac:dyDescent="0.2">
      <c r="A109" s="1460"/>
      <c r="B109" s="1560"/>
      <c r="C109" s="1439" t="s">
        <v>4859</v>
      </c>
      <c r="D109" s="131"/>
      <c r="E109" s="145">
        <v>1580360</v>
      </c>
      <c r="F109" s="145">
        <v>25</v>
      </c>
      <c r="G109" s="131"/>
      <c r="H109" s="145">
        <v>1198949</v>
      </c>
      <c r="I109" s="307">
        <v>210</v>
      </c>
      <c r="J109" s="145"/>
      <c r="K109" s="145">
        <v>1270140</v>
      </c>
      <c r="L109" s="307"/>
      <c r="M109" s="145"/>
      <c r="N109" s="145">
        <v>1812423</v>
      </c>
      <c r="O109" s="307">
        <v>749</v>
      </c>
      <c r="P109" s="145"/>
      <c r="Q109" s="145">
        <v>2292445</v>
      </c>
      <c r="R109" s="307">
        <v>825</v>
      </c>
      <c r="S109" s="145"/>
      <c r="T109" s="145">
        <v>2098221</v>
      </c>
      <c r="U109" s="307">
        <v>441</v>
      </c>
    </row>
    <row r="110" spans="1:21" x14ac:dyDescent="0.2">
      <c r="A110" s="1460"/>
      <c r="B110" s="1560"/>
      <c r="C110" s="1439" t="s">
        <v>4860</v>
      </c>
      <c r="D110" s="131"/>
      <c r="E110" s="145">
        <v>2397466</v>
      </c>
      <c r="F110" s="145">
        <v>960</v>
      </c>
      <c r="G110" s="131"/>
      <c r="H110" s="145">
        <v>2266128</v>
      </c>
      <c r="I110" s="307">
        <v>914</v>
      </c>
      <c r="J110" s="145"/>
      <c r="K110" s="145">
        <v>4541699</v>
      </c>
      <c r="L110" s="307">
        <v>316</v>
      </c>
      <c r="M110" s="145"/>
      <c r="N110" s="145">
        <v>3444585</v>
      </c>
      <c r="O110" s="307">
        <v>867</v>
      </c>
      <c r="P110" s="145"/>
      <c r="Q110" s="145">
        <v>4510032</v>
      </c>
      <c r="R110" s="307">
        <v>700</v>
      </c>
      <c r="S110" s="145"/>
      <c r="T110" s="145">
        <v>6313538</v>
      </c>
      <c r="U110" s="307">
        <v>294</v>
      </c>
    </row>
    <row r="111" spans="1:21" x14ac:dyDescent="0.2">
      <c r="A111" s="1460"/>
      <c r="B111" s="1560"/>
      <c r="C111" s="1439" t="s">
        <v>4861</v>
      </c>
      <c r="D111" s="131"/>
      <c r="E111" s="145">
        <v>105007</v>
      </c>
      <c r="F111" s="145">
        <v>30</v>
      </c>
      <c r="G111" s="131"/>
      <c r="H111" s="145">
        <v>92113</v>
      </c>
      <c r="I111" s="307">
        <v>508</v>
      </c>
      <c r="J111" s="145"/>
      <c r="K111" s="145">
        <v>64085</v>
      </c>
      <c r="L111" s="307">
        <v>212</v>
      </c>
      <c r="M111" s="145"/>
      <c r="N111" s="145">
        <v>104266</v>
      </c>
      <c r="O111" s="307">
        <v>42</v>
      </c>
      <c r="P111" s="145"/>
      <c r="Q111" s="145">
        <v>152084</v>
      </c>
      <c r="R111" s="307">
        <v>708</v>
      </c>
      <c r="S111" s="145"/>
      <c r="T111" s="145">
        <v>203323</v>
      </c>
      <c r="U111" s="307">
        <v>568</v>
      </c>
    </row>
    <row r="112" spans="1:21" x14ac:dyDescent="0.2">
      <c r="A112" s="1460"/>
      <c r="B112" s="1560"/>
      <c r="C112" s="1439" t="s">
        <v>4862</v>
      </c>
      <c r="D112" s="131"/>
      <c r="E112" s="145">
        <v>202848</v>
      </c>
      <c r="F112" s="145">
        <v>877</v>
      </c>
      <c r="G112" s="131"/>
      <c r="H112" s="145">
        <v>212242</v>
      </c>
      <c r="I112" s="307">
        <v>857</v>
      </c>
      <c r="J112" s="145"/>
      <c r="K112" s="145">
        <v>176422</v>
      </c>
      <c r="L112" s="307">
        <v>526</v>
      </c>
      <c r="M112" s="145"/>
      <c r="N112" s="145">
        <v>209856</v>
      </c>
      <c r="O112" s="307">
        <v>754</v>
      </c>
      <c r="P112" s="145"/>
      <c r="Q112" s="145">
        <v>329723</v>
      </c>
      <c r="R112" s="307">
        <v>959</v>
      </c>
      <c r="S112" s="145"/>
      <c r="T112" s="145">
        <v>334123</v>
      </c>
      <c r="U112" s="307">
        <v>810</v>
      </c>
    </row>
    <row r="113" spans="1:21" x14ac:dyDescent="0.2">
      <c r="A113" s="1460"/>
      <c r="B113" s="1560"/>
      <c r="C113" s="1439" t="s">
        <v>4863</v>
      </c>
      <c r="D113" s="131"/>
      <c r="E113" s="145">
        <v>349456</v>
      </c>
      <c r="F113" s="145">
        <v>974</v>
      </c>
      <c r="G113" s="131"/>
      <c r="H113" s="145">
        <v>375664</v>
      </c>
      <c r="I113" s="307">
        <v>30</v>
      </c>
      <c r="J113" s="145"/>
      <c r="K113" s="145">
        <v>313576</v>
      </c>
      <c r="L113" s="307">
        <v>42</v>
      </c>
      <c r="M113" s="145"/>
      <c r="N113" s="145">
        <v>337642</v>
      </c>
      <c r="O113" s="307">
        <v>967</v>
      </c>
      <c r="P113" s="145"/>
      <c r="Q113" s="145">
        <v>515091</v>
      </c>
      <c r="R113" s="307">
        <v>944</v>
      </c>
      <c r="S113" s="145"/>
      <c r="T113" s="145">
        <v>623716</v>
      </c>
      <c r="U113" s="307">
        <v>675</v>
      </c>
    </row>
    <row r="114" spans="1:21" x14ac:dyDescent="0.2">
      <c r="A114" s="1460"/>
      <c r="B114" s="1560"/>
      <c r="C114" s="1439" t="s">
        <v>4864</v>
      </c>
      <c r="D114" s="131"/>
      <c r="E114" s="145">
        <v>512971</v>
      </c>
      <c r="F114" s="145">
        <v>109</v>
      </c>
      <c r="G114" s="131"/>
      <c r="H114" s="145">
        <v>618748</v>
      </c>
      <c r="I114" s="307">
        <v>730</v>
      </c>
      <c r="J114" s="145"/>
      <c r="K114" s="145">
        <v>386475</v>
      </c>
      <c r="L114" s="307">
        <v>830</v>
      </c>
      <c r="M114" s="145"/>
      <c r="N114" s="145">
        <v>467158</v>
      </c>
      <c r="O114" s="307">
        <v>952</v>
      </c>
      <c r="P114" s="145"/>
      <c r="Q114" s="145">
        <v>814254</v>
      </c>
      <c r="R114" s="307">
        <v>841</v>
      </c>
      <c r="S114" s="145"/>
      <c r="T114" s="145">
        <v>949978</v>
      </c>
      <c r="U114" s="307">
        <v>446</v>
      </c>
    </row>
    <row r="115" spans="1:21" x14ac:dyDescent="0.2">
      <c r="A115" s="1460"/>
      <c r="B115" s="1560"/>
      <c r="C115" s="1439" t="s">
        <v>4865</v>
      </c>
      <c r="D115" s="131"/>
      <c r="E115" s="145">
        <v>397005</v>
      </c>
      <c r="F115" s="145">
        <v>600</v>
      </c>
      <c r="G115" s="131"/>
      <c r="H115" s="145">
        <v>518689</v>
      </c>
      <c r="I115" s="307">
        <v>996</v>
      </c>
      <c r="J115" s="145"/>
      <c r="K115" s="145">
        <v>226190</v>
      </c>
      <c r="L115" s="307">
        <v>530</v>
      </c>
      <c r="M115" s="145"/>
      <c r="N115" s="145">
        <v>208350</v>
      </c>
      <c r="O115" s="307">
        <v>857</v>
      </c>
      <c r="P115" s="145"/>
      <c r="Q115" s="145">
        <v>345161</v>
      </c>
      <c r="R115" s="307"/>
      <c r="S115" s="145"/>
      <c r="T115" s="145">
        <v>365438</v>
      </c>
      <c r="U115" s="307">
        <v>735</v>
      </c>
    </row>
    <row r="116" spans="1:21" x14ac:dyDescent="0.2">
      <c r="A116" s="1460"/>
      <c r="B116" s="1560"/>
      <c r="C116" s="1439" t="s">
        <v>5289</v>
      </c>
      <c r="D116" s="131"/>
      <c r="E116" s="145"/>
      <c r="F116" s="145"/>
      <c r="G116" s="131"/>
      <c r="H116" s="145"/>
      <c r="I116" s="307"/>
      <c r="J116" s="145"/>
      <c r="K116" s="145"/>
      <c r="L116" s="307"/>
      <c r="M116" s="145"/>
      <c r="N116" s="145"/>
      <c r="O116" s="307"/>
      <c r="P116" s="145"/>
      <c r="Q116" s="145"/>
      <c r="R116" s="307"/>
      <c r="S116" s="145"/>
      <c r="T116" s="145">
        <v>21394</v>
      </c>
      <c r="U116" s="307">
        <v>477</v>
      </c>
    </row>
    <row r="117" spans="1:21" x14ac:dyDescent="0.2">
      <c r="A117" s="1460"/>
      <c r="B117" s="1560"/>
      <c r="C117" s="1439" t="s">
        <v>4632</v>
      </c>
      <c r="D117" s="131"/>
      <c r="E117" s="145">
        <v>3885081</v>
      </c>
      <c r="F117" s="145">
        <v>870</v>
      </c>
      <c r="G117" s="131"/>
      <c r="H117" s="145">
        <v>3503016</v>
      </c>
      <c r="I117" s="307">
        <v>845</v>
      </c>
      <c r="J117" s="145"/>
      <c r="K117" s="145">
        <v>3197532</v>
      </c>
      <c r="L117" s="307">
        <v>500</v>
      </c>
      <c r="M117" s="145"/>
      <c r="N117" s="145">
        <v>1346831</v>
      </c>
      <c r="O117" s="307">
        <v>93</v>
      </c>
      <c r="P117" s="145"/>
      <c r="Q117" s="145">
        <v>4044830</v>
      </c>
      <c r="R117" s="307"/>
      <c r="S117" s="145"/>
      <c r="T117" s="145">
        <v>3911687</v>
      </c>
      <c r="U117" s="307"/>
    </row>
    <row r="118" spans="1:21" x14ac:dyDescent="0.2">
      <c r="A118" s="1460"/>
      <c r="B118" s="1560"/>
      <c r="C118" s="1439" t="s">
        <v>1570</v>
      </c>
      <c r="D118" s="131"/>
      <c r="E118" s="145"/>
      <c r="F118" s="145"/>
      <c r="G118" s="131"/>
      <c r="H118" s="145">
        <v>63003</v>
      </c>
      <c r="I118" s="307">
        <v>112</v>
      </c>
      <c r="J118" s="145"/>
      <c r="K118" s="145">
        <v>1731</v>
      </c>
      <c r="L118" s="307">
        <v>490</v>
      </c>
      <c r="M118" s="145"/>
      <c r="N118" s="145">
        <v>5151</v>
      </c>
      <c r="O118" s="307"/>
      <c r="P118" s="145"/>
      <c r="Q118" s="145">
        <v>11960</v>
      </c>
      <c r="R118" s="307">
        <v>390</v>
      </c>
      <c r="S118" s="145"/>
      <c r="T118" s="145">
        <v>4699</v>
      </c>
      <c r="U118" s="307">
        <v>450</v>
      </c>
    </row>
    <row r="119" spans="1:21" x14ac:dyDescent="0.2">
      <c r="A119" s="1460"/>
      <c r="B119" s="1560"/>
      <c r="C119" s="1439" t="s">
        <v>5290</v>
      </c>
      <c r="D119" s="131"/>
      <c r="E119" s="145"/>
      <c r="F119" s="145"/>
      <c r="G119" s="131"/>
      <c r="H119" s="145"/>
      <c r="I119" s="307"/>
      <c r="J119" s="145"/>
      <c r="K119" s="145"/>
      <c r="L119" s="307"/>
      <c r="M119" s="145"/>
      <c r="N119" s="145"/>
      <c r="O119" s="307"/>
      <c r="P119" s="145"/>
      <c r="Q119" s="145"/>
      <c r="R119" s="307"/>
      <c r="S119" s="145"/>
      <c r="T119" s="145">
        <v>1225</v>
      </c>
      <c r="U119" s="307">
        <v>550</v>
      </c>
    </row>
    <row r="120" spans="1:21" x14ac:dyDescent="0.2">
      <c r="A120" s="1460"/>
      <c r="B120" s="1560"/>
      <c r="C120" s="1439" t="s">
        <v>5291</v>
      </c>
      <c r="D120" s="131"/>
      <c r="E120" s="145"/>
      <c r="F120" s="145"/>
      <c r="G120" s="131"/>
      <c r="H120" s="145"/>
      <c r="I120" s="307"/>
      <c r="J120" s="145"/>
      <c r="K120" s="145"/>
      <c r="L120" s="307"/>
      <c r="M120" s="145"/>
      <c r="N120" s="145"/>
      <c r="O120" s="307"/>
      <c r="P120" s="145"/>
      <c r="Q120" s="145"/>
      <c r="R120" s="307"/>
      <c r="S120" s="145"/>
      <c r="T120" s="145">
        <v>105152</v>
      </c>
      <c r="U120" s="307"/>
    </row>
    <row r="121" spans="1:21" x14ac:dyDescent="0.2">
      <c r="A121" s="1460"/>
      <c r="B121" s="1560"/>
      <c r="C121" s="1422" t="s">
        <v>4867</v>
      </c>
      <c r="D121" s="240"/>
      <c r="E121" s="318">
        <v>56698562</v>
      </c>
      <c r="F121" s="318">
        <v>517</v>
      </c>
      <c r="G121" s="240"/>
      <c r="H121" s="318">
        <v>66394784</v>
      </c>
      <c r="I121" s="513">
        <v>675</v>
      </c>
      <c r="J121" s="318"/>
      <c r="K121" s="318">
        <v>67596288</v>
      </c>
      <c r="L121" s="513">
        <v>740</v>
      </c>
      <c r="M121" s="318"/>
      <c r="N121" s="318">
        <v>57035784</v>
      </c>
      <c r="O121" s="513">
        <v>167</v>
      </c>
      <c r="P121" s="318"/>
      <c r="Q121" s="318">
        <v>73058541</v>
      </c>
      <c r="R121" s="513">
        <v>658</v>
      </c>
      <c r="S121" s="318"/>
      <c r="T121" s="318">
        <v>83518639</v>
      </c>
      <c r="U121" s="513">
        <v>495</v>
      </c>
    </row>
    <row r="122" spans="1:21" x14ac:dyDescent="0.2">
      <c r="A122" s="1460"/>
      <c r="B122" s="1561"/>
      <c r="C122" s="1422"/>
      <c r="D122" s="240"/>
      <c r="E122" s="1116">
        <f>+SUM(E101:E120)</f>
        <v>56571554</v>
      </c>
      <c r="F122" s="246">
        <f>+SUM(F101:F120)</f>
        <v>8520</v>
      </c>
      <c r="G122" s="240"/>
      <c r="H122" s="1116">
        <f>+SUM(H101:H120)</f>
        <v>66394475</v>
      </c>
      <c r="I122" s="1116">
        <f>+SUM(I101:I120)</f>
        <v>8505</v>
      </c>
      <c r="J122" s="240"/>
      <c r="K122" s="1116">
        <f>+SUM(K101:K120)</f>
        <v>67596272</v>
      </c>
      <c r="L122" s="246">
        <f>+SUM(L101:L120)</f>
        <v>7740</v>
      </c>
      <c r="M122" s="240"/>
      <c r="N122" s="1116">
        <f>+SUM(N101:N120)</f>
        <v>57035793</v>
      </c>
      <c r="O122" s="1116">
        <f>+SUM(O101:O120)</f>
        <v>11057</v>
      </c>
      <c r="P122" s="240"/>
      <c r="Q122" s="1116">
        <f>+SUM(Q101:Q120)</f>
        <v>73068506</v>
      </c>
      <c r="R122" s="1116">
        <f>+SUM(R101:R120)</f>
        <v>7865</v>
      </c>
      <c r="S122" s="240"/>
      <c r="T122" s="1116">
        <f>+SUM(T101:T120)</f>
        <v>83931768</v>
      </c>
      <c r="U122" s="1116">
        <f>+SUM(U101:U120)</f>
        <v>10140</v>
      </c>
    </row>
    <row r="123" spans="1:21" ht="29.5" customHeight="1" x14ac:dyDescent="0.2">
      <c r="A123" s="1460"/>
      <c r="B123" s="1559" t="s">
        <v>4869</v>
      </c>
      <c r="C123" s="1562" t="s">
        <v>5292</v>
      </c>
      <c r="D123" s="1434" t="s">
        <v>4036</v>
      </c>
      <c r="E123" s="1435"/>
      <c r="F123" s="1437" t="s">
        <v>4806</v>
      </c>
      <c r="G123" s="1434" t="s">
        <v>4036</v>
      </c>
      <c r="H123" s="1435"/>
      <c r="I123" s="1563" t="s">
        <v>4806</v>
      </c>
      <c r="J123" s="1434" t="s">
        <v>4036</v>
      </c>
      <c r="K123" s="1435"/>
      <c r="L123" s="1563" t="s">
        <v>4806</v>
      </c>
      <c r="M123" s="1434" t="s">
        <v>4036</v>
      </c>
      <c r="N123" s="1435"/>
      <c r="O123" s="1563" t="s">
        <v>4806</v>
      </c>
      <c r="P123" s="1434" t="s">
        <v>4036</v>
      </c>
      <c r="Q123" s="1435"/>
      <c r="R123" s="1563" t="s">
        <v>4806</v>
      </c>
      <c r="S123" s="1434" t="s">
        <v>4036</v>
      </c>
      <c r="T123" s="1435"/>
      <c r="U123" s="1563" t="s">
        <v>4806</v>
      </c>
    </row>
    <row r="124" spans="1:21" x14ac:dyDescent="0.2">
      <c r="A124" s="1460"/>
      <c r="B124" s="1560"/>
      <c r="C124" s="1439" t="s">
        <v>4870</v>
      </c>
      <c r="D124" s="131"/>
      <c r="E124" s="145">
        <v>3601388</v>
      </c>
      <c r="F124" s="307">
        <v>320</v>
      </c>
      <c r="G124" s="145"/>
      <c r="H124" s="145">
        <v>3650028</v>
      </c>
      <c r="I124" s="145">
        <v>990</v>
      </c>
      <c r="J124" s="131"/>
      <c r="K124" s="145">
        <v>5014969</v>
      </c>
      <c r="L124" s="307"/>
      <c r="M124" s="131"/>
      <c r="N124" s="145">
        <v>3538962</v>
      </c>
      <c r="O124" s="307">
        <v>600</v>
      </c>
      <c r="P124" s="131"/>
      <c r="Q124" s="145">
        <v>3770908</v>
      </c>
      <c r="R124" s="307"/>
      <c r="S124" s="131"/>
      <c r="T124" s="145">
        <v>4382271</v>
      </c>
      <c r="U124" s="307">
        <v>720</v>
      </c>
    </row>
    <row r="125" spans="1:21" x14ac:dyDescent="0.2">
      <c r="A125" s="1460"/>
      <c r="B125" s="1560"/>
      <c r="C125" s="1439" t="s">
        <v>4871</v>
      </c>
      <c r="D125" s="131"/>
      <c r="E125" s="145">
        <v>2415125</v>
      </c>
      <c r="F125" s="307">
        <v>500</v>
      </c>
      <c r="G125" s="145"/>
      <c r="H125" s="145">
        <v>3354171</v>
      </c>
      <c r="I125" s="145">
        <v>250</v>
      </c>
      <c r="J125" s="131"/>
      <c r="K125" s="145">
        <v>3055431</v>
      </c>
      <c r="L125" s="307"/>
      <c r="M125" s="131"/>
      <c r="N125" s="145">
        <v>1905233</v>
      </c>
      <c r="O125" s="307">
        <v>500</v>
      </c>
      <c r="P125" s="131"/>
      <c r="Q125" s="145">
        <v>2449117</v>
      </c>
      <c r="R125" s="307"/>
      <c r="S125" s="131"/>
      <c r="T125" s="145">
        <v>2681688</v>
      </c>
      <c r="U125" s="307">
        <v>500</v>
      </c>
    </row>
    <row r="126" spans="1:21" x14ac:dyDescent="0.2">
      <c r="A126" s="1460"/>
      <c r="B126" s="1560"/>
      <c r="C126" s="1439" t="s">
        <v>4872</v>
      </c>
      <c r="D126" s="131"/>
      <c r="E126" s="145">
        <v>53466579</v>
      </c>
      <c r="F126" s="307">
        <v>720</v>
      </c>
      <c r="G126" s="145"/>
      <c r="H126" s="145">
        <v>49384804</v>
      </c>
      <c r="I126" s="145">
        <v>360</v>
      </c>
      <c r="J126" s="131"/>
      <c r="K126" s="145">
        <v>47115579</v>
      </c>
      <c r="L126" s="307">
        <v>250</v>
      </c>
      <c r="M126" s="131"/>
      <c r="N126" s="145">
        <v>46126906</v>
      </c>
      <c r="O126" s="307">
        <v>825</v>
      </c>
      <c r="P126" s="131"/>
      <c r="Q126" s="145">
        <v>59336543</v>
      </c>
      <c r="R126" s="307"/>
      <c r="S126" s="131"/>
      <c r="T126" s="145">
        <v>62056458</v>
      </c>
      <c r="U126" s="307"/>
    </row>
    <row r="127" spans="1:21" x14ac:dyDescent="0.2">
      <c r="A127" s="1460"/>
      <c r="B127" s="1560"/>
      <c r="C127" s="1444" t="s">
        <v>4621</v>
      </c>
      <c r="D127" s="230"/>
      <c r="E127" s="309">
        <v>346096</v>
      </c>
      <c r="F127" s="364"/>
      <c r="G127" s="309"/>
      <c r="H127" s="309">
        <v>430575</v>
      </c>
      <c r="I127" s="309">
        <v>541</v>
      </c>
      <c r="J127" s="230"/>
      <c r="K127" s="309">
        <v>1207902</v>
      </c>
      <c r="L127" s="364"/>
      <c r="M127" s="230"/>
      <c r="N127" s="309">
        <v>646683</v>
      </c>
      <c r="O127" s="364"/>
      <c r="P127" s="230"/>
      <c r="Q127" s="309">
        <v>678994</v>
      </c>
      <c r="R127" s="364"/>
      <c r="S127" s="230"/>
      <c r="T127" s="309">
        <v>447998</v>
      </c>
      <c r="U127" s="364">
        <v>250</v>
      </c>
    </row>
    <row r="128" spans="1:21" x14ac:dyDescent="0.2">
      <c r="A128" s="1460"/>
      <c r="B128" s="1560"/>
      <c r="C128" s="1422" t="s">
        <v>4867</v>
      </c>
      <c r="D128" s="230"/>
      <c r="E128" s="309">
        <v>59829261</v>
      </c>
      <c r="F128" s="364">
        <v>540</v>
      </c>
      <c r="G128" s="309"/>
      <c r="H128" s="309">
        <v>56819580</v>
      </c>
      <c r="I128" s="309">
        <v>141</v>
      </c>
      <c r="J128" s="230"/>
      <c r="K128" s="309">
        <v>56393881</v>
      </c>
      <c r="L128" s="364">
        <v>250</v>
      </c>
      <c r="M128" s="230"/>
      <c r="N128" s="309">
        <v>52217785</v>
      </c>
      <c r="O128" s="364">
        <v>925</v>
      </c>
      <c r="P128" s="230"/>
      <c r="Q128" s="309">
        <v>66235562</v>
      </c>
      <c r="R128" s="364">
        <v>500</v>
      </c>
      <c r="S128" s="230"/>
      <c r="T128" s="309">
        <v>69667416</v>
      </c>
      <c r="U128" s="364">
        <v>470</v>
      </c>
    </row>
    <row r="129" spans="1:21" x14ac:dyDescent="0.2">
      <c r="A129" s="1460"/>
      <c r="B129" s="1560"/>
      <c r="C129" s="1422"/>
      <c r="D129" s="230"/>
      <c r="E129" s="1175">
        <f>+SUM(E124:E127)</f>
        <v>59829188</v>
      </c>
      <c r="F129" s="435">
        <f>+SUM(F124:F127)</f>
        <v>1540</v>
      </c>
      <c r="G129" s="230"/>
      <c r="H129" s="435">
        <f t="shared" ref="H129:I129" si="8">+SUM(H124:H127)</f>
        <v>56819578</v>
      </c>
      <c r="I129" s="435">
        <f t="shared" si="8"/>
        <v>2141</v>
      </c>
      <c r="J129" s="230"/>
      <c r="K129" s="435">
        <f t="shared" ref="K129:L129" si="9">+SUM(K124:K127)</f>
        <v>56393881</v>
      </c>
      <c r="L129" s="435">
        <f t="shared" si="9"/>
        <v>250</v>
      </c>
      <c r="M129" s="230"/>
      <c r="N129" s="435">
        <f t="shared" ref="N129:O129" si="10">+SUM(N124:N127)</f>
        <v>52217784</v>
      </c>
      <c r="O129" s="435">
        <f t="shared" si="10"/>
        <v>1925</v>
      </c>
      <c r="P129" s="230"/>
      <c r="Q129" s="435">
        <f t="shared" ref="Q129:R129" si="11">+SUM(Q124:Q127)</f>
        <v>66235562</v>
      </c>
      <c r="R129" s="435">
        <f t="shared" si="11"/>
        <v>0</v>
      </c>
      <c r="S129" s="230"/>
      <c r="T129" s="435">
        <f t="shared" ref="T129:U129" si="12">+SUM(T124:T127)</f>
        <v>69568415</v>
      </c>
      <c r="U129" s="435">
        <f t="shared" si="12"/>
        <v>1470</v>
      </c>
    </row>
    <row r="130" spans="1:21" ht="14.5" customHeight="1" x14ac:dyDescent="0.2">
      <c r="A130" s="1460"/>
      <c r="B130" s="1560"/>
      <c r="C130" s="1564" t="s">
        <v>4187</v>
      </c>
      <c r="D130" s="1427" t="s">
        <v>5293</v>
      </c>
      <c r="E130" s="1428"/>
      <c r="F130" s="1429"/>
      <c r="G130" s="1427" t="s">
        <v>5293</v>
      </c>
      <c r="H130" s="1428"/>
      <c r="I130" s="1429"/>
      <c r="J130" s="1427" t="s">
        <v>5293</v>
      </c>
      <c r="K130" s="1428"/>
      <c r="L130" s="1429"/>
      <c r="M130" s="1427" t="s">
        <v>5293</v>
      </c>
      <c r="N130" s="1428"/>
      <c r="O130" s="1429"/>
      <c r="P130" s="1427" t="s">
        <v>5293</v>
      </c>
      <c r="Q130" s="1428"/>
      <c r="R130" s="1429"/>
      <c r="S130" s="1427" t="s">
        <v>5293</v>
      </c>
      <c r="T130" s="1428"/>
      <c r="U130" s="1429"/>
    </row>
    <row r="131" spans="1:21" ht="31.75" customHeight="1" x14ac:dyDescent="0.2">
      <c r="A131" s="1460"/>
      <c r="B131" s="1561"/>
      <c r="C131" s="1565"/>
      <c r="D131" s="240"/>
      <c r="E131" s="318">
        <v>3044</v>
      </c>
      <c r="F131" s="513"/>
      <c r="G131" s="318"/>
      <c r="H131" s="318">
        <v>3504</v>
      </c>
      <c r="I131" s="318"/>
      <c r="J131" s="240"/>
      <c r="K131" s="318">
        <v>6194</v>
      </c>
      <c r="L131" s="513"/>
      <c r="M131" s="240"/>
      <c r="N131" s="318">
        <v>2482</v>
      </c>
      <c r="O131" s="513"/>
      <c r="P131" s="240"/>
      <c r="Q131" s="318">
        <v>1556</v>
      </c>
      <c r="R131" s="513"/>
      <c r="S131" s="240"/>
      <c r="T131" s="318">
        <v>2236</v>
      </c>
      <c r="U131" s="513"/>
    </row>
    <row r="132" spans="1:21" x14ac:dyDescent="0.2">
      <c r="A132" s="1460"/>
      <c r="B132" s="711" t="s">
        <v>4987</v>
      </c>
      <c r="C132" s="1566"/>
      <c r="D132" s="1424" t="s">
        <v>2508</v>
      </c>
      <c r="E132" s="1426"/>
      <c r="F132" s="1567" t="s">
        <v>3374</v>
      </c>
      <c r="G132" s="1428" t="s">
        <v>2508</v>
      </c>
      <c r="H132" s="1429"/>
      <c r="I132" s="1568" t="s">
        <v>3374</v>
      </c>
      <c r="J132" s="1427" t="s">
        <v>2508</v>
      </c>
      <c r="K132" s="1429"/>
      <c r="L132" s="807" t="s">
        <v>3374</v>
      </c>
      <c r="M132" s="1427" t="s">
        <v>2508</v>
      </c>
      <c r="N132" s="1429"/>
      <c r="O132" s="807" t="s">
        <v>3374</v>
      </c>
      <c r="P132" s="1427" t="s">
        <v>2508</v>
      </c>
      <c r="Q132" s="1429"/>
      <c r="R132" s="807" t="s">
        <v>3374</v>
      </c>
      <c r="S132" s="1427" t="s">
        <v>2508</v>
      </c>
      <c r="T132" s="1429"/>
      <c r="U132" s="807" t="s">
        <v>3374</v>
      </c>
    </row>
    <row r="133" spans="1:21" x14ac:dyDescent="0.2">
      <c r="A133" s="1460"/>
      <c r="B133" s="1460"/>
      <c r="C133" s="1569" t="s">
        <v>4185</v>
      </c>
      <c r="D133" s="349">
        <v>12476523</v>
      </c>
      <c r="E133" s="350">
        <v>77</v>
      </c>
      <c r="F133" s="352"/>
      <c r="G133" s="349">
        <v>13403298</v>
      </c>
      <c r="H133" s="350">
        <v>71</v>
      </c>
      <c r="I133" s="352"/>
      <c r="J133" s="349">
        <v>10711207</v>
      </c>
      <c r="K133" s="350">
        <v>19</v>
      </c>
      <c r="L133" s="352"/>
      <c r="M133" s="349">
        <v>11528365</v>
      </c>
      <c r="N133" s="350">
        <v>14</v>
      </c>
      <c r="O133" s="352">
        <v>0.5</v>
      </c>
      <c r="P133" s="349">
        <v>16947135</v>
      </c>
      <c r="Q133" s="350">
        <v>28</v>
      </c>
      <c r="R133" s="352"/>
      <c r="S133" s="349">
        <v>18136598</v>
      </c>
      <c r="T133" s="350">
        <v>20</v>
      </c>
      <c r="U133" s="352"/>
    </row>
    <row r="134" spans="1:21" x14ac:dyDescent="0.2">
      <c r="A134" s="715"/>
      <c r="B134" s="715"/>
      <c r="C134" s="1570" t="s">
        <v>4788</v>
      </c>
      <c r="D134" s="230">
        <v>16209059</v>
      </c>
      <c r="E134" s="309">
        <v>29</v>
      </c>
      <c r="F134" s="231"/>
      <c r="G134" s="230">
        <v>14630331</v>
      </c>
      <c r="H134" s="309">
        <v>96</v>
      </c>
      <c r="I134" s="231"/>
      <c r="J134" s="230">
        <v>15962019</v>
      </c>
      <c r="K134" s="309">
        <v>84</v>
      </c>
      <c r="L134" s="231"/>
      <c r="M134" s="230">
        <v>15088406</v>
      </c>
      <c r="N134" s="309">
        <v>54</v>
      </c>
      <c r="O134" s="231"/>
      <c r="P134" s="230">
        <v>18597352</v>
      </c>
      <c r="Q134" s="309">
        <v>65</v>
      </c>
      <c r="R134" s="231"/>
      <c r="S134" s="230">
        <v>16820411</v>
      </c>
      <c r="T134" s="309">
        <v>98</v>
      </c>
      <c r="U134" s="231">
        <v>0.5</v>
      </c>
    </row>
    <row r="135" spans="1:21" x14ac:dyDescent="0.2">
      <c r="A135" s="1279" t="s">
        <v>4874</v>
      </c>
      <c r="B135" s="1280"/>
      <c r="C135" s="1280"/>
      <c r="D135" s="515"/>
      <c r="E135" s="515"/>
      <c r="F135" s="515"/>
      <c r="G135" s="1280"/>
      <c r="H135" s="1280"/>
      <c r="I135" s="1280"/>
      <c r="J135" s="1280"/>
      <c r="K135" s="1280"/>
      <c r="L135" s="1280"/>
      <c r="M135" s="1280"/>
      <c r="N135" s="1280"/>
      <c r="O135" s="1280"/>
      <c r="P135" s="1280"/>
      <c r="Q135" s="1280"/>
      <c r="R135" s="1280"/>
      <c r="S135" s="1280"/>
      <c r="T135" s="1280"/>
      <c r="U135" s="1281"/>
    </row>
    <row r="139" spans="1:21" x14ac:dyDescent="0.2">
      <c r="A139" s="526" t="s">
        <v>1272</v>
      </c>
    </row>
    <row r="140" spans="1:21" ht="30" customHeight="1" x14ac:dyDescent="0.2">
      <c r="A140" s="1265" t="s">
        <v>5294</v>
      </c>
      <c r="B140" s="1265"/>
      <c r="C140" s="1265"/>
      <c r="D140" s="1265"/>
      <c r="E140" s="1265"/>
    </row>
    <row r="141" spans="1:21" ht="17.5" customHeight="1" x14ac:dyDescent="0.2">
      <c r="A141" s="838" t="s">
        <v>5295</v>
      </c>
      <c r="B141" s="486" t="s">
        <v>5296</v>
      </c>
      <c r="C141" s="485"/>
      <c r="D141" s="838" t="s">
        <v>5296</v>
      </c>
      <c r="E141" s="838"/>
    </row>
    <row r="142" spans="1:21" ht="19.75" customHeight="1" x14ac:dyDescent="0.2">
      <c r="A142" s="838"/>
      <c r="B142" s="1571" t="s">
        <v>3407</v>
      </c>
      <c r="C142" s="1572" t="s">
        <v>5297</v>
      </c>
      <c r="D142" s="1571" t="s">
        <v>3407</v>
      </c>
      <c r="E142" s="1573" t="s">
        <v>5297</v>
      </c>
    </row>
    <row r="143" spans="1:21" x14ac:dyDescent="0.2">
      <c r="A143" s="533" t="s">
        <v>5298</v>
      </c>
      <c r="B143" s="533">
        <v>10118</v>
      </c>
      <c r="C143" s="107">
        <v>39700878</v>
      </c>
      <c r="D143" s="533">
        <v>15092</v>
      </c>
      <c r="E143" s="307">
        <v>62636898</v>
      </c>
    </row>
    <row r="144" spans="1:21" x14ac:dyDescent="0.2">
      <c r="A144" s="533" t="s">
        <v>2694</v>
      </c>
      <c r="B144" s="533">
        <v>4209</v>
      </c>
      <c r="C144" s="107">
        <v>14485797</v>
      </c>
      <c r="D144" s="533">
        <v>5576</v>
      </c>
      <c r="E144" s="307">
        <v>23232185</v>
      </c>
    </row>
    <row r="145" spans="1:5" x14ac:dyDescent="0.2">
      <c r="A145" s="533" t="s">
        <v>2668</v>
      </c>
      <c r="B145" s="533">
        <v>39868</v>
      </c>
      <c r="C145" s="107">
        <v>1355616</v>
      </c>
      <c r="D145" s="533">
        <v>42788</v>
      </c>
      <c r="E145" s="307">
        <v>195460</v>
      </c>
    </row>
    <row r="146" spans="1:5" x14ac:dyDescent="0.2">
      <c r="A146" s="533" t="s">
        <v>2695</v>
      </c>
      <c r="B146" s="533">
        <v>112</v>
      </c>
      <c r="C146" s="107">
        <v>354005</v>
      </c>
      <c r="D146" s="533">
        <v>7</v>
      </c>
      <c r="E146" s="307">
        <v>35580</v>
      </c>
    </row>
    <row r="147" spans="1:5" x14ac:dyDescent="0.2">
      <c r="A147" s="533" t="s">
        <v>2671</v>
      </c>
      <c r="B147" s="533">
        <v>1891</v>
      </c>
      <c r="C147" s="107">
        <v>2427173</v>
      </c>
      <c r="D147" s="533">
        <v>2208</v>
      </c>
      <c r="E147" s="307">
        <v>9250332</v>
      </c>
    </row>
    <row r="148" spans="1:5" x14ac:dyDescent="0.2">
      <c r="A148" s="533" t="s">
        <v>2672</v>
      </c>
      <c r="B148" s="533">
        <v>116</v>
      </c>
      <c r="C148" s="107">
        <v>2953814</v>
      </c>
      <c r="D148" s="533">
        <v>174</v>
      </c>
      <c r="E148" s="307">
        <v>4071914</v>
      </c>
    </row>
    <row r="149" spans="1:5" x14ac:dyDescent="0.2">
      <c r="A149" s="533" t="s">
        <v>2666</v>
      </c>
      <c r="B149" s="533">
        <v>1699</v>
      </c>
      <c r="C149" s="107">
        <v>3765234</v>
      </c>
      <c r="D149" s="535">
        <v>1962</v>
      </c>
      <c r="E149" s="364">
        <v>4104376</v>
      </c>
    </row>
    <row r="150" spans="1:5" x14ac:dyDescent="0.2">
      <c r="A150" s="785" t="s">
        <v>5299</v>
      </c>
      <c r="B150" s="808">
        <v>58013</v>
      </c>
      <c r="C150" s="318">
        <v>65042517</v>
      </c>
      <c r="D150" s="808">
        <v>67807</v>
      </c>
      <c r="E150" s="513">
        <v>103526745</v>
      </c>
    </row>
    <row r="151" spans="1:5" x14ac:dyDescent="0.2">
      <c r="B151" s="393">
        <f>+SUM(B143:B149)</f>
        <v>58013</v>
      </c>
      <c r="C151" s="393">
        <f t="shared" ref="C151:E151" si="13">+SUM(C143:C149)</f>
        <v>65042517</v>
      </c>
      <c r="D151" s="393">
        <f t="shared" si="13"/>
        <v>67807</v>
      </c>
      <c r="E151" s="393">
        <f t="shared" si="13"/>
        <v>103526745</v>
      </c>
    </row>
    <row r="154" spans="1:5" x14ac:dyDescent="0.2">
      <c r="A154" s="526" t="s">
        <v>1342</v>
      </c>
    </row>
    <row r="155" spans="1:5" ht="30" customHeight="1" x14ac:dyDescent="0.2">
      <c r="A155" s="1287" t="s">
        <v>5300</v>
      </c>
      <c r="B155" s="1288"/>
      <c r="C155" s="1289"/>
    </row>
    <row r="156" spans="1:5" x14ac:dyDescent="0.2">
      <c r="A156" s="131" t="s">
        <v>5301</v>
      </c>
      <c r="B156" s="145">
        <v>1187070</v>
      </c>
      <c r="C156" s="307">
        <v>60</v>
      </c>
    </row>
    <row r="157" spans="1:5" x14ac:dyDescent="0.2">
      <c r="A157" s="131" t="s">
        <v>5147</v>
      </c>
      <c r="B157" s="145">
        <v>1159753</v>
      </c>
      <c r="C157" s="307">
        <v>15</v>
      </c>
    </row>
    <row r="158" spans="1:5" x14ac:dyDescent="0.2">
      <c r="A158" s="131" t="s">
        <v>5148</v>
      </c>
      <c r="B158" s="145">
        <v>1831159</v>
      </c>
      <c r="C158" s="307">
        <v>5</v>
      </c>
    </row>
    <row r="159" spans="1:5" x14ac:dyDescent="0.2">
      <c r="A159" s="131" t="s">
        <v>5302</v>
      </c>
      <c r="B159" s="145">
        <v>1601829</v>
      </c>
      <c r="C159" s="307">
        <v>5</v>
      </c>
    </row>
    <row r="160" spans="1:5" x14ac:dyDescent="0.2">
      <c r="A160" s="131" t="s">
        <v>5303</v>
      </c>
      <c r="B160" s="145">
        <v>1644452</v>
      </c>
      <c r="C160" s="307">
        <v>30</v>
      </c>
    </row>
    <row r="161" spans="1:13" x14ac:dyDescent="0.2">
      <c r="A161" s="131" t="s">
        <v>5304</v>
      </c>
      <c r="B161" s="145">
        <v>1702061</v>
      </c>
      <c r="C161" s="307">
        <v>95</v>
      </c>
    </row>
    <row r="162" spans="1:13" x14ac:dyDescent="0.2">
      <c r="A162" s="230" t="s">
        <v>5305</v>
      </c>
      <c r="B162" s="309">
        <v>1767607</v>
      </c>
      <c r="C162" s="364">
        <v>35</v>
      </c>
    </row>
    <row r="166" spans="1:13" x14ac:dyDescent="0.2">
      <c r="A166" s="526" t="s">
        <v>1358</v>
      </c>
    </row>
    <row r="167" spans="1:13" ht="32.5" customHeight="1" x14ac:dyDescent="0.2">
      <c r="A167" s="1272" t="s">
        <v>5306</v>
      </c>
      <c r="B167" s="1272"/>
      <c r="C167" s="1272"/>
      <c r="D167" s="1272"/>
      <c r="E167" s="1272"/>
      <c r="F167" s="1272"/>
      <c r="G167" s="1272"/>
      <c r="H167" s="1272"/>
      <c r="I167" s="1272"/>
      <c r="J167" s="1272"/>
      <c r="K167" s="1272"/>
      <c r="L167" s="1272"/>
      <c r="M167" s="1272"/>
    </row>
    <row r="168" spans="1:13" ht="21.5" customHeight="1" x14ac:dyDescent="0.2">
      <c r="A168" s="793" t="s">
        <v>5307</v>
      </c>
      <c r="B168" s="793"/>
      <c r="C168" s="793"/>
      <c r="D168" s="793"/>
      <c r="E168" s="793"/>
      <c r="F168" s="793"/>
      <c r="G168" s="793"/>
      <c r="H168" s="793"/>
      <c r="I168" s="793"/>
      <c r="J168" s="793"/>
      <c r="K168" s="793"/>
      <c r="L168" s="793"/>
      <c r="M168" s="793"/>
    </row>
    <row r="169" spans="1:13" s="1271" customFormat="1" ht="14" x14ac:dyDescent="0.2">
      <c r="A169" s="1365" t="s">
        <v>5295</v>
      </c>
      <c r="B169" s="1334" t="s">
        <v>5308</v>
      </c>
      <c r="C169" s="1334"/>
      <c r="D169" s="1334"/>
      <c r="E169" s="1267" t="s">
        <v>5309</v>
      </c>
      <c r="F169" s="1267"/>
      <c r="G169" s="1334" t="s">
        <v>5310</v>
      </c>
      <c r="H169" s="1334"/>
      <c r="I169" s="1334"/>
      <c r="J169" s="1267" t="s">
        <v>5309</v>
      </c>
      <c r="K169" s="1267"/>
      <c r="L169" s="1267" t="s">
        <v>3301</v>
      </c>
      <c r="M169" s="1267"/>
    </row>
    <row r="170" spans="1:13" s="1271" customFormat="1" ht="14" x14ac:dyDescent="0.2">
      <c r="A170" s="1365"/>
      <c r="B170" s="1267" t="s">
        <v>5311</v>
      </c>
      <c r="C170" s="1267"/>
      <c r="D170" s="1267"/>
      <c r="E170" s="1267"/>
      <c r="F170" s="1267"/>
      <c r="G170" s="1267" t="s">
        <v>5311</v>
      </c>
      <c r="H170" s="1267"/>
      <c r="I170" s="1267"/>
      <c r="J170" s="1267"/>
      <c r="K170" s="1267"/>
      <c r="L170" s="1267"/>
      <c r="M170" s="1267"/>
    </row>
    <row r="171" spans="1:13" s="1271" customFormat="1" ht="14" x14ac:dyDescent="0.2">
      <c r="A171" s="1365"/>
      <c r="B171" s="1574" t="s">
        <v>5312</v>
      </c>
      <c r="C171" s="1574" t="s">
        <v>5313</v>
      </c>
      <c r="D171" s="1574" t="s">
        <v>5314</v>
      </c>
      <c r="E171" s="1334" t="s">
        <v>1532</v>
      </c>
      <c r="F171" s="1334"/>
      <c r="G171" s="1574" t="s">
        <v>5312</v>
      </c>
      <c r="H171" s="1574" t="s">
        <v>5313</v>
      </c>
      <c r="I171" s="1574" t="s">
        <v>5314</v>
      </c>
      <c r="J171" s="1334" t="s">
        <v>1532</v>
      </c>
      <c r="K171" s="1334"/>
      <c r="L171" s="1334" t="s">
        <v>1341</v>
      </c>
      <c r="M171" s="1334"/>
    </row>
    <row r="172" spans="1:13" x14ac:dyDescent="0.2">
      <c r="A172" s="716" t="s">
        <v>5315</v>
      </c>
      <c r="B172" s="145">
        <v>688325</v>
      </c>
      <c r="C172" s="716">
        <v>38868</v>
      </c>
      <c r="D172" s="145">
        <v>36780</v>
      </c>
      <c r="E172" s="349">
        <v>304504</v>
      </c>
      <c r="F172" s="717">
        <v>50</v>
      </c>
      <c r="G172" s="145">
        <v>135162</v>
      </c>
      <c r="H172" s="716">
        <v>25449</v>
      </c>
      <c r="I172" s="145">
        <v>99824</v>
      </c>
      <c r="J172" s="349">
        <v>183656</v>
      </c>
      <c r="K172" s="717">
        <v>50</v>
      </c>
      <c r="L172" s="145">
        <v>488161</v>
      </c>
      <c r="M172" s="307"/>
    </row>
    <row r="173" spans="1:13" x14ac:dyDescent="0.2">
      <c r="A173" s="533" t="s">
        <v>5296</v>
      </c>
      <c r="B173" s="145">
        <v>1136753</v>
      </c>
      <c r="C173" s="533">
        <v>54877</v>
      </c>
      <c r="D173" s="145">
        <v>53878</v>
      </c>
      <c r="E173" s="131">
        <v>314551</v>
      </c>
      <c r="F173" s="307">
        <v>40</v>
      </c>
      <c r="G173" s="145">
        <v>109877</v>
      </c>
      <c r="H173" s="533">
        <v>49847</v>
      </c>
      <c r="I173" s="145">
        <v>148319</v>
      </c>
      <c r="J173" s="131">
        <v>209366</v>
      </c>
      <c r="K173" s="307"/>
      <c r="L173" s="145">
        <v>557038</v>
      </c>
      <c r="M173" s="307">
        <v>35</v>
      </c>
    </row>
    <row r="174" spans="1:13" x14ac:dyDescent="0.2">
      <c r="A174" s="533" t="s">
        <v>5316</v>
      </c>
      <c r="B174" s="145">
        <v>1825078</v>
      </c>
      <c r="C174" s="533">
        <v>93745</v>
      </c>
      <c r="D174" s="145">
        <v>90658</v>
      </c>
      <c r="E174" s="131">
        <v>619055</v>
      </c>
      <c r="F174" s="307">
        <v>90</v>
      </c>
      <c r="G174" s="145">
        <v>245039</v>
      </c>
      <c r="H174" s="533">
        <v>75296</v>
      </c>
      <c r="I174" s="145">
        <v>248143</v>
      </c>
      <c r="J174" s="131">
        <v>393022</v>
      </c>
      <c r="K174" s="307">
        <v>50</v>
      </c>
      <c r="L174" s="145">
        <v>1045199</v>
      </c>
      <c r="M174" s="307">
        <v>35</v>
      </c>
    </row>
    <row r="175" spans="1:13" x14ac:dyDescent="0.2">
      <c r="A175" s="533"/>
      <c r="B175" s="1093">
        <f>+SUM(B172:B173)</f>
        <v>1825078</v>
      </c>
      <c r="C175" s="1093">
        <f t="shared" ref="C175:M175" si="14">+SUM(C172:C173)</f>
        <v>93745</v>
      </c>
      <c r="D175" s="1093">
        <f t="shared" si="14"/>
        <v>90658</v>
      </c>
      <c r="E175" s="1093">
        <f t="shared" si="14"/>
        <v>619055</v>
      </c>
      <c r="F175" s="1093">
        <f t="shared" si="14"/>
        <v>90</v>
      </c>
      <c r="G175" s="1093">
        <f t="shared" si="14"/>
        <v>245039</v>
      </c>
      <c r="H175" s="1093">
        <f t="shared" si="14"/>
        <v>75296</v>
      </c>
      <c r="I175" s="1093">
        <f t="shared" si="14"/>
        <v>248143</v>
      </c>
      <c r="J175" s="1093">
        <f t="shared" si="14"/>
        <v>393022</v>
      </c>
      <c r="K175" s="1093">
        <f t="shared" si="14"/>
        <v>50</v>
      </c>
      <c r="L175" s="1093">
        <f t="shared" si="14"/>
        <v>1045199</v>
      </c>
      <c r="M175" s="1093">
        <f t="shared" si="14"/>
        <v>35</v>
      </c>
    </row>
    <row r="176" spans="1:13" x14ac:dyDescent="0.2">
      <c r="A176" s="535" t="s">
        <v>5317</v>
      </c>
      <c r="B176" s="309">
        <v>1061536</v>
      </c>
      <c r="C176" s="535">
        <v>47584</v>
      </c>
      <c r="D176" s="309">
        <v>42086</v>
      </c>
      <c r="E176" s="230">
        <v>456976</v>
      </c>
      <c r="F176" s="364"/>
      <c r="G176" s="309">
        <v>114720</v>
      </c>
      <c r="H176" s="535">
        <v>32225</v>
      </c>
      <c r="I176" s="309">
        <v>91025</v>
      </c>
      <c r="J176" s="230">
        <v>241233</v>
      </c>
      <c r="K176" s="364">
        <v>90</v>
      </c>
      <c r="L176" s="309">
        <v>733762</v>
      </c>
      <c r="M176" s="364">
        <v>90</v>
      </c>
    </row>
    <row r="180" spans="1:7" x14ac:dyDescent="0.2">
      <c r="A180" s="526" t="s">
        <v>1374</v>
      </c>
    </row>
    <row r="181" spans="1:7" ht="27.5" customHeight="1" x14ac:dyDescent="0.2">
      <c r="A181" s="1287" t="s">
        <v>5318</v>
      </c>
      <c r="B181" s="1288"/>
      <c r="C181" s="1288"/>
      <c r="D181" s="1288"/>
      <c r="E181" s="1288"/>
      <c r="F181" s="1288"/>
      <c r="G181" s="1289"/>
    </row>
    <row r="182" spans="1:7" x14ac:dyDescent="0.2">
      <c r="A182" s="131" t="s">
        <v>5319</v>
      </c>
      <c r="B182" s="145"/>
      <c r="C182" s="145"/>
      <c r="D182" s="145"/>
      <c r="E182" s="145"/>
      <c r="F182" s="145"/>
      <c r="G182" s="133"/>
    </row>
    <row r="183" spans="1:7" x14ac:dyDescent="0.2">
      <c r="A183" s="131" t="s">
        <v>5320</v>
      </c>
      <c r="B183" s="145"/>
      <c r="C183" s="145"/>
      <c r="D183" s="145"/>
      <c r="E183" s="145"/>
      <c r="F183" s="145"/>
      <c r="G183" s="133"/>
    </row>
    <row r="184" spans="1:7" x14ac:dyDescent="0.2">
      <c r="A184" s="131" t="s">
        <v>5321</v>
      </c>
      <c r="B184" s="145"/>
      <c r="C184" s="145"/>
      <c r="D184" s="145"/>
      <c r="E184" s="145"/>
      <c r="F184" s="145"/>
      <c r="G184" s="133"/>
    </row>
    <row r="185" spans="1:7" x14ac:dyDescent="0.2">
      <c r="A185" s="131"/>
      <c r="B185" s="145" t="s">
        <v>5322</v>
      </c>
      <c r="C185" s="145"/>
      <c r="D185" s="145"/>
      <c r="E185" s="145" t="s">
        <v>5323</v>
      </c>
      <c r="F185" s="145"/>
      <c r="G185" s="133"/>
    </row>
    <row r="186" spans="1:7" x14ac:dyDescent="0.2">
      <c r="A186" s="131" t="s">
        <v>5120</v>
      </c>
      <c r="B186" s="145">
        <v>1124</v>
      </c>
      <c r="C186" s="145">
        <v>35</v>
      </c>
      <c r="D186" s="145"/>
      <c r="E186" s="145">
        <v>25852</v>
      </c>
      <c r="F186" s="145">
        <v>50</v>
      </c>
      <c r="G186" s="133"/>
    </row>
    <row r="187" spans="1:7" x14ac:dyDescent="0.2">
      <c r="A187" s="131" t="s">
        <v>5324</v>
      </c>
      <c r="B187" s="145">
        <v>19877</v>
      </c>
      <c r="C187" s="145">
        <v>122</v>
      </c>
      <c r="D187" s="145"/>
      <c r="E187" s="145">
        <v>494332</v>
      </c>
      <c r="F187" s="145">
        <v>80</v>
      </c>
      <c r="G187" s="133"/>
    </row>
    <row r="188" spans="1:7" x14ac:dyDescent="0.2">
      <c r="A188" s="131" t="s">
        <v>5315</v>
      </c>
      <c r="B188" s="145">
        <v>26435</v>
      </c>
      <c r="C188" s="145">
        <v>48</v>
      </c>
      <c r="D188" s="145"/>
      <c r="E188" s="145">
        <v>663126</v>
      </c>
      <c r="F188" s="145">
        <v>12</v>
      </c>
      <c r="G188" s="133">
        <v>0.5</v>
      </c>
    </row>
    <row r="189" spans="1:7" x14ac:dyDescent="0.2">
      <c r="A189" s="131" t="s">
        <v>5296</v>
      </c>
      <c r="B189" s="145">
        <v>25818</v>
      </c>
      <c r="C189" s="145">
        <v>70</v>
      </c>
      <c r="D189" s="145"/>
      <c r="E189" s="145">
        <v>804751</v>
      </c>
      <c r="F189" s="145">
        <v>75</v>
      </c>
      <c r="G189" s="133"/>
    </row>
    <row r="190" spans="1:7" x14ac:dyDescent="0.2">
      <c r="A190" s="131" t="s">
        <v>5325</v>
      </c>
      <c r="B190" s="145">
        <v>16367</v>
      </c>
      <c r="C190" s="145">
        <v>109</v>
      </c>
      <c r="D190" s="145"/>
      <c r="E190" s="145">
        <v>471977</v>
      </c>
      <c r="F190" s="145">
        <v>77</v>
      </c>
      <c r="G190" s="133">
        <v>0.5</v>
      </c>
    </row>
    <row r="191" spans="1:7" ht="30" customHeight="1" x14ac:dyDescent="0.2">
      <c r="A191" s="516" t="s">
        <v>5326</v>
      </c>
      <c r="B191" s="517"/>
      <c r="C191" s="517"/>
      <c r="D191" s="517"/>
      <c r="E191" s="145">
        <v>149676</v>
      </c>
      <c r="F191" s="145">
        <v>20</v>
      </c>
      <c r="G191" s="133"/>
    </row>
    <row r="192" spans="1:7" ht="15.5" customHeight="1" thickBot="1" x14ac:dyDescent="0.25">
      <c r="A192" s="516" t="s">
        <v>5327</v>
      </c>
      <c r="B192" s="517"/>
      <c r="C192" s="517"/>
      <c r="D192" s="517"/>
      <c r="E192" s="595">
        <v>2609717</v>
      </c>
      <c r="F192" s="595">
        <v>15</v>
      </c>
      <c r="G192" s="1079"/>
    </row>
    <row r="193" spans="1:7" ht="15.5" customHeight="1" x14ac:dyDescent="0.2">
      <c r="A193" s="864"/>
      <c r="B193" s="865"/>
      <c r="C193" s="865"/>
      <c r="D193" s="865"/>
      <c r="E193" s="1093">
        <f>+SUM(E186:E191)</f>
        <v>2609714</v>
      </c>
      <c r="F193" s="1093">
        <f t="shared" ref="F193:G193" si="15">+SUM(F186:F191)</f>
        <v>314</v>
      </c>
      <c r="G193" s="1093">
        <f t="shared" si="15"/>
        <v>1</v>
      </c>
    </row>
    <row r="194" spans="1:7" x14ac:dyDescent="0.2">
      <c r="A194" s="131" t="s">
        <v>5328</v>
      </c>
      <c r="B194" s="145"/>
      <c r="C194" s="145"/>
      <c r="D194" s="145"/>
      <c r="E194" s="145"/>
      <c r="F194" s="145"/>
      <c r="G194" s="133"/>
    </row>
    <row r="195" spans="1:7" x14ac:dyDescent="0.2">
      <c r="A195" s="480" t="s">
        <v>5329</v>
      </c>
      <c r="B195" s="481"/>
      <c r="C195" s="481"/>
      <c r="D195" s="481"/>
      <c r="E195" s="145">
        <v>855717</v>
      </c>
      <c r="F195" s="145">
        <v>17</v>
      </c>
      <c r="G195" s="133">
        <v>0.5</v>
      </c>
    </row>
    <row r="196" spans="1:7" x14ac:dyDescent="0.2">
      <c r="A196" s="480" t="s">
        <v>5330</v>
      </c>
      <c r="B196" s="481"/>
      <c r="C196" s="481"/>
      <c r="D196" s="481"/>
      <c r="E196" s="145">
        <v>34228</v>
      </c>
      <c r="F196" s="145">
        <v>70</v>
      </c>
      <c r="G196" s="133"/>
    </row>
    <row r="197" spans="1:7" x14ac:dyDescent="0.2">
      <c r="A197" s="480" t="s">
        <v>5331</v>
      </c>
      <c r="B197" s="481"/>
      <c r="C197" s="481"/>
      <c r="D197" s="481"/>
      <c r="E197" s="145">
        <v>358200</v>
      </c>
      <c r="F197" s="145">
        <v>84</v>
      </c>
      <c r="G197" s="133"/>
    </row>
    <row r="198" spans="1:7" x14ac:dyDescent="0.2">
      <c r="A198" s="480" t="s">
        <v>5332</v>
      </c>
      <c r="B198" s="481"/>
      <c r="C198" s="481"/>
      <c r="D198" s="481"/>
      <c r="E198" s="145">
        <v>519268</v>
      </c>
      <c r="F198" s="145">
        <v>53</v>
      </c>
      <c r="G198" s="133"/>
    </row>
    <row r="199" spans="1:7" x14ac:dyDescent="0.2">
      <c r="A199" s="480" t="s">
        <v>5326</v>
      </c>
      <c r="B199" s="481"/>
      <c r="C199" s="481"/>
      <c r="D199" s="481"/>
      <c r="E199" s="145">
        <v>58465</v>
      </c>
      <c r="F199" s="145">
        <v>88</v>
      </c>
      <c r="G199" s="133"/>
    </row>
    <row r="200" spans="1:7" x14ac:dyDescent="0.2">
      <c r="A200" s="480" t="s">
        <v>5333</v>
      </c>
      <c r="B200" s="481"/>
      <c r="C200" s="481"/>
      <c r="D200" s="481"/>
      <c r="E200" s="145">
        <v>46240</v>
      </c>
      <c r="F200" s="145">
        <v>50</v>
      </c>
      <c r="G200" s="133"/>
    </row>
    <row r="201" spans="1:7" x14ac:dyDescent="0.2">
      <c r="A201" s="480" t="s">
        <v>5334</v>
      </c>
      <c r="B201" s="481"/>
      <c r="C201" s="481"/>
      <c r="D201" s="481"/>
      <c r="E201" s="145">
        <v>58388</v>
      </c>
      <c r="F201" s="145">
        <v>40</v>
      </c>
      <c r="G201" s="133"/>
    </row>
    <row r="202" spans="1:7" x14ac:dyDescent="0.2">
      <c r="A202" s="480" t="s">
        <v>5335</v>
      </c>
      <c r="B202" s="481"/>
      <c r="C202" s="481"/>
      <c r="D202" s="481"/>
      <c r="E202" s="145">
        <v>303294</v>
      </c>
      <c r="F202" s="145">
        <v>70</v>
      </c>
      <c r="G202" s="133"/>
    </row>
    <row r="203" spans="1:7" x14ac:dyDescent="0.2">
      <c r="A203" s="480" t="s">
        <v>5336</v>
      </c>
      <c r="B203" s="481"/>
      <c r="C203" s="481"/>
      <c r="D203" s="481"/>
      <c r="E203" s="145">
        <v>5861</v>
      </c>
      <c r="F203" s="145"/>
      <c r="G203" s="133"/>
    </row>
    <row r="204" spans="1:7" ht="27" customHeight="1" thickBot="1" x14ac:dyDescent="0.25">
      <c r="A204" s="489" t="s">
        <v>5337</v>
      </c>
      <c r="B204" s="493"/>
      <c r="C204" s="493"/>
      <c r="D204" s="493"/>
      <c r="E204" s="595">
        <v>2239665</v>
      </c>
      <c r="F204" s="595">
        <v>72</v>
      </c>
      <c r="G204" s="1079">
        <v>0.5</v>
      </c>
    </row>
    <row r="205" spans="1:7" ht="20.5" customHeight="1" x14ac:dyDescent="0.2">
      <c r="A205" s="622"/>
      <c r="B205" s="623"/>
      <c r="C205" s="623"/>
      <c r="D205" s="623"/>
      <c r="E205" s="1093">
        <f>+SUM(E195:E203)</f>
        <v>2239661</v>
      </c>
      <c r="F205" s="1093">
        <f t="shared" ref="F205:G205" si="16">+SUM(F195:F203)</f>
        <v>472</v>
      </c>
      <c r="G205" s="1107">
        <f t="shared" si="16"/>
        <v>0.5</v>
      </c>
    </row>
    <row r="206" spans="1:7" x14ac:dyDescent="0.2">
      <c r="A206" s="131" t="s">
        <v>5338</v>
      </c>
      <c r="B206" s="145"/>
      <c r="C206" s="145"/>
      <c r="D206" s="145"/>
      <c r="E206" s="145"/>
      <c r="F206" s="145"/>
      <c r="G206" s="133"/>
    </row>
    <row r="207" spans="1:7" x14ac:dyDescent="0.2">
      <c r="A207" s="480" t="s">
        <v>5339</v>
      </c>
      <c r="B207" s="481"/>
      <c r="C207" s="481"/>
      <c r="D207" s="481"/>
      <c r="E207" s="145">
        <v>2609717</v>
      </c>
      <c r="F207" s="145">
        <v>15</v>
      </c>
      <c r="G207" s="133"/>
    </row>
    <row r="208" spans="1:7" ht="16" thickBot="1" x14ac:dyDescent="0.25">
      <c r="A208" s="480" t="s">
        <v>5340</v>
      </c>
      <c r="B208" s="481"/>
      <c r="C208" s="481"/>
      <c r="D208" s="481"/>
      <c r="E208" s="187">
        <v>2239665</v>
      </c>
      <c r="F208" s="187">
        <v>72</v>
      </c>
      <c r="G208" s="189">
        <v>0.5</v>
      </c>
    </row>
    <row r="209" spans="1:7" x14ac:dyDescent="0.2">
      <c r="A209" s="790" t="s">
        <v>5341</v>
      </c>
      <c r="B209" s="791"/>
      <c r="C209" s="791"/>
      <c r="D209" s="791"/>
      <c r="E209" s="309">
        <v>370051</v>
      </c>
      <c r="F209" s="309">
        <v>42</v>
      </c>
      <c r="G209" s="231">
        <v>0.5</v>
      </c>
    </row>
    <row r="210" spans="1:7" x14ac:dyDescent="0.2">
      <c r="E210" s="393">
        <f>+E207-E208</f>
        <v>370052</v>
      </c>
      <c r="F210" s="393">
        <f t="shared" ref="F210:G210" si="17">+F207-F208</f>
        <v>-57</v>
      </c>
      <c r="G210" s="393">
        <f t="shared" si="17"/>
        <v>-0.5</v>
      </c>
    </row>
  </sheetData>
  <mergeCells count="144">
    <mergeCell ref="A208:D208"/>
    <mergeCell ref="A209:D209"/>
    <mergeCell ref="A200:D200"/>
    <mergeCell ref="A201:D201"/>
    <mergeCell ref="A202:D202"/>
    <mergeCell ref="A203:D203"/>
    <mergeCell ref="A204:D204"/>
    <mergeCell ref="A207:D207"/>
    <mergeCell ref="A192:D192"/>
    <mergeCell ref="A195:D195"/>
    <mergeCell ref="A196:D196"/>
    <mergeCell ref="A197:D197"/>
    <mergeCell ref="A198:D198"/>
    <mergeCell ref="A199:D199"/>
    <mergeCell ref="G170:I170"/>
    <mergeCell ref="E171:F171"/>
    <mergeCell ref="J171:K171"/>
    <mergeCell ref="L171:M171"/>
    <mergeCell ref="A181:G181"/>
    <mergeCell ref="A191:D191"/>
    <mergeCell ref="A155:C155"/>
    <mergeCell ref="A167:M167"/>
    <mergeCell ref="A168:M168"/>
    <mergeCell ref="A169:A171"/>
    <mergeCell ref="B169:D169"/>
    <mergeCell ref="E169:F170"/>
    <mergeCell ref="G169:I169"/>
    <mergeCell ref="J169:K170"/>
    <mergeCell ref="L169:M170"/>
    <mergeCell ref="B170:D170"/>
    <mergeCell ref="S132:T132"/>
    <mergeCell ref="A135:U135"/>
    <mergeCell ref="A140:E140"/>
    <mergeCell ref="A141:A142"/>
    <mergeCell ref="B141:C141"/>
    <mergeCell ref="D141:E141"/>
    <mergeCell ref="B132:B134"/>
    <mergeCell ref="D132:E132"/>
    <mergeCell ref="G132:H132"/>
    <mergeCell ref="J132:K132"/>
    <mergeCell ref="M132:N132"/>
    <mergeCell ref="P132:Q132"/>
    <mergeCell ref="D130:F130"/>
    <mergeCell ref="G130:I130"/>
    <mergeCell ref="J130:L130"/>
    <mergeCell ref="M130:O130"/>
    <mergeCell ref="P130:R130"/>
    <mergeCell ref="S130:U130"/>
    <mergeCell ref="P100:Q100"/>
    <mergeCell ref="S100:T100"/>
    <mergeCell ref="B123:B131"/>
    <mergeCell ref="D123:E123"/>
    <mergeCell ref="G123:H123"/>
    <mergeCell ref="J123:K123"/>
    <mergeCell ref="M123:N123"/>
    <mergeCell ref="P123:Q123"/>
    <mergeCell ref="S123:T123"/>
    <mergeCell ref="C130:C131"/>
    <mergeCell ref="J99:L99"/>
    <mergeCell ref="M99:O99"/>
    <mergeCell ref="P99:R99"/>
    <mergeCell ref="S99:U99"/>
    <mergeCell ref="A100:A134"/>
    <mergeCell ref="B100:B122"/>
    <mergeCell ref="D100:E100"/>
    <mergeCell ref="G100:H100"/>
    <mergeCell ref="J100:K100"/>
    <mergeCell ref="M100:N100"/>
    <mergeCell ref="J97:L97"/>
    <mergeCell ref="M97:O97"/>
    <mergeCell ref="P97:R97"/>
    <mergeCell ref="S97:U97"/>
    <mergeCell ref="D98:F98"/>
    <mergeCell ref="G98:I98"/>
    <mergeCell ref="J98:L98"/>
    <mergeCell ref="M98:O98"/>
    <mergeCell ref="P98:R98"/>
    <mergeCell ref="S98:U98"/>
    <mergeCell ref="J95:L95"/>
    <mergeCell ref="M95:O95"/>
    <mergeCell ref="P95:R95"/>
    <mergeCell ref="S95:U95"/>
    <mergeCell ref="D96:F96"/>
    <mergeCell ref="G96:I96"/>
    <mergeCell ref="J96:L96"/>
    <mergeCell ref="M96:O96"/>
    <mergeCell ref="P96:R96"/>
    <mergeCell ref="S96:U96"/>
    <mergeCell ref="B87:B89"/>
    <mergeCell ref="B91:B93"/>
    <mergeCell ref="A95:A99"/>
    <mergeCell ref="B95:B99"/>
    <mergeCell ref="D95:F95"/>
    <mergeCell ref="G95:I95"/>
    <mergeCell ref="D97:F97"/>
    <mergeCell ref="G97:I97"/>
    <mergeCell ref="D99:F99"/>
    <mergeCell ref="G99:I99"/>
    <mergeCell ref="P85:R85"/>
    <mergeCell ref="S85:U85"/>
    <mergeCell ref="E86:F86"/>
    <mergeCell ref="H86:I86"/>
    <mergeCell ref="K86:L86"/>
    <mergeCell ref="N86:O86"/>
    <mergeCell ref="Q86:R86"/>
    <mergeCell ref="T86:U86"/>
    <mergeCell ref="A78:S78"/>
    <mergeCell ref="A83:U83"/>
    <mergeCell ref="A84:A94"/>
    <mergeCell ref="B84:B86"/>
    <mergeCell ref="C84:C86"/>
    <mergeCell ref="D84:U84"/>
    <mergeCell ref="D85:F85"/>
    <mergeCell ref="G85:I85"/>
    <mergeCell ref="J85:L85"/>
    <mergeCell ref="M85:O85"/>
    <mergeCell ref="A59:S59"/>
    <mergeCell ref="A64:S64"/>
    <mergeCell ref="B65:D65"/>
    <mergeCell ref="E65:G65"/>
    <mergeCell ref="H65:J65"/>
    <mergeCell ref="K65:M65"/>
    <mergeCell ref="N65:P65"/>
    <mergeCell ref="Q65:S65"/>
    <mergeCell ref="A40:M40"/>
    <mergeCell ref="A45:S45"/>
    <mergeCell ref="B46:D46"/>
    <mergeCell ref="E46:G46"/>
    <mergeCell ref="H46:J46"/>
    <mergeCell ref="K46:M46"/>
    <mergeCell ref="N46:P46"/>
    <mergeCell ref="Q46:S46"/>
    <mergeCell ref="A34:M34"/>
    <mergeCell ref="A35:M35"/>
    <mergeCell ref="E36:M36"/>
    <mergeCell ref="H37:M37"/>
    <mergeCell ref="A38:M38"/>
    <mergeCell ref="A39:M39"/>
    <mergeCell ref="A4:M4"/>
    <mergeCell ref="B5:D5"/>
    <mergeCell ref="E5:G5"/>
    <mergeCell ref="H5:J5"/>
    <mergeCell ref="K5:M5"/>
    <mergeCell ref="A33:M33"/>
  </mergeCells>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39997558519241921"/>
  </sheetPr>
  <dimension ref="A1:BS149"/>
  <sheetViews>
    <sheetView topLeftCell="A28" workbookViewId="0">
      <selection activeCell="B1" sqref="B1"/>
    </sheetView>
  </sheetViews>
  <sheetFormatPr baseColWidth="10" defaultRowHeight="15" x14ac:dyDescent="0.2"/>
  <cols>
    <col min="1" max="1" width="36.1640625" style="107" customWidth="1"/>
    <col min="2" max="2" width="10.83203125" style="107"/>
    <col min="3" max="3" width="7.33203125" style="107" customWidth="1"/>
    <col min="4" max="4" width="6.6640625" style="107" bestFit="1" customWidth="1"/>
    <col min="5" max="5" width="10.83203125" style="107"/>
    <col min="6" max="6" width="7.6640625" style="107" bestFit="1" customWidth="1"/>
    <col min="7" max="7" width="4.6640625" style="107" customWidth="1"/>
    <col min="8" max="8" width="10.83203125" style="107"/>
    <col min="9" max="9" width="5.5" style="107" bestFit="1" customWidth="1"/>
    <col min="10" max="10" width="7.6640625" style="107" bestFit="1" customWidth="1"/>
    <col min="11" max="11" width="10.83203125" style="107"/>
    <col min="12" max="12" width="7.6640625" style="107" bestFit="1" customWidth="1"/>
    <col min="13" max="13" width="4.6640625" style="107" customWidth="1"/>
    <col min="14" max="14" width="10.83203125" style="107"/>
    <col min="15" max="15" width="11" style="107" customWidth="1"/>
    <col min="16" max="16" width="7.6640625" style="107" bestFit="1" customWidth="1"/>
    <col min="17" max="17" width="10.83203125" style="107"/>
    <col min="18" max="18" width="9.5" style="107" customWidth="1"/>
    <col min="19" max="19" width="7.5" style="107" bestFit="1" customWidth="1"/>
    <col min="20" max="20" width="10.83203125" style="107"/>
    <col min="21" max="21" width="7.5" style="107" bestFit="1" customWidth="1"/>
    <col min="22" max="22" width="10.83203125" style="107"/>
    <col min="23" max="23" width="7.5" style="107" bestFit="1" customWidth="1"/>
    <col min="24" max="24" width="10.83203125" style="107"/>
    <col min="25" max="25" width="7.5" style="107" bestFit="1" customWidth="1"/>
    <col min="26" max="26" width="10.83203125" style="107"/>
    <col min="27" max="27" width="6.1640625" style="107" customWidth="1"/>
    <col min="28" max="28" width="10.83203125" style="107"/>
    <col min="29" max="29" width="6.5" style="107" bestFit="1" customWidth="1"/>
    <col min="30" max="30" width="10.83203125" style="107"/>
    <col min="31" max="31" width="7.5" style="107" bestFit="1" customWidth="1"/>
    <col min="32" max="32" width="10.83203125" style="107"/>
    <col min="33" max="33" width="10" style="107" customWidth="1"/>
    <col min="34" max="34" width="10.83203125" style="107"/>
    <col min="35" max="35" width="6.5" style="107" bestFit="1" customWidth="1"/>
    <col min="36" max="36" width="13.5" style="107" customWidth="1"/>
    <col min="37" max="37" width="9.1640625" style="107" bestFit="1" customWidth="1"/>
    <col min="38" max="38" width="10.83203125" style="107"/>
    <col min="39" max="39" width="7.5" style="107" bestFit="1" customWidth="1"/>
    <col min="40" max="40" width="10.83203125" style="107"/>
    <col min="41" max="41" width="7.5" style="107" bestFit="1" customWidth="1"/>
    <col min="42" max="42" width="10.83203125" style="107"/>
    <col min="43" max="43" width="5.1640625" style="107" customWidth="1"/>
    <col min="44" max="44" width="10.83203125" style="107"/>
    <col min="45" max="45" width="7.1640625" style="107" customWidth="1"/>
    <col min="46" max="46" width="10.83203125" style="107"/>
    <col min="47" max="47" width="6.6640625" style="107" customWidth="1"/>
    <col min="48" max="48" width="10.83203125" style="107"/>
    <col min="49" max="49" width="5.83203125" style="107" customWidth="1"/>
    <col min="50" max="50" width="10.83203125" style="107"/>
    <col min="51" max="51" width="6.6640625" style="107" customWidth="1"/>
    <col min="52" max="52" width="10.83203125" style="107"/>
    <col min="53" max="53" width="5.83203125" style="107" customWidth="1"/>
    <col min="54" max="54" width="10.83203125" style="107"/>
    <col min="55" max="55" width="6.6640625" style="107" customWidth="1"/>
    <col min="56" max="56" width="10.83203125" style="107"/>
    <col min="57" max="57" width="7.83203125" style="107" customWidth="1"/>
    <col min="58" max="58" width="10.83203125" style="107"/>
    <col min="59" max="59" width="5.5" style="107" customWidth="1"/>
    <col min="60" max="60" width="10.83203125" style="107"/>
    <col min="61" max="61" width="6" style="107" customWidth="1"/>
    <col min="62" max="62" width="10.83203125" style="107"/>
    <col min="63" max="63" width="4.33203125" style="107" customWidth="1"/>
    <col min="64" max="64" width="10.83203125" style="107"/>
    <col min="65" max="65" width="5.1640625" style="107" customWidth="1"/>
    <col min="66" max="66" width="10.83203125" style="107"/>
    <col min="67" max="67" width="5.1640625" style="107" customWidth="1"/>
    <col min="68" max="68" width="10.83203125" style="107"/>
    <col min="69" max="69" width="6.1640625" style="107" customWidth="1"/>
    <col min="70" max="70" width="10.83203125" style="107"/>
    <col min="71" max="71" width="6" style="107" customWidth="1"/>
    <col min="72" max="72" width="10.83203125" style="107"/>
    <col min="73" max="73" width="5.5" style="107" customWidth="1"/>
    <col min="74" max="16384" width="10.83203125" style="107"/>
  </cols>
  <sheetData>
    <row r="1" spans="1:19" x14ac:dyDescent="0.2">
      <c r="A1" s="972" t="s">
        <v>5342</v>
      </c>
    </row>
    <row r="3" spans="1:19" x14ac:dyDescent="0.2">
      <c r="A3" s="526" t="s">
        <v>1111</v>
      </c>
    </row>
    <row r="4" spans="1:19" x14ac:dyDescent="0.2">
      <c r="A4" s="1575" t="s">
        <v>5343</v>
      </c>
      <c r="B4" s="1575"/>
      <c r="C4" s="1575"/>
      <c r="D4" s="1575"/>
      <c r="E4" s="1575"/>
      <c r="F4" s="1575"/>
      <c r="G4" s="1575"/>
      <c r="H4" s="1575"/>
      <c r="I4" s="1575"/>
      <c r="J4" s="1575"/>
      <c r="K4" s="1575"/>
      <c r="L4" s="1575"/>
      <c r="M4" s="1575"/>
      <c r="N4" s="1575"/>
      <c r="O4" s="1575"/>
      <c r="P4" s="1575"/>
      <c r="Q4" s="1575"/>
      <c r="R4" s="1575"/>
      <c r="S4" s="1575"/>
    </row>
    <row r="5" spans="1:19" ht="21.5" customHeight="1" x14ac:dyDescent="0.2">
      <c r="A5" s="808"/>
      <c r="B5" s="838">
        <v>1898</v>
      </c>
      <c r="C5" s="838"/>
      <c r="D5" s="838"/>
      <c r="E5" s="838">
        <v>1899</v>
      </c>
      <c r="F5" s="838"/>
      <c r="G5" s="838"/>
      <c r="H5" s="838">
        <v>1900</v>
      </c>
      <c r="I5" s="838"/>
      <c r="J5" s="838"/>
      <c r="K5" s="838">
        <v>1901</v>
      </c>
      <c r="L5" s="838"/>
      <c r="M5" s="838"/>
      <c r="N5" s="838">
        <v>1902</v>
      </c>
      <c r="O5" s="838"/>
      <c r="P5" s="838"/>
      <c r="Q5" s="838">
        <v>1903</v>
      </c>
      <c r="R5" s="838"/>
      <c r="S5" s="838"/>
    </row>
    <row r="6" spans="1:19" x14ac:dyDescent="0.2">
      <c r="A6" s="131" t="s">
        <v>1514</v>
      </c>
      <c r="B6" s="349">
        <v>8843</v>
      </c>
      <c r="C6" s="350">
        <v>85</v>
      </c>
      <c r="D6" s="717"/>
      <c r="E6" s="145">
        <v>4879</v>
      </c>
      <c r="F6" s="145">
        <v>80</v>
      </c>
      <c r="G6" s="145"/>
      <c r="H6" s="349"/>
      <c r="I6" s="350"/>
      <c r="J6" s="1576" t="s">
        <v>5344</v>
      </c>
      <c r="K6" s="349"/>
      <c r="L6" s="350"/>
      <c r="M6" s="1576" t="s">
        <v>5344</v>
      </c>
      <c r="N6" s="349"/>
      <c r="O6" s="350"/>
      <c r="P6" s="1576" t="s">
        <v>5344</v>
      </c>
      <c r="Q6" s="349"/>
      <c r="R6" s="350"/>
      <c r="S6" s="1576" t="s">
        <v>5344</v>
      </c>
    </row>
    <row r="7" spans="1:19" x14ac:dyDescent="0.2">
      <c r="A7" s="131" t="s">
        <v>3668</v>
      </c>
      <c r="B7" s="131">
        <v>5942911</v>
      </c>
      <c r="C7" s="145">
        <v>95</v>
      </c>
      <c r="D7" s="307"/>
      <c r="E7" s="145">
        <v>5252029</v>
      </c>
      <c r="F7" s="145">
        <v>75</v>
      </c>
      <c r="G7" s="145"/>
      <c r="H7" s="131">
        <v>2782797</v>
      </c>
      <c r="I7" s="145">
        <v>95</v>
      </c>
      <c r="J7" s="1502"/>
      <c r="K7" s="131">
        <v>9975230</v>
      </c>
      <c r="L7" s="145">
        <v>24</v>
      </c>
      <c r="M7" s="1502"/>
      <c r="N7" s="131">
        <f>18662352-10000000</f>
        <v>8662352</v>
      </c>
      <c r="O7" s="145">
        <v>80</v>
      </c>
      <c r="P7" s="1502"/>
      <c r="Q7" s="131">
        <v>4006197</v>
      </c>
      <c r="R7" s="145">
        <v>25</v>
      </c>
      <c r="S7" s="1577" t="s">
        <v>5159</v>
      </c>
    </row>
    <row r="8" spans="1:19" x14ac:dyDescent="0.2">
      <c r="A8" s="131" t="s">
        <v>1517</v>
      </c>
      <c r="B8" s="131">
        <v>727937</v>
      </c>
      <c r="C8" s="145">
        <v>5</v>
      </c>
      <c r="D8" s="307"/>
      <c r="E8" s="145">
        <v>387454</v>
      </c>
      <c r="F8" s="145">
        <v>30</v>
      </c>
      <c r="G8" s="145"/>
      <c r="H8" s="131">
        <v>339838</v>
      </c>
      <c r="I8" s="145">
        <v>95</v>
      </c>
      <c r="J8" s="1502"/>
      <c r="K8" s="131">
        <v>801210</v>
      </c>
      <c r="L8" s="145">
        <v>10</v>
      </c>
      <c r="M8" s="1502"/>
      <c r="N8" s="131">
        <v>1435887</v>
      </c>
      <c r="O8" s="145">
        <v>90</v>
      </c>
      <c r="P8" s="1502"/>
      <c r="Q8" s="131">
        <f>22032631-20000000</f>
        <v>2032631</v>
      </c>
      <c r="R8" s="145">
        <v>89</v>
      </c>
      <c r="S8" s="1577"/>
    </row>
    <row r="9" spans="1:19" x14ac:dyDescent="0.2">
      <c r="A9" s="131" t="s">
        <v>4033</v>
      </c>
      <c r="B9" s="131">
        <v>2063887</v>
      </c>
      <c r="C9" s="145">
        <v>55</v>
      </c>
      <c r="D9" s="307"/>
      <c r="E9" s="145">
        <v>2777251</v>
      </c>
      <c r="F9" s="145"/>
      <c r="G9" s="145"/>
      <c r="H9" s="131">
        <v>1102514</v>
      </c>
      <c r="I9" s="145">
        <v>5</v>
      </c>
      <c r="J9" s="1502"/>
      <c r="K9" s="131"/>
      <c r="L9" s="145"/>
      <c r="M9" s="1577" t="s">
        <v>5157</v>
      </c>
      <c r="N9" s="131"/>
      <c r="O9" s="145"/>
      <c r="P9" s="1577" t="s">
        <v>5157</v>
      </c>
      <c r="Q9" s="131"/>
      <c r="R9" s="145"/>
      <c r="S9" s="1577" t="s">
        <v>5157</v>
      </c>
    </row>
    <row r="10" spans="1:19" x14ac:dyDescent="0.2">
      <c r="A10" s="131" t="s">
        <v>1519</v>
      </c>
      <c r="B10" s="131">
        <v>381428</v>
      </c>
      <c r="C10" s="145">
        <v>70</v>
      </c>
      <c r="D10" s="307"/>
      <c r="E10" s="145">
        <v>181756</v>
      </c>
      <c r="F10" s="145">
        <v>35</v>
      </c>
      <c r="G10" s="145"/>
      <c r="H10" s="131">
        <v>90825</v>
      </c>
      <c r="I10" s="145">
        <v>65</v>
      </c>
      <c r="J10" s="1502"/>
      <c r="K10" s="131">
        <v>749520</v>
      </c>
      <c r="L10" s="145">
        <v>45</v>
      </c>
      <c r="M10" s="1502"/>
      <c r="N10" s="131"/>
      <c r="O10" s="145"/>
      <c r="P10" s="1502"/>
      <c r="Q10" s="131">
        <v>268596</v>
      </c>
      <c r="R10" s="145">
        <v>45</v>
      </c>
      <c r="S10" s="1577"/>
    </row>
    <row r="11" spans="1:19" x14ac:dyDescent="0.2">
      <c r="A11" s="131" t="s">
        <v>4553</v>
      </c>
      <c r="B11" s="131">
        <v>15215</v>
      </c>
      <c r="C11" s="145">
        <v>30</v>
      </c>
      <c r="D11" s="307"/>
      <c r="E11" s="145">
        <v>13987</v>
      </c>
      <c r="F11" s="145">
        <v>80</v>
      </c>
      <c r="G11" s="145"/>
      <c r="H11" s="131"/>
      <c r="I11" s="145"/>
      <c r="J11" s="1577" t="s">
        <v>5157</v>
      </c>
      <c r="K11" s="131"/>
      <c r="L11" s="145"/>
      <c r="M11" s="1577" t="s">
        <v>5157</v>
      </c>
      <c r="N11" s="131"/>
      <c r="O11" s="145"/>
      <c r="P11" s="1577" t="s">
        <v>5157</v>
      </c>
      <c r="Q11" s="131"/>
      <c r="R11" s="145"/>
      <c r="S11" s="1577" t="s">
        <v>5157</v>
      </c>
    </row>
    <row r="12" spans="1:19" x14ac:dyDescent="0.2">
      <c r="A12" s="131" t="s">
        <v>4828</v>
      </c>
      <c r="B12" s="131">
        <v>13081</v>
      </c>
      <c r="C12" s="145">
        <v>45</v>
      </c>
      <c r="D12" s="307"/>
      <c r="E12" s="145">
        <v>11041</v>
      </c>
      <c r="F12" s="145">
        <v>55</v>
      </c>
      <c r="G12" s="145"/>
      <c r="H12" s="131"/>
      <c r="I12" s="145"/>
      <c r="J12" s="1577" t="s">
        <v>5344</v>
      </c>
      <c r="K12" s="131"/>
      <c r="L12" s="145"/>
      <c r="M12" s="1577" t="s">
        <v>5344</v>
      </c>
      <c r="N12" s="131"/>
      <c r="O12" s="145"/>
      <c r="P12" s="1577" t="s">
        <v>5157</v>
      </c>
      <c r="Q12" s="131"/>
      <c r="R12" s="145"/>
      <c r="S12" s="1577" t="s">
        <v>5157</v>
      </c>
    </row>
    <row r="13" spans="1:19" x14ac:dyDescent="0.2">
      <c r="A13" s="131" t="s">
        <v>1526</v>
      </c>
      <c r="B13" s="131">
        <v>81647</v>
      </c>
      <c r="C13" s="145">
        <v>90</v>
      </c>
      <c r="D13" s="307"/>
      <c r="E13" s="145">
        <v>68029</v>
      </c>
      <c r="F13" s="145">
        <v>85</v>
      </c>
      <c r="G13" s="145"/>
      <c r="H13" s="131"/>
      <c r="I13" s="145"/>
      <c r="J13" s="1577" t="s">
        <v>5157</v>
      </c>
      <c r="K13" s="131"/>
      <c r="L13" s="145"/>
      <c r="M13" s="1577" t="s">
        <v>5157</v>
      </c>
      <c r="N13" s="131"/>
      <c r="O13" s="145"/>
      <c r="P13" s="1577" t="s">
        <v>5157</v>
      </c>
      <c r="Q13" s="131"/>
      <c r="R13" s="145"/>
      <c r="S13" s="1577" t="s">
        <v>5157</v>
      </c>
    </row>
    <row r="14" spans="1:19" x14ac:dyDescent="0.2">
      <c r="A14" s="131" t="s">
        <v>1373</v>
      </c>
      <c r="B14" s="131">
        <v>73905</v>
      </c>
      <c r="C14" s="145">
        <v>80</v>
      </c>
      <c r="D14" s="307"/>
      <c r="E14" s="145">
        <v>52807</v>
      </c>
      <c r="F14" s="145">
        <v>5</v>
      </c>
      <c r="G14" s="145"/>
      <c r="H14" s="131">
        <v>93564</v>
      </c>
      <c r="I14" s="145">
        <v>35</v>
      </c>
      <c r="J14" s="1502"/>
      <c r="K14" s="131">
        <v>216194</v>
      </c>
      <c r="L14" s="145">
        <v>45</v>
      </c>
      <c r="M14" s="1502"/>
      <c r="N14" s="131">
        <v>478659</v>
      </c>
      <c r="O14" s="145">
        <v>7</v>
      </c>
      <c r="P14" s="1502"/>
      <c r="Q14" s="131">
        <v>2531224</v>
      </c>
      <c r="R14" s="145">
        <v>18</v>
      </c>
      <c r="S14" s="1577"/>
    </row>
    <row r="15" spans="1:19" x14ac:dyDescent="0.2">
      <c r="A15" s="131" t="s">
        <v>1527</v>
      </c>
      <c r="B15" s="131">
        <v>162883</v>
      </c>
      <c r="C15" s="145">
        <v>60</v>
      </c>
      <c r="D15" s="307"/>
      <c r="E15" s="145">
        <v>83167</v>
      </c>
      <c r="F15" s="145">
        <v>5</v>
      </c>
      <c r="G15" s="145"/>
      <c r="H15" s="131"/>
      <c r="I15" s="145"/>
      <c r="J15" s="1502"/>
      <c r="K15" s="131"/>
      <c r="L15" s="145"/>
      <c r="M15" s="1502"/>
      <c r="N15" s="131"/>
      <c r="O15" s="145"/>
      <c r="P15" s="1502"/>
      <c r="Q15" s="131">
        <v>131215</v>
      </c>
      <c r="R15" s="145">
        <v>65</v>
      </c>
      <c r="S15" s="1577" t="s">
        <v>5157</v>
      </c>
    </row>
    <row r="16" spans="1:19" x14ac:dyDescent="0.2">
      <c r="A16" s="230"/>
      <c r="B16" s="240">
        <v>9471743</v>
      </c>
      <c r="C16" s="318">
        <v>15</v>
      </c>
      <c r="D16" s="513"/>
      <c r="E16" s="318">
        <v>8832404</v>
      </c>
      <c r="F16" s="318">
        <v>50</v>
      </c>
      <c r="G16" s="318"/>
      <c r="H16" s="240">
        <v>4409540</v>
      </c>
      <c r="I16" s="318">
        <v>95</v>
      </c>
      <c r="J16" s="513"/>
      <c r="K16" s="240">
        <v>11742155</v>
      </c>
      <c r="L16" s="318">
        <v>24</v>
      </c>
      <c r="M16" s="513"/>
      <c r="N16" s="240">
        <f>20576899-10000000</f>
        <v>10576899</v>
      </c>
      <c r="O16" s="318">
        <v>77</v>
      </c>
      <c r="P16" s="513"/>
      <c r="Q16" s="240">
        <f>28969865-20000000</f>
        <v>8969865</v>
      </c>
      <c r="R16" s="318">
        <v>42</v>
      </c>
      <c r="S16" s="513"/>
    </row>
    <row r="17" spans="1:19" x14ac:dyDescent="0.2">
      <c r="A17" s="131"/>
      <c r="B17" s="1145">
        <f>+SUM(B6:B15)</f>
        <v>9471737</v>
      </c>
      <c r="C17" s="1145">
        <f t="shared" ref="C17:S17" si="0">+SUM(C6:C15)</f>
        <v>615</v>
      </c>
      <c r="D17" s="1145">
        <f t="shared" si="0"/>
        <v>0</v>
      </c>
      <c r="E17" s="1145">
        <f t="shared" si="0"/>
        <v>8832400</v>
      </c>
      <c r="F17" s="1145">
        <f t="shared" si="0"/>
        <v>450</v>
      </c>
      <c r="G17" s="1145">
        <f t="shared" si="0"/>
        <v>0</v>
      </c>
      <c r="H17" s="1145">
        <f t="shared" si="0"/>
        <v>4409538</v>
      </c>
      <c r="I17" s="1145">
        <f t="shared" si="0"/>
        <v>295</v>
      </c>
      <c r="J17" s="1145">
        <f t="shared" si="0"/>
        <v>0</v>
      </c>
      <c r="K17" s="1145">
        <f t="shared" si="0"/>
        <v>11742154</v>
      </c>
      <c r="L17" s="1145">
        <f t="shared" si="0"/>
        <v>124</v>
      </c>
      <c r="M17" s="1145">
        <f t="shared" si="0"/>
        <v>0</v>
      </c>
      <c r="N17" s="1145">
        <f t="shared" si="0"/>
        <v>10576898</v>
      </c>
      <c r="O17" s="1145">
        <f t="shared" si="0"/>
        <v>177</v>
      </c>
      <c r="P17" s="1145">
        <f t="shared" si="0"/>
        <v>0</v>
      </c>
      <c r="Q17" s="1145">
        <f t="shared" si="0"/>
        <v>8969863</v>
      </c>
      <c r="R17" s="1145">
        <f t="shared" si="0"/>
        <v>242</v>
      </c>
      <c r="S17" s="1145">
        <f t="shared" si="0"/>
        <v>0</v>
      </c>
    </row>
    <row r="18" spans="1:19" x14ac:dyDescent="0.2">
      <c r="A18" s="1578" t="s">
        <v>5345</v>
      </c>
      <c r="B18" s="1579"/>
      <c r="C18" s="1579"/>
      <c r="D18" s="1579"/>
      <c r="E18" s="1579"/>
      <c r="F18" s="1579"/>
      <c r="G18" s="1579"/>
      <c r="H18" s="1579"/>
      <c r="I18" s="1579"/>
      <c r="J18" s="1579"/>
      <c r="K18" s="1579"/>
      <c r="L18" s="1579"/>
      <c r="M18" s="1579"/>
      <c r="N18" s="1579"/>
      <c r="O18" s="1579"/>
      <c r="P18" s="1579"/>
      <c r="Q18" s="1579"/>
      <c r="R18" s="1579"/>
      <c r="S18" s="1580"/>
    </row>
    <row r="19" spans="1:19" x14ac:dyDescent="0.2">
      <c r="A19" s="588" t="s">
        <v>5346</v>
      </c>
      <c r="B19" s="589"/>
      <c r="C19" s="589"/>
      <c r="D19" s="589"/>
      <c r="E19" s="589"/>
      <c r="F19" s="589"/>
      <c r="G19" s="589"/>
      <c r="H19" s="589"/>
      <c r="I19" s="589"/>
      <c r="J19" s="589"/>
      <c r="K19" s="589"/>
      <c r="L19" s="589"/>
      <c r="M19" s="589"/>
      <c r="N19" s="589"/>
      <c r="O19" s="589"/>
      <c r="P19" s="589"/>
      <c r="Q19" s="589"/>
      <c r="R19" s="589"/>
      <c r="S19" s="800"/>
    </row>
    <row r="20" spans="1:19" x14ac:dyDescent="0.2">
      <c r="A20" s="940" t="s">
        <v>5347</v>
      </c>
      <c r="B20" s="941"/>
      <c r="C20" s="941"/>
      <c r="D20" s="941"/>
      <c r="E20" s="941"/>
      <c r="F20" s="941"/>
      <c r="G20" s="941"/>
      <c r="H20" s="941"/>
      <c r="I20" s="941"/>
      <c r="J20" s="941"/>
      <c r="K20" s="941"/>
      <c r="L20" s="941"/>
      <c r="M20" s="941"/>
      <c r="N20" s="941"/>
      <c r="O20" s="941"/>
      <c r="P20" s="941"/>
      <c r="Q20" s="941"/>
      <c r="R20" s="941"/>
      <c r="S20" s="1151"/>
    </row>
    <row r="24" spans="1:19" x14ac:dyDescent="0.2">
      <c r="A24" s="526" t="s">
        <v>1171</v>
      </c>
    </row>
    <row r="25" spans="1:19" ht="21.5" customHeight="1" x14ac:dyDescent="0.2">
      <c r="A25" s="1265" t="s">
        <v>5348</v>
      </c>
      <c r="B25" s="1265"/>
      <c r="C25" s="1265"/>
      <c r="D25" s="1265"/>
      <c r="E25" s="1265"/>
      <c r="F25" s="1265"/>
      <c r="G25" s="1265"/>
      <c r="H25" s="1265"/>
      <c r="I25" s="1265"/>
      <c r="J25" s="1265"/>
    </row>
    <row r="26" spans="1:19" x14ac:dyDescent="0.2">
      <c r="A26" s="1581" t="s">
        <v>5349</v>
      </c>
      <c r="B26" s="1582" t="s">
        <v>5350</v>
      </c>
      <c r="C26" s="1583"/>
      <c r="D26" s="1583"/>
      <c r="E26" s="1583" t="s">
        <v>3637</v>
      </c>
      <c r="F26" s="1583"/>
      <c r="G26" s="1583"/>
      <c r="H26" s="1583" t="s">
        <v>5351</v>
      </c>
      <c r="I26" s="1583"/>
      <c r="J26" s="1583"/>
    </row>
    <row r="27" spans="1:19" x14ac:dyDescent="0.2">
      <c r="A27" s="1584">
        <v>1898</v>
      </c>
      <c r="B27" s="145">
        <v>1405988</v>
      </c>
      <c r="C27" s="145">
        <v>35</v>
      </c>
      <c r="D27" s="145"/>
      <c r="E27" s="349">
        <v>310151</v>
      </c>
      <c r="F27" s="350">
        <v>80</v>
      </c>
      <c r="G27" s="717"/>
      <c r="H27" s="145">
        <v>1095836</v>
      </c>
      <c r="I27" s="145">
        <v>55</v>
      </c>
      <c r="J27" s="307"/>
    </row>
    <row r="28" spans="1:19" x14ac:dyDescent="0.2">
      <c r="A28" s="1584">
        <v>1899</v>
      </c>
      <c r="B28" s="145">
        <v>1407940</v>
      </c>
      <c r="C28" s="145">
        <v>15</v>
      </c>
      <c r="D28" s="145"/>
      <c r="E28" s="131">
        <v>55641</v>
      </c>
      <c r="F28" s="145">
        <v>50</v>
      </c>
      <c r="G28" s="307"/>
      <c r="H28" s="145">
        <v>1352298</v>
      </c>
      <c r="I28" s="145">
        <v>65</v>
      </c>
      <c r="J28" s="307"/>
    </row>
    <row r="29" spans="1:19" x14ac:dyDescent="0.2">
      <c r="A29" s="1584">
        <v>1900</v>
      </c>
      <c r="B29" s="145">
        <v>1947859</v>
      </c>
      <c r="C29" s="145">
        <v>90</v>
      </c>
      <c r="D29" s="145"/>
      <c r="E29" s="131">
        <v>353710</v>
      </c>
      <c r="F29" s="145">
        <v>25</v>
      </c>
      <c r="G29" s="307"/>
      <c r="H29" s="145">
        <v>1594149</v>
      </c>
      <c r="I29" s="145">
        <v>65</v>
      </c>
      <c r="J29" s="307"/>
    </row>
    <row r="30" spans="1:19" x14ac:dyDescent="0.2">
      <c r="A30" s="1584">
        <v>1901</v>
      </c>
      <c r="B30" s="145">
        <v>2111523</v>
      </c>
      <c r="C30" s="145">
        <v>50</v>
      </c>
      <c r="D30" s="145"/>
      <c r="E30" s="131">
        <v>920250</v>
      </c>
      <c r="F30" s="145">
        <v>60</v>
      </c>
      <c r="G30" s="307"/>
      <c r="H30" s="145">
        <v>1191272</v>
      </c>
      <c r="I30" s="145">
        <v>90</v>
      </c>
      <c r="J30" s="307"/>
    </row>
    <row r="31" spans="1:19" x14ac:dyDescent="0.2">
      <c r="A31" s="1584">
        <v>1902</v>
      </c>
      <c r="B31" s="145">
        <v>9747298</v>
      </c>
      <c r="C31" s="145">
        <v>40</v>
      </c>
      <c r="D31" s="145"/>
      <c r="E31" s="131">
        <v>4065951</v>
      </c>
      <c r="F31" s="145">
        <v>85</v>
      </c>
      <c r="G31" s="307"/>
      <c r="H31" s="145">
        <v>5681346</v>
      </c>
      <c r="I31" s="145">
        <v>55</v>
      </c>
      <c r="J31" s="307"/>
    </row>
    <row r="32" spans="1:19" x14ac:dyDescent="0.2">
      <c r="A32" s="1585">
        <v>1903</v>
      </c>
      <c r="B32" s="309">
        <v>20694175</v>
      </c>
      <c r="C32" s="309">
        <v>40</v>
      </c>
      <c r="D32" s="309"/>
      <c r="E32" s="230">
        <v>8187698</v>
      </c>
      <c r="F32" s="309">
        <v>5</v>
      </c>
      <c r="G32" s="364"/>
      <c r="H32" s="309">
        <v>12506477</v>
      </c>
      <c r="I32" s="309">
        <v>35</v>
      </c>
      <c r="J32" s="364"/>
    </row>
    <row r="33" spans="1:7" x14ac:dyDescent="0.2">
      <c r="A33" s="1586"/>
    </row>
    <row r="36" spans="1:7" x14ac:dyDescent="0.2">
      <c r="A36" s="526" t="s">
        <v>1853</v>
      </c>
    </row>
    <row r="37" spans="1:7" ht="25.75" customHeight="1" x14ac:dyDescent="0.2">
      <c r="A37" s="1272" t="s">
        <v>5352</v>
      </c>
      <c r="B37" s="1272"/>
      <c r="C37" s="1272"/>
      <c r="D37" s="1272"/>
      <c r="E37" s="1272"/>
      <c r="F37" s="1272"/>
      <c r="G37" s="1272"/>
    </row>
    <row r="38" spans="1:7" ht="30.5" customHeight="1" x14ac:dyDescent="0.2">
      <c r="A38" s="751" t="s">
        <v>5353</v>
      </c>
      <c r="B38" s="1365" t="s">
        <v>4851</v>
      </c>
      <c r="C38" s="1365"/>
      <c r="D38" s="1365"/>
      <c r="E38" s="1471" t="s">
        <v>5354</v>
      </c>
      <c r="F38" s="1471"/>
      <c r="G38" s="1471"/>
    </row>
    <row r="39" spans="1:7" x14ac:dyDescent="0.2">
      <c r="A39" s="131" t="s">
        <v>5355</v>
      </c>
      <c r="B39" s="349">
        <v>9359838</v>
      </c>
      <c r="C39" s="350">
        <v>710</v>
      </c>
      <c r="D39" s="717"/>
      <c r="E39" s="145">
        <v>14308031</v>
      </c>
      <c r="F39" s="145">
        <v>580</v>
      </c>
      <c r="G39" s="307"/>
    </row>
    <row r="40" spans="1:7" x14ac:dyDescent="0.2">
      <c r="A40" s="131" t="s">
        <v>5356</v>
      </c>
      <c r="B40" s="131">
        <v>13455768</v>
      </c>
      <c r="C40" s="145">
        <v>250</v>
      </c>
      <c r="D40" s="307"/>
      <c r="E40" s="145">
        <v>14026204</v>
      </c>
      <c r="F40" s="145">
        <v>350</v>
      </c>
      <c r="G40" s="307"/>
    </row>
    <row r="41" spans="1:7" x14ac:dyDescent="0.2">
      <c r="A41" s="131" t="s">
        <v>5357</v>
      </c>
      <c r="B41" s="131">
        <v>2788850</v>
      </c>
      <c r="C41" s="145">
        <v>500</v>
      </c>
      <c r="D41" s="307"/>
      <c r="E41" s="145">
        <v>2911069</v>
      </c>
      <c r="F41" s="145">
        <v>400</v>
      </c>
      <c r="G41" s="307"/>
    </row>
    <row r="42" spans="1:7" x14ac:dyDescent="0.2">
      <c r="A42" s="131" t="s">
        <v>5358</v>
      </c>
      <c r="B42" s="131">
        <v>16647455</v>
      </c>
      <c r="C42" s="145">
        <v>950</v>
      </c>
      <c r="D42" s="307"/>
      <c r="E42" s="145">
        <v>14731456</v>
      </c>
      <c r="F42" s="145">
        <v>950</v>
      </c>
      <c r="G42" s="307"/>
    </row>
    <row r="43" spans="1:7" x14ac:dyDescent="0.2">
      <c r="A43" s="131" t="s">
        <v>5359</v>
      </c>
      <c r="B43" s="131">
        <v>4209353</v>
      </c>
      <c r="C43" s="145">
        <v>500</v>
      </c>
      <c r="D43" s="307"/>
      <c r="E43" s="145">
        <v>4307508</v>
      </c>
      <c r="F43" s="145">
        <v>650</v>
      </c>
      <c r="G43" s="307"/>
    </row>
    <row r="44" spans="1:7" x14ac:dyDescent="0.2">
      <c r="A44" s="131" t="s">
        <v>5360</v>
      </c>
      <c r="B44" s="131">
        <v>3134802</v>
      </c>
      <c r="C44" s="145">
        <v>750</v>
      </c>
      <c r="D44" s="307"/>
      <c r="E44" s="145">
        <v>2715971</v>
      </c>
      <c r="F44" s="145">
        <v>489</v>
      </c>
      <c r="G44" s="307"/>
    </row>
    <row r="45" spans="1:7" x14ac:dyDescent="0.2">
      <c r="A45" s="131" t="s">
        <v>5361</v>
      </c>
      <c r="B45" s="131">
        <v>963525</v>
      </c>
      <c r="C45" s="145">
        <v>486</v>
      </c>
      <c r="D45" s="307"/>
      <c r="E45" s="145">
        <v>555752</v>
      </c>
      <c r="F45" s="145">
        <v>830</v>
      </c>
      <c r="G45" s="307"/>
    </row>
    <row r="46" spans="1:7" x14ac:dyDescent="0.2">
      <c r="A46" s="131" t="s">
        <v>5362</v>
      </c>
      <c r="B46" s="131">
        <v>1799413</v>
      </c>
      <c r="C46" s="145">
        <v>605</v>
      </c>
      <c r="D46" s="307"/>
      <c r="E46" s="145">
        <v>2609568</v>
      </c>
      <c r="F46" s="145">
        <v>950</v>
      </c>
      <c r="G46" s="307"/>
    </row>
    <row r="47" spans="1:7" x14ac:dyDescent="0.2">
      <c r="A47" s="131" t="s">
        <v>5363</v>
      </c>
      <c r="B47" s="131">
        <v>1132276</v>
      </c>
      <c r="C47" s="145">
        <v>400</v>
      </c>
      <c r="D47" s="307"/>
      <c r="E47" s="145">
        <v>1376736</v>
      </c>
      <c r="F47" s="145">
        <v>450</v>
      </c>
      <c r="G47" s="307"/>
    </row>
    <row r="48" spans="1:7" x14ac:dyDescent="0.2">
      <c r="A48" s="131" t="s">
        <v>5364</v>
      </c>
      <c r="B48" s="131">
        <v>2386894</v>
      </c>
      <c r="C48" s="145">
        <v>796</v>
      </c>
      <c r="D48" s="307"/>
      <c r="E48" s="145">
        <v>3444635</v>
      </c>
      <c r="F48" s="145">
        <v>690</v>
      </c>
      <c r="G48" s="307"/>
    </row>
    <row r="49" spans="1:7" x14ac:dyDescent="0.2">
      <c r="A49" s="131" t="s">
        <v>5365</v>
      </c>
      <c r="B49" s="131">
        <v>143937</v>
      </c>
      <c r="C49" s="145">
        <v>566</v>
      </c>
      <c r="D49" s="307"/>
      <c r="E49" s="145">
        <v>100934</v>
      </c>
      <c r="F49" s="145">
        <v>674</v>
      </c>
      <c r="G49" s="307"/>
    </row>
    <row r="50" spans="1:7" x14ac:dyDescent="0.2">
      <c r="A50" s="131" t="s">
        <v>5366</v>
      </c>
      <c r="B50" s="131">
        <v>197359</v>
      </c>
      <c r="C50" s="145">
        <v>748</v>
      </c>
      <c r="D50" s="307"/>
      <c r="E50" s="145">
        <v>137708</v>
      </c>
      <c r="F50" s="145">
        <v>294</v>
      </c>
      <c r="G50" s="307"/>
    </row>
    <row r="51" spans="1:7" x14ac:dyDescent="0.2">
      <c r="A51" s="131" t="s">
        <v>5367</v>
      </c>
      <c r="B51" s="131">
        <v>341775</v>
      </c>
      <c r="C51" s="145">
        <v>162</v>
      </c>
      <c r="D51" s="307"/>
      <c r="E51" s="145">
        <v>270797</v>
      </c>
      <c r="F51" s="145">
        <v>482</v>
      </c>
      <c r="G51" s="307"/>
    </row>
    <row r="52" spans="1:7" x14ac:dyDescent="0.2">
      <c r="A52" s="131" t="s">
        <v>5368</v>
      </c>
      <c r="B52" s="131">
        <v>457356</v>
      </c>
      <c r="C52" s="145">
        <v>700</v>
      </c>
      <c r="D52" s="307"/>
      <c r="E52" s="145">
        <v>388845</v>
      </c>
      <c r="F52" s="145">
        <v>550</v>
      </c>
      <c r="G52" s="307"/>
    </row>
    <row r="53" spans="1:7" x14ac:dyDescent="0.2">
      <c r="A53" s="131" t="s">
        <v>5369</v>
      </c>
      <c r="B53" s="131">
        <v>190607</v>
      </c>
      <c r="C53" s="145">
        <v>746</v>
      </c>
      <c r="D53" s="307"/>
      <c r="E53" s="145">
        <v>114932</v>
      </c>
      <c r="F53" s="145">
        <v>958</v>
      </c>
      <c r="G53" s="307"/>
    </row>
    <row r="54" spans="1:7" x14ac:dyDescent="0.2">
      <c r="A54" s="131" t="s">
        <v>5370</v>
      </c>
      <c r="B54" s="131">
        <v>60574</v>
      </c>
      <c r="C54" s="145">
        <v>163</v>
      </c>
      <c r="D54" s="307"/>
      <c r="E54" s="145">
        <v>20396</v>
      </c>
      <c r="F54" s="145">
        <v>480</v>
      </c>
      <c r="G54" s="307"/>
    </row>
    <row r="55" spans="1:7" x14ac:dyDescent="0.2">
      <c r="A55" s="131" t="s">
        <v>3364</v>
      </c>
      <c r="B55" s="131">
        <v>2256456</v>
      </c>
      <c r="C55" s="145">
        <v>850</v>
      </c>
      <c r="D55" s="307"/>
      <c r="E55" s="145">
        <v>228427</v>
      </c>
      <c r="F55" s="145">
        <v>854</v>
      </c>
      <c r="G55" s="307"/>
    </row>
    <row r="56" spans="1:7" x14ac:dyDescent="0.2">
      <c r="A56" s="131" t="s">
        <v>1570</v>
      </c>
      <c r="B56" s="131">
        <v>14652</v>
      </c>
      <c r="C56" s="145">
        <v>500</v>
      </c>
      <c r="D56" s="307"/>
      <c r="E56" s="145">
        <v>22039</v>
      </c>
      <c r="F56" s="145">
        <v>640</v>
      </c>
      <c r="G56" s="307"/>
    </row>
    <row r="57" spans="1:7" x14ac:dyDescent="0.2">
      <c r="A57" s="131" t="s">
        <v>5291</v>
      </c>
      <c r="B57" s="131">
        <v>1062681</v>
      </c>
      <c r="C57" s="145">
        <v>600</v>
      </c>
      <c r="D57" s="307"/>
      <c r="E57" s="145">
        <v>462640</v>
      </c>
      <c r="F57" s="145"/>
      <c r="G57" s="307"/>
    </row>
    <row r="58" spans="1:7" x14ac:dyDescent="0.2">
      <c r="A58" s="131" t="s">
        <v>5371</v>
      </c>
      <c r="B58" s="131">
        <v>4080</v>
      </c>
      <c r="C58" s="145"/>
      <c r="D58" s="307"/>
      <c r="E58" s="145">
        <v>12603</v>
      </c>
      <c r="F58" s="145"/>
      <c r="G58" s="307"/>
    </row>
    <row r="59" spans="1:7" x14ac:dyDescent="0.2">
      <c r="A59" s="131" t="s">
        <v>5173</v>
      </c>
      <c r="B59" s="131">
        <v>770</v>
      </c>
      <c r="C59" s="145"/>
      <c r="D59" s="307"/>
      <c r="E59" s="145">
        <v>2379</v>
      </c>
      <c r="F59" s="145"/>
      <c r="G59" s="307"/>
    </row>
    <row r="60" spans="1:7" x14ac:dyDescent="0.2">
      <c r="A60" s="131" t="s">
        <v>5372</v>
      </c>
      <c r="B60" s="240">
        <v>60608431</v>
      </c>
      <c r="C60" s="318">
        <v>982</v>
      </c>
      <c r="D60" s="513"/>
      <c r="E60" s="318">
        <v>62748541</v>
      </c>
      <c r="F60" s="318">
        <v>271</v>
      </c>
      <c r="G60" s="513"/>
    </row>
    <row r="61" spans="1:7" x14ac:dyDescent="0.2">
      <c r="A61" s="131"/>
      <c r="B61" s="1117">
        <f>+SUM(B39:B59)</f>
        <v>60608421</v>
      </c>
      <c r="C61" s="1117">
        <f t="shared" ref="C61:G61" si="1">+SUM(C39:C59)</f>
        <v>10982</v>
      </c>
      <c r="D61" s="1117">
        <f t="shared" si="1"/>
        <v>0</v>
      </c>
      <c r="E61" s="1488">
        <f t="shared" si="1"/>
        <v>62748630</v>
      </c>
      <c r="F61" s="1117">
        <f t="shared" si="1"/>
        <v>11271</v>
      </c>
      <c r="G61" s="1117">
        <f t="shared" si="1"/>
        <v>0</v>
      </c>
    </row>
    <row r="62" spans="1:7" x14ac:dyDescent="0.2">
      <c r="A62" s="1279" t="s">
        <v>5373</v>
      </c>
      <c r="B62" s="1280"/>
      <c r="C62" s="1280"/>
      <c r="D62" s="1280"/>
      <c r="E62" s="1280"/>
      <c r="F62" s="1280"/>
      <c r="G62" s="1281"/>
    </row>
    <row r="63" spans="1:7" x14ac:dyDescent="0.2">
      <c r="A63" s="480" t="s">
        <v>5374</v>
      </c>
      <c r="B63" s="481"/>
      <c r="C63" s="481"/>
      <c r="D63" s="481"/>
      <c r="E63" s="145">
        <v>11400625</v>
      </c>
      <c r="F63" s="145">
        <v>18</v>
      </c>
      <c r="G63" s="307"/>
    </row>
    <row r="64" spans="1:7" x14ac:dyDescent="0.2">
      <c r="A64" s="514" t="s">
        <v>5375</v>
      </c>
      <c r="B64" s="515"/>
      <c r="C64" s="515"/>
      <c r="D64" s="515"/>
      <c r="E64" s="309">
        <v>9629103</v>
      </c>
      <c r="F64" s="309">
        <v>7</v>
      </c>
      <c r="G64" s="364"/>
    </row>
    <row r="65" spans="1:7" x14ac:dyDescent="0.2">
      <c r="A65" s="999" t="s">
        <v>5376</v>
      </c>
      <c r="B65" s="713"/>
      <c r="C65" s="713"/>
      <c r="D65" s="713"/>
      <c r="E65" s="713"/>
      <c r="F65" s="713"/>
      <c r="G65" s="714"/>
    </row>
    <row r="66" spans="1:7" x14ac:dyDescent="0.2">
      <c r="A66" s="1587" t="s">
        <v>5377</v>
      </c>
      <c r="B66" s="1588"/>
      <c r="C66" s="1588"/>
      <c r="D66" s="1588"/>
      <c r="E66" s="1588"/>
      <c r="F66" s="1588"/>
      <c r="G66" s="307"/>
    </row>
    <row r="67" spans="1:7" x14ac:dyDescent="0.2">
      <c r="A67" s="131" t="s">
        <v>5378</v>
      </c>
      <c r="B67" s="145"/>
      <c r="C67" s="145"/>
      <c r="D67" s="145"/>
      <c r="E67" s="145"/>
      <c r="F67" s="145"/>
      <c r="G67" s="307"/>
    </row>
    <row r="68" spans="1:7" x14ac:dyDescent="0.2">
      <c r="A68" s="131" t="s">
        <v>5379</v>
      </c>
      <c r="B68" s="145"/>
      <c r="C68" s="145"/>
      <c r="D68" s="145"/>
      <c r="E68" s="145">
        <v>146834</v>
      </c>
      <c r="F68" s="145">
        <v>85</v>
      </c>
      <c r="G68" s="307"/>
    </row>
    <row r="69" spans="1:7" x14ac:dyDescent="0.2">
      <c r="A69" s="131" t="s">
        <v>5380</v>
      </c>
      <c r="B69" s="145"/>
      <c r="C69" s="145"/>
      <c r="D69" s="145"/>
      <c r="E69" s="145"/>
      <c r="F69" s="145"/>
      <c r="G69" s="307"/>
    </row>
    <row r="70" spans="1:7" x14ac:dyDescent="0.2">
      <c r="A70" s="131" t="s">
        <v>5379</v>
      </c>
      <c r="B70" s="145"/>
      <c r="C70" s="145"/>
      <c r="D70" s="145"/>
      <c r="E70" s="145">
        <v>125293</v>
      </c>
      <c r="F70" s="145">
        <v>5</v>
      </c>
      <c r="G70" s="307"/>
    </row>
    <row r="71" spans="1:7" x14ac:dyDescent="0.2">
      <c r="A71" s="494"/>
      <c r="B71" s="495"/>
      <c r="C71" s="495"/>
      <c r="D71" s="495"/>
      <c r="E71" s="350">
        <v>272127</v>
      </c>
      <c r="F71" s="350">
        <v>90</v>
      </c>
      <c r="G71" s="717"/>
    </row>
    <row r="72" spans="1:7" ht="32.5" customHeight="1" x14ac:dyDescent="0.2">
      <c r="A72" s="1319" t="s">
        <v>5381</v>
      </c>
      <c r="B72" s="1320"/>
      <c r="C72" s="1320"/>
      <c r="D72" s="1320"/>
      <c r="E72" s="1320"/>
      <c r="F72" s="1320"/>
      <c r="G72" s="1321"/>
    </row>
    <row r="73" spans="1:7" x14ac:dyDescent="0.2">
      <c r="A73" s="480" t="s">
        <v>5382</v>
      </c>
      <c r="B73" s="481"/>
      <c r="C73" s="481"/>
      <c r="D73" s="481"/>
      <c r="E73" s="481"/>
      <c r="F73" s="481"/>
      <c r="G73" s="676"/>
    </row>
    <row r="74" spans="1:7" ht="23.5" customHeight="1" x14ac:dyDescent="0.2">
      <c r="A74" s="240"/>
      <c r="B74" s="1291" t="s">
        <v>5383</v>
      </c>
      <c r="C74" s="1292"/>
      <c r="D74" s="1293"/>
      <c r="E74" s="1292" t="s">
        <v>5384</v>
      </c>
      <c r="F74" s="1292"/>
      <c r="G74" s="1293"/>
    </row>
    <row r="75" spans="1:7" ht="16" thickBot="1" x14ac:dyDescent="0.25">
      <c r="A75" s="131" t="s">
        <v>5385</v>
      </c>
      <c r="B75" s="530">
        <v>18785</v>
      </c>
      <c r="C75" s="187"/>
      <c r="D75" s="444"/>
      <c r="E75" s="187">
        <v>63425</v>
      </c>
      <c r="F75" s="187"/>
      <c r="G75" s="444"/>
    </row>
    <row r="76" spans="1:7" x14ac:dyDescent="0.2">
      <c r="A76" s="131" t="s">
        <v>5386</v>
      </c>
      <c r="B76" s="131">
        <v>9120002</v>
      </c>
      <c r="C76" s="145"/>
      <c r="D76" s="307"/>
      <c r="E76" s="145">
        <v>20914450</v>
      </c>
      <c r="F76" s="145"/>
      <c r="G76" s="307"/>
    </row>
    <row r="77" spans="1:7" x14ac:dyDescent="0.2">
      <c r="A77" s="131" t="s">
        <v>5387</v>
      </c>
      <c r="B77" s="131">
        <v>68828185</v>
      </c>
      <c r="C77" s="145"/>
      <c r="D77" s="307"/>
      <c r="E77" s="145">
        <v>52118000</v>
      </c>
      <c r="F77" s="145"/>
      <c r="G77" s="307"/>
    </row>
    <row r="78" spans="1:7" x14ac:dyDescent="0.2">
      <c r="A78" s="131" t="s">
        <v>5388</v>
      </c>
      <c r="B78" s="131">
        <v>1653036</v>
      </c>
      <c r="C78" s="145">
        <v>500</v>
      </c>
      <c r="D78" s="307"/>
      <c r="E78" s="145">
        <v>913564</v>
      </c>
      <c r="F78" s="145"/>
      <c r="G78" s="307"/>
    </row>
    <row r="79" spans="1:7" x14ac:dyDescent="0.2">
      <c r="A79" s="131" t="s">
        <v>5389</v>
      </c>
      <c r="B79" s="131">
        <v>830862</v>
      </c>
      <c r="C79" s="145"/>
      <c r="D79" s="307"/>
      <c r="E79" s="145">
        <v>505150</v>
      </c>
      <c r="F79" s="145"/>
      <c r="G79" s="307"/>
    </row>
    <row r="80" spans="1:7" ht="16" thickBot="1" x14ac:dyDescent="0.25">
      <c r="A80" s="622" t="s">
        <v>3486</v>
      </c>
      <c r="B80" s="1589">
        <v>80432085</v>
      </c>
      <c r="C80" s="595">
        <v>500</v>
      </c>
      <c r="D80" s="596"/>
      <c r="E80" s="595">
        <v>74451164</v>
      </c>
      <c r="F80" s="595">
        <v>750</v>
      </c>
      <c r="G80" s="596"/>
    </row>
    <row r="81" spans="1:7" x14ac:dyDescent="0.2">
      <c r="A81" s="622"/>
      <c r="B81" s="1093">
        <f>+SUM(B76:B79)</f>
        <v>80432085</v>
      </c>
      <c r="C81" s="1093">
        <f t="shared" ref="C81:G81" si="2">+SUM(C76:C79)</f>
        <v>500</v>
      </c>
      <c r="D81" s="1093">
        <f t="shared" si="2"/>
        <v>0</v>
      </c>
      <c r="E81" s="1093">
        <f t="shared" si="2"/>
        <v>74451164</v>
      </c>
      <c r="F81" s="1093">
        <f t="shared" si="2"/>
        <v>0</v>
      </c>
      <c r="G81" s="1093">
        <f t="shared" si="2"/>
        <v>0</v>
      </c>
    </row>
    <row r="82" spans="1:7" x14ac:dyDescent="0.2">
      <c r="A82" s="480" t="s">
        <v>5390</v>
      </c>
      <c r="B82" s="481"/>
      <c r="C82" s="481"/>
      <c r="D82" s="481"/>
      <c r="E82" s="145">
        <v>19362290</v>
      </c>
      <c r="F82" s="145">
        <v>83</v>
      </c>
      <c r="G82" s="307"/>
    </row>
    <row r="83" spans="1:7" x14ac:dyDescent="0.2">
      <c r="A83" s="514" t="s">
        <v>5391</v>
      </c>
      <c r="B83" s="515"/>
      <c r="C83" s="515"/>
      <c r="D83" s="515"/>
      <c r="E83" s="309">
        <v>16400374</v>
      </c>
      <c r="F83" s="309">
        <v>24</v>
      </c>
      <c r="G83" s="364"/>
    </row>
    <row r="84" spans="1:7" ht="23.5" customHeight="1" x14ac:dyDescent="0.2">
      <c r="A84" s="240" t="s">
        <v>5392</v>
      </c>
      <c r="B84" s="318">
        <v>1679445</v>
      </c>
      <c r="C84" s="318"/>
      <c r="D84" s="318"/>
      <c r="E84" s="318">
        <v>1884563</v>
      </c>
      <c r="F84" s="318"/>
      <c r="G84" s="513"/>
    </row>
    <row r="85" spans="1:7" ht="24" customHeight="1" x14ac:dyDescent="0.2">
      <c r="A85" s="1287" t="s">
        <v>4459</v>
      </c>
      <c r="B85" s="1288"/>
      <c r="C85" s="1288"/>
      <c r="D85" s="1288"/>
      <c r="E85" s="1288"/>
      <c r="F85" s="1288"/>
      <c r="G85" s="1289"/>
    </row>
    <row r="86" spans="1:7" x14ac:dyDescent="0.2">
      <c r="A86" s="131" t="s">
        <v>5393</v>
      </c>
      <c r="B86" s="145"/>
      <c r="C86" s="145"/>
      <c r="D86" s="145"/>
      <c r="E86" s="145"/>
      <c r="F86" s="145"/>
      <c r="G86" s="307"/>
    </row>
    <row r="87" spans="1:7" ht="23.5" customHeight="1" x14ac:dyDescent="0.2">
      <c r="A87" s="131"/>
      <c r="B87" s="1590">
        <v>1898</v>
      </c>
      <c r="C87" s="1591"/>
      <c r="D87" s="1592"/>
      <c r="E87" s="1590">
        <v>1899</v>
      </c>
      <c r="F87" s="1591"/>
      <c r="G87" s="1592"/>
    </row>
    <row r="88" spans="1:7" x14ac:dyDescent="0.2">
      <c r="A88" s="131" t="s">
        <v>5394</v>
      </c>
      <c r="B88" s="131">
        <v>8843</v>
      </c>
      <c r="C88" s="145">
        <v>85</v>
      </c>
      <c r="D88" s="307"/>
      <c r="E88" s="131">
        <v>4879</v>
      </c>
      <c r="F88" s="145">
        <v>80</v>
      </c>
      <c r="G88" s="307"/>
    </row>
    <row r="89" spans="1:7" x14ac:dyDescent="0.2">
      <c r="A89" s="131" t="s">
        <v>3668</v>
      </c>
      <c r="B89" s="131">
        <v>5942911</v>
      </c>
      <c r="C89" s="145">
        <v>95</v>
      </c>
      <c r="D89" s="307"/>
      <c r="E89" s="131">
        <v>5252029</v>
      </c>
      <c r="F89" s="145">
        <v>75</v>
      </c>
      <c r="G89" s="307"/>
    </row>
    <row r="90" spans="1:7" x14ac:dyDescent="0.2">
      <c r="A90" s="131" t="s">
        <v>1517</v>
      </c>
      <c r="B90" s="131">
        <v>727937</v>
      </c>
      <c r="C90" s="145">
        <v>5</v>
      </c>
      <c r="D90" s="307"/>
      <c r="E90" s="131">
        <v>387454</v>
      </c>
      <c r="F90" s="145">
        <v>30</v>
      </c>
      <c r="G90" s="307"/>
    </row>
    <row r="91" spans="1:7" x14ac:dyDescent="0.2">
      <c r="A91" s="131" t="s">
        <v>4033</v>
      </c>
      <c r="B91" s="131">
        <v>2063887</v>
      </c>
      <c r="C91" s="145">
        <v>55</v>
      </c>
      <c r="D91" s="307"/>
      <c r="E91" s="131">
        <v>2777251</v>
      </c>
      <c r="F91" s="145"/>
      <c r="G91" s="307"/>
    </row>
    <row r="92" spans="1:7" x14ac:dyDescent="0.2">
      <c r="A92" s="131" t="s">
        <v>1519</v>
      </c>
      <c r="B92" s="131">
        <v>381428</v>
      </c>
      <c r="C92" s="145">
        <v>70</v>
      </c>
      <c r="D92" s="307"/>
      <c r="E92" s="131">
        <v>181756</v>
      </c>
      <c r="F92" s="145">
        <v>35</v>
      </c>
      <c r="G92" s="307"/>
    </row>
    <row r="93" spans="1:7" x14ac:dyDescent="0.2">
      <c r="A93" s="131" t="s">
        <v>4553</v>
      </c>
      <c r="B93" s="131">
        <v>15215</v>
      </c>
      <c r="C93" s="145">
        <v>30</v>
      </c>
      <c r="D93" s="307"/>
      <c r="E93" s="131">
        <v>13987</v>
      </c>
      <c r="F93" s="145">
        <v>80</v>
      </c>
      <c r="G93" s="307"/>
    </row>
    <row r="94" spans="1:7" x14ac:dyDescent="0.2">
      <c r="A94" s="131" t="s">
        <v>5104</v>
      </c>
      <c r="B94" s="131">
        <v>13081</v>
      </c>
      <c r="C94" s="145">
        <v>45</v>
      </c>
      <c r="D94" s="307"/>
      <c r="E94" s="131">
        <v>11041</v>
      </c>
      <c r="F94" s="145">
        <v>55</v>
      </c>
      <c r="G94" s="307"/>
    </row>
    <row r="95" spans="1:7" x14ac:dyDescent="0.2">
      <c r="A95" s="131" t="s">
        <v>1526</v>
      </c>
      <c r="B95" s="131">
        <v>81647</v>
      </c>
      <c r="C95" s="145">
        <v>90</v>
      </c>
      <c r="D95" s="307"/>
      <c r="E95" s="131">
        <v>68029</v>
      </c>
      <c r="F95" s="145">
        <v>85</v>
      </c>
      <c r="G95" s="307"/>
    </row>
    <row r="96" spans="1:7" x14ac:dyDescent="0.2">
      <c r="A96" s="131" t="s">
        <v>1373</v>
      </c>
      <c r="B96" s="131">
        <v>73905</v>
      </c>
      <c r="C96" s="145">
        <v>80</v>
      </c>
      <c r="D96" s="307"/>
      <c r="E96" s="131">
        <v>52807</v>
      </c>
      <c r="F96" s="145">
        <v>5</v>
      </c>
      <c r="G96" s="307"/>
    </row>
    <row r="97" spans="1:71" x14ac:dyDescent="0.2">
      <c r="A97" s="131" t="s">
        <v>1527</v>
      </c>
      <c r="B97" s="131">
        <v>162883</v>
      </c>
      <c r="C97" s="145">
        <v>60</v>
      </c>
      <c r="D97" s="307"/>
      <c r="E97" s="131">
        <v>83167</v>
      </c>
      <c r="F97" s="145">
        <v>5</v>
      </c>
      <c r="G97" s="307"/>
    </row>
    <row r="98" spans="1:71" ht="16" thickBot="1" x14ac:dyDescent="0.25">
      <c r="A98" s="794" t="s">
        <v>2764</v>
      </c>
      <c r="B98" s="1589">
        <v>9471743</v>
      </c>
      <c r="C98" s="595">
        <v>15</v>
      </c>
      <c r="D98" s="596"/>
      <c r="E98" s="1589">
        <v>8832404</v>
      </c>
      <c r="F98" s="595">
        <v>50</v>
      </c>
      <c r="G98" s="596"/>
    </row>
    <row r="99" spans="1:71" x14ac:dyDescent="0.2">
      <c r="B99" s="393">
        <f>+SUM(B88:B97)</f>
        <v>9471737</v>
      </c>
      <c r="C99" s="393">
        <f t="shared" ref="C99:G99" si="3">+SUM(C88:C97)</f>
        <v>615</v>
      </c>
      <c r="D99" s="393">
        <f t="shared" si="3"/>
        <v>0</v>
      </c>
      <c r="E99" s="393">
        <f t="shared" si="3"/>
        <v>8832400</v>
      </c>
      <c r="F99" s="393">
        <f t="shared" si="3"/>
        <v>450</v>
      </c>
      <c r="G99" s="393">
        <f t="shared" si="3"/>
        <v>0</v>
      </c>
    </row>
    <row r="102" spans="1:71" x14ac:dyDescent="0.2">
      <c r="A102" s="526" t="s">
        <v>1587</v>
      </c>
    </row>
    <row r="103" spans="1:71" ht="25.75" customHeight="1" x14ac:dyDescent="0.2">
      <c r="A103" s="1319" t="s">
        <v>5395</v>
      </c>
      <c r="B103" s="1320"/>
      <c r="C103" s="1320"/>
      <c r="D103" s="1320"/>
      <c r="E103" s="1320"/>
      <c r="F103" s="1320"/>
      <c r="G103" s="1320"/>
      <c r="H103" s="1320"/>
      <c r="I103" s="1320"/>
      <c r="J103" s="1320"/>
      <c r="K103" s="1320"/>
      <c r="L103" s="1320"/>
      <c r="M103" s="1320"/>
      <c r="N103" s="1320"/>
      <c r="O103" s="1320"/>
      <c r="P103" s="1320"/>
      <c r="Q103" s="1320"/>
      <c r="R103" s="1320"/>
      <c r="S103" s="1320"/>
      <c r="T103" s="1320"/>
      <c r="U103" s="1320"/>
      <c r="V103" s="1320"/>
      <c r="W103" s="1320"/>
      <c r="X103" s="1320"/>
      <c r="Y103" s="1320"/>
      <c r="Z103" s="1320"/>
      <c r="AA103" s="1320"/>
      <c r="AB103" s="1320"/>
      <c r="AC103" s="1320"/>
      <c r="AD103" s="1320"/>
      <c r="AE103" s="1320"/>
      <c r="AF103" s="1320"/>
      <c r="AG103" s="1320"/>
      <c r="AH103" s="1320"/>
      <c r="AI103" s="1320"/>
      <c r="AJ103" s="1320"/>
      <c r="AK103" s="1320"/>
      <c r="AL103" s="1320"/>
      <c r="AM103" s="1320"/>
      <c r="AN103" s="1320"/>
      <c r="AO103" s="1320"/>
      <c r="AP103" s="1320"/>
      <c r="AQ103" s="1320"/>
      <c r="AR103" s="1320"/>
      <c r="AS103" s="1320"/>
      <c r="AT103" s="1320"/>
      <c r="AU103" s="1320"/>
      <c r="AV103" s="1320"/>
      <c r="AW103" s="1320"/>
      <c r="AX103" s="1320"/>
      <c r="AY103" s="1320"/>
      <c r="AZ103" s="1320"/>
      <c r="BA103" s="1320"/>
      <c r="BB103" s="1320"/>
      <c r="BC103" s="1320"/>
      <c r="BD103" s="1320"/>
      <c r="BE103" s="1320"/>
      <c r="BF103" s="1320"/>
      <c r="BG103" s="1320"/>
      <c r="BH103" s="1320"/>
      <c r="BI103" s="1320"/>
      <c r="BJ103" s="1320"/>
      <c r="BK103" s="1320"/>
      <c r="BL103" s="1320"/>
      <c r="BM103" s="1320"/>
      <c r="BN103" s="1320"/>
      <c r="BO103" s="1320"/>
      <c r="BP103" s="1320"/>
      <c r="BQ103" s="1320"/>
      <c r="BR103" s="1320"/>
      <c r="BS103" s="1321"/>
    </row>
    <row r="104" spans="1:71" ht="21" customHeight="1" x14ac:dyDescent="0.2">
      <c r="A104" s="967" t="s">
        <v>1227</v>
      </c>
      <c r="B104" s="616"/>
      <c r="C104" s="617"/>
      <c r="D104" s="617"/>
      <c r="E104" s="617"/>
      <c r="F104" s="617"/>
      <c r="G104" s="617"/>
      <c r="H104" s="617"/>
      <c r="I104" s="617"/>
      <c r="J104" s="617"/>
      <c r="K104" s="617"/>
      <c r="L104" s="617"/>
      <c r="M104" s="617"/>
      <c r="N104" s="617"/>
      <c r="O104" s="617"/>
      <c r="P104" s="617"/>
      <c r="Q104" s="617"/>
      <c r="R104" s="617"/>
      <c r="S104" s="617"/>
      <c r="T104" s="617"/>
      <c r="U104" s="617"/>
      <c r="V104" s="617"/>
      <c r="W104" s="617"/>
      <c r="X104" s="617"/>
      <c r="Y104" s="617"/>
      <c r="Z104" s="617"/>
      <c r="AA104" s="617"/>
      <c r="AB104" s="617"/>
      <c r="AC104" s="617"/>
      <c r="AD104" s="617"/>
      <c r="AE104" s="617"/>
      <c r="AF104" s="617"/>
      <c r="AG104" s="617"/>
      <c r="AH104" s="617"/>
      <c r="AI104" s="617"/>
      <c r="AJ104" s="617"/>
      <c r="AK104" s="617"/>
      <c r="AL104" s="617"/>
      <c r="AM104" s="617"/>
      <c r="AN104" s="617"/>
      <c r="AO104" s="617"/>
      <c r="AP104" s="617"/>
      <c r="AQ104" s="617"/>
      <c r="AR104" s="617"/>
      <c r="AS104" s="617"/>
      <c r="AT104" s="617"/>
      <c r="AU104" s="617"/>
      <c r="AV104" s="617"/>
      <c r="AW104" s="618"/>
      <c r="AX104" s="1276" t="s">
        <v>5081</v>
      </c>
      <c r="AY104" s="1276"/>
      <c r="AZ104" s="1276" t="s">
        <v>5396</v>
      </c>
      <c r="BA104" s="1276"/>
      <c r="BB104" s="1276" t="s">
        <v>5397</v>
      </c>
      <c r="BC104" s="1276"/>
      <c r="BD104" s="1276" t="s">
        <v>5398</v>
      </c>
      <c r="BE104" s="1276"/>
      <c r="BF104" s="1276" t="s">
        <v>5399</v>
      </c>
      <c r="BG104" s="1276"/>
      <c r="BH104" s="1276" t="s">
        <v>5083</v>
      </c>
      <c r="BI104" s="1276"/>
      <c r="BJ104" s="1276" t="s">
        <v>4974</v>
      </c>
      <c r="BK104" s="1276"/>
      <c r="BL104" s="1276" t="s">
        <v>4973</v>
      </c>
      <c r="BM104" s="1276"/>
      <c r="BN104" s="1276" t="s">
        <v>4976</v>
      </c>
      <c r="BO104" s="1276"/>
      <c r="BP104" s="1276" t="s">
        <v>4977</v>
      </c>
      <c r="BQ104" s="1276"/>
      <c r="BR104" s="1276" t="s">
        <v>4978</v>
      </c>
      <c r="BS104" s="1276"/>
    </row>
    <row r="105" spans="1:71" ht="29.5" customHeight="1" x14ac:dyDescent="0.2">
      <c r="A105" s="967"/>
      <c r="B105" s="1036" t="s">
        <v>3272</v>
      </c>
      <c r="C105" s="1036"/>
      <c r="D105" s="1036" t="s">
        <v>3577</v>
      </c>
      <c r="E105" s="1036"/>
      <c r="F105" s="1036" t="s">
        <v>3578</v>
      </c>
      <c r="G105" s="1036"/>
      <c r="H105" s="1036" t="s">
        <v>3579</v>
      </c>
      <c r="I105" s="1036"/>
      <c r="J105" s="1036" t="s">
        <v>4948</v>
      </c>
      <c r="K105" s="1036"/>
      <c r="L105" s="1036" t="s">
        <v>4949</v>
      </c>
      <c r="M105" s="1036"/>
      <c r="N105" s="1036" t="s">
        <v>4310</v>
      </c>
      <c r="O105" s="1036"/>
      <c r="P105" s="1036" t="s">
        <v>4950</v>
      </c>
      <c r="Q105" s="1036"/>
      <c r="R105" s="1036" t="s">
        <v>4951</v>
      </c>
      <c r="S105" s="1036"/>
      <c r="T105" s="1036" t="s">
        <v>4952</v>
      </c>
      <c r="U105" s="1036"/>
      <c r="V105" s="1036" t="s">
        <v>4953</v>
      </c>
      <c r="W105" s="1036"/>
      <c r="X105" s="1036" t="s">
        <v>4954</v>
      </c>
      <c r="Y105" s="1036"/>
      <c r="Z105" s="1036" t="s">
        <v>4955</v>
      </c>
      <c r="AA105" s="1036"/>
      <c r="AB105" s="1036" t="s">
        <v>4956</v>
      </c>
      <c r="AC105" s="1036"/>
      <c r="AD105" s="1036" t="s">
        <v>5400</v>
      </c>
      <c r="AE105" s="1036"/>
      <c r="AF105" s="1036" t="s">
        <v>3275</v>
      </c>
      <c r="AG105" s="1036"/>
      <c r="AH105" s="1036" t="s">
        <v>5189</v>
      </c>
      <c r="AI105" s="1036"/>
      <c r="AJ105" s="1036" t="s">
        <v>5401</v>
      </c>
      <c r="AK105" s="1036"/>
      <c r="AL105" s="1036" t="s">
        <v>5402</v>
      </c>
      <c r="AM105" s="1036"/>
      <c r="AN105" s="1036" t="s">
        <v>5403</v>
      </c>
      <c r="AO105" s="1036"/>
      <c r="AP105" s="1036" t="s">
        <v>5404</v>
      </c>
      <c r="AQ105" s="1036"/>
      <c r="AR105" s="1036" t="s">
        <v>5405</v>
      </c>
      <c r="AS105" s="1036"/>
      <c r="AT105" s="1036" t="s">
        <v>5102</v>
      </c>
      <c r="AU105" s="1036"/>
      <c r="AV105" s="1036" t="s">
        <v>1170</v>
      </c>
      <c r="AW105" s="1036"/>
      <c r="AX105" s="1276"/>
      <c r="AY105" s="1276"/>
      <c r="AZ105" s="1276"/>
      <c r="BA105" s="1276"/>
      <c r="BB105" s="1276"/>
      <c r="BC105" s="1276"/>
      <c r="BD105" s="1276"/>
      <c r="BE105" s="1276"/>
      <c r="BF105" s="1276"/>
      <c r="BG105" s="1276"/>
      <c r="BH105" s="1276"/>
      <c r="BI105" s="1276"/>
      <c r="BJ105" s="1276"/>
      <c r="BK105" s="1276"/>
      <c r="BL105" s="1276"/>
      <c r="BM105" s="1276"/>
      <c r="BN105" s="1276"/>
      <c r="BO105" s="1276"/>
      <c r="BP105" s="1276"/>
      <c r="BQ105" s="1276"/>
      <c r="BR105" s="1276"/>
      <c r="BS105" s="1276"/>
    </row>
    <row r="106" spans="1:71" x14ac:dyDescent="0.2">
      <c r="A106" s="533" t="s">
        <v>1514</v>
      </c>
      <c r="B106" s="131">
        <v>86</v>
      </c>
      <c r="C106" s="307">
        <v>20</v>
      </c>
      <c r="D106" s="131">
        <v>53</v>
      </c>
      <c r="E106" s="307">
        <v>75</v>
      </c>
      <c r="F106" s="131">
        <v>1169</v>
      </c>
      <c r="G106" s="307"/>
      <c r="H106" s="131">
        <v>524</v>
      </c>
      <c r="I106" s="307">
        <v>95</v>
      </c>
      <c r="J106" s="131">
        <v>1084</v>
      </c>
      <c r="K106" s="307">
        <v>45</v>
      </c>
      <c r="L106" s="131">
        <v>539</v>
      </c>
      <c r="M106" s="307">
        <v>70</v>
      </c>
      <c r="N106" s="131">
        <v>737</v>
      </c>
      <c r="O106" s="307">
        <v>40</v>
      </c>
      <c r="P106" s="131">
        <v>683</v>
      </c>
      <c r="Q106" s="307">
        <v>50</v>
      </c>
      <c r="R106" s="131">
        <v>1752</v>
      </c>
      <c r="S106" s="307">
        <v>90</v>
      </c>
      <c r="T106" s="131">
        <v>42</v>
      </c>
      <c r="U106" s="307">
        <v>50</v>
      </c>
      <c r="V106" s="131">
        <v>42</v>
      </c>
      <c r="W106" s="307">
        <v>90</v>
      </c>
      <c r="X106" s="131">
        <v>540</v>
      </c>
      <c r="Y106" s="307">
        <v>30</v>
      </c>
      <c r="Z106" s="131">
        <v>686</v>
      </c>
      <c r="AA106" s="307"/>
      <c r="AB106" s="131">
        <v>156</v>
      </c>
      <c r="AC106" s="307">
        <v>60</v>
      </c>
      <c r="AD106" s="131">
        <v>139</v>
      </c>
      <c r="AE106" s="307">
        <v>60</v>
      </c>
      <c r="AF106" s="131">
        <v>1229</v>
      </c>
      <c r="AG106" s="307">
        <v>10</v>
      </c>
      <c r="AH106" s="131"/>
      <c r="AI106" s="307"/>
      <c r="AJ106" s="131">
        <v>1398</v>
      </c>
      <c r="AK106" s="307">
        <v>20</v>
      </c>
      <c r="AL106" s="131">
        <v>1635</v>
      </c>
      <c r="AM106" s="307">
        <v>70</v>
      </c>
      <c r="AN106" s="131"/>
      <c r="AO106" s="307"/>
      <c r="AP106" s="131"/>
      <c r="AQ106" s="307"/>
      <c r="AR106" s="131"/>
      <c r="AS106" s="307"/>
      <c r="AT106" s="131">
        <v>4356</v>
      </c>
      <c r="AU106" s="307">
        <v>85</v>
      </c>
      <c r="AV106" s="131">
        <v>8174</v>
      </c>
      <c r="AW106" s="307">
        <v>75</v>
      </c>
      <c r="AX106" s="131"/>
      <c r="AY106" s="307"/>
      <c r="AZ106" s="131">
        <v>485</v>
      </c>
      <c r="BA106" s="307">
        <v>60</v>
      </c>
      <c r="BB106" s="131"/>
      <c r="BC106" s="307"/>
      <c r="BD106" s="131">
        <v>78</v>
      </c>
      <c r="BE106" s="307">
        <v>20</v>
      </c>
      <c r="BF106" s="131"/>
      <c r="BG106" s="307"/>
      <c r="BH106" s="131"/>
      <c r="BI106" s="307"/>
      <c r="BJ106" s="131"/>
      <c r="BK106" s="307"/>
      <c r="BL106" s="131"/>
      <c r="BM106" s="307"/>
      <c r="BN106" s="131"/>
      <c r="BO106" s="307"/>
      <c r="BP106" s="131"/>
      <c r="BQ106" s="307"/>
      <c r="BR106" s="131">
        <v>8843</v>
      </c>
      <c r="BS106" s="307">
        <v>85</v>
      </c>
    </row>
    <row r="107" spans="1:71" x14ac:dyDescent="0.2">
      <c r="A107" s="533" t="s">
        <v>3668</v>
      </c>
      <c r="B107" s="131">
        <v>69256</v>
      </c>
      <c r="C107" s="307"/>
      <c r="D107" s="131">
        <v>18656</v>
      </c>
      <c r="E107" s="307">
        <v>20</v>
      </c>
      <c r="F107" s="131">
        <v>452773</v>
      </c>
      <c r="G107" s="307">
        <v>45</v>
      </c>
      <c r="H107" s="131">
        <v>217264</v>
      </c>
      <c r="I107" s="307">
        <v>30</v>
      </c>
      <c r="J107" s="131">
        <v>391716</v>
      </c>
      <c r="K107" s="307">
        <v>45</v>
      </c>
      <c r="L107" s="131">
        <v>131396</v>
      </c>
      <c r="M107" s="307">
        <v>35</v>
      </c>
      <c r="N107" s="131">
        <v>475264</v>
      </c>
      <c r="O107" s="307">
        <v>85</v>
      </c>
      <c r="P107" s="131">
        <v>451613</v>
      </c>
      <c r="Q107" s="307">
        <v>45</v>
      </c>
      <c r="R107" s="131">
        <v>899341</v>
      </c>
      <c r="S107" s="307">
        <v>50</v>
      </c>
      <c r="T107" s="131">
        <v>67992</v>
      </c>
      <c r="U107" s="307">
        <v>15</v>
      </c>
      <c r="V107" s="131">
        <v>109174</v>
      </c>
      <c r="W107" s="307"/>
      <c r="X107" s="131">
        <v>167994</v>
      </c>
      <c r="Y107" s="307">
        <v>15</v>
      </c>
      <c r="Z107" s="131">
        <v>331180</v>
      </c>
      <c r="AA107" s="307">
        <v>20</v>
      </c>
      <c r="AB107" s="131">
        <v>144149</v>
      </c>
      <c r="AC107" s="307">
        <v>70</v>
      </c>
      <c r="AD107" s="131">
        <v>49148</v>
      </c>
      <c r="AE107" s="307">
        <v>80</v>
      </c>
      <c r="AF107" s="131">
        <v>75</v>
      </c>
      <c r="AG107" s="307">
        <v>20</v>
      </c>
      <c r="AH107" s="131">
        <v>919</v>
      </c>
      <c r="AI107" s="307">
        <v>50</v>
      </c>
      <c r="AJ107" s="131">
        <v>64842</v>
      </c>
      <c r="AK107" s="307">
        <v>95</v>
      </c>
      <c r="AL107" s="131">
        <v>1155305</v>
      </c>
      <c r="AM107" s="307">
        <v>30</v>
      </c>
      <c r="AN107" s="131">
        <v>433</v>
      </c>
      <c r="AO107" s="307">
        <v>90</v>
      </c>
      <c r="AP107" s="131">
        <v>105</v>
      </c>
      <c r="AQ107" s="307">
        <v>90</v>
      </c>
      <c r="AR107" s="131"/>
      <c r="AS107" s="307"/>
      <c r="AT107" s="131"/>
      <c r="AU107" s="307"/>
      <c r="AV107" s="131">
        <v>5695801</v>
      </c>
      <c r="AW107" s="307">
        <v>25</v>
      </c>
      <c r="AX107" s="131">
        <v>176642</v>
      </c>
      <c r="AY107" s="307">
        <v>5</v>
      </c>
      <c r="AZ107" s="131">
        <v>11437</v>
      </c>
      <c r="BA107" s="307">
        <v>15</v>
      </c>
      <c r="BB107" s="131">
        <v>13535</v>
      </c>
      <c r="BC107" s="307">
        <v>25</v>
      </c>
      <c r="BD107" s="131">
        <v>42299</v>
      </c>
      <c r="BE107" s="307">
        <v>80</v>
      </c>
      <c r="BF107" s="131">
        <v>2101</v>
      </c>
      <c r="BG107" s="307">
        <v>75</v>
      </c>
      <c r="BH107" s="131">
        <v>109</v>
      </c>
      <c r="BI107" s="307">
        <v>50</v>
      </c>
      <c r="BJ107" s="131">
        <v>927</v>
      </c>
      <c r="BK107" s="307">
        <v>90</v>
      </c>
      <c r="BL107" s="131"/>
      <c r="BM107" s="307"/>
      <c r="BN107" s="131"/>
      <c r="BO107" s="307"/>
      <c r="BP107" s="131">
        <v>57</v>
      </c>
      <c r="BQ107" s="307">
        <v>30</v>
      </c>
      <c r="BR107" s="131">
        <v>5942911</v>
      </c>
      <c r="BS107" s="307">
        <v>95</v>
      </c>
    </row>
    <row r="108" spans="1:71" x14ac:dyDescent="0.2">
      <c r="A108" s="533" t="s">
        <v>5406</v>
      </c>
      <c r="B108" s="131">
        <v>3717</v>
      </c>
      <c r="C108" s="307">
        <v>40</v>
      </c>
      <c r="D108" s="131">
        <v>1183</v>
      </c>
      <c r="E108" s="307">
        <v>25</v>
      </c>
      <c r="F108" s="131">
        <v>40155</v>
      </c>
      <c r="G108" s="307">
        <v>30</v>
      </c>
      <c r="H108" s="131">
        <v>17345</v>
      </c>
      <c r="I108" s="307">
        <v>40</v>
      </c>
      <c r="J108" s="131">
        <v>50654</v>
      </c>
      <c r="K108" s="307">
        <v>80</v>
      </c>
      <c r="L108" s="131">
        <v>18873</v>
      </c>
      <c r="M108" s="307"/>
      <c r="N108" s="131">
        <v>59209</v>
      </c>
      <c r="O108" s="307"/>
      <c r="P108" s="131">
        <v>40081</v>
      </c>
      <c r="Q108" s="307">
        <v>40</v>
      </c>
      <c r="R108" s="131">
        <v>156511</v>
      </c>
      <c r="S108" s="307">
        <v>10</v>
      </c>
      <c r="T108" s="131">
        <v>11013</v>
      </c>
      <c r="U108" s="307">
        <v>10</v>
      </c>
      <c r="V108" s="131">
        <v>21233</v>
      </c>
      <c r="W108" s="307">
        <v>30</v>
      </c>
      <c r="X108" s="131">
        <v>54072</v>
      </c>
      <c r="Y108" s="307">
        <v>50</v>
      </c>
      <c r="Z108" s="131">
        <v>48430</v>
      </c>
      <c r="AA108" s="307"/>
      <c r="AB108" s="131">
        <v>39511</v>
      </c>
      <c r="AC108" s="307">
        <v>20</v>
      </c>
      <c r="AD108" s="131">
        <v>5773</v>
      </c>
      <c r="AE108" s="307">
        <v>50</v>
      </c>
      <c r="AF108" s="131">
        <v>4071</v>
      </c>
      <c r="AG108" s="307">
        <v>90</v>
      </c>
      <c r="AH108" s="131">
        <v>32</v>
      </c>
      <c r="AI108" s="307"/>
      <c r="AJ108" s="131">
        <v>96332</v>
      </c>
      <c r="AK108" s="307">
        <v>20</v>
      </c>
      <c r="AL108" s="131">
        <v>140245</v>
      </c>
      <c r="AM108" s="307">
        <v>30</v>
      </c>
      <c r="AN108" s="131"/>
      <c r="AO108" s="307"/>
      <c r="AP108" s="131"/>
      <c r="AQ108" s="307"/>
      <c r="AR108" s="131"/>
      <c r="AS108" s="307"/>
      <c r="AT108" s="131">
        <v>160273</v>
      </c>
      <c r="AU108" s="307">
        <v>5</v>
      </c>
      <c r="AV108" s="131">
        <v>657072</v>
      </c>
      <c r="AW108" s="307">
        <v>40</v>
      </c>
      <c r="AX108" s="131">
        <v>65198</v>
      </c>
      <c r="AY108" s="307">
        <v>25</v>
      </c>
      <c r="AZ108" s="131">
        <v>4147</v>
      </c>
      <c r="BA108" s="307">
        <v>15</v>
      </c>
      <c r="BB108" s="131"/>
      <c r="BC108" s="307"/>
      <c r="BD108" s="131">
        <v>485</v>
      </c>
      <c r="BE108" s="307">
        <v>40</v>
      </c>
      <c r="BF108" s="131"/>
      <c r="BG108" s="307"/>
      <c r="BH108" s="131">
        <v>10</v>
      </c>
      <c r="BI108" s="307"/>
      <c r="BJ108" s="131">
        <v>305</v>
      </c>
      <c r="BK108" s="307"/>
      <c r="BL108" s="131">
        <v>704</v>
      </c>
      <c r="BM108" s="307"/>
      <c r="BN108" s="131">
        <v>14</v>
      </c>
      <c r="BO108" s="307">
        <v>85</v>
      </c>
      <c r="BP108" s="131"/>
      <c r="BQ108" s="307"/>
      <c r="BR108" s="131">
        <v>727937</v>
      </c>
      <c r="BS108" s="307">
        <v>5</v>
      </c>
    </row>
    <row r="109" spans="1:71" x14ac:dyDescent="0.2">
      <c r="A109" s="533" t="s">
        <v>4033</v>
      </c>
      <c r="B109" s="131">
        <v>57383</v>
      </c>
      <c r="C109" s="307">
        <v>20</v>
      </c>
      <c r="D109" s="131">
        <v>6696</v>
      </c>
      <c r="E109" s="307">
        <v>50</v>
      </c>
      <c r="F109" s="131">
        <v>233508</v>
      </c>
      <c r="G109" s="307">
        <v>55</v>
      </c>
      <c r="H109" s="131">
        <v>148565</v>
      </c>
      <c r="I109" s="307">
        <v>30</v>
      </c>
      <c r="J109" s="131">
        <v>144017</v>
      </c>
      <c r="K109" s="307"/>
      <c r="L109" s="131">
        <v>57888</v>
      </c>
      <c r="M109" s="307">
        <v>30</v>
      </c>
      <c r="N109" s="131">
        <v>77724</v>
      </c>
      <c r="O109" s="307">
        <v>80</v>
      </c>
      <c r="P109" s="131">
        <v>148596</v>
      </c>
      <c r="Q109" s="307">
        <v>50</v>
      </c>
      <c r="R109" s="131">
        <v>299841</v>
      </c>
      <c r="S109" s="307">
        <v>60</v>
      </c>
      <c r="T109" s="131">
        <v>15109</v>
      </c>
      <c r="U109" s="307">
        <v>50</v>
      </c>
      <c r="V109" s="131">
        <v>26708</v>
      </c>
      <c r="W109" s="307">
        <v>80</v>
      </c>
      <c r="X109" s="131">
        <v>68902</v>
      </c>
      <c r="Y109" s="307">
        <v>90</v>
      </c>
      <c r="Z109" s="131">
        <v>68948</v>
      </c>
      <c r="AA109" s="307"/>
      <c r="AB109" s="131">
        <v>32928</v>
      </c>
      <c r="AC109" s="307">
        <v>40</v>
      </c>
      <c r="AD109" s="131">
        <v>21564</v>
      </c>
      <c r="AE109" s="307">
        <v>20</v>
      </c>
      <c r="AF109" s="131">
        <v>68</v>
      </c>
      <c r="AG109" s="307">
        <v>55</v>
      </c>
      <c r="AH109" s="131">
        <v>25724</v>
      </c>
      <c r="AI109" s="307">
        <v>60</v>
      </c>
      <c r="AJ109" s="131">
        <v>174524</v>
      </c>
      <c r="AK109" s="307">
        <v>35</v>
      </c>
      <c r="AL109" s="131">
        <v>397927</v>
      </c>
      <c r="AM109" s="307">
        <v>75</v>
      </c>
      <c r="AN109" s="131">
        <v>26</v>
      </c>
      <c r="AO109" s="307"/>
      <c r="AP109" s="131"/>
      <c r="AQ109" s="307"/>
      <c r="AR109" s="131">
        <v>2077</v>
      </c>
      <c r="AS109" s="307">
        <v>60</v>
      </c>
      <c r="AT109" s="131">
        <v>36439</v>
      </c>
      <c r="AU109" s="307">
        <v>10</v>
      </c>
      <c r="AV109" s="131">
        <v>1964412</v>
      </c>
      <c r="AW109" s="307">
        <v>60</v>
      </c>
      <c r="AX109" s="131">
        <v>53213</v>
      </c>
      <c r="AY109" s="307"/>
      <c r="AZ109" s="131">
        <v>2867</v>
      </c>
      <c r="BA109" s="307">
        <v>65</v>
      </c>
      <c r="BB109" s="131"/>
      <c r="BC109" s="307"/>
      <c r="BD109" s="131">
        <v>19730</v>
      </c>
      <c r="BE109" s="307">
        <v>10</v>
      </c>
      <c r="BF109" s="131">
        <v>8710</v>
      </c>
      <c r="BG109" s="307">
        <v>30</v>
      </c>
      <c r="BH109" s="131">
        <v>50</v>
      </c>
      <c r="BI109" s="307"/>
      <c r="BJ109" s="131"/>
      <c r="BK109" s="307"/>
      <c r="BL109" s="131">
        <v>14903</v>
      </c>
      <c r="BM109" s="307">
        <v>90</v>
      </c>
      <c r="BN109" s="131"/>
      <c r="BO109" s="307"/>
      <c r="BP109" s="131"/>
      <c r="BQ109" s="307"/>
      <c r="BR109" s="131">
        <v>2063887</v>
      </c>
      <c r="BS109" s="307">
        <v>55</v>
      </c>
    </row>
    <row r="110" spans="1:71" x14ac:dyDescent="0.2">
      <c r="A110" s="533" t="s">
        <v>5407</v>
      </c>
      <c r="B110" s="131">
        <v>2595</v>
      </c>
      <c r="C110" s="307">
        <v>65</v>
      </c>
      <c r="D110" s="131">
        <v>1562</v>
      </c>
      <c r="E110" s="307">
        <v>40</v>
      </c>
      <c r="F110" s="131">
        <v>65229</v>
      </c>
      <c r="G110" s="307">
        <v>30</v>
      </c>
      <c r="H110" s="131">
        <v>16420</v>
      </c>
      <c r="I110" s="307">
        <v>90</v>
      </c>
      <c r="J110" s="131">
        <v>25368</v>
      </c>
      <c r="K110" s="307">
        <v>80</v>
      </c>
      <c r="L110" s="131">
        <v>5830</v>
      </c>
      <c r="M110" s="307">
        <v>20</v>
      </c>
      <c r="N110" s="131">
        <v>33071</v>
      </c>
      <c r="O110" s="307">
        <v>55</v>
      </c>
      <c r="P110" s="131">
        <v>11171</v>
      </c>
      <c r="Q110" s="307">
        <v>70</v>
      </c>
      <c r="R110" s="131">
        <v>34069</v>
      </c>
      <c r="S110" s="307">
        <v>40</v>
      </c>
      <c r="T110" s="131">
        <v>2086</v>
      </c>
      <c r="U110" s="307"/>
      <c r="V110" s="131">
        <v>4562</v>
      </c>
      <c r="W110" s="307">
        <v>40</v>
      </c>
      <c r="X110" s="131">
        <v>9548</v>
      </c>
      <c r="Y110" s="307">
        <v>10</v>
      </c>
      <c r="Z110" s="131">
        <v>11457</v>
      </c>
      <c r="AA110" s="307"/>
      <c r="AB110" s="131">
        <v>10013</v>
      </c>
      <c r="AC110" s="307">
        <v>40</v>
      </c>
      <c r="AD110" s="131">
        <v>1066</v>
      </c>
      <c r="AE110" s="307">
        <v>80</v>
      </c>
      <c r="AF110" s="131">
        <v>30357</v>
      </c>
      <c r="AG110" s="307">
        <v>20</v>
      </c>
      <c r="AH110" s="131">
        <v>104</v>
      </c>
      <c r="AI110" s="307"/>
      <c r="AJ110" s="131">
        <v>46673</v>
      </c>
      <c r="AK110" s="307">
        <v>90</v>
      </c>
      <c r="AL110" s="131">
        <v>79262</v>
      </c>
      <c r="AM110" s="307">
        <v>85</v>
      </c>
      <c r="AN110" s="131"/>
      <c r="AO110" s="307"/>
      <c r="AP110" s="131"/>
      <c r="AQ110" s="307"/>
      <c r="AR110" s="131"/>
      <c r="AS110" s="307"/>
      <c r="AT110" s="131">
        <v>2542</v>
      </c>
      <c r="AU110" s="307">
        <v>25</v>
      </c>
      <c r="AV110" s="131">
        <v>377006</v>
      </c>
      <c r="AW110" s="307">
        <v>5</v>
      </c>
      <c r="AX110" s="131"/>
      <c r="AY110" s="307"/>
      <c r="AZ110" s="131">
        <v>132</v>
      </c>
      <c r="BA110" s="307">
        <v>50</v>
      </c>
      <c r="BB110" s="131"/>
      <c r="BC110" s="307"/>
      <c r="BD110" s="131"/>
      <c r="BE110" s="307"/>
      <c r="BF110" s="131"/>
      <c r="BG110" s="307"/>
      <c r="BH110" s="131"/>
      <c r="BI110" s="307"/>
      <c r="BJ110" s="131"/>
      <c r="BK110" s="307"/>
      <c r="BL110" s="131"/>
      <c r="BM110" s="307"/>
      <c r="BN110" s="131"/>
      <c r="BO110" s="307"/>
      <c r="BP110" s="131"/>
      <c r="BQ110" s="307"/>
      <c r="BR110" s="131">
        <v>381428</v>
      </c>
      <c r="BS110" s="307">
        <v>70</v>
      </c>
    </row>
    <row r="111" spans="1:71" x14ac:dyDescent="0.2">
      <c r="A111" s="533" t="s">
        <v>5408</v>
      </c>
      <c r="B111" s="131">
        <v>71</v>
      </c>
      <c r="C111" s="307">
        <v>20</v>
      </c>
      <c r="D111" s="131">
        <v>87</v>
      </c>
      <c r="E111" s="307">
        <v>85</v>
      </c>
      <c r="F111" s="131">
        <v>201</v>
      </c>
      <c r="G111" s="307">
        <v>5</v>
      </c>
      <c r="H111" s="131">
        <v>255</v>
      </c>
      <c r="I111" s="307">
        <v>35</v>
      </c>
      <c r="J111" s="131">
        <v>622</v>
      </c>
      <c r="K111" s="307"/>
      <c r="L111" s="131">
        <v>43</v>
      </c>
      <c r="M111" s="307">
        <v>35</v>
      </c>
      <c r="N111" s="131">
        <v>251</v>
      </c>
      <c r="O111" s="307">
        <v>30</v>
      </c>
      <c r="P111" s="131">
        <v>166</v>
      </c>
      <c r="Q111" s="307">
        <v>50</v>
      </c>
      <c r="R111" s="131">
        <v>195</v>
      </c>
      <c r="S111" s="307"/>
      <c r="T111" s="131">
        <v>42</v>
      </c>
      <c r="U111" s="307">
        <v>85</v>
      </c>
      <c r="V111" s="131">
        <v>8</v>
      </c>
      <c r="W111" s="307">
        <v>10</v>
      </c>
      <c r="X111" s="131">
        <v>7872</v>
      </c>
      <c r="Y111" s="307">
        <v>70</v>
      </c>
      <c r="Z111" s="131">
        <v>50</v>
      </c>
      <c r="AA111" s="307">
        <v>25</v>
      </c>
      <c r="AB111" s="131">
        <v>78</v>
      </c>
      <c r="AC111" s="307">
        <v>90</v>
      </c>
      <c r="AD111" s="131"/>
      <c r="AE111" s="307"/>
      <c r="AF111" s="131">
        <v>78</v>
      </c>
      <c r="AG111" s="307">
        <v>95</v>
      </c>
      <c r="AH111" s="131"/>
      <c r="AI111" s="307"/>
      <c r="AJ111" s="131">
        <v>2040</v>
      </c>
      <c r="AK111" s="307">
        <v>40</v>
      </c>
      <c r="AL111" s="131">
        <v>3013</v>
      </c>
      <c r="AM111" s="307">
        <v>55</v>
      </c>
      <c r="AN111" s="131"/>
      <c r="AO111" s="307"/>
      <c r="AP111" s="131"/>
      <c r="AQ111" s="307"/>
      <c r="AR111" s="131"/>
      <c r="AS111" s="307"/>
      <c r="AT111" s="131"/>
      <c r="AU111" s="307"/>
      <c r="AV111" s="131">
        <v>15079</v>
      </c>
      <c r="AW111" s="307">
        <v>25</v>
      </c>
      <c r="AX111" s="131"/>
      <c r="AY111" s="307"/>
      <c r="AZ111" s="131">
        <v>28</v>
      </c>
      <c r="BA111" s="307">
        <v>50</v>
      </c>
      <c r="BB111" s="131">
        <v>4290</v>
      </c>
      <c r="BC111" s="307">
        <v>65</v>
      </c>
      <c r="BD111" s="131"/>
      <c r="BE111" s="307"/>
      <c r="BF111" s="131"/>
      <c r="BG111" s="307"/>
      <c r="BH111" s="131"/>
      <c r="BI111" s="307"/>
      <c r="BJ111" s="131"/>
      <c r="BK111" s="307"/>
      <c r="BL111" s="131">
        <v>51</v>
      </c>
      <c r="BM111" s="307">
        <v>55</v>
      </c>
      <c r="BN111" s="131"/>
      <c r="BO111" s="307"/>
      <c r="BP111" s="131">
        <v>56</v>
      </c>
      <c r="BQ111" s="307"/>
      <c r="BR111" s="131">
        <v>15215</v>
      </c>
      <c r="BS111" s="307">
        <v>30</v>
      </c>
    </row>
    <row r="112" spans="1:71" x14ac:dyDescent="0.2">
      <c r="A112" s="533" t="s">
        <v>5409</v>
      </c>
      <c r="B112" s="131">
        <v>93</v>
      </c>
      <c r="C112" s="307">
        <v>80</v>
      </c>
      <c r="D112" s="131">
        <v>13</v>
      </c>
      <c r="E112" s="307">
        <v>5</v>
      </c>
      <c r="F112" s="131">
        <v>783</v>
      </c>
      <c r="G112" s="307">
        <v>10</v>
      </c>
      <c r="H112" s="131">
        <v>65</v>
      </c>
      <c r="I112" s="307">
        <v>30</v>
      </c>
      <c r="J112" s="131">
        <v>2038</v>
      </c>
      <c r="K112" s="307">
        <v>35</v>
      </c>
      <c r="L112" s="131">
        <v>505</v>
      </c>
      <c r="M112" s="307">
        <v>15</v>
      </c>
      <c r="N112" s="131">
        <v>809</v>
      </c>
      <c r="O112" s="307">
        <v>70</v>
      </c>
      <c r="P112" s="131">
        <v>219</v>
      </c>
      <c r="Q112" s="307">
        <v>30</v>
      </c>
      <c r="R112" s="131">
        <v>1966</v>
      </c>
      <c r="S112" s="307">
        <v>55</v>
      </c>
      <c r="T112" s="131">
        <v>88</v>
      </c>
      <c r="U112" s="307">
        <v>60</v>
      </c>
      <c r="V112" s="131">
        <v>253</v>
      </c>
      <c r="W112" s="307">
        <v>60</v>
      </c>
      <c r="X112" s="131">
        <v>1623</v>
      </c>
      <c r="Y112" s="307">
        <v>60</v>
      </c>
      <c r="Z112" s="131">
        <v>1161</v>
      </c>
      <c r="AA112" s="307">
        <v>15</v>
      </c>
      <c r="AB112" s="131">
        <v>3663</v>
      </c>
      <c r="AC112" s="307">
        <v>80</v>
      </c>
      <c r="AD112" s="131">
        <v>58</v>
      </c>
      <c r="AE112" s="307">
        <v>90</v>
      </c>
      <c r="AF112" s="131">
        <v>692</v>
      </c>
      <c r="AG112" s="307">
        <v>50</v>
      </c>
      <c r="AH112" s="131"/>
      <c r="AI112" s="307"/>
      <c r="AJ112" s="131">
        <v>3415</v>
      </c>
      <c r="AK112" s="307">
        <v>25</v>
      </c>
      <c r="AL112" s="131">
        <v>4352</v>
      </c>
      <c r="AM112" s="307">
        <v>25</v>
      </c>
      <c r="AN112" s="131"/>
      <c r="AO112" s="307"/>
      <c r="AP112" s="131"/>
      <c r="AQ112" s="307"/>
      <c r="AR112" s="131"/>
      <c r="AS112" s="307"/>
      <c r="AT112" s="131">
        <v>8731</v>
      </c>
      <c r="AU112" s="307">
        <v>80</v>
      </c>
      <c r="AV112" s="131">
        <v>13079</v>
      </c>
      <c r="AW112" s="307">
        <v>35</v>
      </c>
      <c r="AX112" s="131"/>
      <c r="AY112" s="307"/>
      <c r="AZ112" s="131">
        <v>2</v>
      </c>
      <c r="BA112" s="307">
        <v>10</v>
      </c>
      <c r="BB112" s="131"/>
      <c r="BC112" s="307"/>
      <c r="BD112" s="131"/>
      <c r="BE112" s="307"/>
      <c r="BF112" s="131"/>
      <c r="BG112" s="307"/>
      <c r="BH112" s="131"/>
      <c r="BI112" s="307"/>
      <c r="BJ112" s="131"/>
      <c r="BK112" s="307"/>
      <c r="BL112" s="131"/>
      <c r="BM112" s="307"/>
      <c r="BN112" s="131"/>
      <c r="BO112" s="307"/>
      <c r="BP112" s="131"/>
      <c r="BQ112" s="307"/>
      <c r="BR112" s="131">
        <v>13081</v>
      </c>
      <c r="BS112" s="307">
        <v>45</v>
      </c>
    </row>
    <row r="113" spans="1:71" x14ac:dyDescent="0.2">
      <c r="A113" s="533" t="s">
        <v>1526</v>
      </c>
      <c r="B113" s="131">
        <v>5365</v>
      </c>
      <c r="C113" s="307">
        <v>30</v>
      </c>
      <c r="D113" s="131">
        <v>49</v>
      </c>
      <c r="E113" s="307">
        <v>75</v>
      </c>
      <c r="F113" s="131">
        <v>8790</v>
      </c>
      <c r="G113" s="307">
        <v>80</v>
      </c>
      <c r="H113" s="131">
        <v>6071</v>
      </c>
      <c r="I113" s="307">
        <v>80</v>
      </c>
      <c r="J113" s="131">
        <v>5429</v>
      </c>
      <c r="K113" s="307">
        <v>20</v>
      </c>
      <c r="L113" s="131">
        <v>2586</v>
      </c>
      <c r="M113" s="307">
        <v>60</v>
      </c>
      <c r="N113" s="131">
        <v>10277</v>
      </c>
      <c r="O113" s="307">
        <v>60</v>
      </c>
      <c r="P113" s="131">
        <v>5326</v>
      </c>
      <c r="Q113" s="307"/>
      <c r="R113" s="131">
        <v>7983</v>
      </c>
      <c r="S113" s="307">
        <v>50</v>
      </c>
      <c r="T113" s="131">
        <v>403</v>
      </c>
      <c r="U113" s="307">
        <v>20</v>
      </c>
      <c r="V113" s="131">
        <v>310</v>
      </c>
      <c r="W113" s="307">
        <v>40</v>
      </c>
      <c r="X113" s="131">
        <v>923</v>
      </c>
      <c r="Y113" s="307">
        <v>85</v>
      </c>
      <c r="Z113" s="131">
        <v>461</v>
      </c>
      <c r="AA113" s="307">
        <v>25</v>
      </c>
      <c r="AB113" s="131">
        <v>882</v>
      </c>
      <c r="AC113" s="307">
        <v>30</v>
      </c>
      <c r="AD113" s="131"/>
      <c r="AE113" s="307"/>
      <c r="AF113" s="131"/>
      <c r="AG113" s="307"/>
      <c r="AH113" s="131"/>
      <c r="AI113" s="307"/>
      <c r="AJ113" s="131">
        <v>7397</v>
      </c>
      <c r="AK113" s="307">
        <v>50</v>
      </c>
      <c r="AL113" s="131">
        <v>15443</v>
      </c>
      <c r="AM113" s="307">
        <v>60</v>
      </c>
      <c r="AN113" s="131"/>
      <c r="AO113" s="307"/>
      <c r="AP113" s="131"/>
      <c r="AQ113" s="307"/>
      <c r="AR113" s="131"/>
      <c r="AS113" s="307"/>
      <c r="AT113" s="131">
        <v>868</v>
      </c>
      <c r="AU113" s="307">
        <v>30</v>
      </c>
      <c r="AV113" s="131">
        <v>77123</v>
      </c>
      <c r="AW113" s="307">
        <v>70</v>
      </c>
      <c r="AX113" s="131"/>
      <c r="AY113" s="307"/>
      <c r="AZ113" s="131">
        <v>89</v>
      </c>
      <c r="BA113" s="307">
        <v>95</v>
      </c>
      <c r="BB113" s="131"/>
      <c r="BC113" s="307"/>
      <c r="BD113" s="131">
        <v>1384</v>
      </c>
      <c r="BE113" s="307">
        <v>55</v>
      </c>
      <c r="BF113" s="131">
        <v>317</v>
      </c>
      <c r="BG113" s="307">
        <v>5</v>
      </c>
      <c r="BH113" s="131"/>
      <c r="BI113" s="307"/>
      <c r="BJ113" s="131"/>
      <c r="BK113" s="307"/>
      <c r="BL113" s="131">
        <v>587</v>
      </c>
      <c r="BM113" s="307">
        <v>5</v>
      </c>
      <c r="BN113" s="131"/>
      <c r="BO113" s="307"/>
      <c r="BP113" s="131">
        <v>2144</v>
      </c>
      <c r="BQ113" s="307">
        <v>90</v>
      </c>
      <c r="BR113" s="131">
        <v>81647</v>
      </c>
      <c r="BS113" s="307">
        <v>20</v>
      </c>
    </row>
    <row r="114" spans="1:71" x14ac:dyDescent="0.2">
      <c r="A114" s="533" t="s">
        <v>5410</v>
      </c>
      <c r="B114" s="131">
        <v>2506</v>
      </c>
      <c r="C114" s="307">
        <v>30</v>
      </c>
      <c r="D114" s="131">
        <v>490</v>
      </c>
      <c r="E114" s="307">
        <v>90</v>
      </c>
      <c r="F114" s="131">
        <v>8280</v>
      </c>
      <c r="G114" s="307">
        <v>15</v>
      </c>
      <c r="H114" s="131">
        <v>2308</v>
      </c>
      <c r="I114" s="307">
        <v>70</v>
      </c>
      <c r="J114" s="131">
        <v>1985</v>
      </c>
      <c r="K114" s="307">
        <v>30</v>
      </c>
      <c r="L114" s="131">
        <v>1637</v>
      </c>
      <c r="M114" s="307">
        <v>20</v>
      </c>
      <c r="N114" s="131">
        <v>3349</v>
      </c>
      <c r="O114" s="307">
        <v>90</v>
      </c>
      <c r="P114" s="131">
        <v>767</v>
      </c>
      <c r="Q114" s="307">
        <v>50</v>
      </c>
      <c r="R114" s="131">
        <v>2002</v>
      </c>
      <c r="S114" s="307">
        <v>30</v>
      </c>
      <c r="T114" s="131">
        <v>140</v>
      </c>
      <c r="U114" s="307">
        <v>70</v>
      </c>
      <c r="V114" s="131">
        <v>38</v>
      </c>
      <c r="W114" s="307">
        <v>40</v>
      </c>
      <c r="X114" s="131">
        <v>81</v>
      </c>
      <c r="Y114" s="307"/>
      <c r="Z114" s="131">
        <v>235</v>
      </c>
      <c r="AA114" s="307">
        <v>60</v>
      </c>
      <c r="AB114" s="131">
        <v>16</v>
      </c>
      <c r="AC114" s="307">
        <v>80</v>
      </c>
      <c r="AD114" s="131">
        <v>87</v>
      </c>
      <c r="AE114" s="307"/>
      <c r="AF114" s="131"/>
      <c r="AG114" s="307"/>
      <c r="AH114" s="131"/>
      <c r="AI114" s="307"/>
      <c r="AJ114" s="131">
        <v>4340</v>
      </c>
      <c r="AK114" s="307">
        <v>40</v>
      </c>
      <c r="AL114" s="131">
        <v>6992</v>
      </c>
      <c r="AM114" s="307"/>
      <c r="AN114" s="131"/>
      <c r="AO114" s="307"/>
      <c r="AP114" s="131"/>
      <c r="AQ114" s="307"/>
      <c r="AR114" s="131"/>
      <c r="AS114" s="307"/>
      <c r="AT114" s="131">
        <v>292</v>
      </c>
      <c r="AU114" s="307">
        <v>85</v>
      </c>
      <c r="AV114" s="131">
        <v>34967</v>
      </c>
      <c r="AW114" s="307">
        <v>85</v>
      </c>
      <c r="AX114" s="131">
        <v>32356</v>
      </c>
      <c r="AY114" s="307">
        <v>10</v>
      </c>
      <c r="AZ114" s="131">
        <v>72</v>
      </c>
      <c r="BA114" s="307">
        <v>5</v>
      </c>
      <c r="BB114" s="131"/>
      <c r="BC114" s="307"/>
      <c r="BD114" s="131">
        <v>802</v>
      </c>
      <c r="BE114" s="307">
        <v>40</v>
      </c>
      <c r="BF114" s="131"/>
      <c r="BG114" s="307"/>
      <c r="BH114" s="131"/>
      <c r="BI114" s="307"/>
      <c r="BJ114" s="131">
        <v>5707</v>
      </c>
      <c r="BK114" s="307">
        <v>40</v>
      </c>
      <c r="BL114" s="131"/>
      <c r="BM114" s="307"/>
      <c r="BN114" s="131"/>
      <c r="BO114" s="307"/>
      <c r="BP114" s="131"/>
      <c r="BQ114" s="307"/>
      <c r="BR114" s="131">
        <v>73905</v>
      </c>
      <c r="BS114" s="307">
        <v>80</v>
      </c>
    </row>
    <row r="115" spans="1:71" x14ac:dyDescent="0.2">
      <c r="A115" s="533" t="s">
        <v>5411</v>
      </c>
      <c r="B115" s="131">
        <v>2490</v>
      </c>
      <c r="C115" s="307">
        <v>10</v>
      </c>
      <c r="D115" s="131">
        <v>986</v>
      </c>
      <c r="E115" s="307">
        <v>5</v>
      </c>
      <c r="F115" s="131">
        <v>20452</v>
      </c>
      <c r="G115" s="307">
        <v>30</v>
      </c>
      <c r="H115" s="131">
        <v>14417</v>
      </c>
      <c r="I115" s="307">
        <v>70</v>
      </c>
      <c r="J115" s="131">
        <v>25062</v>
      </c>
      <c r="K115" s="307">
        <v>80</v>
      </c>
      <c r="L115" s="131">
        <v>5761</v>
      </c>
      <c r="M115" s="307">
        <v>80</v>
      </c>
      <c r="N115" s="131">
        <v>58860</v>
      </c>
      <c r="O115" s="307">
        <v>80</v>
      </c>
      <c r="P115" s="131">
        <v>12260</v>
      </c>
      <c r="Q115" s="307">
        <v>50</v>
      </c>
      <c r="R115" s="131">
        <v>82901</v>
      </c>
      <c r="S115" s="307">
        <v>40</v>
      </c>
      <c r="T115" s="131">
        <v>1084</v>
      </c>
      <c r="U115" s="307">
        <v>30</v>
      </c>
      <c r="V115" s="131">
        <v>2858</v>
      </c>
      <c r="W115" s="307">
        <v>40</v>
      </c>
      <c r="X115" s="131">
        <v>16135</v>
      </c>
      <c r="Y115" s="307"/>
      <c r="Z115" s="131">
        <v>12370</v>
      </c>
      <c r="AA115" s="307"/>
      <c r="AB115" s="131">
        <v>11395</v>
      </c>
      <c r="AC115" s="307">
        <v>80</v>
      </c>
      <c r="AD115" s="131"/>
      <c r="AE115" s="307"/>
      <c r="AF115" s="131">
        <v>3564</v>
      </c>
      <c r="AG115" s="307">
        <v>85</v>
      </c>
      <c r="AH115" s="131"/>
      <c r="AI115" s="307"/>
      <c r="AJ115" s="131">
        <v>2602</v>
      </c>
      <c r="AK115" s="307">
        <v>40</v>
      </c>
      <c r="AL115" s="131">
        <v>30662</v>
      </c>
      <c r="AM115" s="307">
        <v>10</v>
      </c>
      <c r="AN115" s="131"/>
      <c r="AO115" s="307"/>
      <c r="AP115" s="131">
        <v>585</v>
      </c>
      <c r="AQ115" s="307">
        <v>95</v>
      </c>
      <c r="AR115" s="131"/>
      <c r="AS115" s="307"/>
      <c r="AT115" s="131">
        <v>144275</v>
      </c>
      <c r="AU115" s="307">
        <v>75</v>
      </c>
      <c r="AV115" s="131">
        <v>160857</v>
      </c>
      <c r="AW115" s="307">
        <v>55</v>
      </c>
      <c r="AX115" s="131"/>
      <c r="AY115" s="307"/>
      <c r="AZ115" s="131">
        <v>695</v>
      </c>
      <c r="BA115" s="307">
        <v>50</v>
      </c>
      <c r="BB115" s="131"/>
      <c r="BC115" s="307"/>
      <c r="BD115" s="131">
        <v>121</v>
      </c>
      <c r="BE115" s="307">
        <v>50</v>
      </c>
      <c r="BF115" s="131"/>
      <c r="BG115" s="307"/>
      <c r="BH115" s="131"/>
      <c r="BI115" s="307"/>
      <c r="BJ115" s="131"/>
      <c r="BK115" s="307"/>
      <c r="BL115" s="131">
        <v>412</v>
      </c>
      <c r="BM115" s="307">
        <v>10</v>
      </c>
      <c r="BN115" s="131">
        <v>21</v>
      </c>
      <c r="BO115" s="307"/>
      <c r="BP115" s="131">
        <v>775</v>
      </c>
      <c r="BQ115" s="307">
        <v>95</v>
      </c>
      <c r="BR115" s="131">
        <v>162883</v>
      </c>
      <c r="BS115" s="307">
        <v>60</v>
      </c>
    </row>
    <row r="116" spans="1:71" x14ac:dyDescent="0.2">
      <c r="A116" s="785" t="s">
        <v>5412</v>
      </c>
      <c r="B116" s="240">
        <v>143565</v>
      </c>
      <c r="C116" s="513">
        <v>15</v>
      </c>
      <c r="D116" s="240">
        <v>29779</v>
      </c>
      <c r="E116" s="513">
        <v>70</v>
      </c>
      <c r="F116" s="240">
        <v>831343</v>
      </c>
      <c r="G116" s="513"/>
      <c r="H116" s="240">
        <v>423239</v>
      </c>
      <c r="I116" s="513">
        <v>70</v>
      </c>
      <c r="J116" s="240">
        <v>647969</v>
      </c>
      <c r="K116" s="513">
        <v>15</v>
      </c>
      <c r="L116" s="240">
        <v>225062</v>
      </c>
      <c r="M116" s="513">
        <v>40</v>
      </c>
      <c r="N116" s="240">
        <v>719556</v>
      </c>
      <c r="O116" s="513">
        <v>90</v>
      </c>
      <c r="P116" s="240">
        <v>670886</v>
      </c>
      <c r="Q116" s="513">
        <v>35</v>
      </c>
      <c r="R116" s="240">
        <v>1486565</v>
      </c>
      <c r="S116" s="513">
        <v>25</v>
      </c>
      <c r="T116" s="240">
        <v>98002</v>
      </c>
      <c r="U116" s="513">
        <v>90</v>
      </c>
      <c r="V116" s="240">
        <v>165263</v>
      </c>
      <c r="W116" s="513">
        <v>40</v>
      </c>
      <c r="X116" s="240">
        <v>327694</v>
      </c>
      <c r="Y116" s="513">
        <v>10</v>
      </c>
      <c r="Z116" s="240">
        <v>474979</v>
      </c>
      <c r="AA116" s="513">
        <v>45</v>
      </c>
      <c r="AB116" s="240">
        <v>242796</v>
      </c>
      <c r="AC116" s="513">
        <v>90</v>
      </c>
      <c r="AD116" s="240">
        <v>78438</v>
      </c>
      <c r="AE116" s="513">
        <v>80</v>
      </c>
      <c r="AF116" s="240">
        <v>40138</v>
      </c>
      <c r="AG116" s="513">
        <v>25</v>
      </c>
      <c r="AH116" s="240">
        <v>26780</v>
      </c>
      <c r="AI116" s="513">
        <v>10</v>
      </c>
      <c r="AJ116" s="240">
        <v>981567</v>
      </c>
      <c r="AK116" s="513">
        <v>55</v>
      </c>
      <c r="AL116" s="240">
        <v>1834840</v>
      </c>
      <c r="AM116" s="513">
        <v>40</v>
      </c>
      <c r="AN116" s="240">
        <v>460</v>
      </c>
      <c r="AO116" s="513">
        <v>29</v>
      </c>
      <c r="AP116" s="240">
        <v>691</v>
      </c>
      <c r="AQ116" s="513">
        <v>85</v>
      </c>
      <c r="AR116" s="240">
        <v>2077</v>
      </c>
      <c r="AS116" s="513">
        <v>60</v>
      </c>
      <c r="AT116" s="240">
        <v>358779</v>
      </c>
      <c r="AU116" s="513">
        <v>95</v>
      </c>
      <c r="AV116" s="240">
        <v>9003574</v>
      </c>
      <c r="AW116" s="513">
        <v>75</v>
      </c>
      <c r="AX116" s="240">
        <v>327409</v>
      </c>
      <c r="AY116" s="513">
        <v>40</v>
      </c>
      <c r="AZ116" s="240">
        <v>19958</v>
      </c>
      <c r="BA116" s="513">
        <v>15</v>
      </c>
      <c r="BB116" s="240">
        <v>17825</v>
      </c>
      <c r="BC116" s="513">
        <v>40</v>
      </c>
      <c r="BD116" s="240">
        <v>64901</v>
      </c>
      <c r="BE116" s="513">
        <v>95</v>
      </c>
      <c r="BF116" s="240">
        <v>11129</v>
      </c>
      <c r="BG116" s="513">
        <v>10</v>
      </c>
      <c r="BH116" s="240">
        <v>169</v>
      </c>
      <c r="BI116" s="513">
        <v>50</v>
      </c>
      <c r="BJ116" s="240">
        <v>6940</v>
      </c>
      <c r="BK116" s="513">
        <v>30</v>
      </c>
      <c r="BL116" s="240">
        <v>16658</v>
      </c>
      <c r="BM116" s="513">
        <v>60</v>
      </c>
      <c r="BN116" s="240">
        <v>35</v>
      </c>
      <c r="BO116" s="513">
        <v>85</v>
      </c>
      <c r="BP116" s="240">
        <v>3034</v>
      </c>
      <c r="BQ116" s="513">
        <v>15</v>
      </c>
      <c r="BR116" s="240">
        <v>9471742</v>
      </c>
      <c r="BS116" s="513">
        <v>45</v>
      </c>
    </row>
    <row r="117" spans="1:71" x14ac:dyDescent="0.2">
      <c r="A117" s="622"/>
      <c r="B117" s="1145">
        <f t="shared" ref="B117:BM117" si="4">+SUM(B106:B115)</f>
        <v>143562</v>
      </c>
      <c r="C117" s="1145">
        <f t="shared" si="4"/>
        <v>315</v>
      </c>
      <c r="D117" s="1145">
        <f t="shared" si="4"/>
        <v>29775</v>
      </c>
      <c r="E117" s="1145">
        <f t="shared" si="4"/>
        <v>470</v>
      </c>
      <c r="F117" s="1145">
        <f t="shared" si="4"/>
        <v>831340</v>
      </c>
      <c r="G117" s="1145">
        <f t="shared" si="4"/>
        <v>300</v>
      </c>
      <c r="H117" s="1145">
        <f t="shared" si="4"/>
        <v>423234</v>
      </c>
      <c r="I117" s="1145">
        <f t="shared" si="4"/>
        <v>570</v>
      </c>
      <c r="J117" s="1147">
        <f t="shared" si="4"/>
        <v>647975</v>
      </c>
      <c r="K117" s="1145">
        <f t="shared" si="4"/>
        <v>415</v>
      </c>
      <c r="L117" s="1147">
        <f t="shared" si="4"/>
        <v>225058</v>
      </c>
      <c r="M117" s="1147">
        <f t="shared" si="4"/>
        <v>365</v>
      </c>
      <c r="N117" s="1145">
        <f t="shared" si="4"/>
        <v>719551</v>
      </c>
      <c r="O117" s="1145">
        <f t="shared" si="4"/>
        <v>590</v>
      </c>
      <c r="P117" s="1145">
        <f t="shared" si="4"/>
        <v>670882</v>
      </c>
      <c r="Q117" s="1145">
        <f t="shared" si="4"/>
        <v>435</v>
      </c>
      <c r="R117" s="1145">
        <f t="shared" si="4"/>
        <v>1486561</v>
      </c>
      <c r="S117" s="1145">
        <f t="shared" si="4"/>
        <v>425</v>
      </c>
      <c r="T117" s="1145">
        <f t="shared" si="4"/>
        <v>97999</v>
      </c>
      <c r="U117" s="1145">
        <f t="shared" si="4"/>
        <v>390</v>
      </c>
      <c r="V117" s="1147">
        <f t="shared" si="4"/>
        <v>165186</v>
      </c>
      <c r="W117" s="1147">
        <f t="shared" si="4"/>
        <v>430</v>
      </c>
      <c r="X117" s="1145">
        <f t="shared" si="4"/>
        <v>327690</v>
      </c>
      <c r="Y117" s="1145">
        <f t="shared" si="4"/>
        <v>410</v>
      </c>
      <c r="Z117" s="1145">
        <f t="shared" si="4"/>
        <v>474978</v>
      </c>
      <c r="AA117" s="1145">
        <f t="shared" si="4"/>
        <v>145</v>
      </c>
      <c r="AB117" s="1145">
        <f t="shared" si="4"/>
        <v>242791</v>
      </c>
      <c r="AC117" s="1145">
        <f t="shared" si="4"/>
        <v>590</v>
      </c>
      <c r="AD117" s="1147">
        <f t="shared" si="4"/>
        <v>77835</v>
      </c>
      <c r="AE117" s="1145">
        <f t="shared" si="4"/>
        <v>380</v>
      </c>
      <c r="AF117" s="1145">
        <f t="shared" si="4"/>
        <v>40134</v>
      </c>
      <c r="AG117" s="1145">
        <f t="shared" si="4"/>
        <v>425</v>
      </c>
      <c r="AH117" s="1145">
        <f t="shared" si="4"/>
        <v>26779</v>
      </c>
      <c r="AI117" s="1145">
        <f t="shared" si="4"/>
        <v>110</v>
      </c>
      <c r="AJ117" s="1147">
        <f t="shared" si="4"/>
        <v>403563</v>
      </c>
      <c r="AK117" s="1145">
        <f t="shared" si="4"/>
        <v>455</v>
      </c>
      <c r="AL117" s="1145">
        <f t="shared" si="4"/>
        <v>1834836</v>
      </c>
      <c r="AM117" s="1145">
        <f t="shared" si="4"/>
        <v>440</v>
      </c>
      <c r="AN117" s="1147">
        <f t="shared" si="4"/>
        <v>459</v>
      </c>
      <c r="AO117" s="1147">
        <f t="shared" si="4"/>
        <v>90</v>
      </c>
      <c r="AP117" s="1145">
        <f t="shared" si="4"/>
        <v>690</v>
      </c>
      <c r="AQ117" s="1145">
        <f t="shared" si="4"/>
        <v>185</v>
      </c>
      <c r="AR117" s="1145">
        <f t="shared" si="4"/>
        <v>2077</v>
      </c>
      <c r="AS117" s="1145">
        <f t="shared" si="4"/>
        <v>60</v>
      </c>
      <c r="AT117" s="1145">
        <f t="shared" si="4"/>
        <v>357776</v>
      </c>
      <c r="AU117" s="1145">
        <f t="shared" si="4"/>
        <v>395</v>
      </c>
      <c r="AV117" s="1145">
        <f t="shared" si="4"/>
        <v>9003570</v>
      </c>
      <c r="AW117" s="1145">
        <f t="shared" si="4"/>
        <v>475</v>
      </c>
      <c r="AX117" s="1145">
        <f t="shared" si="4"/>
        <v>327409</v>
      </c>
      <c r="AY117" s="1145">
        <f t="shared" si="4"/>
        <v>40</v>
      </c>
      <c r="AZ117" s="1145">
        <f t="shared" si="4"/>
        <v>19954</v>
      </c>
      <c r="BA117" s="1145">
        <f t="shared" si="4"/>
        <v>415</v>
      </c>
      <c r="BB117" s="1145">
        <f t="shared" si="4"/>
        <v>17825</v>
      </c>
      <c r="BC117" s="1145">
        <f t="shared" si="4"/>
        <v>90</v>
      </c>
      <c r="BD117" s="1145">
        <f t="shared" si="4"/>
        <v>64899</v>
      </c>
      <c r="BE117" s="1145">
        <f t="shared" si="4"/>
        <v>295</v>
      </c>
      <c r="BF117" s="1145">
        <f t="shared" si="4"/>
        <v>11128</v>
      </c>
      <c r="BG117" s="1145">
        <f t="shared" si="4"/>
        <v>110</v>
      </c>
      <c r="BH117" s="1145">
        <f t="shared" si="4"/>
        <v>169</v>
      </c>
      <c r="BI117" s="1145">
        <f t="shared" si="4"/>
        <v>50</v>
      </c>
      <c r="BJ117" s="1145">
        <f t="shared" si="4"/>
        <v>6939</v>
      </c>
      <c r="BK117" s="1145">
        <f t="shared" si="4"/>
        <v>130</v>
      </c>
      <c r="BL117" s="1145">
        <f t="shared" si="4"/>
        <v>16657</v>
      </c>
      <c r="BM117" s="1145">
        <f t="shared" si="4"/>
        <v>160</v>
      </c>
      <c r="BN117" s="1145">
        <f t="shared" ref="BN117:BS117" si="5">+SUM(BN106:BN115)</f>
        <v>35</v>
      </c>
      <c r="BO117" s="1145">
        <f t="shared" si="5"/>
        <v>85</v>
      </c>
      <c r="BP117" s="1145">
        <f t="shared" si="5"/>
        <v>3032</v>
      </c>
      <c r="BQ117" s="1145">
        <f t="shared" si="5"/>
        <v>215</v>
      </c>
      <c r="BR117" s="1145">
        <f t="shared" si="5"/>
        <v>9471737</v>
      </c>
      <c r="BS117" s="1145">
        <f t="shared" si="5"/>
        <v>545</v>
      </c>
    </row>
    <row r="118" spans="1:71" x14ac:dyDescent="0.2">
      <c r="A118" s="1058" t="s">
        <v>5413</v>
      </c>
      <c r="B118" s="1059"/>
      <c r="C118" s="1059"/>
      <c r="D118" s="1059"/>
      <c r="E118" s="1059"/>
      <c r="F118" s="1059"/>
      <c r="G118" s="1059"/>
      <c r="H118" s="1059"/>
      <c r="I118" s="1059"/>
      <c r="J118" s="1059"/>
      <c r="K118" s="1059"/>
      <c r="L118" s="1059"/>
      <c r="M118" s="1059"/>
      <c r="N118" s="1059"/>
      <c r="O118" s="1059"/>
      <c r="P118" s="1059"/>
      <c r="Q118" s="1059"/>
      <c r="R118" s="1059"/>
      <c r="S118" s="1059"/>
      <c r="T118" s="1059"/>
      <c r="U118" s="1059"/>
      <c r="V118" s="1059"/>
      <c r="W118" s="1059"/>
      <c r="X118" s="1059"/>
      <c r="Y118" s="1059"/>
      <c r="Z118" s="1059"/>
      <c r="AA118" s="1059"/>
      <c r="AB118" s="1059"/>
      <c r="AC118" s="1059"/>
      <c r="AD118" s="1059"/>
      <c r="AE118" s="1059"/>
      <c r="AF118" s="1059"/>
      <c r="AG118" s="1059"/>
      <c r="AH118" s="1059"/>
      <c r="AI118" s="1059"/>
      <c r="AJ118" s="1059"/>
      <c r="AK118" s="1059"/>
      <c r="AL118" s="1059"/>
      <c r="AM118" s="1059"/>
      <c r="AN118" s="1059"/>
      <c r="AO118" s="1059"/>
      <c r="AP118" s="1059"/>
      <c r="AQ118" s="1059"/>
      <c r="AR118" s="1059"/>
      <c r="AS118" s="1059"/>
      <c r="AT118" s="1059"/>
      <c r="AU118" s="1059"/>
      <c r="AV118" s="1059"/>
      <c r="AW118" s="1059"/>
      <c r="AX118" s="1059"/>
      <c r="AY118" s="1059"/>
      <c r="AZ118" s="1059"/>
      <c r="BA118" s="1059"/>
      <c r="BB118" s="1059"/>
      <c r="BC118" s="1059"/>
      <c r="BD118" s="1059"/>
      <c r="BE118" s="1059"/>
      <c r="BF118" s="1059"/>
      <c r="BG118" s="1059"/>
      <c r="BH118" s="1059"/>
      <c r="BI118" s="1059"/>
      <c r="BJ118" s="1059"/>
      <c r="BK118" s="1059"/>
      <c r="BL118" s="1059"/>
      <c r="BM118" s="1059"/>
      <c r="BN118" s="1059"/>
      <c r="BO118" s="1059"/>
      <c r="BP118" s="1059"/>
      <c r="BQ118" s="1059"/>
      <c r="BR118" s="1059"/>
      <c r="BS118" s="1060"/>
    </row>
    <row r="119" spans="1:71" x14ac:dyDescent="0.2">
      <c r="A119" s="480" t="s">
        <v>5414</v>
      </c>
      <c r="B119" s="481"/>
      <c r="C119" s="481"/>
      <c r="D119" s="481"/>
      <c r="E119" s="481"/>
      <c r="F119" s="481"/>
      <c r="G119" s="481"/>
      <c r="H119" s="481"/>
      <c r="I119" s="481"/>
      <c r="J119" s="481"/>
      <c r="K119" s="481"/>
      <c r="L119" s="481"/>
      <c r="M119" s="481"/>
      <c r="N119" s="481"/>
      <c r="O119" s="481"/>
      <c r="P119" s="481"/>
      <c r="Q119" s="481"/>
      <c r="R119" s="481"/>
      <c r="S119" s="481"/>
      <c r="T119" s="481"/>
      <c r="U119" s="481"/>
      <c r="V119" s="481"/>
      <c r="W119" s="481"/>
      <c r="X119" s="481"/>
      <c r="Y119" s="481"/>
      <c r="Z119" s="481"/>
      <c r="AA119" s="481"/>
      <c r="AB119" s="481"/>
      <c r="AC119" s="481"/>
      <c r="AD119" s="481"/>
      <c r="AE119" s="481"/>
      <c r="AF119" s="481"/>
      <c r="AG119" s="481"/>
      <c r="AH119" s="481"/>
      <c r="AI119" s="481"/>
      <c r="AJ119" s="481"/>
      <c r="AK119" s="481"/>
      <c r="AL119" s="481"/>
      <c r="AM119" s="481"/>
      <c r="AN119" s="481"/>
      <c r="AO119" s="481"/>
      <c r="AP119" s="481"/>
      <c r="AQ119" s="481"/>
      <c r="AR119" s="481"/>
      <c r="AS119" s="481"/>
      <c r="AT119" s="481"/>
      <c r="AU119" s="481"/>
      <c r="AV119" s="481"/>
      <c r="AW119" s="481"/>
      <c r="AX119" s="481"/>
      <c r="AY119" s="481"/>
      <c r="AZ119" s="481"/>
      <c r="BA119" s="481"/>
      <c r="BB119" s="481"/>
      <c r="BC119" s="481"/>
      <c r="BD119" s="481"/>
      <c r="BE119" s="481"/>
      <c r="BF119" s="481"/>
      <c r="BG119" s="481"/>
      <c r="BH119" s="481"/>
      <c r="BI119" s="481"/>
      <c r="BJ119" s="481"/>
      <c r="BK119" s="481"/>
      <c r="BL119" s="481"/>
      <c r="BM119" s="481"/>
      <c r="BN119" s="481"/>
      <c r="BO119" s="481"/>
      <c r="BP119" s="481"/>
      <c r="BQ119" s="481"/>
      <c r="BR119" s="481"/>
      <c r="BS119" s="676"/>
    </row>
    <row r="120" spans="1:71" x14ac:dyDescent="0.2">
      <c r="A120" s="480" t="s">
        <v>5415</v>
      </c>
      <c r="B120" s="481"/>
      <c r="C120" s="481"/>
      <c r="D120" s="481"/>
      <c r="E120" s="481"/>
      <c r="F120" s="481"/>
      <c r="G120" s="481"/>
      <c r="H120" s="481"/>
      <c r="I120" s="481"/>
      <c r="J120" s="481"/>
      <c r="K120" s="481"/>
      <c r="L120" s="481"/>
      <c r="M120" s="481"/>
      <c r="N120" s="481"/>
      <c r="O120" s="481"/>
      <c r="P120" s="481"/>
      <c r="Q120" s="481"/>
      <c r="R120" s="481"/>
      <c r="S120" s="481"/>
      <c r="T120" s="481"/>
      <c r="U120" s="481"/>
      <c r="V120" s="481"/>
      <c r="W120" s="481"/>
      <c r="X120" s="481"/>
      <c r="Y120" s="481"/>
      <c r="Z120" s="481"/>
      <c r="AA120" s="481"/>
      <c r="AB120" s="481"/>
      <c r="AC120" s="481"/>
      <c r="AD120" s="481"/>
      <c r="AE120" s="481"/>
      <c r="AF120" s="481"/>
      <c r="AG120" s="481"/>
      <c r="AH120" s="481"/>
      <c r="AI120" s="481"/>
      <c r="AJ120" s="481"/>
      <c r="AK120" s="481"/>
      <c r="AL120" s="481"/>
      <c r="AM120" s="481"/>
      <c r="AN120" s="481"/>
      <c r="AO120" s="481"/>
      <c r="AP120" s="481"/>
      <c r="AQ120" s="481"/>
      <c r="AR120" s="481"/>
      <c r="AS120" s="481"/>
      <c r="AT120" s="481"/>
      <c r="AU120" s="481"/>
      <c r="AV120" s="481"/>
      <c r="AW120" s="481"/>
      <c r="AX120" s="481"/>
      <c r="AY120" s="481"/>
      <c r="AZ120" s="481"/>
      <c r="BA120" s="481"/>
      <c r="BB120" s="481"/>
      <c r="BC120" s="481"/>
      <c r="BD120" s="481"/>
      <c r="BE120" s="481"/>
      <c r="BF120" s="481"/>
      <c r="BG120" s="481"/>
      <c r="BH120" s="481"/>
      <c r="BI120" s="481"/>
      <c r="BJ120" s="481"/>
      <c r="BK120" s="481"/>
      <c r="BL120" s="481"/>
      <c r="BM120" s="481"/>
      <c r="BN120" s="481"/>
      <c r="BO120" s="481"/>
      <c r="BP120" s="481"/>
      <c r="BQ120" s="481"/>
      <c r="BR120" s="481"/>
      <c r="BS120" s="676"/>
    </row>
    <row r="121" spans="1:71" x14ac:dyDescent="0.2">
      <c r="A121" s="480" t="s">
        <v>5416</v>
      </c>
      <c r="B121" s="481"/>
      <c r="C121" s="481"/>
      <c r="D121" s="481"/>
      <c r="E121" s="481"/>
      <c r="F121" s="481"/>
      <c r="G121" s="481"/>
      <c r="H121" s="481"/>
      <c r="I121" s="481"/>
      <c r="J121" s="481"/>
      <c r="K121" s="481"/>
      <c r="L121" s="481"/>
      <c r="M121" s="481"/>
      <c r="N121" s="481"/>
      <c r="O121" s="481"/>
      <c r="P121" s="481"/>
      <c r="Q121" s="481"/>
      <c r="R121" s="481"/>
      <c r="S121" s="481"/>
      <c r="T121" s="481"/>
      <c r="U121" s="481"/>
      <c r="V121" s="481"/>
      <c r="W121" s="481"/>
      <c r="X121" s="481"/>
      <c r="Y121" s="481"/>
      <c r="Z121" s="481"/>
      <c r="AA121" s="481"/>
      <c r="AB121" s="481"/>
      <c r="AC121" s="481"/>
      <c r="AD121" s="481"/>
      <c r="AE121" s="481"/>
      <c r="AF121" s="481"/>
      <c r="AG121" s="481"/>
      <c r="AH121" s="481"/>
      <c r="AI121" s="481"/>
      <c r="AJ121" s="481"/>
      <c r="AK121" s="481"/>
      <c r="AL121" s="481"/>
      <c r="AM121" s="481"/>
      <c r="AN121" s="481"/>
      <c r="AO121" s="481"/>
      <c r="AP121" s="481"/>
      <c r="AQ121" s="481"/>
      <c r="AR121" s="481"/>
      <c r="AS121" s="481"/>
      <c r="AT121" s="481"/>
      <c r="AU121" s="481"/>
      <c r="AV121" s="481"/>
      <c r="AW121" s="481"/>
      <c r="AX121" s="481"/>
      <c r="AY121" s="481"/>
      <c r="AZ121" s="481"/>
      <c r="BA121" s="481"/>
      <c r="BB121" s="481"/>
      <c r="BC121" s="481"/>
      <c r="BD121" s="481"/>
      <c r="BE121" s="481"/>
      <c r="BF121" s="481"/>
      <c r="BG121" s="481"/>
      <c r="BH121" s="481"/>
      <c r="BI121" s="481"/>
      <c r="BJ121" s="481"/>
      <c r="BK121" s="481"/>
      <c r="BL121" s="481"/>
      <c r="BM121" s="481"/>
      <c r="BN121" s="481"/>
      <c r="BO121" s="481"/>
      <c r="BP121" s="481"/>
      <c r="BQ121" s="481"/>
      <c r="BR121" s="481"/>
      <c r="BS121" s="676"/>
    </row>
    <row r="122" spans="1:71" x14ac:dyDescent="0.2">
      <c r="A122" s="480" t="s">
        <v>5417</v>
      </c>
      <c r="B122" s="481"/>
      <c r="C122" s="481"/>
      <c r="D122" s="481"/>
      <c r="E122" s="481"/>
      <c r="F122" s="481"/>
      <c r="G122" s="481"/>
      <c r="H122" s="481"/>
      <c r="I122" s="481"/>
      <c r="J122" s="481"/>
      <c r="K122" s="481"/>
      <c r="L122" s="481"/>
      <c r="M122" s="481"/>
      <c r="N122" s="481"/>
      <c r="O122" s="481"/>
      <c r="P122" s="481"/>
      <c r="Q122" s="481"/>
      <c r="R122" s="481"/>
      <c r="S122" s="481"/>
      <c r="T122" s="481"/>
      <c r="U122" s="481"/>
      <c r="V122" s="481"/>
      <c r="W122" s="481"/>
      <c r="X122" s="481"/>
      <c r="Y122" s="481"/>
      <c r="Z122" s="481"/>
      <c r="AA122" s="481"/>
      <c r="AB122" s="481"/>
      <c r="AC122" s="481"/>
      <c r="AD122" s="481"/>
      <c r="AE122" s="481"/>
      <c r="AF122" s="481"/>
      <c r="AG122" s="481"/>
      <c r="AH122" s="481"/>
      <c r="AI122" s="481"/>
      <c r="AJ122" s="481"/>
      <c r="AK122" s="481"/>
      <c r="AL122" s="481"/>
      <c r="AM122" s="481"/>
      <c r="AN122" s="481"/>
      <c r="AO122" s="481"/>
      <c r="AP122" s="481"/>
      <c r="AQ122" s="481"/>
      <c r="AR122" s="481"/>
      <c r="AS122" s="481"/>
      <c r="AT122" s="481"/>
      <c r="AU122" s="481"/>
      <c r="AV122" s="481"/>
      <c r="AW122" s="481"/>
      <c r="AX122" s="481"/>
      <c r="AY122" s="481"/>
      <c r="AZ122" s="481"/>
      <c r="BA122" s="481"/>
      <c r="BB122" s="481"/>
      <c r="BC122" s="481"/>
      <c r="BD122" s="481"/>
      <c r="BE122" s="481"/>
      <c r="BF122" s="481"/>
      <c r="BG122" s="481"/>
      <c r="BH122" s="481"/>
      <c r="BI122" s="481"/>
      <c r="BJ122" s="481"/>
      <c r="BK122" s="481"/>
      <c r="BL122" s="481"/>
      <c r="BM122" s="481"/>
      <c r="BN122" s="481"/>
      <c r="BO122" s="481"/>
      <c r="BP122" s="481"/>
      <c r="BQ122" s="481"/>
      <c r="BR122" s="481"/>
      <c r="BS122" s="676"/>
    </row>
    <row r="123" spans="1:71" x14ac:dyDescent="0.2">
      <c r="A123" s="480" t="s">
        <v>5418</v>
      </c>
      <c r="B123" s="481"/>
      <c r="C123" s="481"/>
      <c r="D123" s="481"/>
      <c r="E123" s="481"/>
      <c r="F123" s="481"/>
      <c r="G123" s="481"/>
      <c r="H123" s="481"/>
      <c r="I123" s="481"/>
      <c r="J123" s="481"/>
      <c r="K123" s="481"/>
      <c r="L123" s="481"/>
      <c r="M123" s="481"/>
      <c r="N123" s="481"/>
      <c r="O123" s="481"/>
      <c r="P123" s="481"/>
      <c r="Q123" s="481"/>
      <c r="R123" s="481"/>
      <c r="S123" s="481"/>
      <c r="T123" s="481"/>
      <c r="U123" s="481"/>
      <c r="V123" s="481"/>
      <c r="W123" s="481"/>
      <c r="X123" s="481"/>
      <c r="Y123" s="481"/>
      <c r="Z123" s="481"/>
      <c r="AA123" s="481"/>
      <c r="AB123" s="481"/>
      <c r="AC123" s="481"/>
      <c r="AD123" s="481"/>
      <c r="AE123" s="481"/>
      <c r="AF123" s="481"/>
      <c r="AG123" s="481"/>
      <c r="AH123" s="481"/>
      <c r="AI123" s="481"/>
      <c r="AJ123" s="481"/>
      <c r="AK123" s="481"/>
      <c r="AL123" s="481"/>
      <c r="AM123" s="481"/>
      <c r="AN123" s="481"/>
      <c r="AO123" s="481"/>
      <c r="AP123" s="481"/>
      <c r="AQ123" s="481"/>
      <c r="AR123" s="481"/>
      <c r="AS123" s="481"/>
      <c r="AT123" s="481"/>
      <c r="AU123" s="481"/>
      <c r="AV123" s="481"/>
      <c r="AW123" s="481"/>
      <c r="AX123" s="481"/>
      <c r="AY123" s="481"/>
      <c r="AZ123" s="481"/>
      <c r="BA123" s="481"/>
      <c r="BB123" s="481"/>
      <c r="BC123" s="481"/>
      <c r="BD123" s="481"/>
      <c r="BE123" s="481"/>
      <c r="BF123" s="481"/>
      <c r="BG123" s="481"/>
      <c r="BH123" s="481"/>
      <c r="BI123" s="481"/>
      <c r="BJ123" s="481"/>
      <c r="BK123" s="481"/>
      <c r="BL123" s="481"/>
      <c r="BM123" s="481"/>
      <c r="BN123" s="481"/>
      <c r="BO123" s="481"/>
      <c r="BP123" s="481"/>
      <c r="BQ123" s="481"/>
      <c r="BR123" s="481"/>
      <c r="BS123" s="676"/>
    </row>
    <row r="124" spans="1:71" x14ac:dyDescent="0.2">
      <c r="A124" s="514" t="s">
        <v>5419</v>
      </c>
      <c r="B124" s="515"/>
      <c r="C124" s="515"/>
      <c r="D124" s="515"/>
      <c r="E124" s="515"/>
      <c r="F124" s="515"/>
      <c r="G124" s="515"/>
      <c r="H124" s="515"/>
      <c r="I124" s="515"/>
      <c r="J124" s="515"/>
      <c r="K124" s="515"/>
      <c r="L124" s="515"/>
      <c r="M124" s="515"/>
      <c r="N124" s="515"/>
      <c r="O124" s="515"/>
      <c r="P124" s="515"/>
      <c r="Q124" s="515"/>
      <c r="R124" s="515"/>
      <c r="S124" s="515"/>
      <c r="T124" s="515"/>
      <c r="U124" s="515"/>
      <c r="V124" s="515"/>
      <c r="W124" s="515"/>
      <c r="X124" s="515"/>
      <c r="Y124" s="515"/>
      <c r="Z124" s="515"/>
      <c r="AA124" s="515"/>
      <c r="AB124" s="515"/>
      <c r="AC124" s="515"/>
      <c r="AD124" s="515"/>
      <c r="AE124" s="515"/>
      <c r="AF124" s="515"/>
      <c r="AG124" s="515"/>
      <c r="AH124" s="515"/>
      <c r="AI124" s="515"/>
      <c r="AJ124" s="515"/>
      <c r="AK124" s="515"/>
      <c r="AL124" s="515"/>
      <c r="AM124" s="515"/>
      <c r="AN124" s="515"/>
      <c r="AO124" s="515"/>
      <c r="AP124" s="515"/>
      <c r="AQ124" s="515"/>
      <c r="AR124" s="515"/>
      <c r="AS124" s="515"/>
      <c r="AT124" s="515"/>
      <c r="AU124" s="515"/>
      <c r="AV124" s="515"/>
      <c r="AW124" s="515"/>
      <c r="AX124" s="515"/>
      <c r="AY124" s="515"/>
      <c r="AZ124" s="515"/>
      <c r="BA124" s="515"/>
      <c r="BB124" s="515"/>
      <c r="BC124" s="515"/>
      <c r="BD124" s="515"/>
      <c r="BE124" s="515"/>
      <c r="BF124" s="515"/>
      <c r="BG124" s="515"/>
      <c r="BH124" s="515"/>
      <c r="BI124" s="515"/>
      <c r="BJ124" s="515"/>
      <c r="BK124" s="515"/>
      <c r="BL124" s="515"/>
      <c r="BM124" s="515"/>
      <c r="BN124" s="515"/>
      <c r="BO124" s="515"/>
      <c r="BP124" s="515"/>
      <c r="BQ124" s="515"/>
      <c r="BR124" s="515"/>
      <c r="BS124" s="1029"/>
    </row>
    <row r="128" spans="1:71" x14ac:dyDescent="0.2">
      <c r="A128" s="526" t="s">
        <v>2602</v>
      </c>
    </row>
    <row r="129" spans="1:43" ht="37.75" customHeight="1" x14ac:dyDescent="0.2">
      <c r="A129" s="1287" t="s">
        <v>5420</v>
      </c>
      <c r="B129" s="1288"/>
      <c r="C129" s="1288"/>
      <c r="D129" s="1288"/>
      <c r="E129" s="1288"/>
      <c r="F129" s="1288"/>
      <c r="G129" s="1288"/>
      <c r="H129" s="1288"/>
      <c r="I129" s="1288"/>
      <c r="J129" s="1288"/>
      <c r="K129" s="1288"/>
      <c r="L129" s="1288"/>
      <c r="M129" s="1288"/>
      <c r="N129" s="1288"/>
      <c r="O129" s="1288"/>
      <c r="P129" s="1288"/>
      <c r="Q129" s="1288"/>
      <c r="R129" s="1288"/>
      <c r="S129" s="1288"/>
      <c r="T129" s="1288"/>
      <c r="U129" s="1288"/>
      <c r="V129" s="1288"/>
      <c r="W129" s="1288"/>
      <c r="X129" s="1288"/>
      <c r="Y129" s="1288"/>
      <c r="Z129" s="1288"/>
      <c r="AA129" s="1288"/>
      <c r="AB129" s="1288"/>
      <c r="AC129" s="1288"/>
      <c r="AD129" s="1288"/>
      <c r="AE129" s="1288"/>
      <c r="AF129" s="1288"/>
      <c r="AG129" s="1288"/>
      <c r="AH129" s="1288"/>
      <c r="AI129" s="1288"/>
      <c r="AJ129" s="1288"/>
      <c r="AK129" s="1288"/>
      <c r="AL129" s="1288"/>
      <c r="AM129" s="1288"/>
      <c r="AN129" s="1288"/>
      <c r="AO129" s="1288"/>
      <c r="AP129" s="1289"/>
      <c r="AQ129" s="1235"/>
    </row>
    <row r="130" spans="1:43" x14ac:dyDescent="0.2">
      <c r="A130" s="616" t="s">
        <v>5353</v>
      </c>
      <c r="B130" s="617"/>
      <c r="C130" s="617"/>
      <c r="D130" s="617"/>
      <c r="E130" s="617"/>
      <c r="F130" s="617"/>
      <c r="G130" s="617"/>
      <c r="H130" s="617"/>
      <c r="I130" s="617"/>
      <c r="J130" s="617"/>
      <c r="K130" s="617"/>
      <c r="L130" s="617"/>
      <c r="M130" s="617"/>
      <c r="N130" s="617"/>
      <c r="O130" s="617"/>
      <c r="P130" s="617"/>
      <c r="Q130" s="617"/>
      <c r="R130" s="617"/>
      <c r="S130" s="617"/>
      <c r="T130" s="617"/>
      <c r="U130" s="617"/>
      <c r="V130" s="617"/>
      <c r="W130" s="617"/>
      <c r="X130" s="617"/>
      <c r="Y130" s="617"/>
      <c r="Z130" s="617"/>
      <c r="AA130" s="617"/>
      <c r="AB130" s="617"/>
      <c r="AC130" s="617"/>
      <c r="AD130" s="617"/>
      <c r="AE130" s="617"/>
      <c r="AF130" s="617"/>
      <c r="AG130" s="617"/>
      <c r="AH130" s="617"/>
      <c r="AI130" s="617"/>
      <c r="AJ130" s="617"/>
      <c r="AK130" s="617"/>
      <c r="AL130" s="617"/>
      <c r="AM130" s="617"/>
      <c r="AN130" s="617"/>
      <c r="AO130" s="617"/>
      <c r="AP130" s="618"/>
      <c r="AQ130" s="1235"/>
    </row>
    <row r="131" spans="1:43" x14ac:dyDescent="0.2">
      <c r="A131" s="838" t="s">
        <v>4713</v>
      </c>
      <c r="B131" s="618" t="s">
        <v>4056</v>
      </c>
      <c r="C131" s="793"/>
      <c r="D131" s="793"/>
      <c r="E131" s="793"/>
      <c r="F131" s="793"/>
      <c r="G131" s="793"/>
      <c r="H131" s="793"/>
      <c r="I131" s="793"/>
      <c r="J131" s="793"/>
      <c r="K131" s="793"/>
      <c r="L131" s="793"/>
      <c r="M131" s="793"/>
      <c r="N131" s="793" t="s">
        <v>3394</v>
      </c>
      <c r="O131" s="793"/>
      <c r="P131" s="616" t="s">
        <v>4057</v>
      </c>
      <c r="Q131" s="617"/>
      <c r="R131" s="617"/>
      <c r="S131" s="617"/>
      <c r="T131" s="617"/>
      <c r="U131" s="617"/>
      <c r="V131" s="617"/>
      <c r="W131" s="617"/>
      <c r="X131" s="617"/>
      <c r="Y131" s="617"/>
      <c r="Z131" s="617"/>
      <c r="AA131" s="617"/>
      <c r="AB131" s="617"/>
      <c r="AC131" s="617"/>
      <c r="AD131" s="617"/>
      <c r="AE131" s="617"/>
      <c r="AF131" s="617"/>
      <c r="AG131" s="617"/>
      <c r="AH131" s="617"/>
      <c r="AI131" s="617"/>
      <c r="AJ131" s="617"/>
      <c r="AK131" s="617"/>
      <c r="AL131" s="618"/>
      <c r="AM131" s="793" t="s">
        <v>4787</v>
      </c>
      <c r="AN131" s="793"/>
      <c r="AO131" s="793"/>
      <c r="AP131" s="793"/>
    </row>
    <row r="132" spans="1:43" x14ac:dyDescent="0.2">
      <c r="A132" s="838"/>
      <c r="B132" s="618" t="s">
        <v>4058</v>
      </c>
      <c r="C132" s="793"/>
      <c r="D132" s="793"/>
      <c r="E132" s="793"/>
      <c r="F132" s="793"/>
      <c r="G132" s="793"/>
      <c r="H132" s="793" t="s">
        <v>4059</v>
      </c>
      <c r="I132" s="793"/>
      <c r="J132" s="793"/>
      <c r="K132" s="793"/>
      <c r="L132" s="793"/>
      <c r="M132" s="793"/>
      <c r="N132" s="838" t="s">
        <v>3400</v>
      </c>
      <c r="O132" s="838" t="s">
        <v>4981</v>
      </c>
      <c r="P132" s="616" t="s">
        <v>4062</v>
      </c>
      <c r="Q132" s="617"/>
      <c r="R132" s="617"/>
      <c r="S132" s="617"/>
      <c r="T132" s="617"/>
      <c r="U132" s="617"/>
      <c r="V132" s="617"/>
      <c r="W132" s="617"/>
      <c r="X132" s="617"/>
      <c r="Y132" s="617"/>
      <c r="Z132" s="617"/>
      <c r="AA132" s="617"/>
      <c r="AB132" s="617"/>
      <c r="AC132" s="617"/>
      <c r="AD132" s="617"/>
      <c r="AE132" s="617"/>
      <c r="AF132" s="618"/>
      <c r="AG132" s="616" t="s">
        <v>4791</v>
      </c>
      <c r="AH132" s="617"/>
      <c r="AI132" s="617"/>
      <c r="AJ132" s="617"/>
      <c r="AK132" s="617"/>
      <c r="AL132" s="618"/>
      <c r="AM132" s="838" t="s">
        <v>4848</v>
      </c>
      <c r="AN132" s="838"/>
      <c r="AO132" s="838" t="s">
        <v>4850</v>
      </c>
      <c r="AP132" s="838"/>
    </row>
    <row r="133" spans="1:43" ht="27.5" customHeight="1" x14ac:dyDescent="0.2">
      <c r="A133" s="838"/>
      <c r="B133" s="618" t="s">
        <v>4604</v>
      </c>
      <c r="C133" s="793"/>
      <c r="D133" s="793"/>
      <c r="E133" s="793" t="s">
        <v>4982</v>
      </c>
      <c r="F133" s="793"/>
      <c r="G133" s="793"/>
      <c r="H133" s="793" t="s">
        <v>4604</v>
      </c>
      <c r="I133" s="793"/>
      <c r="J133" s="793"/>
      <c r="K133" s="793" t="s">
        <v>4982</v>
      </c>
      <c r="L133" s="793"/>
      <c r="M133" s="793"/>
      <c r="N133" s="838"/>
      <c r="O133" s="838"/>
      <c r="P133" s="1593" t="s">
        <v>3271</v>
      </c>
      <c r="Q133" s="1593" t="s">
        <v>3272</v>
      </c>
      <c r="R133" s="1593" t="s">
        <v>3577</v>
      </c>
      <c r="S133" s="1593" t="s">
        <v>3578</v>
      </c>
      <c r="T133" s="1593" t="s">
        <v>3579</v>
      </c>
      <c r="U133" s="1593" t="s">
        <v>4948</v>
      </c>
      <c r="V133" s="1593" t="s">
        <v>4949</v>
      </c>
      <c r="W133" s="1593" t="s">
        <v>4310</v>
      </c>
      <c r="X133" s="1593" t="s">
        <v>4950</v>
      </c>
      <c r="Y133" s="1593" t="s">
        <v>4951</v>
      </c>
      <c r="Z133" s="1593" t="s">
        <v>4952</v>
      </c>
      <c r="AA133" s="1593" t="s">
        <v>4953</v>
      </c>
      <c r="AB133" s="1593" t="s">
        <v>4954</v>
      </c>
      <c r="AC133" s="1593" t="s">
        <v>4955</v>
      </c>
      <c r="AD133" s="1593" t="s">
        <v>4956</v>
      </c>
      <c r="AE133" s="1593" t="s">
        <v>5100</v>
      </c>
      <c r="AF133" s="1593" t="s">
        <v>1170</v>
      </c>
      <c r="AG133" s="1594" t="s">
        <v>5421</v>
      </c>
      <c r="AH133" s="1267" t="s">
        <v>5422</v>
      </c>
      <c r="AI133" s="1267"/>
      <c r="AJ133" s="1595" t="s">
        <v>5423</v>
      </c>
      <c r="AK133" s="1268" t="s">
        <v>1170</v>
      </c>
      <c r="AL133" s="1267"/>
      <c r="AM133" s="838"/>
      <c r="AN133" s="838"/>
      <c r="AO133" s="838"/>
      <c r="AP133" s="838"/>
    </row>
    <row r="134" spans="1:43" x14ac:dyDescent="0.2">
      <c r="A134" s="838"/>
      <c r="B134" s="808" t="s">
        <v>3407</v>
      </c>
      <c r="C134" s="618" t="s">
        <v>1636</v>
      </c>
      <c r="D134" s="793"/>
      <c r="E134" s="808" t="s">
        <v>3407</v>
      </c>
      <c r="F134" s="618" t="s">
        <v>1636</v>
      </c>
      <c r="G134" s="793"/>
      <c r="H134" s="808" t="s">
        <v>3407</v>
      </c>
      <c r="I134" s="618" t="s">
        <v>1636</v>
      </c>
      <c r="J134" s="793"/>
      <c r="K134" s="808" t="s">
        <v>3407</v>
      </c>
      <c r="L134" s="618" t="s">
        <v>1636</v>
      </c>
      <c r="M134" s="793"/>
      <c r="N134" s="808" t="s">
        <v>3407</v>
      </c>
      <c r="O134" s="808" t="s">
        <v>3407</v>
      </c>
      <c r="P134" s="1593" t="s">
        <v>3327</v>
      </c>
      <c r="Q134" s="1593" t="s">
        <v>3327</v>
      </c>
      <c r="R134" s="1593" t="s">
        <v>3327</v>
      </c>
      <c r="S134" s="1593" t="s">
        <v>3327</v>
      </c>
      <c r="T134" s="1593" t="s">
        <v>3327</v>
      </c>
      <c r="U134" s="1593" t="s">
        <v>3327</v>
      </c>
      <c r="V134" s="1593" t="s">
        <v>3327</v>
      </c>
      <c r="W134" s="1593" t="s">
        <v>3327</v>
      </c>
      <c r="X134" s="1593" t="s">
        <v>3327</v>
      </c>
      <c r="Y134" s="1593" t="s">
        <v>3327</v>
      </c>
      <c r="Z134" s="1593" t="s">
        <v>3327</v>
      </c>
      <c r="AA134" s="1593" t="s">
        <v>3327</v>
      </c>
      <c r="AB134" s="1593" t="s">
        <v>3327</v>
      </c>
      <c r="AC134" s="1593" t="s">
        <v>3327</v>
      </c>
      <c r="AD134" s="1593" t="s">
        <v>3327</v>
      </c>
      <c r="AE134" s="1593" t="s">
        <v>3327</v>
      </c>
      <c r="AF134" s="1593" t="s">
        <v>3327</v>
      </c>
      <c r="AG134" s="1594" t="s">
        <v>3327</v>
      </c>
      <c r="AH134" s="1038" t="s">
        <v>3327</v>
      </c>
      <c r="AI134" s="1038" t="s">
        <v>4806</v>
      </c>
      <c r="AJ134" s="1041" t="s">
        <v>3327</v>
      </c>
      <c r="AK134" s="1596" t="s">
        <v>3327</v>
      </c>
      <c r="AL134" s="1041" t="s">
        <v>4806</v>
      </c>
      <c r="AM134" s="1038" t="s">
        <v>2764</v>
      </c>
      <c r="AN134" s="1038" t="s">
        <v>5195</v>
      </c>
      <c r="AO134" s="1041" t="s">
        <v>2764</v>
      </c>
      <c r="AP134" s="1041" t="s">
        <v>5195</v>
      </c>
    </row>
    <row r="135" spans="1:43" x14ac:dyDescent="0.2">
      <c r="A135" s="533" t="s">
        <v>4737</v>
      </c>
      <c r="B135" s="716">
        <v>1</v>
      </c>
      <c r="C135" s="350">
        <v>35</v>
      </c>
      <c r="D135" s="352"/>
      <c r="E135" s="533">
        <v>9</v>
      </c>
      <c r="F135" s="145">
        <v>3803</v>
      </c>
      <c r="G135" s="145"/>
      <c r="H135" s="716">
        <v>2</v>
      </c>
      <c r="I135" s="350">
        <v>509</v>
      </c>
      <c r="J135" s="352"/>
      <c r="K135" s="533">
        <v>10</v>
      </c>
      <c r="L135" s="145">
        <v>3828</v>
      </c>
      <c r="M135" s="145"/>
      <c r="N135" s="716">
        <v>3051</v>
      </c>
      <c r="O135" s="145">
        <v>1423</v>
      </c>
      <c r="P135" s="716">
        <v>19472</v>
      </c>
      <c r="Q135" s="716">
        <v>28480</v>
      </c>
      <c r="R135" s="716">
        <v>12738</v>
      </c>
      <c r="S135" s="716">
        <v>50132</v>
      </c>
      <c r="T135" s="716">
        <v>10271</v>
      </c>
      <c r="U135" s="716">
        <v>17694</v>
      </c>
      <c r="V135" s="716">
        <v>1420</v>
      </c>
      <c r="W135" s="716">
        <v>12089</v>
      </c>
      <c r="X135" s="716">
        <v>1791</v>
      </c>
      <c r="Y135" s="716">
        <v>15003</v>
      </c>
      <c r="Z135" s="716">
        <v>56</v>
      </c>
      <c r="AA135" s="716">
        <v>1058</v>
      </c>
      <c r="AB135" s="716">
        <v>2058</v>
      </c>
      <c r="AC135" s="716">
        <v>1147</v>
      </c>
      <c r="AD135" s="716">
        <v>7019</v>
      </c>
      <c r="AE135" s="716"/>
      <c r="AF135" s="716">
        <v>174428</v>
      </c>
      <c r="AG135" s="145">
        <v>2585</v>
      </c>
      <c r="AH135" s="349">
        <v>44</v>
      </c>
      <c r="AI135" s="717"/>
      <c r="AJ135" s="533">
        <v>576362</v>
      </c>
      <c r="AK135" s="145">
        <v>578991</v>
      </c>
      <c r="AL135" s="145"/>
      <c r="AM135" s="349">
        <v>41088</v>
      </c>
      <c r="AN135" s="717"/>
      <c r="AO135" s="145">
        <v>66449</v>
      </c>
      <c r="AP135" s="307"/>
    </row>
    <row r="136" spans="1:43" x14ac:dyDescent="0.2">
      <c r="A136" s="533" t="s">
        <v>4738</v>
      </c>
      <c r="B136" s="533">
        <v>3</v>
      </c>
      <c r="C136" s="145">
        <v>75</v>
      </c>
      <c r="D136" s="133"/>
      <c r="E136" s="533">
        <v>7</v>
      </c>
      <c r="F136" s="145">
        <v>2624</v>
      </c>
      <c r="G136" s="145"/>
      <c r="H136" s="533">
        <v>3</v>
      </c>
      <c r="I136" s="145">
        <v>75</v>
      </c>
      <c r="J136" s="133"/>
      <c r="K136" s="533">
        <v>9</v>
      </c>
      <c r="L136" s="145">
        <v>2689</v>
      </c>
      <c r="M136" s="145"/>
      <c r="N136" s="533">
        <v>32174</v>
      </c>
      <c r="O136" s="145">
        <v>486</v>
      </c>
      <c r="P136" s="533">
        <v>18125</v>
      </c>
      <c r="Q136" s="533">
        <v>1587</v>
      </c>
      <c r="R136" s="533">
        <v>121</v>
      </c>
      <c r="S136" s="533">
        <v>13558</v>
      </c>
      <c r="T136" s="533">
        <v>2758</v>
      </c>
      <c r="U136" s="533">
        <v>5078</v>
      </c>
      <c r="V136" s="533">
        <v>870</v>
      </c>
      <c r="W136" s="533">
        <v>5407</v>
      </c>
      <c r="X136" s="533">
        <v>1781</v>
      </c>
      <c r="Y136" s="533">
        <v>5201</v>
      </c>
      <c r="Z136" s="533">
        <v>41</v>
      </c>
      <c r="AA136" s="533">
        <v>88</v>
      </c>
      <c r="AB136" s="533">
        <v>1214</v>
      </c>
      <c r="AC136" s="533">
        <v>344</v>
      </c>
      <c r="AD136" s="533">
        <v>557</v>
      </c>
      <c r="AE136" s="533">
        <v>38921</v>
      </c>
      <c r="AF136" s="533">
        <v>95751</v>
      </c>
      <c r="AG136" s="145">
        <v>1125</v>
      </c>
      <c r="AH136" s="131">
        <v>17</v>
      </c>
      <c r="AI136" s="307"/>
      <c r="AJ136" s="533">
        <v>29286</v>
      </c>
      <c r="AK136" s="145">
        <v>30428</v>
      </c>
      <c r="AL136" s="145"/>
      <c r="AM136" s="131">
        <v>27623</v>
      </c>
      <c r="AN136" s="307"/>
      <c r="AO136" s="145">
        <v>19318</v>
      </c>
      <c r="AP136" s="307"/>
    </row>
    <row r="137" spans="1:43" x14ac:dyDescent="0.2">
      <c r="A137" s="533" t="s">
        <v>4739</v>
      </c>
      <c r="B137" s="533">
        <v>4</v>
      </c>
      <c r="C137" s="145">
        <v>16</v>
      </c>
      <c r="D137" s="133"/>
      <c r="E137" s="533">
        <v>8</v>
      </c>
      <c r="F137" s="145">
        <v>2649</v>
      </c>
      <c r="G137" s="145"/>
      <c r="H137" s="533">
        <v>4</v>
      </c>
      <c r="I137" s="145">
        <v>12</v>
      </c>
      <c r="J137" s="133"/>
      <c r="K137" s="533">
        <v>10</v>
      </c>
      <c r="L137" s="145">
        <v>2799</v>
      </c>
      <c r="M137" s="145"/>
      <c r="N137" s="533">
        <v>2168</v>
      </c>
      <c r="O137" s="145">
        <v>1194</v>
      </c>
      <c r="P137" s="533">
        <v>21520</v>
      </c>
      <c r="Q137" s="533">
        <v>431</v>
      </c>
      <c r="R137" s="533">
        <v>733</v>
      </c>
      <c r="S137" s="533">
        <v>38216</v>
      </c>
      <c r="T137" s="533">
        <v>12102</v>
      </c>
      <c r="U137" s="533">
        <v>9226</v>
      </c>
      <c r="V137" s="533">
        <v>1128</v>
      </c>
      <c r="W137" s="533">
        <v>8639</v>
      </c>
      <c r="X137" s="533">
        <v>4159</v>
      </c>
      <c r="Y137" s="533">
        <v>6538</v>
      </c>
      <c r="Z137" s="533">
        <v>115</v>
      </c>
      <c r="AA137" s="533">
        <v>217</v>
      </c>
      <c r="AB137" s="533">
        <v>1528</v>
      </c>
      <c r="AC137" s="533">
        <v>489</v>
      </c>
      <c r="AD137" s="533">
        <v>571</v>
      </c>
      <c r="AE137" s="533"/>
      <c r="AF137" s="533">
        <v>105612</v>
      </c>
      <c r="AG137" s="145">
        <v>5073</v>
      </c>
      <c r="AH137" s="131">
        <v>66</v>
      </c>
      <c r="AI137" s="307"/>
      <c r="AJ137" s="533">
        <v>41795</v>
      </c>
      <c r="AK137" s="145">
        <v>46934</v>
      </c>
      <c r="AL137" s="145"/>
      <c r="AM137" s="131">
        <v>26471</v>
      </c>
      <c r="AN137" s="307">
        <v>40</v>
      </c>
      <c r="AO137" s="145">
        <v>37824</v>
      </c>
      <c r="AP137" s="307"/>
    </row>
    <row r="138" spans="1:43" x14ac:dyDescent="0.2">
      <c r="A138" s="533" t="s">
        <v>4740</v>
      </c>
      <c r="B138" s="533">
        <v>2</v>
      </c>
      <c r="C138" s="145">
        <v>4</v>
      </c>
      <c r="D138" s="133"/>
      <c r="E138" s="533">
        <v>12</v>
      </c>
      <c r="F138" s="145">
        <v>5970</v>
      </c>
      <c r="G138" s="145"/>
      <c r="H138" s="533">
        <v>2</v>
      </c>
      <c r="I138" s="145">
        <v>4</v>
      </c>
      <c r="J138" s="133"/>
      <c r="K138" s="533">
        <v>11</v>
      </c>
      <c r="L138" s="145">
        <v>5915</v>
      </c>
      <c r="M138" s="145"/>
      <c r="N138" s="533">
        <v>2095</v>
      </c>
      <c r="O138" s="145">
        <v>2161</v>
      </c>
      <c r="P138" s="533">
        <v>14012</v>
      </c>
      <c r="Q138" s="533">
        <v>16640</v>
      </c>
      <c r="R138" s="533">
        <v>497</v>
      </c>
      <c r="S138" s="533">
        <v>23583</v>
      </c>
      <c r="T138" s="533">
        <v>13446</v>
      </c>
      <c r="U138" s="533">
        <v>9129</v>
      </c>
      <c r="V138" s="533">
        <v>797</v>
      </c>
      <c r="W138" s="533">
        <v>3810</v>
      </c>
      <c r="X138" s="533">
        <v>2296</v>
      </c>
      <c r="Y138" s="533">
        <v>7601</v>
      </c>
      <c r="Z138" s="533">
        <v>116</v>
      </c>
      <c r="AA138" s="533">
        <v>6</v>
      </c>
      <c r="AB138" s="533">
        <v>363</v>
      </c>
      <c r="AC138" s="533">
        <v>1035</v>
      </c>
      <c r="AD138" s="533">
        <v>426</v>
      </c>
      <c r="AE138" s="533"/>
      <c r="AF138" s="533">
        <v>93757</v>
      </c>
      <c r="AG138" s="145">
        <v>5056</v>
      </c>
      <c r="AH138" s="131">
        <v>73</v>
      </c>
      <c r="AI138" s="307"/>
      <c r="AJ138" s="533">
        <v>511755</v>
      </c>
      <c r="AK138" s="145">
        <v>516884</v>
      </c>
      <c r="AL138" s="145"/>
      <c r="AM138" s="131">
        <v>32900</v>
      </c>
      <c r="AN138" s="307"/>
      <c r="AO138" s="145">
        <v>74753</v>
      </c>
      <c r="AP138" s="307"/>
    </row>
    <row r="139" spans="1:43" x14ac:dyDescent="0.2">
      <c r="A139" s="533" t="s">
        <v>4741</v>
      </c>
      <c r="B139" s="533">
        <v>3</v>
      </c>
      <c r="C139" s="145">
        <v>62</v>
      </c>
      <c r="D139" s="133"/>
      <c r="E139" s="533">
        <v>11</v>
      </c>
      <c r="F139" s="145">
        <v>2974</v>
      </c>
      <c r="G139" s="145"/>
      <c r="H139" s="533">
        <v>2</v>
      </c>
      <c r="I139" s="145">
        <v>44</v>
      </c>
      <c r="J139" s="133"/>
      <c r="K139" s="533">
        <v>7</v>
      </c>
      <c r="L139" s="145">
        <v>2624</v>
      </c>
      <c r="M139" s="145"/>
      <c r="N139" s="533">
        <v>74678</v>
      </c>
      <c r="O139" s="145">
        <v>1363</v>
      </c>
      <c r="P139" s="533">
        <v>19880</v>
      </c>
      <c r="Q139" s="533">
        <v>50728</v>
      </c>
      <c r="R139" s="533">
        <v>900</v>
      </c>
      <c r="S139" s="533">
        <v>29669</v>
      </c>
      <c r="T139" s="533">
        <v>857</v>
      </c>
      <c r="U139" s="533">
        <v>7650</v>
      </c>
      <c r="V139" s="533">
        <v>380</v>
      </c>
      <c r="W139" s="533">
        <v>6026</v>
      </c>
      <c r="X139" s="533">
        <v>1725</v>
      </c>
      <c r="Y139" s="533">
        <v>5880</v>
      </c>
      <c r="Z139" s="533">
        <v>22</v>
      </c>
      <c r="AA139" s="533">
        <v>406</v>
      </c>
      <c r="AB139" s="533">
        <v>2148</v>
      </c>
      <c r="AC139" s="533">
        <v>1115</v>
      </c>
      <c r="AD139" s="533">
        <v>763</v>
      </c>
      <c r="AE139" s="533">
        <v>130348</v>
      </c>
      <c r="AF139" s="533">
        <v>258497</v>
      </c>
      <c r="AG139" s="145">
        <v>2620</v>
      </c>
      <c r="AH139" s="131">
        <v>47</v>
      </c>
      <c r="AI139" s="307"/>
      <c r="AJ139" s="533">
        <v>69105</v>
      </c>
      <c r="AK139" s="145">
        <v>71768</v>
      </c>
      <c r="AL139" s="145"/>
      <c r="AM139" s="131">
        <v>35776</v>
      </c>
      <c r="AN139" s="307"/>
      <c r="AO139" s="145">
        <v>40726</v>
      </c>
      <c r="AP139" s="307"/>
    </row>
    <row r="140" spans="1:43" x14ac:dyDescent="0.2">
      <c r="A140" s="533" t="s">
        <v>4742</v>
      </c>
      <c r="B140" s="533">
        <v>6</v>
      </c>
      <c r="C140" s="145">
        <v>833</v>
      </c>
      <c r="D140" s="133"/>
      <c r="E140" s="533">
        <v>7</v>
      </c>
      <c r="F140" s="145">
        <v>2624</v>
      </c>
      <c r="G140" s="145"/>
      <c r="H140" s="533">
        <v>5</v>
      </c>
      <c r="I140" s="145">
        <v>85</v>
      </c>
      <c r="J140" s="133"/>
      <c r="K140" s="533">
        <v>9</v>
      </c>
      <c r="L140" s="145">
        <v>2674</v>
      </c>
      <c r="M140" s="145"/>
      <c r="N140" s="533">
        <v>1425</v>
      </c>
      <c r="O140" s="145">
        <v>3096</v>
      </c>
      <c r="P140" s="533">
        <v>23815</v>
      </c>
      <c r="Q140" s="533">
        <v>52</v>
      </c>
      <c r="R140" s="533">
        <v>795</v>
      </c>
      <c r="S140" s="533">
        <v>20608</v>
      </c>
      <c r="T140" s="533">
        <v>6549</v>
      </c>
      <c r="U140" s="533">
        <v>4152</v>
      </c>
      <c r="V140" s="533">
        <v>1140</v>
      </c>
      <c r="W140" s="533">
        <v>5614</v>
      </c>
      <c r="X140" s="533">
        <v>182</v>
      </c>
      <c r="Y140" s="533">
        <v>9158</v>
      </c>
      <c r="Z140" s="533">
        <v>167</v>
      </c>
      <c r="AA140" s="533">
        <v>142</v>
      </c>
      <c r="AB140" s="533">
        <v>680</v>
      </c>
      <c r="AC140" s="533">
        <v>322</v>
      </c>
      <c r="AD140" s="533">
        <v>460</v>
      </c>
      <c r="AE140" s="533">
        <v>276331</v>
      </c>
      <c r="AF140" s="533">
        <v>350167</v>
      </c>
      <c r="AG140" s="145">
        <v>1522</v>
      </c>
      <c r="AH140" s="131">
        <v>48</v>
      </c>
      <c r="AI140" s="307"/>
      <c r="AJ140" s="533">
        <v>66373</v>
      </c>
      <c r="AK140" s="145">
        <v>67943</v>
      </c>
      <c r="AL140" s="145"/>
      <c r="AM140" s="131">
        <v>27008</v>
      </c>
      <c r="AN140" s="307">
        <v>50</v>
      </c>
      <c r="AO140" s="145">
        <v>43599</v>
      </c>
      <c r="AP140" s="307">
        <v>85</v>
      </c>
    </row>
    <row r="141" spans="1:43" x14ac:dyDescent="0.2">
      <c r="A141" s="533" t="s">
        <v>4743</v>
      </c>
      <c r="B141" s="533">
        <v>3</v>
      </c>
      <c r="C141" s="145">
        <v>46</v>
      </c>
      <c r="D141" s="133"/>
      <c r="E141" s="533">
        <v>10</v>
      </c>
      <c r="F141" s="145">
        <v>2690</v>
      </c>
      <c r="G141" s="145"/>
      <c r="H141" s="533">
        <v>5</v>
      </c>
      <c r="I141" s="145">
        <v>807</v>
      </c>
      <c r="J141" s="133"/>
      <c r="K141" s="533">
        <v>10</v>
      </c>
      <c r="L141" s="145">
        <v>2675</v>
      </c>
      <c r="M141" s="145"/>
      <c r="N141" s="533">
        <v>2146</v>
      </c>
      <c r="O141" s="145">
        <v>1713</v>
      </c>
      <c r="P141" s="533">
        <v>14787</v>
      </c>
      <c r="Q141" s="533">
        <v>28017</v>
      </c>
      <c r="R141" s="533">
        <v>535</v>
      </c>
      <c r="S141" s="533">
        <v>27219</v>
      </c>
      <c r="T141" s="533">
        <v>13419</v>
      </c>
      <c r="U141" s="533">
        <v>4193</v>
      </c>
      <c r="V141" s="533">
        <v>1843</v>
      </c>
      <c r="W141" s="533">
        <v>11698</v>
      </c>
      <c r="X141" s="533">
        <v>2835</v>
      </c>
      <c r="Y141" s="533">
        <v>9834</v>
      </c>
      <c r="Z141" s="533">
        <v>141</v>
      </c>
      <c r="AA141" s="533">
        <v>284</v>
      </c>
      <c r="AB141" s="533">
        <v>2087</v>
      </c>
      <c r="AC141" s="533">
        <v>710</v>
      </c>
      <c r="AD141" s="533">
        <v>450</v>
      </c>
      <c r="AE141" s="533"/>
      <c r="AF141" s="533">
        <v>118052</v>
      </c>
      <c r="AG141" s="145">
        <v>9565</v>
      </c>
      <c r="AH141" s="131">
        <v>30</v>
      </c>
      <c r="AI141" s="307"/>
      <c r="AJ141" s="533">
        <v>53497</v>
      </c>
      <c r="AK141" s="145">
        <v>63092</v>
      </c>
      <c r="AL141" s="145"/>
      <c r="AM141" s="131">
        <v>24654</v>
      </c>
      <c r="AN141" s="307">
        <v>8</v>
      </c>
      <c r="AO141" s="145">
        <v>45633</v>
      </c>
      <c r="AP141" s="307">
        <v>35</v>
      </c>
    </row>
    <row r="142" spans="1:43" x14ac:dyDescent="0.2">
      <c r="A142" s="533" t="s">
        <v>4772</v>
      </c>
      <c r="B142" s="533">
        <v>3</v>
      </c>
      <c r="C142" s="145">
        <v>22</v>
      </c>
      <c r="D142" s="133">
        <v>0.5</v>
      </c>
      <c r="E142" s="533">
        <v>10</v>
      </c>
      <c r="F142" s="145">
        <v>2680</v>
      </c>
      <c r="G142" s="145"/>
      <c r="H142" s="533">
        <v>3</v>
      </c>
      <c r="I142" s="145">
        <v>22</v>
      </c>
      <c r="J142" s="133">
        <v>0.5</v>
      </c>
      <c r="K142" s="533">
        <v>11</v>
      </c>
      <c r="L142" s="145">
        <v>2681</v>
      </c>
      <c r="M142" s="145"/>
      <c r="N142" s="533">
        <v>2955</v>
      </c>
      <c r="O142" s="145"/>
      <c r="P142" s="533">
        <v>307</v>
      </c>
      <c r="Q142" s="533">
        <v>5366</v>
      </c>
      <c r="R142" s="533">
        <v>3079</v>
      </c>
      <c r="S142" s="533">
        <v>32635</v>
      </c>
      <c r="T142" s="533">
        <v>19576</v>
      </c>
      <c r="U142" s="533">
        <v>12331</v>
      </c>
      <c r="V142" s="533">
        <v>738</v>
      </c>
      <c r="W142" s="533">
        <v>18512</v>
      </c>
      <c r="X142" s="533">
        <v>314</v>
      </c>
      <c r="Y142" s="533">
        <v>9669</v>
      </c>
      <c r="Z142" s="533">
        <v>184</v>
      </c>
      <c r="AA142" s="533">
        <v>109</v>
      </c>
      <c r="AB142" s="533">
        <v>1169</v>
      </c>
      <c r="AC142" s="533">
        <v>222</v>
      </c>
      <c r="AD142" s="533">
        <v>101</v>
      </c>
      <c r="AE142" s="533"/>
      <c r="AF142" s="533">
        <v>104312</v>
      </c>
      <c r="AG142" s="145">
        <v>5604</v>
      </c>
      <c r="AH142" s="131">
        <v>93</v>
      </c>
      <c r="AI142" s="307">
        <v>500</v>
      </c>
      <c r="AJ142" s="533">
        <v>86383</v>
      </c>
      <c r="AK142" s="145">
        <v>92080</v>
      </c>
      <c r="AL142" s="145">
        <v>500</v>
      </c>
      <c r="AM142" s="131">
        <v>24547</v>
      </c>
      <c r="AN142" s="307">
        <v>90</v>
      </c>
      <c r="AO142" s="145">
        <v>46088</v>
      </c>
      <c r="AP142" s="307">
        <v>80</v>
      </c>
    </row>
    <row r="143" spans="1:43" x14ac:dyDescent="0.2">
      <c r="A143" s="533" t="s">
        <v>4979</v>
      </c>
      <c r="B143" s="533">
        <v>2</v>
      </c>
      <c r="C143" s="145">
        <v>5253</v>
      </c>
      <c r="D143" s="133"/>
      <c r="E143" s="533">
        <v>8</v>
      </c>
      <c r="F143" s="145">
        <v>2993</v>
      </c>
      <c r="G143" s="145"/>
      <c r="H143" s="533">
        <v>4</v>
      </c>
      <c r="I143" s="145">
        <v>99</v>
      </c>
      <c r="J143" s="133"/>
      <c r="K143" s="533">
        <v>10</v>
      </c>
      <c r="L143" s="145">
        <v>1200</v>
      </c>
      <c r="M143" s="145"/>
      <c r="N143" s="533">
        <v>1617</v>
      </c>
      <c r="O143" s="145">
        <v>1769</v>
      </c>
      <c r="P143" s="533">
        <v>19889</v>
      </c>
      <c r="Q143" s="533">
        <v>21271</v>
      </c>
      <c r="R143" s="533">
        <v>2316</v>
      </c>
      <c r="S143" s="533">
        <v>11169</v>
      </c>
      <c r="T143" s="533">
        <v>7453</v>
      </c>
      <c r="U143" s="533">
        <v>6334</v>
      </c>
      <c r="V143" s="533">
        <v>1502</v>
      </c>
      <c r="W143" s="533">
        <v>6620</v>
      </c>
      <c r="X143" s="533">
        <v>2713</v>
      </c>
      <c r="Y143" s="533">
        <v>14628</v>
      </c>
      <c r="Z143" s="533">
        <v>99</v>
      </c>
      <c r="AA143" s="533">
        <v>15</v>
      </c>
      <c r="AB143" s="533">
        <v>2138</v>
      </c>
      <c r="AC143" s="533">
        <v>1042</v>
      </c>
      <c r="AD143" s="533">
        <v>1145</v>
      </c>
      <c r="AE143" s="533"/>
      <c r="AF143" s="533">
        <v>98334</v>
      </c>
      <c r="AG143" s="145">
        <v>5866</v>
      </c>
      <c r="AH143" s="131">
        <v>49</v>
      </c>
      <c r="AI143" s="307"/>
      <c r="AJ143" s="533">
        <v>619939</v>
      </c>
      <c r="AK143" s="145">
        <v>625854</v>
      </c>
      <c r="AL143" s="145"/>
      <c r="AM143" s="131">
        <v>26001</v>
      </c>
      <c r="AN143" s="307">
        <v>35</v>
      </c>
      <c r="AO143" s="145">
        <v>67390</v>
      </c>
      <c r="AP143" s="307">
        <v>85</v>
      </c>
    </row>
    <row r="144" spans="1:43" x14ac:dyDescent="0.2">
      <c r="A144" s="533" t="s">
        <v>4769</v>
      </c>
      <c r="B144" s="533"/>
      <c r="C144" s="145"/>
      <c r="D144" s="133"/>
      <c r="E144" s="533"/>
      <c r="F144" s="145"/>
      <c r="G144" s="145"/>
      <c r="H144" s="533">
        <v>5</v>
      </c>
      <c r="I144" s="145">
        <v>162</v>
      </c>
      <c r="J144" s="133"/>
      <c r="K144" s="533">
        <v>10</v>
      </c>
      <c r="L144" s="145">
        <v>1246</v>
      </c>
      <c r="M144" s="145"/>
      <c r="N144" s="533">
        <v>9878</v>
      </c>
      <c r="O144" s="145"/>
      <c r="P144" s="533">
        <v>21487</v>
      </c>
      <c r="Q144" s="533">
        <v>7092</v>
      </c>
      <c r="R144" s="533">
        <v>409</v>
      </c>
      <c r="S144" s="533">
        <v>49405</v>
      </c>
      <c r="T144" s="533">
        <v>16690</v>
      </c>
      <c r="U144" s="533">
        <v>9792</v>
      </c>
      <c r="V144" s="533">
        <v>2226</v>
      </c>
      <c r="W144" s="533">
        <v>27827</v>
      </c>
      <c r="X144" s="533">
        <v>1931</v>
      </c>
      <c r="Y144" s="533">
        <v>12376</v>
      </c>
      <c r="Z144" s="533">
        <v>50</v>
      </c>
      <c r="AA144" s="533">
        <v>620</v>
      </c>
      <c r="AB144" s="533">
        <v>270</v>
      </c>
      <c r="AC144" s="533">
        <v>161</v>
      </c>
      <c r="AD144" s="533">
        <v>583</v>
      </c>
      <c r="AE144" s="533"/>
      <c r="AF144" s="533">
        <v>150919</v>
      </c>
      <c r="AG144" s="145">
        <v>11691</v>
      </c>
      <c r="AH144" s="131">
        <v>180</v>
      </c>
      <c r="AI144" s="307"/>
      <c r="AJ144" s="533">
        <v>134964</v>
      </c>
      <c r="AK144" s="145">
        <v>146835</v>
      </c>
      <c r="AL144" s="145"/>
      <c r="AM144" s="131">
        <v>32487</v>
      </c>
      <c r="AN144" s="307">
        <v>75</v>
      </c>
      <c r="AO144" s="145">
        <v>82465</v>
      </c>
      <c r="AP144" s="307">
        <v>90</v>
      </c>
    </row>
    <row r="145" spans="1:42" x14ac:dyDescent="0.2">
      <c r="A145" s="533" t="s">
        <v>4770</v>
      </c>
      <c r="B145" s="533">
        <v>5</v>
      </c>
      <c r="C145" s="145">
        <v>66</v>
      </c>
      <c r="D145" s="133"/>
      <c r="E145" s="533">
        <v>11</v>
      </c>
      <c r="F145" s="145">
        <v>2181</v>
      </c>
      <c r="G145" s="145"/>
      <c r="H145" s="533">
        <v>4</v>
      </c>
      <c r="I145" s="145">
        <v>49</v>
      </c>
      <c r="J145" s="133"/>
      <c r="K145" s="533">
        <v>12</v>
      </c>
      <c r="L145" s="145">
        <v>2172</v>
      </c>
      <c r="M145" s="145"/>
      <c r="N145" s="533">
        <v>25406</v>
      </c>
      <c r="O145" s="145">
        <v>1788</v>
      </c>
      <c r="P145" s="533">
        <v>31398</v>
      </c>
      <c r="Q145" s="533">
        <v>40717</v>
      </c>
      <c r="R145" s="533">
        <v>16455</v>
      </c>
      <c r="S145" s="533">
        <v>60686</v>
      </c>
      <c r="T145" s="533">
        <v>26363</v>
      </c>
      <c r="U145" s="533">
        <v>24778</v>
      </c>
      <c r="V145" s="533">
        <v>3501</v>
      </c>
      <c r="W145" s="533">
        <v>26150</v>
      </c>
      <c r="X145" s="533">
        <v>2391</v>
      </c>
      <c r="Y145" s="533">
        <v>17549</v>
      </c>
      <c r="Z145" s="533">
        <v>478</v>
      </c>
      <c r="AA145" s="533">
        <v>311</v>
      </c>
      <c r="AB145" s="533">
        <v>3144</v>
      </c>
      <c r="AC145" s="533">
        <v>4075</v>
      </c>
      <c r="AD145" s="533">
        <v>2822</v>
      </c>
      <c r="AE145" s="533"/>
      <c r="AF145" s="533">
        <v>260818</v>
      </c>
      <c r="AG145" s="145">
        <v>4095</v>
      </c>
      <c r="AH145" s="131">
        <v>57199</v>
      </c>
      <c r="AI145" s="307"/>
      <c r="AJ145" s="533">
        <v>58574</v>
      </c>
      <c r="AK145" s="145">
        <v>119868</v>
      </c>
      <c r="AL145" s="145"/>
      <c r="AM145" s="131">
        <v>83367</v>
      </c>
      <c r="AN145" s="307">
        <v>45</v>
      </c>
      <c r="AO145" s="145">
        <v>64857</v>
      </c>
      <c r="AP145" s="307"/>
    </row>
    <row r="146" spans="1:42" x14ac:dyDescent="0.2">
      <c r="A146" s="533" t="s">
        <v>4771</v>
      </c>
      <c r="B146" s="533">
        <v>2</v>
      </c>
      <c r="C146" s="145">
        <v>27</v>
      </c>
      <c r="D146" s="133"/>
      <c r="E146" s="535">
        <v>12</v>
      </c>
      <c r="F146" s="145">
        <v>2167</v>
      </c>
      <c r="G146" s="145"/>
      <c r="H146" s="533">
        <v>3</v>
      </c>
      <c r="I146" s="145">
        <v>44</v>
      </c>
      <c r="J146" s="133"/>
      <c r="K146" s="535">
        <v>13</v>
      </c>
      <c r="L146" s="145">
        <v>2184</v>
      </c>
      <c r="M146" s="145"/>
      <c r="N146" s="533">
        <v>4349</v>
      </c>
      <c r="O146" s="145">
        <v>2429</v>
      </c>
      <c r="P146" s="533">
        <v>22814</v>
      </c>
      <c r="Q146" s="533">
        <v>48598</v>
      </c>
      <c r="R146" s="533">
        <v>855</v>
      </c>
      <c r="S146" s="533">
        <v>52166</v>
      </c>
      <c r="T146" s="533">
        <v>14693</v>
      </c>
      <c r="U146" s="533">
        <v>14957</v>
      </c>
      <c r="V146" s="533">
        <v>3661</v>
      </c>
      <c r="W146" s="533">
        <v>14010</v>
      </c>
      <c r="X146" s="533">
        <v>2403</v>
      </c>
      <c r="Y146" s="533">
        <v>24732</v>
      </c>
      <c r="Z146" s="533">
        <v>80</v>
      </c>
      <c r="AA146" s="533">
        <v>217</v>
      </c>
      <c r="AB146" s="533">
        <v>1129</v>
      </c>
      <c r="AC146" s="533">
        <v>1708</v>
      </c>
      <c r="AD146" s="533">
        <v>600</v>
      </c>
      <c r="AE146" s="533"/>
      <c r="AF146" s="533">
        <v>202623</v>
      </c>
      <c r="AG146" s="145">
        <v>5749</v>
      </c>
      <c r="AH146" s="131">
        <v>183</v>
      </c>
      <c r="AI146" s="307"/>
      <c r="AJ146" s="533">
        <v>161850</v>
      </c>
      <c r="AK146" s="145">
        <v>167782</v>
      </c>
      <c r="AL146" s="145"/>
      <c r="AM146" s="131">
        <v>46761</v>
      </c>
      <c r="AN146" s="307">
        <v>25</v>
      </c>
      <c r="AO146" s="145">
        <v>78941</v>
      </c>
      <c r="AP146" s="307">
        <v>16</v>
      </c>
    </row>
    <row r="147" spans="1:42" x14ac:dyDescent="0.2">
      <c r="A147" s="785" t="s">
        <v>1341</v>
      </c>
      <c r="B147" s="808">
        <v>34</v>
      </c>
      <c r="C147" s="318">
        <v>6439</v>
      </c>
      <c r="D147" s="241">
        <v>0.5</v>
      </c>
      <c r="E147" s="318">
        <v>105</v>
      </c>
      <c r="F147" s="318">
        <v>33175</v>
      </c>
      <c r="G147" s="318"/>
      <c r="H147" s="808">
        <v>42</v>
      </c>
      <c r="I147" s="318">
        <v>1912</v>
      </c>
      <c r="J147" s="241">
        <v>0.5</v>
      </c>
      <c r="K147" s="808">
        <v>122</v>
      </c>
      <c r="L147" s="318">
        <v>32617</v>
      </c>
      <c r="M147" s="318"/>
      <c r="N147" s="808">
        <v>161942</v>
      </c>
      <c r="O147" s="318">
        <v>17422</v>
      </c>
      <c r="P147" s="808">
        <v>227506</v>
      </c>
      <c r="Q147" s="808">
        <v>248979</v>
      </c>
      <c r="R147" s="808">
        <v>39433</v>
      </c>
      <c r="S147" s="808">
        <v>409046</v>
      </c>
      <c r="T147" s="808">
        <v>144177</v>
      </c>
      <c r="U147" s="808">
        <v>125314</v>
      </c>
      <c r="V147" s="808">
        <v>19206</v>
      </c>
      <c r="W147" s="808">
        <v>146402</v>
      </c>
      <c r="X147" s="808">
        <v>24521</v>
      </c>
      <c r="Y147" s="808">
        <v>138169</v>
      </c>
      <c r="Z147" s="808">
        <v>1549</v>
      </c>
      <c r="AA147" s="808">
        <v>3573</v>
      </c>
      <c r="AB147" s="808">
        <v>17928</v>
      </c>
      <c r="AC147" s="808">
        <v>12370</v>
      </c>
      <c r="AD147" s="808">
        <v>9497</v>
      </c>
      <c r="AE147" s="808">
        <v>445600</v>
      </c>
      <c r="AF147" s="808">
        <v>2013270</v>
      </c>
      <c r="AG147" s="318">
        <v>60551</v>
      </c>
      <c r="AH147" s="240">
        <v>58025</v>
      </c>
      <c r="AI147" s="513">
        <v>500</v>
      </c>
      <c r="AJ147" s="808">
        <v>2409883</v>
      </c>
      <c r="AK147" s="318">
        <v>2528459</v>
      </c>
      <c r="AL147" s="318">
        <v>500</v>
      </c>
      <c r="AM147" s="240">
        <v>418687</v>
      </c>
      <c r="AN147" s="513">
        <v>18</v>
      </c>
      <c r="AO147" s="318">
        <v>658046</v>
      </c>
      <c r="AP147" s="513">
        <v>91</v>
      </c>
    </row>
    <row r="148" spans="1:42" x14ac:dyDescent="0.2">
      <c r="B148" s="393">
        <f>+SUM(B135:B146)</f>
        <v>34</v>
      </c>
      <c r="C148" s="393">
        <f t="shared" ref="C148:AP148" si="6">+SUM(C135:C146)</f>
        <v>6439</v>
      </c>
      <c r="D148" s="1078">
        <f t="shared" si="6"/>
        <v>0.5</v>
      </c>
      <c r="E148" s="393">
        <f t="shared" si="6"/>
        <v>105</v>
      </c>
      <c r="F148" s="1137">
        <f t="shared" si="6"/>
        <v>33355</v>
      </c>
      <c r="G148" s="393">
        <f t="shared" si="6"/>
        <v>0</v>
      </c>
      <c r="H148" s="393">
        <f t="shared" si="6"/>
        <v>42</v>
      </c>
      <c r="I148" s="393">
        <f t="shared" si="6"/>
        <v>1912</v>
      </c>
      <c r="J148" s="1078">
        <f t="shared" si="6"/>
        <v>0.5</v>
      </c>
      <c r="K148" s="393">
        <f t="shared" si="6"/>
        <v>122</v>
      </c>
      <c r="L148" s="1137">
        <f t="shared" si="6"/>
        <v>32687</v>
      </c>
      <c r="M148" s="393">
        <f t="shared" si="6"/>
        <v>0</v>
      </c>
      <c r="N148" s="393">
        <f t="shared" si="6"/>
        <v>161942</v>
      </c>
      <c r="O148" s="393">
        <f t="shared" si="6"/>
        <v>17422</v>
      </c>
      <c r="P148" s="393">
        <f t="shared" si="6"/>
        <v>227506</v>
      </c>
      <c r="Q148" s="393">
        <f t="shared" si="6"/>
        <v>248979</v>
      </c>
      <c r="R148" s="393">
        <f t="shared" si="6"/>
        <v>39433</v>
      </c>
      <c r="S148" s="393">
        <f t="shared" si="6"/>
        <v>409046</v>
      </c>
      <c r="T148" s="393">
        <f t="shared" si="6"/>
        <v>144177</v>
      </c>
      <c r="U148" s="393">
        <f t="shared" si="6"/>
        <v>125314</v>
      </c>
      <c r="V148" s="393">
        <f t="shared" si="6"/>
        <v>19206</v>
      </c>
      <c r="W148" s="393">
        <f t="shared" si="6"/>
        <v>146402</v>
      </c>
      <c r="X148" s="393">
        <f t="shared" si="6"/>
        <v>24521</v>
      </c>
      <c r="Y148" s="393">
        <f t="shared" si="6"/>
        <v>138169</v>
      </c>
      <c r="Z148" s="393">
        <f t="shared" si="6"/>
        <v>1549</v>
      </c>
      <c r="AA148" s="1137">
        <f t="shared" si="6"/>
        <v>3473</v>
      </c>
      <c r="AB148" s="393">
        <f t="shared" si="6"/>
        <v>17928</v>
      </c>
      <c r="AC148" s="393">
        <f t="shared" si="6"/>
        <v>12370</v>
      </c>
      <c r="AD148" s="1137">
        <f t="shared" si="6"/>
        <v>15497</v>
      </c>
      <c r="AE148" s="393">
        <f t="shared" si="6"/>
        <v>445600</v>
      </c>
      <c r="AF148" s="393">
        <f t="shared" si="6"/>
        <v>2013270</v>
      </c>
      <c r="AG148" s="393">
        <f t="shared" si="6"/>
        <v>60551</v>
      </c>
      <c r="AH148" s="1137">
        <f t="shared" si="6"/>
        <v>58029</v>
      </c>
      <c r="AI148" s="393">
        <f t="shared" si="6"/>
        <v>500</v>
      </c>
      <c r="AJ148" s="393">
        <f t="shared" si="6"/>
        <v>2409883</v>
      </c>
      <c r="AK148" s="393">
        <f t="shared" si="6"/>
        <v>2528459</v>
      </c>
      <c r="AL148" s="393">
        <f t="shared" si="6"/>
        <v>500</v>
      </c>
      <c r="AM148" s="1137">
        <f t="shared" si="6"/>
        <v>428683</v>
      </c>
      <c r="AN148" s="1137">
        <f t="shared" si="6"/>
        <v>368</v>
      </c>
      <c r="AO148" s="393">
        <f t="shared" si="6"/>
        <v>668043</v>
      </c>
      <c r="AP148" s="393">
        <f t="shared" si="6"/>
        <v>391</v>
      </c>
    </row>
    <row r="149" spans="1:42" x14ac:dyDescent="0.2">
      <c r="D149" s="555"/>
      <c r="J149" s="555"/>
    </row>
  </sheetData>
  <mergeCells count="102">
    <mergeCell ref="AK133:AL133"/>
    <mergeCell ref="C134:D134"/>
    <mergeCell ref="F134:G134"/>
    <mergeCell ref="I134:J134"/>
    <mergeCell ref="L134:M134"/>
    <mergeCell ref="O132:O133"/>
    <mergeCell ref="P132:AF132"/>
    <mergeCell ref="AG132:AL132"/>
    <mergeCell ref="AM132:AN133"/>
    <mergeCell ref="AO132:AP133"/>
    <mergeCell ref="B133:D133"/>
    <mergeCell ref="E133:G133"/>
    <mergeCell ref="H133:J133"/>
    <mergeCell ref="K133:M133"/>
    <mergeCell ref="AH133:AI133"/>
    <mergeCell ref="A129:AP129"/>
    <mergeCell ref="A130:AP130"/>
    <mergeCell ref="A131:A134"/>
    <mergeCell ref="B131:M131"/>
    <mergeCell ref="N131:O131"/>
    <mergeCell ref="P131:AL131"/>
    <mergeCell ref="AM131:AP131"/>
    <mergeCell ref="B132:G132"/>
    <mergeCell ref="H132:M132"/>
    <mergeCell ref="N132:N133"/>
    <mergeCell ref="A119:BS119"/>
    <mergeCell ref="A120:BS120"/>
    <mergeCell ref="A121:BS121"/>
    <mergeCell ref="A122:BS122"/>
    <mergeCell ref="A123:BS123"/>
    <mergeCell ref="A124:BS124"/>
    <mergeCell ref="AN105:AO105"/>
    <mergeCell ref="AP105:AQ105"/>
    <mergeCell ref="AR105:AS105"/>
    <mergeCell ref="AT105:AU105"/>
    <mergeCell ref="AV105:AW105"/>
    <mergeCell ref="A118:BS118"/>
    <mergeCell ref="AB105:AC105"/>
    <mergeCell ref="AD105:AE105"/>
    <mergeCell ref="AF105:AG105"/>
    <mergeCell ref="AH105:AI105"/>
    <mergeCell ref="AJ105:AK105"/>
    <mergeCell ref="AL105:AM105"/>
    <mergeCell ref="BR104:BS105"/>
    <mergeCell ref="B105:C105"/>
    <mergeCell ref="D105:E105"/>
    <mergeCell ref="F105:G105"/>
    <mergeCell ref="H105:I105"/>
    <mergeCell ref="J105:K105"/>
    <mergeCell ref="L105:M105"/>
    <mergeCell ref="N105:O105"/>
    <mergeCell ref="P105:Q105"/>
    <mergeCell ref="R105:S105"/>
    <mergeCell ref="BF104:BG105"/>
    <mergeCell ref="BH104:BI105"/>
    <mergeCell ref="BJ104:BK105"/>
    <mergeCell ref="BL104:BM105"/>
    <mergeCell ref="BN104:BO105"/>
    <mergeCell ref="BP104:BQ105"/>
    <mergeCell ref="A104:A105"/>
    <mergeCell ref="B104:AW104"/>
    <mergeCell ref="AX104:AY105"/>
    <mergeCell ref="AZ104:BA105"/>
    <mergeCell ref="BB104:BC105"/>
    <mergeCell ref="BD104:BE105"/>
    <mergeCell ref="T105:U105"/>
    <mergeCell ref="V105:W105"/>
    <mergeCell ref="X105:Y105"/>
    <mergeCell ref="Z105:AA105"/>
    <mergeCell ref="A82:D82"/>
    <mergeCell ref="A83:D83"/>
    <mergeCell ref="A85:G85"/>
    <mergeCell ref="B87:D87"/>
    <mergeCell ref="E87:G87"/>
    <mergeCell ref="A103:BS103"/>
    <mergeCell ref="A65:G65"/>
    <mergeCell ref="A66:F66"/>
    <mergeCell ref="A71:D71"/>
    <mergeCell ref="A72:G72"/>
    <mergeCell ref="A73:G73"/>
    <mergeCell ref="B74:D74"/>
    <mergeCell ref="E74:G74"/>
    <mergeCell ref="A37:G37"/>
    <mergeCell ref="B38:D38"/>
    <mergeCell ref="E38:G38"/>
    <mergeCell ref="A62:G62"/>
    <mergeCell ref="A63:D63"/>
    <mergeCell ref="A64:D64"/>
    <mergeCell ref="A18:S18"/>
    <mergeCell ref="A19:S19"/>
    <mergeCell ref="A20:S20"/>
    <mergeCell ref="A25:J25"/>
    <mergeCell ref="B26:D26"/>
    <mergeCell ref="E26:G26"/>
    <mergeCell ref="H26:J26"/>
    <mergeCell ref="A4:S4"/>
    <mergeCell ref="B5:D5"/>
    <mergeCell ref="E5:G5"/>
    <mergeCell ref="H5:J5"/>
    <mergeCell ref="K5:M5"/>
    <mergeCell ref="N5:P5"/>
    <mergeCell ref="Q5:S5"/>
  </mergeCells>
  <pageMargins left="0.7" right="0.7" top="0.75" bottom="0.75" header="0.3" footer="0.3"/>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X160"/>
  <sheetViews>
    <sheetView workbookViewId="0">
      <selection activeCell="B1" sqref="B1"/>
    </sheetView>
  </sheetViews>
  <sheetFormatPr baseColWidth="10" defaultColWidth="11.6640625" defaultRowHeight="15" x14ac:dyDescent="0.2"/>
  <cols>
    <col min="1" max="1" width="17.83203125" style="106" customWidth="1"/>
    <col min="2" max="2" width="11.6640625" style="106"/>
    <col min="3" max="4" width="6.1640625" style="106" customWidth="1"/>
    <col min="5" max="5" width="11.6640625" style="106"/>
    <col min="6" max="7" width="6.1640625" style="106" customWidth="1"/>
    <col min="8" max="8" width="11.6640625" style="106"/>
    <col min="9" max="10" width="6.1640625" style="106" customWidth="1"/>
    <col min="11" max="11" width="11.6640625" style="106"/>
    <col min="12" max="13" width="6.1640625" style="106" customWidth="1"/>
    <col min="14" max="14" width="11.6640625" style="106"/>
    <col min="15" max="16" width="6.1640625" style="106" customWidth="1"/>
    <col min="17" max="17" width="11.6640625" style="106"/>
    <col min="18" max="19" width="6.1640625" style="106" customWidth="1"/>
    <col min="20" max="20" width="11.6640625" style="106"/>
    <col min="21" max="22" width="6.1640625" style="106" customWidth="1"/>
    <col min="23" max="23" width="11.6640625" style="106"/>
    <col min="24" max="25" width="6.1640625" style="106" customWidth="1"/>
    <col min="26" max="26" width="11.6640625" style="106"/>
    <col min="27" max="28" width="6.1640625" style="106" customWidth="1"/>
    <col min="29" max="29" width="11.6640625" style="106"/>
    <col min="30" max="31" width="6.1640625" style="106" customWidth="1"/>
    <col min="32" max="32" width="11.6640625" style="106"/>
    <col min="33" max="34" width="6.1640625" style="106" customWidth="1"/>
    <col min="35" max="35" width="11.6640625" style="106"/>
    <col min="36" max="37" width="6.1640625" style="106" customWidth="1"/>
    <col min="38" max="38" width="11.6640625" style="106"/>
    <col min="39" max="40" width="6.1640625" style="106" customWidth="1"/>
    <col min="41" max="41" width="11.6640625" style="106"/>
    <col min="42" max="43" width="6.1640625" style="106" customWidth="1"/>
    <col min="44" max="44" width="11.6640625" style="106"/>
    <col min="45" max="46" width="6.1640625" style="106" customWidth="1"/>
    <col min="47" max="47" width="11.6640625" style="106"/>
    <col min="48" max="49" width="6.1640625" style="106" customWidth="1"/>
    <col min="50" max="50" width="11.6640625" style="106"/>
    <col min="51" max="52" width="6.1640625" style="106" customWidth="1"/>
    <col min="53" max="53" width="11.6640625" style="106"/>
    <col min="54" max="55" width="6.1640625" style="106" customWidth="1"/>
    <col min="56" max="56" width="11.6640625" style="106"/>
    <col min="57" max="58" width="6.1640625" style="106" customWidth="1"/>
    <col min="59" max="59" width="11.6640625" style="106"/>
    <col min="60" max="61" width="6.1640625" style="106" customWidth="1"/>
    <col min="62" max="62" width="11.6640625" style="106"/>
    <col min="63" max="64" width="6.1640625" style="106" customWidth="1"/>
    <col min="65" max="65" width="11.6640625" style="106"/>
    <col min="66" max="67" width="6.1640625" style="106" customWidth="1"/>
    <col min="68" max="68" width="11.6640625" style="106"/>
    <col min="69" max="70" width="6.1640625" style="106" customWidth="1"/>
    <col min="71" max="71" width="11.6640625" style="106"/>
    <col min="72" max="73" width="6.1640625" style="106" customWidth="1"/>
    <col min="74" max="74" width="11.6640625" style="106"/>
    <col min="75" max="76" width="6.1640625" style="106" customWidth="1"/>
    <col min="77" max="77" width="11.6640625" style="106"/>
    <col min="78" max="79" width="6.1640625" style="106" customWidth="1"/>
    <col min="80" max="80" width="11.6640625" style="106"/>
    <col min="81" max="82" width="6.1640625" style="106" customWidth="1"/>
    <col min="83" max="83" width="11.6640625" style="106"/>
    <col min="84" max="85" width="6.1640625" style="106" customWidth="1"/>
    <col min="86" max="86" width="11.6640625" style="106"/>
    <col min="87" max="88" width="6.1640625" style="106" customWidth="1"/>
    <col min="89" max="89" width="11.6640625" style="106"/>
    <col min="90" max="91" width="6.1640625" style="106" customWidth="1"/>
    <col min="92" max="92" width="11.6640625" style="106"/>
    <col min="93" max="94" width="6.1640625" style="106" customWidth="1"/>
    <col min="95" max="95" width="11.6640625" style="106"/>
    <col min="96" max="97" width="6.1640625" style="106" customWidth="1"/>
    <col min="98" max="98" width="11.6640625" style="106"/>
    <col min="99" max="100" width="6.1640625" style="106" customWidth="1"/>
    <col min="101" max="101" width="11.6640625" style="106"/>
    <col min="102" max="103" width="6.1640625" style="106" customWidth="1"/>
    <col min="104" max="104" width="11.6640625" style="106"/>
    <col min="105" max="106" width="6.1640625" style="106" customWidth="1"/>
    <col min="107" max="107" width="11.6640625" style="106"/>
    <col min="108" max="109" width="6.1640625" style="106" customWidth="1"/>
    <col min="110" max="110" width="11.6640625" style="106"/>
    <col min="111" max="112" width="6.1640625" style="106" customWidth="1"/>
    <col min="113" max="113" width="11.6640625" style="106"/>
    <col min="114" max="115" width="6.1640625" style="106" customWidth="1"/>
    <col min="116" max="116" width="11.6640625" style="106"/>
    <col min="117" max="118" width="6.1640625" style="106" customWidth="1"/>
    <col min="119" max="119" width="11.6640625" style="106"/>
    <col min="120" max="121" width="6.1640625" style="106" customWidth="1"/>
    <col min="122" max="122" width="11.6640625" style="106"/>
    <col min="123" max="124" width="6.1640625" style="106" customWidth="1"/>
    <col min="125" max="125" width="11.6640625" style="106"/>
    <col min="126" max="127" width="6.1640625" style="106" customWidth="1"/>
    <col min="128" max="128" width="11.6640625" style="106"/>
    <col min="129" max="130" width="6.1640625" style="106" customWidth="1"/>
    <col min="131" max="131" width="11.6640625" style="106"/>
    <col min="132" max="133" width="6.1640625" style="106" customWidth="1"/>
    <col min="134" max="134" width="11.6640625" style="106"/>
    <col min="135" max="136" width="6.1640625" style="106" customWidth="1"/>
    <col min="137" max="137" width="11.6640625" style="106"/>
    <col min="138" max="139" width="6.1640625" style="106" customWidth="1"/>
    <col min="140" max="140" width="11.6640625" style="106"/>
    <col min="141" max="142" width="6.1640625" style="106" customWidth="1"/>
    <col min="143" max="143" width="11.6640625" style="106"/>
    <col min="144" max="145" width="6.1640625" style="106" customWidth="1"/>
    <col min="146" max="146" width="11.6640625" style="106"/>
    <col min="147" max="148" width="6.1640625" style="106" customWidth="1"/>
    <col min="149" max="149" width="11.6640625" style="106"/>
    <col min="150" max="151" width="6.1640625" style="106" customWidth="1"/>
    <col min="152" max="152" width="11.6640625" style="106"/>
    <col min="153" max="154" width="6.1640625" style="106" customWidth="1"/>
    <col min="155" max="155" width="11.6640625" style="106"/>
    <col min="156" max="157" width="6.1640625" style="106" customWidth="1"/>
    <col min="158" max="158" width="11.6640625" style="106"/>
    <col min="159" max="160" width="6.1640625" style="106" customWidth="1"/>
    <col min="161" max="161" width="11.6640625" style="106"/>
    <col min="162" max="163" width="6.1640625" style="106" customWidth="1"/>
    <col min="164" max="164" width="11.6640625" style="106"/>
    <col min="165" max="166" width="6.1640625" style="106" customWidth="1"/>
    <col min="167" max="167" width="11.6640625" style="106"/>
    <col min="168" max="169" width="6.1640625" style="106" customWidth="1"/>
    <col min="170" max="170" width="11.6640625" style="106"/>
    <col min="171" max="172" width="6.1640625" style="106" customWidth="1"/>
    <col min="173" max="173" width="11.6640625" style="106"/>
    <col min="174" max="175" width="6.1640625" style="106" customWidth="1"/>
    <col min="176" max="176" width="11.6640625" style="106"/>
    <col min="177" max="178" width="6.1640625" style="106" customWidth="1"/>
    <col min="179" max="179" width="11.6640625" style="106"/>
    <col min="180" max="181" width="6.1640625" style="106" customWidth="1"/>
    <col min="182" max="182" width="11.6640625" style="106"/>
    <col min="183" max="184" width="6.1640625" style="106" customWidth="1"/>
    <col min="185" max="185" width="11.6640625" style="106"/>
    <col min="186" max="187" width="6.1640625" style="106" customWidth="1"/>
    <col min="188" max="188" width="11.6640625" style="106"/>
    <col min="189" max="190" width="6.1640625" style="106" customWidth="1"/>
    <col min="191" max="191" width="11.6640625" style="106"/>
    <col min="192" max="193" width="6.1640625" style="106" customWidth="1"/>
    <col min="194" max="194" width="11.6640625" style="106"/>
    <col min="195" max="196" width="6.1640625" style="106" customWidth="1"/>
    <col min="197" max="197" width="11.6640625" style="106"/>
    <col min="198" max="199" width="6.1640625" style="106" customWidth="1"/>
    <col min="200" max="200" width="11.6640625" style="106"/>
    <col min="201" max="202" width="6.1640625" style="106" customWidth="1"/>
    <col min="203" max="203" width="11.6640625" style="106"/>
    <col min="204" max="205" width="6.1640625" style="106" customWidth="1"/>
    <col min="206" max="206" width="11.6640625" style="106"/>
    <col min="207" max="208" width="6.1640625" style="106" customWidth="1"/>
    <col min="209" max="209" width="11.6640625" style="106"/>
    <col min="210" max="211" width="6.1640625" style="106" customWidth="1"/>
    <col min="212" max="212" width="11.6640625" style="106"/>
    <col min="213" max="214" width="6.1640625" style="106" customWidth="1"/>
    <col min="215" max="215" width="11.6640625" style="106"/>
    <col min="216" max="217" width="6.1640625" style="106" customWidth="1"/>
    <col min="218" max="218" width="11.6640625" style="106"/>
    <col min="219" max="220" width="6.1640625" style="106" customWidth="1"/>
    <col min="221" max="221" width="11.6640625" style="106"/>
    <col min="222" max="223" width="6.1640625" style="106" customWidth="1"/>
    <col min="224" max="224" width="11.6640625" style="106"/>
    <col min="225" max="226" width="6.1640625" style="106" customWidth="1"/>
    <col min="227" max="227" width="11.6640625" style="106"/>
    <col min="228" max="229" width="6.1640625" style="106" customWidth="1"/>
    <col min="230" max="230" width="11.6640625" style="106"/>
    <col min="231" max="232" width="6.1640625" style="106" customWidth="1"/>
    <col min="233" max="16384" width="11.6640625" style="106"/>
  </cols>
  <sheetData>
    <row r="1" spans="1:3" x14ac:dyDescent="0.2">
      <c r="A1" s="113" t="s">
        <v>1111</v>
      </c>
    </row>
    <row r="2" spans="1:3" ht="42.5" customHeight="1" x14ac:dyDescent="0.2">
      <c r="A2" s="385" t="s">
        <v>5424</v>
      </c>
      <c r="B2" s="386"/>
      <c r="C2" s="387"/>
    </row>
    <row r="3" spans="1:3" x14ac:dyDescent="0.2">
      <c r="A3" s="382" t="s">
        <v>5425</v>
      </c>
      <c r="B3" s="277"/>
      <c r="C3" s="278"/>
    </row>
    <row r="4" spans="1:3" x14ac:dyDescent="0.2">
      <c r="A4" s="164">
        <v>1870</v>
      </c>
      <c r="B4" s="134">
        <v>60</v>
      </c>
      <c r="C4" s="133">
        <f>1/2</f>
        <v>0.5</v>
      </c>
    </row>
    <row r="5" spans="1:3" x14ac:dyDescent="0.2">
      <c r="A5" s="164">
        <v>1871</v>
      </c>
      <c r="B5" s="134">
        <v>60</v>
      </c>
      <c r="C5" s="1597">
        <v>0.5625</v>
      </c>
    </row>
    <row r="6" spans="1:3" x14ac:dyDescent="0.2">
      <c r="A6" s="164">
        <v>1872</v>
      </c>
      <c r="B6" s="134">
        <v>60</v>
      </c>
      <c r="C6" s="1597">
        <v>0.25</v>
      </c>
    </row>
    <row r="7" spans="1:3" x14ac:dyDescent="0.2">
      <c r="A7" s="164">
        <v>1873</v>
      </c>
      <c r="B7" s="134">
        <v>59</v>
      </c>
      <c r="C7" s="1597">
        <v>0.25</v>
      </c>
    </row>
    <row r="8" spans="1:3" x14ac:dyDescent="0.2">
      <c r="A8" s="164">
        <v>1874</v>
      </c>
      <c r="B8" s="134">
        <v>58</v>
      </c>
      <c r="C8" s="1597">
        <v>0.3125</v>
      </c>
    </row>
    <row r="9" spans="1:3" x14ac:dyDescent="0.2">
      <c r="A9" s="164">
        <v>1875</v>
      </c>
      <c r="B9" s="134">
        <v>56</v>
      </c>
      <c r="C9" s="1597">
        <v>0.8125</v>
      </c>
    </row>
    <row r="10" spans="1:3" x14ac:dyDescent="0.2">
      <c r="A10" s="164">
        <v>1876</v>
      </c>
      <c r="B10" s="134">
        <v>53</v>
      </c>
      <c r="C10" s="1597"/>
    </row>
    <row r="11" spans="1:3" x14ac:dyDescent="0.2">
      <c r="A11" s="164">
        <v>1877</v>
      </c>
      <c r="B11" s="134">
        <v>54</v>
      </c>
      <c r="C11" s="1597">
        <v>0.25</v>
      </c>
    </row>
    <row r="12" spans="1:3" x14ac:dyDescent="0.2">
      <c r="A12" s="164">
        <v>1878</v>
      </c>
      <c r="B12" s="134">
        <v>52</v>
      </c>
      <c r="C12" s="1597">
        <v>0.5625</v>
      </c>
    </row>
    <row r="13" spans="1:3" x14ac:dyDescent="0.2">
      <c r="A13" s="164">
        <v>1879</v>
      </c>
      <c r="B13" s="134">
        <v>51</v>
      </c>
      <c r="C13" s="1597">
        <v>0.1875</v>
      </c>
    </row>
    <row r="14" spans="1:3" x14ac:dyDescent="0.2">
      <c r="A14" s="164">
        <v>1880</v>
      </c>
      <c r="B14" s="134">
        <v>52</v>
      </c>
      <c r="C14" s="1597">
        <v>0.25</v>
      </c>
    </row>
    <row r="15" spans="1:3" x14ac:dyDescent="0.2">
      <c r="A15" s="164">
        <v>1881</v>
      </c>
      <c r="B15" s="134">
        <v>51</v>
      </c>
      <c r="C15" s="1597">
        <v>0.75</v>
      </c>
    </row>
    <row r="16" spans="1:3" x14ac:dyDescent="0.2">
      <c r="A16" s="164">
        <v>1882</v>
      </c>
      <c r="B16" s="134">
        <v>51</v>
      </c>
      <c r="C16" s="1597">
        <v>0.8125</v>
      </c>
    </row>
    <row r="17" spans="1:3" x14ac:dyDescent="0.2">
      <c r="A17" s="164">
        <v>1883</v>
      </c>
      <c r="B17" s="134">
        <v>50</v>
      </c>
      <c r="C17" s="1597">
        <v>0.5625</v>
      </c>
    </row>
    <row r="18" spans="1:3" x14ac:dyDescent="0.2">
      <c r="A18" s="164">
        <v>1884</v>
      </c>
      <c r="B18" s="134">
        <v>50</v>
      </c>
      <c r="C18" s="1597">
        <v>0.6875</v>
      </c>
    </row>
    <row r="19" spans="1:3" x14ac:dyDescent="0.2">
      <c r="A19" s="164">
        <v>1885</v>
      </c>
      <c r="B19" s="134">
        <v>48</v>
      </c>
      <c r="C19" s="1597">
        <v>0.625</v>
      </c>
    </row>
    <row r="20" spans="1:3" x14ac:dyDescent="0.2">
      <c r="A20" s="164">
        <v>1886</v>
      </c>
      <c r="B20" s="134">
        <v>45</v>
      </c>
      <c r="C20" s="1597">
        <v>0.375</v>
      </c>
    </row>
    <row r="21" spans="1:3" x14ac:dyDescent="0.2">
      <c r="A21" s="164">
        <v>1887</v>
      </c>
      <c r="B21" s="134">
        <v>44</v>
      </c>
      <c r="C21" s="1597">
        <v>0.625</v>
      </c>
    </row>
    <row r="22" spans="1:3" x14ac:dyDescent="0.2">
      <c r="A22" s="164">
        <v>1888</v>
      </c>
      <c r="B22" s="134">
        <v>42</v>
      </c>
      <c r="C22" s="1597">
        <v>0.875</v>
      </c>
    </row>
    <row r="23" spans="1:3" x14ac:dyDescent="0.2">
      <c r="A23" s="164">
        <v>1889</v>
      </c>
      <c r="B23" s="134">
        <v>42</v>
      </c>
      <c r="C23" s="1597">
        <v>0.6875</v>
      </c>
    </row>
    <row r="24" spans="1:3" x14ac:dyDescent="0.2">
      <c r="A24" s="164">
        <v>1890</v>
      </c>
      <c r="B24" s="134">
        <v>47</v>
      </c>
      <c r="C24" s="1597">
        <v>0.75</v>
      </c>
    </row>
    <row r="25" spans="1:3" x14ac:dyDescent="0.2">
      <c r="A25" s="164">
        <v>1891</v>
      </c>
      <c r="B25" s="134">
        <v>45</v>
      </c>
      <c r="C25" s="1597">
        <v>6.25E-2</v>
      </c>
    </row>
    <row r="26" spans="1:3" x14ac:dyDescent="0.2">
      <c r="A26" s="164">
        <v>1892</v>
      </c>
      <c r="B26" s="134">
        <v>39</v>
      </c>
      <c r="C26" s="1597">
        <v>0.8125</v>
      </c>
    </row>
    <row r="27" spans="1:3" x14ac:dyDescent="0.2">
      <c r="A27" s="164">
        <v>1893</v>
      </c>
      <c r="B27" s="134">
        <v>35</v>
      </c>
      <c r="C27" s="1597">
        <v>0.625</v>
      </c>
    </row>
    <row r="28" spans="1:3" x14ac:dyDescent="0.2">
      <c r="A28" s="164">
        <v>1894</v>
      </c>
      <c r="B28" s="134">
        <v>29</v>
      </c>
      <c r="C28" s="1597"/>
    </row>
    <row r="29" spans="1:3" x14ac:dyDescent="0.2">
      <c r="A29" s="164">
        <v>1895</v>
      </c>
      <c r="B29" s="134">
        <v>29</v>
      </c>
      <c r="C29" s="1597">
        <v>0.875</v>
      </c>
    </row>
    <row r="30" spans="1:3" x14ac:dyDescent="0.2">
      <c r="A30" s="164">
        <v>1896</v>
      </c>
      <c r="B30" s="134">
        <v>30</v>
      </c>
      <c r="C30" s="1597">
        <v>0.75</v>
      </c>
    </row>
    <row r="31" spans="1:3" x14ac:dyDescent="0.2">
      <c r="A31" s="1598">
        <v>1897</v>
      </c>
      <c r="B31" s="132"/>
      <c r="C31" s="271"/>
    </row>
    <row r="32" spans="1:3" x14ac:dyDescent="0.2">
      <c r="A32" s="164">
        <v>1898</v>
      </c>
      <c r="B32" s="134">
        <v>26</v>
      </c>
      <c r="C32" s="1597">
        <v>0.9375</v>
      </c>
    </row>
    <row r="33" spans="1:3" x14ac:dyDescent="0.2">
      <c r="A33" s="164">
        <v>1899</v>
      </c>
      <c r="B33" s="134">
        <v>27</v>
      </c>
      <c r="C33" s="1597">
        <v>0.4375</v>
      </c>
    </row>
    <row r="34" spans="1:3" x14ac:dyDescent="0.2">
      <c r="A34" s="164">
        <v>1900</v>
      </c>
      <c r="B34" s="134">
        <v>28</v>
      </c>
      <c r="C34" s="1597">
        <v>0.25</v>
      </c>
    </row>
    <row r="35" spans="1:3" x14ac:dyDescent="0.2">
      <c r="A35" s="164">
        <v>1901</v>
      </c>
      <c r="B35" s="134">
        <v>27</v>
      </c>
      <c r="C35" s="1597">
        <v>0.1875</v>
      </c>
    </row>
    <row r="36" spans="1:3" x14ac:dyDescent="0.2">
      <c r="A36" s="164">
        <v>1902</v>
      </c>
      <c r="B36" s="134">
        <v>24</v>
      </c>
      <c r="C36" s="1597">
        <v>6.25E-2</v>
      </c>
    </row>
    <row r="37" spans="1:3" x14ac:dyDescent="0.2">
      <c r="A37" s="151">
        <v>1903</v>
      </c>
      <c r="B37" s="194">
        <v>22</v>
      </c>
      <c r="C37" s="1599"/>
    </row>
    <row r="151" spans="2:232" x14ac:dyDescent="0.2">
      <c r="B151" s="143"/>
      <c r="C151" s="143"/>
      <c r="D151" s="143"/>
      <c r="E151" s="143"/>
      <c r="F151" s="143"/>
      <c r="G151" s="143"/>
      <c r="H151" s="143"/>
      <c r="I151" s="143"/>
      <c r="J151" s="143"/>
      <c r="K151" s="143"/>
      <c r="L151" s="143"/>
      <c r="M151" s="143"/>
      <c r="N151" s="143"/>
      <c r="O151" s="143"/>
      <c r="P151" s="143"/>
      <c r="Q151" s="143"/>
      <c r="R151" s="143"/>
      <c r="S151" s="143"/>
      <c r="T151" s="143"/>
      <c r="U151" s="143"/>
      <c r="V151" s="143"/>
      <c r="W151" s="143"/>
      <c r="X151" s="143"/>
      <c r="Y151" s="143"/>
      <c r="Z151" s="143"/>
      <c r="AA151" s="143"/>
      <c r="AB151" s="143"/>
      <c r="AC151" s="143"/>
      <c r="AD151" s="143"/>
      <c r="AE151" s="143"/>
      <c r="AF151" s="143"/>
      <c r="AG151" s="143"/>
      <c r="AH151" s="143"/>
      <c r="AI151" s="143"/>
      <c r="AJ151" s="143"/>
      <c r="AK151" s="143"/>
      <c r="AL151" s="143"/>
      <c r="AM151" s="143"/>
      <c r="AN151" s="143"/>
      <c r="AO151" s="143"/>
      <c r="AP151" s="143"/>
      <c r="AQ151" s="143"/>
      <c r="AR151" s="143"/>
      <c r="AS151" s="143"/>
      <c r="AT151" s="143"/>
      <c r="AU151" s="143"/>
      <c r="AV151" s="143"/>
      <c r="AW151" s="143"/>
      <c r="AX151" s="143"/>
      <c r="AY151" s="143"/>
      <c r="AZ151" s="143"/>
      <c r="BA151" s="143"/>
      <c r="BB151" s="143"/>
      <c r="BC151" s="143"/>
      <c r="BD151" s="143"/>
      <c r="BE151" s="143"/>
      <c r="BF151" s="143"/>
      <c r="BG151" s="143"/>
      <c r="BH151" s="143"/>
      <c r="BI151" s="143"/>
      <c r="BJ151" s="143"/>
      <c r="BK151" s="143"/>
      <c r="BL151" s="143"/>
      <c r="BM151" s="143"/>
      <c r="BN151" s="143"/>
      <c r="BO151" s="143"/>
      <c r="BP151" s="143"/>
      <c r="BQ151" s="143"/>
      <c r="BR151" s="143"/>
      <c r="BS151" s="143"/>
      <c r="BT151" s="143"/>
      <c r="BU151" s="143"/>
      <c r="BV151" s="143"/>
      <c r="BW151" s="143"/>
      <c r="BX151" s="143"/>
      <c r="BY151" s="143"/>
      <c r="BZ151" s="143"/>
      <c r="CA151" s="143"/>
      <c r="CB151" s="143"/>
      <c r="CC151" s="143"/>
      <c r="CD151" s="143"/>
      <c r="CE151" s="143"/>
      <c r="CF151" s="143"/>
      <c r="CG151" s="143"/>
      <c r="CH151" s="143"/>
      <c r="CI151" s="143"/>
      <c r="CJ151" s="143"/>
      <c r="CK151" s="143"/>
      <c r="CL151" s="143"/>
      <c r="CM151" s="143"/>
      <c r="CN151" s="143"/>
      <c r="CO151" s="143"/>
      <c r="CP151" s="143"/>
      <c r="CQ151" s="143"/>
      <c r="CR151" s="143"/>
      <c r="CS151" s="143"/>
      <c r="CT151" s="143"/>
      <c r="CU151" s="143"/>
      <c r="CV151" s="143"/>
      <c r="CW151" s="143"/>
      <c r="CX151" s="143"/>
      <c r="CY151" s="143"/>
      <c r="CZ151" s="143"/>
      <c r="DA151" s="143"/>
      <c r="DB151" s="143"/>
      <c r="DC151" s="143"/>
      <c r="DD151" s="143"/>
      <c r="DE151" s="143"/>
      <c r="DF151" s="143"/>
      <c r="DG151" s="143"/>
      <c r="DH151" s="143"/>
      <c r="DI151" s="143"/>
      <c r="DJ151" s="143"/>
      <c r="DK151" s="143"/>
      <c r="DL151" s="143"/>
      <c r="DM151" s="143"/>
      <c r="DN151" s="143"/>
      <c r="DO151" s="143"/>
      <c r="DP151" s="143"/>
      <c r="DQ151" s="143"/>
      <c r="DR151" s="143"/>
      <c r="DS151" s="143"/>
      <c r="DT151" s="143"/>
      <c r="DU151" s="143"/>
      <c r="DV151" s="143"/>
      <c r="DW151" s="143"/>
      <c r="DX151" s="143"/>
      <c r="DY151" s="143"/>
      <c r="DZ151" s="143"/>
      <c r="EA151" s="143"/>
      <c r="EB151" s="143"/>
      <c r="EC151" s="143"/>
      <c r="ED151" s="143"/>
      <c r="EE151" s="143"/>
      <c r="EF151" s="143"/>
      <c r="EG151" s="143"/>
      <c r="EH151" s="143"/>
      <c r="EI151" s="143"/>
      <c r="EJ151" s="143"/>
      <c r="EK151" s="143"/>
      <c r="EL151" s="143"/>
      <c r="EM151" s="143"/>
      <c r="EN151" s="143"/>
      <c r="EO151" s="143"/>
      <c r="EP151" s="143"/>
      <c r="EQ151" s="143"/>
      <c r="ER151" s="143"/>
      <c r="ES151" s="143"/>
      <c r="ET151" s="143"/>
      <c r="EU151" s="143"/>
      <c r="EV151" s="143"/>
      <c r="EW151" s="143"/>
      <c r="EX151" s="143"/>
      <c r="EY151" s="143"/>
      <c r="EZ151" s="143"/>
      <c r="FA151" s="143"/>
      <c r="FB151" s="143"/>
      <c r="FC151" s="143"/>
      <c r="FD151" s="143"/>
      <c r="FE151" s="143"/>
      <c r="FF151" s="143"/>
      <c r="FG151" s="143"/>
      <c r="FH151" s="143"/>
      <c r="FI151" s="143"/>
      <c r="FJ151" s="143"/>
      <c r="FK151" s="143"/>
      <c r="FL151" s="143"/>
      <c r="FM151" s="143"/>
      <c r="FN151" s="143"/>
      <c r="FO151" s="143"/>
      <c r="FP151" s="143"/>
      <c r="FQ151" s="143"/>
      <c r="FR151" s="143"/>
      <c r="FS151" s="143"/>
      <c r="FT151" s="143"/>
      <c r="FU151" s="143"/>
      <c r="FV151" s="143"/>
      <c r="FW151" s="143"/>
      <c r="FX151" s="143"/>
      <c r="FY151" s="143"/>
      <c r="FZ151" s="143"/>
      <c r="GA151" s="143"/>
      <c r="GB151" s="143"/>
      <c r="GC151" s="143"/>
      <c r="GD151" s="143"/>
      <c r="GE151" s="143"/>
      <c r="GF151" s="143"/>
      <c r="GG151" s="143"/>
      <c r="GH151" s="143"/>
      <c r="GI151" s="143"/>
      <c r="GJ151" s="143"/>
      <c r="GK151" s="143"/>
      <c r="GL151" s="143"/>
      <c r="GM151" s="143"/>
      <c r="GN151" s="143"/>
      <c r="GO151" s="143"/>
      <c r="GP151" s="143"/>
      <c r="GQ151" s="143"/>
      <c r="GR151" s="143"/>
      <c r="GS151" s="143"/>
      <c r="GT151" s="143"/>
      <c r="GU151" s="143"/>
      <c r="GV151" s="143"/>
      <c r="GW151" s="143"/>
      <c r="GX151" s="143"/>
      <c r="GY151" s="143"/>
      <c r="GZ151" s="143"/>
      <c r="HA151" s="143"/>
      <c r="HB151" s="143"/>
      <c r="HC151" s="143"/>
      <c r="HD151" s="143"/>
      <c r="HE151" s="143"/>
      <c r="HF151" s="143"/>
      <c r="HG151" s="143"/>
      <c r="HH151" s="143"/>
      <c r="HI151" s="143"/>
      <c r="HJ151" s="143"/>
      <c r="HK151" s="143"/>
      <c r="HL151" s="143"/>
      <c r="HM151" s="143"/>
      <c r="HN151" s="143"/>
      <c r="HO151" s="143"/>
      <c r="HP151" s="143"/>
      <c r="HQ151" s="143"/>
      <c r="HR151" s="143"/>
      <c r="HS151" s="143"/>
      <c r="HT151" s="143"/>
      <c r="HU151" s="143"/>
      <c r="HV151" s="143"/>
      <c r="HW151" s="143"/>
      <c r="HX151" s="143"/>
    </row>
    <row r="152" spans="2:232" x14ac:dyDescent="0.2">
      <c r="B152" s="143"/>
      <c r="C152" s="143"/>
      <c r="D152" s="143"/>
      <c r="E152" s="143"/>
      <c r="F152" s="143"/>
      <c r="G152" s="143"/>
      <c r="H152" s="143"/>
      <c r="I152" s="143"/>
      <c r="J152" s="143"/>
      <c r="K152" s="143"/>
      <c r="L152" s="143"/>
      <c r="M152" s="143"/>
      <c r="N152" s="143"/>
      <c r="O152" s="143"/>
      <c r="P152" s="143"/>
      <c r="Q152" s="143"/>
      <c r="R152" s="143"/>
      <c r="S152" s="143"/>
      <c r="T152" s="143"/>
      <c r="U152" s="143"/>
      <c r="V152" s="143"/>
      <c r="W152" s="143"/>
      <c r="X152" s="143"/>
      <c r="Y152" s="143"/>
      <c r="Z152" s="143"/>
      <c r="AA152" s="143"/>
      <c r="AB152" s="143"/>
      <c r="AC152" s="143"/>
      <c r="AD152" s="143"/>
      <c r="AE152" s="143"/>
      <c r="AF152" s="143"/>
      <c r="AG152" s="143"/>
      <c r="AH152" s="143"/>
      <c r="AI152" s="143"/>
      <c r="AJ152" s="143"/>
      <c r="AK152" s="143"/>
      <c r="AL152" s="143"/>
      <c r="AM152" s="143"/>
      <c r="AN152" s="143"/>
      <c r="AO152" s="143"/>
      <c r="AP152" s="143"/>
      <c r="AQ152" s="143"/>
      <c r="AR152" s="143"/>
      <c r="AS152" s="143"/>
      <c r="AT152" s="143"/>
      <c r="AU152" s="143"/>
      <c r="AV152" s="143"/>
      <c r="AW152" s="143"/>
      <c r="AX152" s="143"/>
      <c r="AY152" s="143"/>
      <c r="AZ152" s="143"/>
      <c r="BA152" s="143"/>
      <c r="BB152" s="143"/>
      <c r="BC152" s="143"/>
      <c r="BD152" s="143"/>
      <c r="BE152" s="143"/>
      <c r="BF152" s="143"/>
      <c r="BG152" s="143"/>
      <c r="BH152" s="143"/>
      <c r="BI152" s="143"/>
      <c r="BJ152" s="143"/>
      <c r="BK152" s="143"/>
      <c r="BL152" s="143"/>
      <c r="BM152" s="143"/>
      <c r="BN152" s="143"/>
      <c r="BO152" s="143"/>
      <c r="BP152" s="143"/>
      <c r="BQ152" s="143"/>
      <c r="BR152" s="143"/>
      <c r="BS152" s="143"/>
      <c r="BT152" s="143"/>
      <c r="BU152" s="143"/>
      <c r="BV152" s="143"/>
      <c r="BW152" s="143"/>
      <c r="BX152" s="143"/>
      <c r="BY152" s="143"/>
      <c r="BZ152" s="143"/>
      <c r="CA152" s="143"/>
      <c r="CB152" s="143"/>
      <c r="CC152" s="143"/>
      <c r="CD152" s="143"/>
      <c r="CE152" s="143"/>
      <c r="CF152" s="143"/>
      <c r="CG152" s="143"/>
      <c r="CH152" s="143"/>
      <c r="CI152" s="143"/>
      <c r="CJ152" s="143"/>
      <c r="CK152" s="143"/>
      <c r="CL152" s="143"/>
      <c r="CM152" s="143"/>
      <c r="CN152" s="143"/>
      <c r="CO152" s="143"/>
      <c r="CP152" s="143"/>
      <c r="CQ152" s="143"/>
      <c r="CR152" s="143"/>
      <c r="CS152" s="143"/>
      <c r="CT152" s="143"/>
      <c r="CU152" s="143"/>
      <c r="CV152" s="143"/>
      <c r="CW152" s="143"/>
      <c r="CX152" s="143"/>
      <c r="CY152" s="143"/>
      <c r="CZ152" s="143"/>
      <c r="DA152" s="143"/>
      <c r="DB152" s="143"/>
      <c r="DC152" s="143"/>
      <c r="DD152" s="143"/>
      <c r="DE152" s="143"/>
      <c r="DF152" s="143"/>
      <c r="DG152" s="143"/>
      <c r="DH152" s="143"/>
      <c r="DI152" s="143"/>
      <c r="DJ152" s="143"/>
      <c r="DK152" s="143"/>
      <c r="DL152" s="143"/>
      <c r="DM152" s="143"/>
      <c r="DN152" s="143"/>
      <c r="DO152" s="143"/>
      <c r="DP152" s="143"/>
      <c r="DQ152" s="143"/>
      <c r="DR152" s="143"/>
      <c r="DS152" s="143"/>
      <c r="DT152" s="143"/>
      <c r="DU152" s="143"/>
      <c r="DV152" s="143"/>
      <c r="DW152" s="143"/>
      <c r="DX152" s="143"/>
      <c r="DY152" s="143"/>
      <c r="DZ152" s="143"/>
      <c r="EA152" s="143"/>
      <c r="EB152" s="143"/>
      <c r="EC152" s="143"/>
      <c r="ED152" s="143"/>
      <c r="EE152" s="143"/>
      <c r="EF152" s="143"/>
      <c r="EG152" s="143"/>
      <c r="EH152" s="143"/>
      <c r="EI152" s="143"/>
      <c r="EJ152" s="143"/>
      <c r="EK152" s="143"/>
      <c r="EL152" s="143"/>
      <c r="EM152" s="143"/>
      <c r="EN152" s="143"/>
      <c r="EO152" s="143"/>
      <c r="EP152" s="143"/>
      <c r="EQ152" s="143"/>
      <c r="ER152" s="143"/>
      <c r="ES152" s="143"/>
      <c r="ET152" s="143"/>
      <c r="EU152" s="143"/>
      <c r="EV152" s="143"/>
      <c r="EW152" s="143"/>
      <c r="EX152" s="143"/>
      <c r="EY152" s="143"/>
      <c r="EZ152" s="143"/>
      <c r="FA152" s="143"/>
      <c r="FB152" s="143"/>
      <c r="FC152" s="143"/>
      <c r="FD152" s="143"/>
      <c r="FE152" s="143"/>
      <c r="FF152" s="143"/>
      <c r="FG152" s="143"/>
      <c r="FH152" s="143"/>
      <c r="FI152" s="143"/>
      <c r="FJ152" s="143"/>
      <c r="FK152" s="143"/>
      <c r="FL152" s="143"/>
      <c r="FM152" s="143"/>
      <c r="FN152" s="143"/>
      <c r="FO152" s="143"/>
      <c r="FP152" s="143"/>
      <c r="FQ152" s="143"/>
      <c r="FR152" s="143"/>
      <c r="FS152" s="143"/>
      <c r="FT152" s="143"/>
      <c r="FU152" s="143"/>
      <c r="FV152" s="143"/>
      <c r="FW152" s="143"/>
      <c r="FX152" s="143"/>
      <c r="FY152" s="143"/>
      <c r="FZ152" s="143"/>
      <c r="GA152" s="143"/>
      <c r="GB152" s="143"/>
      <c r="GC152" s="143"/>
      <c r="GD152" s="143"/>
      <c r="GE152" s="143"/>
      <c r="GF152" s="143"/>
      <c r="GG152" s="143"/>
      <c r="GH152" s="143"/>
      <c r="GI152" s="143"/>
      <c r="GJ152" s="143"/>
      <c r="GK152" s="143"/>
      <c r="GL152" s="143"/>
      <c r="GM152" s="143"/>
      <c r="GN152" s="143"/>
      <c r="GO152" s="143"/>
      <c r="GP152" s="143"/>
      <c r="GQ152" s="143"/>
      <c r="GR152" s="143"/>
      <c r="GS152" s="143"/>
      <c r="GT152" s="143"/>
      <c r="GU152" s="143"/>
      <c r="GV152" s="143"/>
      <c r="GW152" s="143"/>
      <c r="GX152" s="143"/>
      <c r="GY152" s="143"/>
      <c r="GZ152" s="143"/>
      <c r="HA152" s="143"/>
      <c r="HB152" s="143"/>
      <c r="HC152" s="143"/>
      <c r="HD152" s="143"/>
      <c r="HE152" s="143"/>
      <c r="HF152" s="143"/>
      <c r="HG152" s="143"/>
      <c r="HH152" s="143"/>
      <c r="HI152" s="143"/>
      <c r="HJ152" s="143"/>
      <c r="HK152" s="143"/>
      <c r="HL152" s="143"/>
      <c r="HM152" s="143"/>
      <c r="HN152" s="143"/>
      <c r="HO152" s="143"/>
      <c r="HP152" s="143"/>
      <c r="HQ152" s="143"/>
      <c r="HR152" s="143"/>
      <c r="HS152" s="143"/>
      <c r="HT152" s="143"/>
      <c r="HU152" s="143"/>
      <c r="HV152" s="143"/>
      <c r="HW152" s="143"/>
      <c r="HX152" s="143"/>
    </row>
    <row r="154" spans="2:232" x14ac:dyDescent="0.2">
      <c r="B154" s="143"/>
      <c r="C154" s="143"/>
      <c r="D154" s="143"/>
      <c r="E154" s="143"/>
      <c r="F154" s="143"/>
      <c r="G154" s="143"/>
      <c r="H154" s="143"/>
      <c r="I154" s="143"/>
      <c r="J154" s="143"/>
      <c r="K154" s="143"/>
      <c r="L154" s="143"/>
      <c r="M154" s="143"/>
      <c r="N154" s="143"/>
      <c r="O154" s="143"/>
      <c r="P154" s="143"/>
      <c r="Q154" s="143"/>
      <c r="R154" s="143"/>
      <c r="S154" s="143"/>
      <c r="T154" s="143"/>
      <c r="U154" s="143"/>
      <c r="V154" s="143"/>
      <c r="W154" s="143"/>
      <c r="X154" s="143"/>
      <c r="Y154" s="143"/>
      <c r="Z154" s="143"/>
      <c r="AA154" s="143"/>
      <c r="AB154" s="143"/>
      <c r="AC154" s="143"/>
      <c r="AD154" s="143"/>
      <c r="AE154" s="143"/>
      <c r="AF154" s="143"/>
      <c r="AG154" s="143"/>
      <c r="AH154" s="143"/>
      <c r="AI154" s="143"/>
      <c r="AJ154" s="143"/>
      <c r="AK154" s="143"/>
      <c r="AL154" s="143"/>
      <c r="AM154" s="143"/>
      <c r="AN154" s="143"/>
      <c r="AO154" s="143"/>
      <c r="AP154" s="143"/>
      <c r="AQ154" s="143"/>
      <c r="AR154" s="143"/>
      <c r="AS154" s="143"/>
      <c r="AT154" s="143"/>
      <c r="AU154" s="143"/>
      <c r="AV154" s="143"/>
      <c r="AW154" s="143"/>
      <c r="AX154" s="143"/>
      <c r="AY154" s="143"/>
      <c r="AZ154" s="143"/>
      <c r="BA154" s="143"/>
      <c r="BB154" s="143"/>
      <c r="BC154" s="143"/>
      <c r="BD154" s="143"/>
      <c r="BE154" s="143"/>
      <c r="BF154" s="143"/>
      <c r="BG154" s="143"/>
      <c r="BH154" s="143"/>
      <c r="BI154" s="143"/>
      <c r="BJ154" s="143"/>
      <c r="BK154" s="143"/>
      <c r="BL154" s="143"/>
      <c r="BM154" s="143"/>
      <c r="BN154" s="143"/>
      <c r="BO154" s="143"/>
      <c r="BP154" s="143"/>
      <c r="BQ154" s="143"/>
      <c r="BR154" s="143"/>
      <c r="BS154" s="143"/>
      <c r="BT154" s="143"/>
      <c r="BU154" s="143"/>
      <c r="BV154" s="143"/>
      <c r="BW154" s="143"/>
      <c r="BX154" s="143"/>
      <c r="BY154" s="143"/>
      <c r="BZ154" s="143"/>
      <c r="CA154" s="143"/>
      <c r="CB154" s="143"/>
      <c r="CC154" s="143"/>
      <c r="CD154" s="143"/>
      <c r="CE154" s="143"/>
      <c r="CF154" s="143"/>
      <c r="CG154" s="143"/>
      <c r="CH154" s="143"/>
      <c r="CI154" s="143"/>
      <c r="CJ154" s="143"/>
      <c r="CK154" s="143"/>
      <c r="CL154" s="143"/>
      <c r="CM154" s="143"/>
      <c r="CN154" s="143"/>
      <c r="CO154" s="143"/>
      <c r="CP154" s="143"/>
      <c r="CQ154" s="143"/>
      <c r="CR154" s="143"/>
      <c r="CS154" s="143"/>
      <c r="CT154" s="143"/>
      <c r="CU154" s="143"/>
      <c r="CV154" s="143"/>
      <c r="CW154" s="143"/>
      <c r="CX154" s="143"/>
      <c r="CY154" s="143"/>
      <c r="CZ154" s="143"/>
      <c r="DA154" s="143"/>
      <c r="DB154" s="143"/>
      <c r="DC154" s="143"/>
      <c r="DD154" s="143"/>
      <c r="DE154" s="143"/>
      <c r="DF154" s="143"/>
      <c r="DG154" s="143"/>
      <c r="DH154" s="143"/>
      <c r="DI154" s="143"/>
      <c r="DJ154" s="143"/>
      <c r="DK154" s="143"/>
      <c r="DL154" s="143"/>
      <c r="DM154" s="143"/>
      <c r="DN154" s="143"/>
      <c r="DO154" s="143"/>
      <c r="DP154" s="143"/>
      <c r="DQ154" s="143"/>
      <c r="DR154" s="143"/>
      <c r="DS154" s="143"/>
      <c r="DT154" s="143"/>
      <c r="DU154" s="143"/>
      <c r="DV154" s="143"/>
      <c r="DW154" s="143"/>
      <c r="DX154" s="143"/>
      <c r="DY154" s="143"/>
      <c r="DZ154" s="143"/>
      <c r="EA154" s="143"/>
      <c r="EB154" s="143"/>
      <c r="EC154" s="143"/>
      <c r="ED154" s="143"/>
      <c r="EE154" s="143"/>
      <c r="EF154" s="143"/>
      <c r="EG154" s="143"/>
      <c r="EH154" s="143"/>
      <c r="EI154" s="143"/>
      <c r="EJ154" s="143"/>
      <c r="EK154" s="143"/>
      <c r="EL154" s="143"/>
      <c r="EM154" s="143"/>
      <c r="EN154" s="143"/>
      <c r="EO154" s="143"/>
      <c r="EP154" s="143"/>
      <c r="EQ154" s="143"/>
      <c r="ER154" s="143"/>
      <c r="ES154" s="143"/>
      <c r="ET154" s="143"/>
      <c r="EU154" s="143"/>
      <c r="EV154" s="143"/>
      <c r="EW154" s="143"/>
      <c r="EX154" s="143"/>
      <c r="EY154" s="143"/>
      <c r="EZ154" s="143"/>
      <c r="FA154" s="143"/>
      <c r="FB154" s="143"/>
      <c r="FC154" s="143"/>
      <c r="FD154" s="143"/>
      <c r="FE154" s="143"/>
      <c r="FF154" s="143"/>
      <c r="FG154" s="143"/>
      <c r="FH154" s="143"/>
      <c r="FI154" s="143"/>
      <c r="FJ154" s="143"/>
      <c r="FK154" s="143"/>
      <c r="FL154" s="143"/>
      <c r="FM154" s="143"/>
      <c r="FN154" s="143"/>
      <c r="FO154" s="143"/>
      <c r="FP154" s="143"/>
      <c r="FQ154" s="143"/>
      <c r="FR154" s="143"/>
      <c r="FS154" s="143"/>
      <c r="FT154" s="143"/>
      <c r="FU154" s="143"/>
      <c r="FV154" s="143"/>
      <c r="FW154" s="143"/>
      <c r="FX154" s="143"/>
      <c r="FY154" s="143"/>
      <c r="FZ154" s="143"/>
      <c r="GA154" s="143"/>
      <c r="GB154" s="143"/>
      <c r="GC154" s="143"/>
      <c r="GD154" s="143"/>
      <c r="GE154" s="143"/>
      <c r="GF154" s="143"/>
      <c r="GG154" s="143"/>
      <c r="GH154" s="143"/>
      <c r="GI154" s="143"/>
      <c r="GJ154" s="143"/>
      <c r="GK154" s="143"/>
      <c r="GL154" s="143"/>
      <c r="GM154" s="143"/>
      <c r="GN154" s="143"/>
      <c r="GO154" s="143"/>
      <c r="GP154" s="143"/>
      <c r="GQ154" s="143"/>
      <c r="GR154" s="143"/>
      <c r="GS154" s="143"/>
      <c r="GT154" s="143"/>
      <c r="GU154" s="143"/>
      <c r="GV154" s="143"/>
      <c r="GW154" s="143"/>
      <c r="GX154" s="143"/>
      <c r="GY154" s="143"/>
      <c r="GZ154" s="143"/>
      <c r="HA154" s="143"/>
      <c r="HB154" s="143"/>
      <c r="HC154" s="143"/>
      <c r="HD154" s="143"/>
      <c r="HE154" s="143"/>
      <c r="HF154" s="143"/>
      <c r="HG154" s="143"/>
      <c r="HH154" s="143"/>
      <c r="HI154" s="143"/>
      <c r="HJ154" s="143"/>
      <c r="HK154" s="143"/>
      <c r="HL154" s="143"/>
      <c r="HM154" s="143"/>
      <c r="HN154" s="143"/>
      <c r="HO154" s="143"/>
      <c r="HP154" s="143"/>
      <c r="HQ154" s="143"/>
      <c r="HR154" s="143"/>
      <c r="HS154" s="143"/>
      <c r="HT154" s="143"/>
      <c r="HU154" s="143"/>
      <c r="HV154" s="143"/>
      <c r="HW154" s="143"/>
      <c r="HX154" s="143"/>
    </row>
    <row r="156" spans="2:232" x14ac:dyDescent="0.2">
      <c r="B156" s="143"/>
      <c r="C156" s="143"/>
      <c r="D156" s="143"/>
      <c r="E156" s="143"/>
      <c r="F156" s="143"/>
      <c r="G156" s="143"/>
      <c r="H156" s="143"/>
      <c r="I156" s="143"/>
      <c r="J156" s="143"/>
      <c r="K156" s="143"/>
      <c r="L156" s="143"/>
      <c r="M156" s="143"/>
      <c r="N156" s="143"/>
      <c r="O156" s="143"/>
      <c r="P156" s="143"/>
      <c r="Q156" s="143"/>
      <c r="R156" s="143"/>
      <c r="S156" s="143"/>
      <c r="T156" s="143"/>
      <c r="U156" s="143"/>
      <c r="V156" s="143"/>
      <c r="W156" s="143"/>
      <c r="X156" s="143"/>
      <c r="Y156" s="143"/>
      <c r="Z156" s="143"/>
      <c r="AA156" s="143"/>
      <c r="AB156" s="143"/>
      <c r="AC156" s="143"/>
      <c r="AD156" s="143"/>
      <c r="AE156" s="143"/>
      <c r="AF156" s="143"/>
      <c r="AG156" s="143"/>
      <c r="AH156" s="143"/>
      <c r="AI156" s="143"/>
      <c r="AJ156" s="143"/>
      <c r="AK156" s="143"/>
      <c r="AL156" s="143"/>
      <c r="AM156" s="143"/>
      <c r="AN156" s="143"/>
      <c r="AO156" s="143"/>
      <c r="AP156" s="143"/>
      <c r="AQ156" s="143"/>
      <c r="AR156" s="143"/>
      <c r="AS156" s="143"/>
      <c r="AT156" s="143"/>
      <c r="AU156" s="143"/>
      <c r="AV156" s="143"/>
      <c r="AW156" s="143"/>
      <c r="AX156" s="143"/>
      <c r="AY156" s="143"/>
      <c r="AZ156" s="143"/>
      <c r="BA156" s="143"/>
      <c r="BB156" s="143"/>
      <c r="BC156" s="143"/>
      <c r="BD156" s="143"/>
      <c r="BE156" s="143"/>
      <c r="BF156" s="143"/>
      <c r="BG156" s="143"/>
      <c r="BH156" s="143"/>
      <c r="BI156" s="143"/>
      <c r="BJ156" s="143"/>
      <c r="BK156" s="143"/>
      <c r="BL156" s="143"/>
      <c r="BM156" s="143"/>
      <c r="BN156" s="143"/>
      <c r="BO156" s="143"/>
      <c r="BP156" s="143"/>
      <c r="BQ156" s="143"/>
      <c r="BR156" s="143"/>
      <c r="BS156" s="143"/>
      <c r="BT156" s="143"/>
      <c r="BU156" s="143"/>
      <c r="BV156" s="143"/>
      <c r="BW156" s="143"/>
      <c r="BX156" s="143"/>
      <c r="BY156" s="143"/>
      <c r="BZ156" s="143"/>
      <c r="CA156" s="143"/>
      <c r="CB156" s="143"/>
      <c r="CC156" s="143"/>
      <c r="CD156" s="143"/>
      <c r="CE156" s="143"/>
      <c r="CF156" s="143"/>
      <c r="CG156" s="143"/>
      <c r="CH156" s="143"/>
      <c r="CI156" s="143"/>
      <c r="CJ156" s="143"/>
      <c r="CK156" s="143"/>
      <c r="CL156" s="143"/>
      <c r="CM156" s="143"/>
      <c r="CN156" s="143"/>
      <c r="CO156" s="143"/>
      <c r="CP156" s="143"/>
      <c r="CQ156" s="143"/>
      <c r="CR156" s="143"/>
      <c r="CS156" s="143"/>
      <c r="CT156" s="143"/>
      <c r="CU156" s="143"/>
      <c r="CV156" s="143"/>
      <c r="CW156" s="143"/>
      <c r="CX156" s="143"/>
      <c r="CY156" s="143"/>
      <c r="CZ156" s="143"/>
      <c r="DA156" s="143"/>
      <c r="DB156" s="143"/>
      <c r="DC156" s="143"/>
      <c r="DD156" s="143"/>
      <c r="DE156" s="143"/>
      <c r="DF156" s="143"/>
      <c r="DG156" s="143"/>
      <c r="DH156" s="143"/>
      <c r="DI156" s="143"/>
      <c r="DJ156" s="143"/>
      <c r="DK156" s="143"/>
      <c r="DL156" s="143"/>
      <c r="DM156" s="143"/>
      <c r="DN156" s="143"/>
      <c r="DO156" s="143"/>
      <c r="DP156" s="143"/>
      <c r="DQ156" s="143"/>
      <c r="DR156" s="143"/>
      <c r="DS156" s="143"/>
      <c r="DT156" s="143"/>
      <c r="DU156" s="143"/>
      <c r="DV156" s="143"/>
      <c r="DW156" s="143"/>
      <c r="DX156" s="143"/>
      <c r="DY156" s="143"/>
      <c r="DZ156" s="143"/>
      <c r="EA156" s="143"/>
      <c r="EB156" s="143"/>
      <c r="EC156" s="143"/>
      <c r="ED156" s="143"/>
      <c r="EE156" s="143"/>
      <c r="EF156" s="143"/>
      <c r="EG156" s="143"/>
      <c r="EH156" s="143"/>
      <c r="EI156" s="143"/>
      <c r="EJ156" s="143"/>
      <c r="EK156" s="143"/>
      <c r="EL156" s="143"/>
      <c r="EM156" s="143"/>
      <c r="EN156" s="143"/>
      <c r="EO156" s="143"/>
      <c r="EP156" s="143"/>
      <c r="EQ156" s="143"/>
      <c r="ER156" s="143"/>
      <c r="ES156" s="143"/>
      <c r="ET156" s="143"/>
      <c r="EU156" s="143"/>
      <c r="EV156" s="143"/>
      <c r="EW156" s="143"/>
      <c r="EX156" s="143"/>
      <c r="EY156" s="143"/>
      <c r="EZ156" s="143"/>
      <c r="FA156" s="143"/>
      <c r="FB156" s="143"/>
      <c r="FC156" s="143"/>
      <c r="FD156" s="143"/>
      <c r="FE156" s="143"/>
      <c r="FF156" s="143"/>
      <c r="FG156" s="143"/>
      <c r="FH156" s="143"/>
      <c r="FI156" s="143"/>
      <c r="FJ156" s="143"/>
      <c r="FK156" s="143"/>
      <c r="FL156" s="143"/>
      <c r="FM156" s="143"/>
      <c r="FN156" s="143"/>
      <c r="FO156" s="143"/>
      <c r="FP156" s="143"/>
      <c r="FQ156" s="143"/>
      <c r="FR156" s="143"/>
      <c r="FS156" s="143"/>
      <c r="FT156" s="143"/>
      <c r="FU156" s="143"/>
      <c r="FV156" s="143"/>
      <c r="FW156" s="143"/>
      <c r="FX156" s="143"/>
      <c r="FY156" s="143"/>
      <c r="FZ156" s="143"/>
      <c r="GA156" s="143"/>
      <c r="GB156" s="143"/>
      <c r="GC156" s="143"/>
      <c r="GD156" s="143"/>
      <c r="GE156" s="143"/>
      <c r="GF156" s="143"/>
      <c r="GG156" s="143"/>
      <c r="GH156" s="143"/>
      <c r="GI156" s="143"/>
      <c r="GJ156" s="143"/>
      <c r="GK156" s="143"/>
      <c r="GL156" s="143"/>
      <c r="GM156" s="143"/>
      <c r="GN156" s="143"/>
      <c r="GO156" s="143"/>
      <c r="GP156" s="143"/>
      <c r="GQ156" s="143"/>
      <c r="GR156" s="143"/>
      <c r="GS156" s="143"/>
      <c r="GT156" s="143"/>
      <c r="GU156" s="143"/>
      <c r="GV156" s="143"/>
      <c r="GW156" s="143"/>
      <c r="GX156" s="143"/>
      <c r="GY156" s="143"/>
      <c r="GZ156" s="143"/>
      <c r="HA156" s="143"/>
      <c r="HB156" s="143"/>
      <c r="HC156" s="143"/>
      <c r="HD156" s="143"/>
      <c r="HE156" s="143"/>
      <c r="HF156" s="143"/>
      <c r="HG156" s="143"/>
      <c r="HH156" s="143"/>
      <c r="HI156" s="143"/>
      <c r="HJ156" s="143"/>
      <c r="HK156" s="143"/>
      <c r="HL156" s="143"/>
      <c r="HM156" s="143"/>
      <c r="HN156" s="143"/>
      <c r="HO156" s="143"/>
      <c r="HP156" s="143"/>
      <c r="HQ156" s="143"/>
      <c r="HR156" s="143"/>
      <c r="HS156" s="143"/>
      <c r="HT156" s="143"/>
      <c r="HU156" s="143"/>
      <c r="HV156" s="143"/>
      <c r="HW156" s="143"/>
      <c r="HX156" s="143"/>
    </row>
    <row r="158" spans="2:232" x14ac:dyDescent="0.2">
      <c r="B158" s="143"/>
      <c r="C158" s="143"/>
      <c r="D158" s="143"/>
      <c r="E158" s="143"/>
      <c r="F158" s="143"/>
      <c r="G158" s="143"/>
      <c r="H158" s="143"/>
      <c r="I158" s="143"/>
      <c r="J158" s="143"/>
      <c r="K158" s="143"/>
      <c r="L158" s="143"/>
      <c r="M158" s="143"/>
      <c r="N158" s="143"/>
      <c r="O158" s="143"/>
      <c r="P158" s="143"/>
      <c r="Q158" s="143"/>
      <c r="R158" s="143"/>
      <c r="S158" s="143"/>
      <c r="T158" s="143"/>
      <c r="U158" s="143"/>
      <c r="V158" s="143"/>
      <c r="W158" s="143"/>
      <c r="X158" s="143"/>
      <c r="Y158" s="143"/>
      <c r="Z158" s="143"/>
      <c r="AA158" s="143"/>
      <c r="AB158" s="143"/>
      <c r="AC158" s="143"/>
      <c r="AD158" s="143"/>
      <c r="AE158" s="143"/>
      <c r="AF158" s="143"/>
      <c r="AG158" s="143"/>
      <c r="AH158" s="143"/>
      <c r="AI158" s="143"/>
      <c r="AJ158" s="143"/>
      <c r="AK158" s="143"/>
      <c r="AL158" s="143"/>
      <c r="AM158" s="143"/>
      <c r="AN158" s="143"/>
      <c r="AO158" s="143"/>
      <c r="AP158" s="143"/>
      <c r="AQ158" s="143"/>
      <c r="AR158" s="143"/>
      <c r="AS158" s="143"/>
      <c r="AT158" s="143"/>
      <c r="AU158" s="143"/>
      <c r="AV158" s="143"/>
      <c r="AW158" s="143"/>
      <c r="AX158" s="143"/>
      <c r="AY158" s="143"/>
      <c r="AZ158" s="143"/>
      <c r="BA158" s="143"/>
      <c r="BB158" s="143"/>
      <c r="BC158" s="143"/>
      <c r="BD158" s="143"/>
      <c r="BE158" s="143"/>
      <c r="BF158" s="143"/>
      <c r="BG158" s="143"/>
      <c r="BH158" s="143"/>
      <c r="BI158" s="143"/>
      <c r="BJ158" s="143"/>
      <c r="BK158" s="143"/>
      <c r="BL158" s="143"/>
      <c r="BM158" s="143"/>
      <c r="BN158" s="143"/>
      <c r="BO158" s="143"/>
      <c r="BP158" s="143"/>
      <c r="BQ158" s="143"/>
      <c r="BR158" s="143"/>
      <c r="BS158" s="143"/>
      <c r="BT158" s="143"/>
      <c r="BU158" s="143"/>
      <c r="BV158" s="143"/>
      <c r="BW158" s="143"/>
      <c r="BX158" s="143"/>
      <c r="BY158" s="143"/>
      <c r="BZ158" s="143"/>
      <c r="CA158" s="143"/>
      <c r="CB158" s="143"/>
      <c r="CC158" s="143"/>
      <c r="CD158" s="143"/>
      <c r="CE158" s="143"/>
      <c r="CF158" s="143"/>
      <c r="CG158" s="143"/>
      <c r="CH158" s="143"/>
      <c r="CI158" s="143"/>
      <c r="CJ158" s="143"/>
      <c r="CK158" s="143"/>
      <c r="CL158" s="143"/>
      <c r="CM158" s="143"/>
      <c r="CN158" s="143"/>
      <c r="CO158" s="143"/>
      <c r="CP158" s="143"/>
      <c r="CQ158" s="143"/>
      <c r="CR158" s="143"/>
      <c r="CS158" s="143"/>
      <c r="CT158" s="143"/>
      <c r="CU158" s="143"/>
      <c r="CV158" s="143"/>
      <c r="CW158" s="143"/>
      <c r="CX158" s="143"/>
      <c r="CY158" s="143"/>
      <c r="CZ158" s="143"/>
      <c r="DA158" s="143"/>
      <c r="DB158" s="143"/>
      <c r="DC158" s="143"/>
      <c r="DD158" s="143"/>
      <c r="DE158" s="143"/>
      <c r="DF158" s="143"/>
      <c r="DG158" s="143"/>
      <c r="DH158" s="143"/>
      <c r="DI158" s="143"/>
      <c r="DJ158" s="143"/>
      <c r="DK158" s="143"/>
      <c r="DL158" s="143"/>
      <c r="DM158" s="143"/>
      <c r="DN158" s="143"/>
      <c r="DO158" s="143"/>
      <c r="DP158" s="143"/>
      <c r="DQ158" s="143"/>
      <c r="DR158" s="143"/>
      <c r="DS158" s="143"/>
      <c r="DT158" s="143"/>
      <c r="DU158" s="143"/>
      <c r="DV158" s="143"/>
      <c r="DW158" s="143"/>
      <c r="DX158" s="143"/>
      <c r="DY158" s="143"/>
      <c r="DZ158" s="143"/>
      <c r="EA158" s="143"/>
      <c r="EB158" s="143"/>
      <c r="EC158" s="143"/>
      <c r="ED158" s="143"/>
      <c r="EE158" s="143"/>
      <c r="EF158" s="143"/>
      <c r="EG158" s="143"/>
      <c r="EH158" s="143"/>
      <c r="EI158" s="143"/>
      <c r="EJ158" s="143"/>
      <c r="EK158" s="143"/>
      <c r="EL158" s="143"/>
      <c r="EM158" s="143"/>
      <c r="EN158" s="143"/>
      <c r="EO158" s="143"/>
      <c r="EP158" s="143"/>
      <c r="EQ158" s="143"/>
      <c r="ER158" s="143"/>
      <c r="ES158" s="143"/>
      <c r="ET158" s="143"/>
      <c r="EU158" s="143"/>
      <c r="EV158" s="143"/>
      <c r="EW158" s="143"/>
      <c r="EX158" s="143"/>
      <c r="EY158" s="143"/>
      <c r="EZ158" s="143"/>
      <c r="FA158" s="143"/>
      <c r="FB158" s="143"/>
      <c r="FC158" s="143"/>
      <c r="FD158" s="143"/>
      <c r="FE158" s="143"/>
      <c r="FF158" s="143"/>
      <c r="FG158" s="143"/>
      <c r="FH158" s="143"/>
      <c r="FI158" s="143"/>
      <c r="FJ158" s="143"/>
      <c r="FK158" s="143"/>
      <c r="FL158" s="143"/>
      <c r="FM158" s="143"/>
      <c r="FN158" s="143"/>
      <c r="FO158" s="143"/>
      <c r="FP158" s="143"/>
      <c r="FQ158" s="143"/>
      <c r="FR158" s="143"/>
      <c r="FS158" s="143"/>
      <c r="FT158" s="143"/>
      <c r="FU158" s="143"/>
      <c r="FV158" s="143"/>
      <c r="FW158" s="143"/>
      <c r="FX158" s="143"/>
      <c r="FY158" s="143"/>
      <c r="FZ158" s="143"/>
      <c r="GA158" s="143"/>
      <c r="GB158" s="143"/>
      <c r="GC158" s="143"/>
      <c r="GD158" s="143"/>
      <c r="GE158" s="143"/>
      <c r="GF158" s="143"/>
      <c r="GG158" s="143"/>
      <c r="GH158" s="143"/>
      <c r="GI158" s="143"/>
      <c r="GJ158" s="143"/>
      <c r="GK158" s="143"/>
      <c r="GL158" s="143"/>
      <c r="GM158" s="143"/>
      <c r="GN158" s="143"/>
      <c r="GO158" s="143"/>
      <c r="GP158" s="143"/>
      <c r="GQ158" s="143"/>
      <c r="GR158" s="143"/>
      <c r="GS158" s="143"/>
      <c r="GT158" s="143"/>
      <c r="GU158" s="143"/>
      <c r="GV158" s="143"/>
      <c r="GW158" s="143"/>
      <c r="GX158" s="143"/>
      <c r="GY158" s="143"/>
      <c r="GZ158" s="143"/>
      <c r="HA158" s="143"/>
      <c r="HB158" s="143"/>
      <c r="HC158" s="143"/>
      <c r="HD158" s="143"/>
      <c r="HE158" s="143"/>
      <c r="HF158" s="143"/>
      <c r="HG158" s="143"/>
      <c r="HH158" s="143"/>
      <c r="HI158" s="143"/>
      <c r="HJ158" s="143"/>
      <c r="HK158" s="143"/>
      <c r="HL158" s="143"/>
      <c r="HM158" s="143"/>
      <c r="HN158" s="143"/>
      <c r="HO158" s="143"/>
      <c r="HP158" s="143"/>
      <c r="HQ158" s="143"/>
      <c r="HR158" s="143"/>
      <c r="HS158" s="143"/>
      <c r="HT158" s="143"/>
      <c r="HU158" s="143"/>
      <c r="HV158" s="143"/>
      <c r="HW158" s="143"/>
      <c r="HX158" s="143"/>
    </row>
    <row r="160" spans="2:232" x14ac:dyDescent="0.2">
      <c r="B160" s="143"/>
      <c r="C160" s="143"/>
      <c r="D160" s="143"/>
      <c r="E160" s="143"/>
      <c r="F160" s="143"/>
      <c r="G160" s="143"/>
      <c r="H160" s="143"/>
      <c r="I160" s="143"/>
      <c r="J160" s="143"/>
      <c r="K160" s="143"/>
      <c r="L160" s="143"/>
      <c r="M160" s="143"/>
      <c r="N160" s="143"/>
      <c r="O160" s="143"/>
      <c r="P160" s="143"/>
      <c r="Q160" s="143"/>
      <c r="R160" s="143"/>
      <c r="S160" s="143"/>
      <c r="T160" s="143"/>
      <c r="U160" s="143"/>
      <c r="V160" s="143"/>
      <c r="W160" s="143"/>
      <c r="X160" s="143"/>
      <c r="Y160" s="143"/>
      <c r="Z160" s="143"/>
      <c r="AA160" s="143"/>
      <c r="AB160" s="143"/>
      <c r="AC160" s="143"/>
      <c r="AD160" s="143"/>
      <c r="AE160" s="143"/>
      <c r="AF160" s="143"/>
      <c r="AG160" s="143"/>
      <c r="AH160" s="143"/>
      <c r="AI160" s="143"/>
      <c r="AJ160" s="143"/>
      <c r="AK160" s="143"/>
      <c r="AL160" s="143"/>
      <c r="AM160" s="143"/>
      <c r="AN160" s="143"/>
      <c r="AO160" s="143"/>
      <c r="AP160" s="143"/>
      <c r="AQ160" s="143"/>
      <c r="AR160" s="14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row>
  </sheetData>
  <mergeCells count="2">
    <mergeCell ref="A2:C2"/>
    <mergeCell ref="A3:C3"/>
  </mergeCells>
  <pageMargins left="0.75" right="0.75" top="1" bottom="1" header="0" footer="0"/>
  <headerFooter alignWithMargins="0"/>
  <legacy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B230"/>
  <sheetViews>
    <sheetView workbookViewId="0">
      <selection activeCell="B1" sqref="B1"/>
    </sheetView>
  </sheetViews>
  <sheetFormatPr baseColWidth="10" defaultColWidth="11.6640625" defaultRowHeight="15" x14ac:dyDescent="0.2"/>
  <cols>
    <col min="1" max="1" width="4.83203125" style="106" customWidth="1"/>
    <col min="2" max="2" width="41.1640625" style="106" customWidth="1"/>
    <col min="3" max="3" width="11.6640625" style="106"/>
    <col min="4" max="4" width="6.1640625" style="106" customWidth="1"/>
    <col min="5" max="28" width="6.83203125" style="106" customWidth="1"/>
    <col min="29" max="29" width="6.1640625" style="106" customWidth="1"/>
    <col min="30" max="30" width="11.6640625" style="106"/>
    <col min="31" max="32" width="6.1640625" style="106" customWidth="1"/>
    <col min="33" max="33" width="11.6640625" style="106"/>
    <col min="34" max="35" width="6.1640625" style="106" customWidth="1"/>
    <col min="36" max="36" width="11.6640625" style="106"/>
    <col min="37" max="38" width="6.1640625" style="106" customWidth="1"/>
    <col min="39" max="39" width="11.6640625" style="106"/>
    <col min="40" max="41" width="6.1640625" style="106" customWidth="1"/>
    <col min="42" max="42" width="11.6640625" style="106"/>
    <col min="43" max="44" width="6.1640625" style="106" customWidth="1"/>
    <col min="45" max="45" width="11.6640625" style="106"/>
    <col min="46" max="47" width="6.1640625" style="106" customWidth="1"/>
    <col min="48" max="48" width="11.6640625" style="106"/>
    <col min="49" max="50" width="6.1640625" style="106" customWidth="1"/>
    <col min="51" max="51" width="11.6640625" style="106"/>
    <col min="52" max="53" width="6.1640625" style="106" customWidth="1"/>
    <col min="54" max="54" width="11.6640625" style="106"/>
    <col min="55" max="56" width="6.1640625" style="106" customWidth="1"/>
    <col min="57" max="57" width="11.6640625" style="106"/>
    <col min="58" max="59" width="6.1640625" style="106" customWidth="1"/>
    <col min="60" max="60" width="11.6640625" style="106"/>
    <col min="61" max="62" width="6.1640625" style="106" customWidth="1"/>
    <col min="63" max="63" width="11.6640625" style="106"/>
    <col min="64" max="65" width="6.1640625" style="106" customWidth="1"/>
    <col min="66" max="66" width="11.6640625" style="106"/>
    <col min="67" max="68" width="6.1640625" style="106" customWidth="1"/>
    <col min="69" max="69" width="11.6640625" style="106"/>
    <col min="70" max="71" width="6.1640625" style="106" customWidth="1"/>
    <col min="72" max="72" width="11.6640625" style="106"/>
    <col min="73" max="74" width="6.1640625" style="106" customWidth="1"/>
    <col min="75" max="75" width="11.6640625" style="106"/>
    <col min="76" max="77" width="6.1640625" style="106" customWidth="1"/>
    <col min="78" max="78" width="11.6640625" style="106"/>
    <col min="79" max="80" width="6.1640625" style="106" customWidth="1"/>
    <col min="81" max="81" width="11.6640625" style="106"/>
    <col min="82" max="83" width="6.1640625" style="106" customWidth="1"/>
    <col min="84" max="84" width="11.6640625" style="106"/>
    <col min="85" max="86" width="6.1640625" style="106" customWidth="1"/>
    <col min="87" max="87" width="11.6640625" style="106"/>
    <col min="88" max="89" width="6.1640625" style="106" customWidth="1"/>
    <col min="90" max="90" width="11.6640625" style="106"/>
    <col min="91" max="92" width="6.1640625" style="106" customWidth="1"/>
    <col min="93" max="93" width="11.6640625" style="106"/>
    <col min="94" max="95" width="6.1640625" style="106" customWidth="1"/>
    <col min="96" max="96" width="11.6640625" style="106"/>
    <col min="97" max="98" width="6.1640625" style="106" customWidth="1"/>
    <col min="99" max="99" width="11.6640625" style="106"/>
    <col min="100" max="101" width="6.1640625" style="106" customWidth="1"/>
    <col min="102" max="102" width="11.6640625" style="106"/>
    <col min="103" max="104" width="6.1640625" style="106" customWidth="1"/>
    <col min="105" max="105" width="11.6640625" style="106"/>
    <col min="106" max="107" width="6.1640625" style="106" customWidth="1"/>
    <col min="108" max="108" width="11.6640625" style="106"/>
    <col min="109" max="110" width="6.1640625" style="106" customWidth="1"/>
    <col min="111" max="111" width="11.6640625" style="106"/>
    <col min="112" max="113" width="6.1640625" style="106" customWidth="1"/>
    <col min="114" max="114" width="11.6640625" style="106"/>
    <col min="115" max="116" width="6.1640625" style="106" customWidth="1"/>
    <col min="117" max="117" width="11.6640625" style="106"/>
    <col min="118" max="119" width="6.1640625" style="106" customWidth="1"/>
    <col min="120" max="120" width="11.6640625" style="106"/>
    <col min="121" max="122" width="6.1640625" style="106" customWidth="1"/>
    <col min="123" max="123" width="11.6640625" style="106"/>
    <col min="124" max="125" width="6.1640625" style="106" customWidth="1"/>
    <col min="126" max="126" width="11.6640625" style="106"/>
    <col min="127" max="128" width="6.1640625" style="106" customWidth="1"/>
    <col min="129" max="129" width="11.6640625" style="106"/>
    <col min="130" max="131" width="6.1640625" style="106" customWidth="1"/>
    <col min="132" max="132" width="11.6640625" style="106"/>
    <col min="133" max="134" width="6.1640625" style="106" customWidth="1"/>
    <col min="135" max="135" width="11.6640625" style="106"/>
    <col min="136" max="137" width="6.1640625" style="106" customWidth="1"/>
    <col min="138" max="138" width="11.6640625" style="106"/>
    <col min="139" max="140" width="6.1640625" style="106" customWidth="1"/>
    <col min="141" max="141" width="11.6640625" style="106"/>
    <col min="142" max="143" width="6.1640625" style="106" customWidth="1"/>
    <col min="144" max="144" width="11.6640625" style="106"/>
    <col min="145" max="146" width="6.1640625" style="106" customWidth="1"/>
    <col min="147" max="147" width="11.6640625" style="106"/>
    <col min="148" max="149" width="6.1640625" style="106" customWidth="1"/>
    <col min="150" max="150" width="11.6640625" style="106"/>
    <col min="151" max="152" width="6.1640625" style="106" customWidth="1"/>
    <col min="153" max="153" width="11.6640625" style="106"/>
    <col min="154" max="155" width="6.1640625" style="106" customWidth="1"/>
    <col min="156" max="156" width="11.6640625" style="106"/>
    <col min="157" max="158" width="6.1640625" style="106" customWidth="1"/>
    <col min="159" max="159" width="11.6640625" style="106"/>
    <col min="160" max="161" width="6.1640625" style="106" customWidth="1"/>
    <col min="162" max="162" width="11.6640625" style="106"/>
    <col min="163" max="164" width="6.1640625" style="106" customWidth="1"/>
    <col min="165" max="165" width="11.6640625" style="106"/>
    <col min="166" max="167" width="6.1640625" style="106" customWidth="1"/>
    <col min="168" max="168" width="11.6640625" style="106"/>
    <col min="169" max="170" width="6.1640625" style="106" customWidth="1"/>
    <col min="171" max="171" width="11.6640625" style="106"/>
    <col min="172" max="173" width="6.1640625" style="106" customWidth="1"/>
    <col min="174" max="174" width="11.6640625" style="106"/>
    <col min="175" max="176" width="6.1640625" style="106" customWidth="1"/>
    <col min="177" max="177" width="11.6640625" style="106"/>
    <col min="178" max="179" width="6.1640625" style="106" customWidth="1"/>
    <col min="180" max="180" width="11.6640625" style="106"/>
    <col min="181" max="182" width="6.1640625" style="106" customWidth="1"/>
    <col min="183" max="183" width="11.6640625" style="106"/>
    <col min="184" max="185" width="6.1640625" style="106" customWidth="1"/>
    <col min="186" max="186" width="11.6640625" style="106"/>
    <col min="187" max="188" width="6.1640625" style="106" customWidth="1"/>
    <col min="189" max="189" width="11.6640625" style="106"/>
    <col min="190" max="191" width="6.1640625" style="106" customWidth="1"/>
    <col min="192" max="192" width="11.6640625" style="106"/>
    <col min="193" max="194" width="6.1640625" style="106" customWidth="1"/>
    <col min="195" max="195" width="11.6640625" style="106"/>
    <col min="196" max="197" width="6.1640625" style="106" customWidth="1"/>
    <col min="198" max="198" width="11.6640625" style="106"/>
    <col min="199" max="200" width="6.1640625" style="106" customWidth="1"/>
    <col min="201" max="201" width="11.6640625" style="106"/>
    <col min="202" max="203" width="6.1640625" style="106" customWidth="1"/>
    <col min="204" max="204" width="11.6640625" style="106"/>
    <col min="205" max="206" width="6.1640625" style="106" customWidth="1"/>
    <col min="207" max="207" width="11.6640625" style="106"/>
    <col min="208" max="209" width="6.1640625" style="106" customWidth="1"/>
    <col min="210" max="210" width="11.6640625" style="106"/>
    <col min="211" max="212" width="6.1640625" style="106" customWidth="1"/>
    <col min="213" max="213" width="11.6640625" style="106"/>
    <col min="214" max="215" width="6.1640625" style="106" customWidth="1"/>
    <col min="216" max="216" width="11.6640625" style="106"/>
    <col min="217" max="218" width="6.1640625" style="106" customWidth="1"/>
    <col min="219" max="219" width="11.6640625" style="106"/>
    <col min="220" max="221" width="6.1640625" style="106" customWidth="1"/>
    <col min="222" max="222" width="11.6640625" style="106"/>
    <col min="223" max="224" width="6.1640625" style="106" customWidth="1"/>
    <col min="225" max="225" width="11.6640625" style="106"/>
    <col min="226" max="227" width="6.1640625" style="106" customWidth="1"/>
    <col min="228" max="228" width="11.6640625" style="106"/>
    <col min="229" max="230" width="6.1640625" style="106" customWidth="1"/>
    <col min="231" max="231" width="11.6640625" style="106"/>
    <col min="232" max="233" width="6.1640625" style="106" customWidth="1"/>
    <col min="234" max="234" width="11.6640625" style="106"/>
    <col min="235" max="236" width="6.1640625" style="106" customWidth="1"/>
    <col min="237" max="16384" width="11.6640625" style="106"/>
  </cols>
  <sheetData>
    <row r="1" spans="1:4" x14ac:dyDescent="0.2">
      <c r="A1" s="1600" t="s">
        <v>1111</v>
      </c>
      <c r="B1" s="1600"/>
    </row>
    <row r="2" spans="1:4" ht="24.5" customHeight="1" x14ac:dyDescent="0.2">
      <c r="A2" s="1601" t="s">
        <v>1800</v>
      </c>
      <c r="B2" s="1602"/>
      <c r="C2" s="1602"/>
      <c r="D2" s="1603"/>
    </row>
    <row r="3" spans="1:4" x14ac:dyDescent="0.2">
      <c r="A3" s="1604" t="s">
        <v>5426</v>
      </c>
      <c r="B3" s="1605"/>
      <c r="C3" s="1605"/>
      <c r="D3" s="1606"/>
    </row>
    <row r="4" spans="1:4" x14ac:dyDescent="0.2">
      <c r="A4" s="164">
        <v>1</v>
      </c>
      <c r="B4" s="134" t="s">
        <v>5427</v>
      </c>
      <c r="C4" s="145">
        <v>6179738</v>
      </c>
      <c r="D4" s="307">
        <v>51</v>
      </c>
    </row>
    <row r="5" spans="1:4" x14ac:dyDescent="0.2">
      <c r="A5" s="164">
        <v>2</v>
      </c>
      <c r="B5" s="134" t="s">
        <v>1569</v>
      </c>
      <c r="C5" s="145">
        <v>350330</v>
      </c>
      <c r="D5" s="307">
        <v>70</v>
      </c>
    </row>
    <row r="6" spans="1:4" x14ac:dyDescent="0.2">
      <c r="A6" s="164">
        <v>3</v>
      </c>
      <c r="B6" s="134" t="s">
        <v>5172</v>
      </c>
      <c r="C6" s="145">
        <v>88906</v>
      </c>
      <c r="D6" s="307">
        <v>31</v>
      </c>
    </row>
    <row r="7" spans="1:4" x14ac:dyDescent="0.2">
      <c r="A7" s="164">
        <v>4</v>
      </c>
      <c r="B7" s="134" t="s">
        <v>1175</v>
      </c>
      <c r="C7" s="145">
        <v>48148</v>
      </c>
      <c r="D7" s="307">
        <v>76</v>
      </c>
    </row>
    <row r="8" spans="1:4" x14ac:dyDescent="0.2">
      <c r="A8" s="164">
        <v>5</v>
      </c>
      <c r="B8" s="134" t="s">
        <v>3287</v>
      </c>
      <c r="C8" s="145">
        <v>100100</v>
      </c>
      <c r="D8" s="307">
        <v>89</v>
      </c>
    </row>
    <row r="9" spans="1:4" x14ac:dyDescent="0.2">
      <c r="A9" s="164">
        <v>6</v>
      </c>
      <c r="B9" s="134" t="s">
        <v>5052</v>
      </c>
      <c r="C9" s="145">
        <v>423145</v>
      </c>
      <c r="D9" s="307">
        <v>52</v>
      </c>
    </row>
    <row r="10" spans="1:4" x14ac:dyDescent="0.2">
      <c r="A10" s="164">
        <v>7</v>
      </c>
      <c r="B10" s="134" t="s">
        <v>5061</v>
      </c>
      <c r="C10" s="145">
        <v>13149</v>
      </c>
      <c r="D10" s="307">
        <v>81</v>
      </c>
    </row>
    <row r="11" spans="1:4" x14ac:dyDescent="0.2">
      <c r="A11" s="164">
        <v>8</v>
      </c>
      <c r="B11" s="134" t="s">
        <v>2763</v>
      </c>
      <c r="C11" s="145">
        <v>120822</v>
      </c>
      <c r="D11" s="307">
        <v>50</v>
      </c>
    </row>
    <row r="12" spans="1:4" x14ac:dyDescent="0.2">
      <c r="A12" s="164">
        <v>9</v>
      </c>
      <c r="B12" s="134" t="s">
        <v>5070</v>
      </c>
      <c r="C12" s="145">
        <v>385</v>
      </c>
      <c r="D12" s="307"/>
    </row>
    <row r="13" spans="1:4" x14ac:dyDescent="0.2">
      <c r="A13" s="164">
        <v>10</v>
      </c>
      <c r="B13" s="134" t="s">
        <v>5428</v>
      </c>
      <c r="C13" s="145">
        <v>7946</v>
      </c>
      <c r="D13" s="307">
        <v>83</v>
      </c>
    </row>
    <row r="14" spans="1:4" x14ac:dyDescent="0.2">
      <c r="A14" s="164">
        <v>11</v>
      </c>
      <c r="B14" s="134" t="s">
        <v>2340</v>
      </c>
      <c r="C14" s="145">
        <v>147260</v>
      </c>
      <c r="D14" s="307"/>
    </row>
    <row r="15" spans="1:4" x14ac:dyDescent="0.2">
      <c r="A15" s="164">
        <v>12</v>
      </c>
      <c r="B15" s="134" t="s">
        <v>5429</v>
      </c>
      <c r="C15" s="145">
        <v>10000</v>
      </c>
      <c r="D15" s="307"/>
    </row>
    <row r="16" spans="1:4" x14ac:dyDescent="0.2">
      <c r="A16" s="164">
        <v>13</v>
      </c>
      <c r="B16" s="134" t="s">
        <v>5430</v>
      </c>
      <c r="C16" s="145">
        <v>62953</v>
      </c>
      <c r="D16" s="307">
        <v>61</v>
      </c>
    </row>
    <row r="17" spans="1:4" x14ac:dyDescent="0.2">
      <c r="A17" s="164">
        <v>14</v>
      </c>
      <c r="B17" s="134" t="s">
        <v>5431</v>
      </c>
      <c r="C17" s="145">
        <v>953869</v>
      </c>
      <c r="D17" s="307">
        <v>90</v>
      </c>
    </row>
    <row r="18" spans="1:4" x14ac:dyDescent="0.2">
      <c r="A18" s="164">
        <v>15</v>
      </c>
      <c r="B18" s="134" t="s">
        <v>5318</v>
      </c>
      <c r="C18" s="145">
        <v>55837</v>
      </c>
      <c r="D18" s="307">
        <v>19</v>
      </c>
    </row>
    <row r="19" spans="1:4" x14ac:dyDescent="0.2">
      <c r="A19" s="164">
        <v>16</v>
      </c>
      <c r="B19" s="134" t="s">
        <v>5432</v>
      </c>
      <c r="C19" s="145">
        <v>23138</v>
      </c>
      <c r="D19" s="307"/>
    </row>
    <row r="20" spans="1:4" x14ac:dyDescent="0.2">
      <c r="A20" s="164">
        <v>17</v>
      </c>
      <c r="B20" s="134" t="s">
        <v>5433</v>
      </c>
      <c r="C20" s="145">
        <v>96830</v>
      </c>
      <c r="D20" s="307">
        <v>9</v>
      </c>
    </row>
    <row r="21" spans="1:4" x14ac:dyDescent="0.2">
      <c r="A21" s="164">
        <v>18</v>
      </c>
      <c r="B21" s="134" t="s">
        <v>5434</v>
      </c>
      <c r="C21" s="145">
        <v>466448</v>
      </c>
      <c r="D21" s="307">
        <v>58</v>
      </c>
    </row>
    <row r="22" spans="1:4" x14ac:dyDescent="0.2">
      <c r="A22" s="151"/>
      <c r="B22" s="194" t="s">
        <v>5435</v>
      </c>
      <c r="C22" s="318">
        <v>9149012</v>
      </c>
      <c r="D22" s="513">
        <v>20</v>
      </c>
    </row>
    <row r="23" spans="1:4" x14ac:dyDescent="0.2">
      <c r="C23" s="321">
        <f>SUM(C4:C21)</f>
        <v>9149004</v>
      </c>
      <c r="D23" s="321">
        <f>SUM(D4:D21)</f>
        <v>820</v>
      </c>
    </row>
    <row r="24" spans="1:4" x14ac:dyDescent="0.2">
      <c r="C24" s="107"/>
    </row>
    <row r="26" spans="1:4" x14ac:dyDescent="0.2">
      <c r="A26" s="1607" t="s">
        <v>1428</v>
      </c>
      <c r="B26" s="1607"/>
      <c r="C26" s="134"/>
      <c r="D26" s="134"/>
    </row>
    <row r="27" spans="1:4" x14ac:dyDescent="0.2">
      <c r="A27" s="1601" t="s">
        <v>1800</v>
      </c>
      <c r="B27" s="1602"/>
      <c r="C27" s="1602"/>
      <c r="D27" s="1603"/>
    </row>
    <row r="28" spans="1:4" x14ac:dyDescent="0.2">
      <c r="A28" s="1604" t="s">
        <v>5436</v>
      </c>
      <c r="B28" s="1605"/>
      <c r="C28" s="1605"/>
      <c r="D28" s="1606"/>
    </row>
    <row r="29" spans="1:4" x14ac:dyDescent="0.2">
      <c r="A29" s="164">
        <v>1</v>
      </c>
      <c r="B29" s="134" t="s">
        <v>5427</v>
      </c>
      <c r="C29" s="145">
        <v>7414776</v>
      </c>
      <c r="D29" s="307">
        <v>66</v>
      </c>
    </row>
    <row r="30" spans="1:4" x14ac:dyDescent="0.2">
      <c r="A30" s="164">
        <v>2</v>
      </c>
      <c r="B30" s="134" t="s">
        <v>1569</v>
      </c>
      <c r="C30" s="145">
        <v>811723</v>
      </c>
      <c r="D30" s="307">
        <v>9</v>
      </c>
    </row>
    <row r="31" spans="1:4" x14ac:dyDescent="0.2">
      <c r="A31" s="164">
        <v>3</v>
      </c>
      <c r="B31" s="134" t="s">
        <v>5172</v>
      </c>
      <c r="C31" s="145">
        <v>215423</v>
      </c>
      <c r="D31" s="307">
        <v>37</v>
      </c>
    </row>
    <row r="32" spans="1:4" x14ac:dyDescent="0.2">
      <c r="A32" s="164">
        <v>4</v>
      </c>
      <c r="B32" s="134" t="s">
        <v>1175</v>
      </c>
      <c r="C32" s="145">
        <v>79150</v>
      </c>
      <c r="D32" s="307">
        <v>20</v>
      </c>
    </row>
    <row r="33" spans="1:4" x14ac:dyDescent="0.2">
      <c r="A33" s="164">
        <v>5</v>
      </c>
      <c r="B33" s="134" t="s">
        <v>3287</v>
      </c>
      <c r="C33" s="145">
        <v>217363</v>
      </c>
      <c r="D33" s="307">
        <v>72</v>
      </c>
    </row>
    <row r="34" spans="1:4" x14ac:dyDescent="0.2">
      <c r="A34" s="164">
        <v>6</v>
      </c>
      <c r="B34" s="134" t="s">
        <v>5052</v>
      </c>
      <c r="C34" s="145">
        <v>450693</v>
      </c>
      <c r="D34" s="307">
        <v>54</v>
      </c>
    </row>
    <row r="35" spans="1:4" ht="27.5" customHeight="1" x14ac:dyDescent="0.2">
      <c r="A35" s="164">
        <v>7</v>
      </c>
      <c r="B35" s="1608" t="s">
        <v>5437</v>
      </c>
      <c r="C35" s="145">
        <v>573890</v>
      </c>
      <c r="D35" s="307">
        <v>78</v>
      </c>
    </row>
    <row r="36" spans="1:4" x14ac:dyDescent="0.2">
      <c r="A36" s="164">
        <v>8</v>
      </c>
      <c r="B36" s="134" t="s">
        <v>2763</v>
      </c>
      <c r="C36" s="145">
        <v>218151</v>
      </c>
      <c r="D36" s="307">
        <v>95</v>
      </c>
    </row>
    <row r="37" spans="1:4" x14ac:dyDescent="0.2">
      <c r="A37" s="164">
        <v>9</v>
      </c>
      <c r="B37" s="134" t="s">
        <v>5070</v>
      </c>
      <c r="C37" s="145">
        <v>750</v>
      </c>
      <c r="D37" s="307">
        <v>40</v>
      </c>
    </row>
    <row r="38" spans="1:4" x14ac:dyDescent="0.2">
      <c r="A38" s="164">
        <v>10</v>
      </c>
      <c r="B38" s="134" t="s">
        <v>5428</v>
      </c>
      <c r="C38" s="145">
        <v>25590</v>
      </c>
      <c r="D38" s="307">
        <v>40</v>
      </c>
    </row>
    <row r="39" spans="1:4" x14ac:dyDescent="0.2">
      <c r="A39" s="164">
        <v>11</v>
      </c>
      <c r="B39" s="134" t="s">
        <v>5438</v>
      </c>
      <c r="C39" s="145"/>
      <c r="D39" s="307"/>
    </row>
    <row r="40" spans="1:4" x14ac:dyDescent="0.2">
      <c r="A40" s="164">
        <v>12</v>
      </c>
      <c r="B40" s="134" t="s">
        <v>5430</v>
      </c>
      <c r="C40" s="145">
        <v>250169</v>
      </c>
      <c r="D40" s="307">
        <v>36</v>
      </c>
    </row>
    <row r="41" spans="1:4" x14ac:dyDescent="0.2">
      <c r="A41" s="164">
        <v>13</v>
      </c>
      <c r="B41" s="134" t="s">
        <v>5439</v>
      </c>
      <c r="C41" s="145">
        <v>1250</v>
      </c>
      <c r="D41" s="307"/>
    </row>
    <row r="42" spans="1:4" x14ac:dyDescent="0.2">
      <c r="A42" s="164">
        <v>14</v>
      </c>
      <c r="B42" s="134" t="s">
        <v>5440</v>
      </c>
      <c r="C42" s="145">
        <v>1637228</v>
      </c>
      <c r="D42" s="307">
        <v>80</v>
      </c>
    </row>
    <row r="43" spans="1:4" x14ac:dyDescent="0.2">
      <c r="A43" s="164">
        <v>15</v>
      </c>
      <c r="B43" s="134" t="s">
        <v>5318</v>
      </c>
      <c r="C43" s="145">
        <v>349757</v>
      </c>
      <c r="D43" s="307">
        <v>29</v>
      </c>
    </row>
    <row r="44" spans="1:4" x14ac:dyDescent="0.2">
      <c r="A44" s="164">
        <v>16</v>
      </c>
      <c r="B44" s="134" t="s">
        <v>5432</v>
      </c>
      <c r="C44" s="145">
        <v>80227</v>
      </c>
      <c r="D44" s="307">
        <v>27</v>
      </c>
    </row>
    <row r="45" spans="1:4" x14ac:dyDescent="0.2">
      <c r="A45" s="164">
        <v>17</v>
      </c>
      <c r="B45" s="134" t="s">
        <v>5433</v>
      </c>
      <c r="C45" s="145">
        <v>510189</v>
      </c>
      <c r="D45" s="307">
        <v>55</v>
      </c>
    </row>
    <row r="46" spans="1:4" x14ac:dyDescent="0.2">
      <c r="A46" s="164">
        <v>18</v>
      </c>
      <c r="B46" s="134" t="s">
        <v>5441</v>
      </c>
      <c r="C46" s="145">
        <v>861280</v>
      </c>
      <c r="D46" s="307">
        <v>44</v>
      </c>
    </row>
    <row r="47" spans="1:4" x14ac:dyDescent="0.2">
      <c r="A47" s="219">
        <v>19</v>
      </c>
      <c r="B47" s="184" t="s">
        <v>5442</v>
      </c>
      <c r="C47" s="145">
        <v>73738</v>
      </c>
      <c r="D47" s="307">
        <v>80</v>
      </c>
    </row>
    <row r="48" spans="1:4" x14ac:dyDescent="0.2">
      <c r="A48" s="219">
        <v>20</v>
      </c>
      <c r="B48" s="184" t="s">
        <v>5443</v>
      </c>
      <c r="C48" s="145">
        <v>151521</v>
      </c>
      <c r="D48" s="307">
        <v>21</v>
      </c>
    </row>
    <row r="49" spans="1:4" ht="16" thickBot="1" x14ac:dyDescent="0.25">
      <c r="A49" s="219">
        <v>21</v>
      </c>
      <c r="B49" s="184" t="s">
        <v>5444</v>
      </c>
      <c r="C49" s="187">
        <v>12797</v>
      </c>
      <c r="D49" s="444">
        <v>39</v>
      </c>
    </row>
    <row r="50" spans="1:4" x14ac:dyDescent="0.2">
      <c r="A50" s="151"/>
      <c r="B50" s="1609" t="s">
        <v>5445</v>
      </c>
      <c r="C50" s="309">
        <v>13935674</v>
      </c>
      <c r="D50" s="364">
        <v>22</v>
      </c>
    </row>
    <row r="51" spans="1:4" x14ac:dyDescent="0.2">
      <c r="C51" s="321">
        <f>SUM(C29:C49)</f>
        <v>13935665</v>
      </c>
      <c r="D51" s="321">
        <f>SUM(D29:D49)</f>
        <v>922</v>
      </c>
    </row>
    <row r="52" spans="1:4" x14ac:dyDescent="0.2">
      <c r="C52" s="107"/>
    </row>
    <row r="55" spans="1:4" x14ac:dyDescent="0.2">
      <c r="A55" s="1607" t="s">
        <v>1182</v>
      </c>
      <c r="B55" s="1607"/>
      <c r="C55" s="134"/>
      <c r="D55" s="134"/>
    </row>
    <row r="56" spans="1:4" x14ac:dyDescent="0.2">
      <c r="A56" s="1601" t="s">
        <v>1800</v>
      </c>
      <c r="B56" s="1602"/>
      <c r="C56" s="1602"/>
      <c r="D56" s="1603"/>
    </row>
    <row r="57" spans="1:4" x14ac:dyDescent="0.2">
      <c r="A57" s="1604" t="s">
        <v>5446</v>
      </c>
      <c r="B57" s="1605"/>
      <c r="C57" s="1605"/>
      <c r="D57" s="1606"/>
    </row>
    <row r="58" spans="1:4" x14ac:dyDescent="0.2">
      <c r="A58" s="164">
        <v>1</v>
      </c>
      <c r="B58" s="134" t="s">
        <v>5427</v>
      </c>
      <c r="C58" s="145">
        <v>6600690</v>
      </c>
      <c r="D58" s="307">
        <v>88</v>
      </c>
    </row>
    <row r="59" spans="1:4" x14ac:dyDescent="0.2">
      <c r="A59" s="164">
        <v>2</v>
      </c>
      <c r="B59" s="134" t="s">
        <v>1569</v>
      </c>
      <c r="C59" s="145">
        <v>1155983</v>
      </c>
      <c r="D59" s="307">
        <v>21</v>
      </c>
    </row>
    <row r="60" spans="1:4" x14ac:dyDescent="0.2">
      <c r="A60" s="164">
        <v>3</v>
      </c>
      <c r="B60" s="134" t="s">
        <v>5172</v>
      </c>
      <c r="C60" s="145">
        <v>409564</v>
      </c>
      <c r="D60" s="307">
        <v>13</v>
      </c>
    </row>
    <row r="61" spans="1:4" x14ac:dyDescent="0.2">
      <c r="A61" s="164">
        <v>4</v>
      </c>
      <c r="B61" s="134" t="s">
        <v>1175</v>
      </c>
      <c r="C61" s="145">
        <v>86269</v>
      </c>
      <c r="D61" s="307">
        <v>93</v>
      </c>
    </row>
    <row r="62" spans="1:4" x14ac:dyDescent="0.2">
      <c r="A62" s="164">
        <v>5</v>
      </c>
      <c r="B62" s="134" t="s">
        <v>3287</v>
      </c>
      <c r="C62" s="145">
        <v>245798</v>
      </c>
      <c r="D62" s="307">
        <v>16</v>
      </c>
    </row>
    <row r="63" spans="1:4" x14ac:dyDescent="0.2">
      <c r="A63" s="164">
        <v>6</v>
      </c>
      <c r="B63" s="134" t="s">
        <v>5052</v>
      </c>
      <c r="C63" s="145">
        <v>466741</v>
      </c>
      <c r="D63" s="307">
        <v>50</v>
      </c>
    </row>
    <row r="64" spans="1:4" ht="33.5" customHeight="1" x14ac:dyDescent="0.2">
      <c r="A64" s="164">
        <v>7</v>
      </c>
      <c r="B64" s="1608" t="s">
        <v>5437</v>
      </c>
      <c r="C64" s="145">
        <v>338121</v>
      </c>
      <c r="D64" s="307">
        <v>50</v>
      </c>
    </row>
    <row r="65" spans="1:4" x14ac:dyDescent="0.2">
      <c r="A65" s="164">
        <v>8</v>
      </c>
      <c r="B65" s="134" t="s">
        <v>2763</v>
      </c>
      <c r="C65" s="145">
        <v>156054</v>
      </c>
      <c r="D65" s="307">
        <v>22</v>
      </c>
    </row>
    <row r="66" spans="1:4" x14ac:dyDescent="0.2">
      <c r="A66" s="164">
        <v>9</v>
      </c>
      <c r="B66" s="134" t="s">
        <v>5070</v>
      </c>
      <c r="C66" s="145">
        <v>514</v>
      </c>
      <c r="D66" s="307">
        <v>60</v>
      </c>
    </row>
    <row r="67" spans="1:4" x14ac:dyDescent="0.2">
      <c r="A67" s="164">
        <v>10</v>
      </c>
      <c r="B67" s="134" t="s">
        <v>5447</v>
      </c>
      <c r="C67" s="145">
        <v>17458</v>
      </c>
      <c r="D67" s="307">
        <v>77</v>
      </c>
    </row>
    <row r="68" spans="1:4" x14ac:dyDescent="0.2">
      <c r="A68" s="164">
        <v>11</v>
      </c>
      <c r="B68" s="134" t="s">
        <v>5430</v>
      </c>
      <c r="C68" s="145">
        <v>130209</v>
      </c>
      <c r="D68" s="307">
        <v>92</v>
      </c>
    </row>
    <row r="69" spans="1:4" x14ac:dyDescent="0.2">
      <c r="A69" s="164">
        <v>12</v>
      </c>
      <c r="B69" s="134" t="s">
        <v>5439</v>
      </c>
      <c r="C69" s="145">
        <v>1250</v>
      </c>
      <c r="D69" s="307"/>
    </row>
    <row r="70" spans="1:4" x14ac:dyDescent="0.2">
      <c r="A70" s="164">
        <v>13</v>
      </c>
      <c r="B70" s="134" t="s">
        <v>5440</v>
      </c>
      <c r="C70" s="145">
        <v>2095001</v>
      </c>
      <c r="D70" s="307">
        <v>36</v>
      </c>
    </row>
    <row r="71" spans="1:4" x14ac:dyDescent="0.2">
      <c r="A71" s="164">
        <v>14</v>
      </c>
      <c r="B71" s="134" t="s">
        <v>5318</v>
      </c>
      <c r="C71" s="145">
        <v>517534</v>
      </c>
      <c r="D71" s="307">
        <v>89</v>
      </c>
    </row>
    <row r="72" spans="1:4" x14ac:dyDescent="0.2">
      <c r="A72" s="164">
        <v>15</v>
      </c>
      <c r="B72" s="134" t="s">
        <v>5432</v>
      </c>
      <c r="C72" s="145">
        <v>233850</v>
      </c>
      <c r="D72" s="307">
        <v>69</v>
      </c>
    </row>
    <row r="73" spans="1:4" x14ac:dyDescent="0.2">
      <c r="A73" s="164">
        <v>16</v>
      </c>
      <c r="B73" s="134" t="s">
        <v>5433</v>
      </c>
      <c r="C73" s="145">
        <v>749376</v>
      </c>
      <c r="D73" s="307">
        <v>7</v>
      </c>
    </row>
    <row r="74" spans="1:4" x14ac:dyDescent="0.2">
      <c r="A74" s="164">
        <v>17</v>
      </c>
      <c r="B74" s="134" t="s">
        <v>5441</v>
      </c>
      <c r="C74" s="145">
        <v>1489237</v>
      </c>
      <c r="D74" s="307">
        <v>64</v>
      </c>
    </row>
    <row r="75" spans="1:4" x14ac:dyDescent="0.2">
      <c r="A75" s="164">
        <v>18</v>
      </c>
      <c r="B75" s="184" t="s">
        <v>5442</v>
      </c>
      <c r="C75" s="145">
        <v>87452</v>
      </c>
      <c r="D75" s="307">
        <v>3</v>
      </c>
    </row>
    <row r="76" spans="1:4" x14ac:dyDescent="0.2">
      <c r="A76" s="219">
        <v>19</v>
      </c>
      <c r="B76" s="184" t="s">
        <v>5443</v>
      </c>
      <c r="C76" s="145">
        <v>84522</v>
      </c>
      <c r="D76" s="307">
        <v>2</v>
      </c>
    </row>
    <row r="77" spans="1:4" x14ac:dyDescent="0.2">
      <c r="A77" s="219">
        <v>20</v>
      </c>
      <c r="B77" s="184" t="s">
        <v>5444</v>
      </c>
      <c r="C77" s="145">
        <v>186677</v>
      </c>
      <c r="D77" s="307">
        <v>60</v>
      </c>
    </row>
    <row r="78" spans="1:4" x14ac:dyDescent="0.2">
      <c r="A78" s="219">
        <v>21</v>
      </c>
      <c r="B78" s="184" t="s">
        <v>5448</v>
      </c>
      <c r="C78" s="145">
        <v>748043</v>
      </c>
      <c r="D78" s="307">
        <v>71</v>
      </c>
    </row>
    <row r="79" spans="1:4" ht="16" thickBot="1" x14ac:dyDescent="0.25">
      <c r="A79" s="219">
        <v>22</v>
      </c>
      <c r="B79" s="184" t="s">
        <v>5449</v>
      </c>
      <c r="C79" s="187">
        <v>29302</v>
      </c>
      <c r="D79" s="444">
        <v>76</v>
      </c>
    </row>
    <row r="80" spans="1:4" x14ac:dyDescent="0.2">
      <c r="A80" s="151"/>
      <c r="B80" s="1609" t="s">
        <v>5445</v>
      </c>
      <c r="C80" s="309">
        <v>15829655</v>
      </c>
      <c r="D80" s="364">
        <v>59</v>
      </c>
    </row>
    <row r="81" spans="1:4" x14ac:dyDescent="0.2">
      <c r="C81" s="321">
        <f>SUM(C58:C79)</f>
        <v>15829645</v>
      </c>
      <c r="D81" s="321">
        <f>SUM(D58:D79)</f>
        <v>1059</v>
      </c>
    </row>
    <row r="82" spans="1:4" x14ac:dyDescent="0.2">
      <c r="C82" s="107"/>
    </row>
    <row r="84" spans="1:4" x14ac:dyDescent="0.2">
      <c r="A84" s="1607" t="s">
        <v>1226</v>
      </c>
      <c r="B84" s="1607"/>
      <c r="C84" s="134"/>
      <c r="D84" s="134"/>
    </row>
    <row r="85" spans="1:4" x14ac:dyDescent="0.2">
      <c r="A85" s="1601" t="s">
        <v>1800</v>
      </c>
      <c r="B85" s="1602"/>
      <c r="C85" s="1602"/>
      <c r="D85" s="1603"/>
    </row>
    <row r="86" spans="1:4" x14ac:dyDescent="0.2">
      <c r="A86" s="1604" t="s">
        <v>5450</v>
      </c>
      <c r="B86" s="1605"/>
      <c r="C86" s="1605"/>
      <c r="D86" s="1606"/>
    </row>
    <row r="87" spans="1:4" x14ac:dyDescent="0.2">
      <c r="A87" s="164">
        <v>1</v>
      </c>
      <c r="B87" s="134" t="s">
        <v>5427</v>
      </c>
      <c r="C87" s="145">
        <v>6169236</v>
      </c>
      <c r="D87" s="307">
        <v>72</v>
      </c>
    </row>
    <row r="88" spans="1:4" x14ac:dyDescent="0.2">
      <c r="A88" s="164">
        <v>2</v>
      </c>
      <c r="B88" s="134" t="s">
        <v>5430</v>
      </c>
      <c r="C88" s="145">
        <v>139278</v>
      </c>
      <c r="D88" s="307">
        <v>26</v>
      </c>
    </row>
    <row r="89" spans="1:4" x14ac:dyDescent="0.2">
      <c r="A89" s="164">
        <v>3</v>
      </c>
      <c r="B89" s="134" t="s">
        <v>5444</v>
      </c>
      <c r="C89" s="145">
        <v>117481</v>
      </c>
      <c r="D89" s="307">
        <v>35</v>
      </c>
    </row>
    <row r="90" spans="1:4" x14ac:dyDescent="0.2">
      <c r="A90" s="164">
        <v>4</v>
      </c>
      <c r="B90" s="134" t="s">
        <v>5052</v>
      </c>
      <c r="C90" s="145">
        <v>457196</v>
      </c>
      <c r="D90" s="307">
        <v>89</v>
      </c>
    </row>
    <row r="91" spans="1:4" x14ac:dyDescent="0.2">
      <c r="A91" s="164">
        <v>5</v>
      </c>
      <c r="B91" s="184" t="s">
        <v>1175</v>
      </c>
      <c r="C91" s="145">
        <v>83909</v>
      </c>
      <c r="D91" s="307">
        <v>92</v>
      </c>
    </row>
    <row r="92" spans="1:4" x14ac:dyDescent="0.2">
      <c r="A92" s="164">
        <v>6</v>
      </c>
      <c r="B92" s="134" t="s">
        <v>3287</v>
      </c>
      <c r="C92" s="145">
        <v>271985</v>
      </c>
      <c r="D92" s="307">
        <v>78</v>
      </c>
    </row>
    <row r="93" spans="1:4" x14ac:dyDescent="0.2">
      <c r="A93" s="164">
        <v>7</v>
      </c>
      <c r="B93" s="134" t="s">
        <v>5070</v>
      </c>
      <c r="C93" s="145">
        <v>339</v>
      </c>
      <c r="D93" s="307">
        <v>80</v>
      </c>
    </row>
    <row r="94" spans="1:4" x14ac:dyDescent="0.2">
      <c r="A94" s="164">
        <v>8</v>
      </c>
      <c r="B94" s="1608" t="s">
        <v>5447</v>
      </c>
      <c r="C94" s="145">
        <v>1011651</v>
      </c>
      <c r="D94" s="307">
        <v>38</v>
      </c>
    </row>
    <row r="95" spans="1:4" x14ac:dyDescent="0.2">
      <c r="A95" s="164">
        <v>9</v>
      </c>
      <c r="B95" s="134" t="s">
        <v>5442</v>
      </c>
      <c r="C95" s="145">
        <v>19745</v>
      </c>
      <c r="D95" s="307">
        <v>36</v>
      </c>
    </row>
    <row r="96" spans="1:4" x14ac:dyDescent="0.2">
      <c r="A96" s="164">
        <v>10</v>
      </c>
      <c r="B96" s="134" t="s">
        <v>5439</v>
      </c>
      <c r="C96" s="145">
        <v>524</v>
      </c>
      <c r="D96" s="307"/>
    </row>
    <row r="97" spans="1:4" x14ac:dyDescent="0.2">
      <c r="A97" s="164">
        <v>11</v>
      </c>
      <c r="B97" s="134" t="s">
        <v>5061</v>
      </c>
      <c r="C97" s="145">
        <v>61811</v>
      </c>
      <c r="D97" s="307">
        <v>55</v>
      </c>
    </row>
    <row r="98" spans="1:4" x14ac:dyDescent="0.2">
      <c r="A98" s="164">
        <v>12</v>
      </c>
      <c r="B98" s="134" t="s">
        <v>5451</v>
      </c>
      <c r="C98" s="145">
        <v>262685</v>
      </c>
      <c r="D98" s="307">
        <v>79</v>
      </c>
    </row>
    <row r="99" spans="1:4" x14ac:dyDescent="0.2">
      <c r="A99" s="164">
        <v>13</v>
      </c>
      <c r="B99" s="134" t="s">
        <v>1569</v>
      </c>
      <c r="C99" s="145">
        <v>1147008</v>
      </c>
      <c r="D99" s="307">
        <v>11</v>
      </c>
    </row>
    <row r="100" spans="1:4" x14ac:dyDescent="0.2">
      <c r="A100" s="164">
        <v>14</v>
      </c>
      <c r="B100" s="184" t="s">
        <v>5443</v>
      </c>
      <c r="C100" s="145">
        <v>111336</v>
      </c>
      <c r="D100" s="307">
        <v>20</v>
      </c>
    </row>
    <row r="101" spans="1:4" x14ac:dyDescent="0.2">
      <c r="A101" s="164">
        <v>15</v>
      </c>
      <c r="B101" s="184" t="s">
        <v>5433</v>
      </c>
      <c r="C101" s="145">
        <v>619492</v>
      </c>
      <c r="D101" s="307">
        <v>43</v>
      </c>
    </row>
    <row r="102" spans="1:4" x14ac:dyDescent="0.2">
      <c r="A102" s="164">
        <v>16</v>
      </c>
      <c r="B102" s="184" t="s">
        <v>5452</v>
      </c>
      <c r="C102" s="145">
        <v>1608251</v>
      </c>
      <c r="D102" s="307">
        <v>51</v>
      </c>
    </row>
    <row r="103" spans="1:4" x14ac:dyDescent="0.2">
      <c r="A103" s="164">
        <v>17</v>
      </c>
      <c r="B103" s="184" t="s">
        <v>2340</v>
      </c>
      <c r="C103" s="145">
        <v>80</v>
      </c>
      <c r="D103" s="307">
        <v>92</v>
      </c>
    </row>
    <row r="104" spans="1:4" x14ac:dyDescent="0.2">
      <c r="A104" s="164">
        <v>18</v>
      </c>
      <c r="B104" s="184" t="s">
        <v>5172</v>
      </c>
      <c r="C104" s="145">
        <v>472697</v>
      </c>
      <c r="D104" s="307">
        <v>41</v>
      </c>
    </row>
    <row r="105" spans="1:4" x14ac:dyDescent="0.2">
      <c r="A105" s="219">
        <v>19</v>
      </c>
      <c r="B105" s="134" t="s">
        <v>5440</v>
      </c>
      <c r="C105" s="145">
        <v>2206991</v>
      </c>
      <c r="D105" s="307">
        <v>76</v>
      </c>
    </row>
    <row r="106" spans="1:4" x14ac:dyDescent="0.2">
      <c r="A106" s="219">
        <v>20</v>
      </c>
      <c r="B106" s="134" t="s">
        <v>5318</v>
      </c>
      <c r="C106" s="145">
        <v>299566</v>
      </c>
      <c r="D106" s="307">
        <v>48</v>
      </c>
    </row>
    <row r="107" spans="1:4" x14ac:dyDescent="0.2">
      <c r="A107" s="219">
        <v>21</v>
      </c>
      <c r="B107" s="134" t="s">
        <v>5432</v>
      </c>
      <c r="C107" s="145">
        <v>444325</v>
      </c>
      <c r="D107" s="307">
        <v>94</v>
      </c>
    </row>
    <row r="108" spans="1:4" x14ac:dyDescent="0.2">
      <c r="A108" s="219">
        <v>22</v>
      </c>
      <c r="B108" s="184" t="s">
        <v>2763</v>
      </c>
      <c r="C108" s="145">
        <v>97607</v>
      </c>
      <c r="D108" s="307">
        <v>78</v>
      </c>
    </row>
    <row r="109" spans="1:4" x14ac:dyDescent="0.2">
      <c r="A109" s="219">
        <v>23</v>
      </c>
      <c r="B109" s="184" t="s">
        <v>5448</v>
      </c>
      <c r="C109" s="145">
        <v>424203</v>
      </c>
      <c r="D109" s="307">
        <v>38</v>
      </c>
    </row>
    <row r="110" spans="1:4" x14ac:dyDescent="0.2">
      <c r="A110" s="219">
        <v>24</v>
      </c>
      <c r="B110" s="184" t="s">
        <v>5453</v>
      </c>
      <c r="C110" s="145">
        <v>32928</v>
      </c>
      <c r="D110" s="307">
        <v>22</v>
      </c>
    </row>
    <row r="111" spans="1:4" x14ac:dyDescent="0.2">
      <c r="A111" s="219">
        <v>25</v>
      </c>
      <c r="B111" s="184" t="s">
        <v>5454</v>
      </c>
      <c r="C111" s="145">
        <v>27152</v>
      </c>
      <c r="D111" s="307">
        <v>71</v>
      </c>
    </row>
    <row r="112" spans="1:4" x14ac:dyDescent="0.2">
      <c r="A112" s="219">
        <v>26</v>
      </c>
      <c r="B112" s="184" t="s">
        <v>5455</v>
      </c>
      <c r="C112" s="145">
        <v>9988</v>
      </c>
      <c r="D112" s="307">
        <v>28</v>
      </c>
    </row>
    <row r="113" spans="1:12" x14ac:dyDescent="0.2">
      <c r="A113" s="219">
        <v>27</v>
      </c>
      <c r="B113" s="184" t="s">
        <v>5456</v>
      </c>
      <c r="C113" s="145">
        <v>9513</v>
      </c>
      <c r="D113" s="307">
        <v>55</v>
      </c>
    </row>
    <row r="114" spans="1:12" x14ac:dyDescent="0.2">
      <c r="A114" s="219">
        <v>28</v>
      </c>
      <c r="B114" s="184" t="s">
        <v>5457</v>
      </c>
      <c r="C114" s="145">
        <v>8354</v>
      </c>
      <c r="D114" s="307">
        <v>10</v>
      </c>
    </row>
    <row r="115" spans="1:12" x14ac:dyDescent="0.2">
      <c r="A115" s="219">
        <v>29</v>
      </c>
      <c r="B115" s="184" t="s">
        <v>5458</v>
      </c>
      <c r="C115" s="145">
        <v>152</v>
      </c>
      <c r="D115" s="307">
        <v>93</v>
      </c>
    </row>
    <row r="116" spans="1:12" x14ac:dyDescent="0.2">
      <c r="A116" s="219">
        <v>30</v>
      </c>
      <c r="B116" s="184" t="s">
        <v>5459</v>
      </c>
      <c r="C116" s="145">
        <v>94</v>
      </c>
      <c r="D116" s="307"/>
    </row>
    <row r="117" spans="1:12" x14ac:dyDescent="0.2">
      <c r="A117" s="219">
        <v>31</v>
      </c>
      <c r="B117" s="184" t="s">
        <v>5460</v>
      </c>
      <c r="C117" s="145">
        <v>563</v>
      </c>
      <c r="D117" s="307">
        <v>13</v>
      </c>
    </row>
    <row r="118" spans="1:12" x14ac:dyDescent="0.2">
      <c r="A118" s="219">
        <v>32</v>
      </c>
      <c r="B118" s="184" t="s">
        <v>5461</v>
      </c>
      <c r="C118" s="145">
        <v>4894</v>
      </c>
      <c r="D118" s="307">
        <v>32</v>
      </c>
    </row>
    <row r="119" spans="1:12" x14ac:dyDescent="0.2">
      <c r="A119" s="219">
        <v>33</v>
      </c>
      <c r="B119" s="184" t="s">
        <v>5462</v>
      </c>
      <c r="C119" s="145">
        <v>15932</v>
      </c>
      <c r="D119" s="307">
        <v>65</v>
      </c>
    </row>
    <row r="120" spans="1:12" x14ac:dyDescent="0.2">
      <c r="A120" s="219">
        <v>34</v>
      </c>
      <c r="B120" s="184" t="s">
        <v>5463</v>
      </c>
      <c r="C120" s="145">
        <v>1431</v>
      </c>
      <c r="D120" s="307">
        <v>87</v>
      </c>
    </row>
    <row r="121" spans="1:12" ht="16" thickBot="1" x14ac:dyDescent="0.25">
      <c r="A121" s="151"/>
      <c r="B121" s="1609" t="s">
        <v>5445</v>
      </c>
      <c r="C121" s="595">
        <v>16138444</v>
      </c>
      <c r="D121" s="596">
        <v>48</v>
      </c>
      <c r="G121" s="134"/>
    </row>
    <row r="122" spans="1:12" x14ac:dyDescent="0.2">
      <c r="C122" s="321">
        <f>SUM(C87:C120)</f>
        <v>16138397</v>
      </c>
      <c r="D122" s="321">
        <f>SUM(D87:D120)</f>
        <v>1748</v>
      </c>
      <c r="G122" s="134"/>
    </row>
    <row r="123" spans="1:12" x14ac:dyDescent="0.2">
      <c r="C123" s="107"/>
    </row>
    <row r="124" spans="1:12" x14ac:dyDescent="0.2">
      <c r="B124" s="134"/>
      <c r="G124" s="134"/>
    </row>
    <row r="125" spans="1:12" x14ac:dyDescent="0.2">
      <c r="A125" s="1607" t="s">
        <v>1272</v>
      </c>
      <c r="B125" s="1607"/>
      <c r="C125" s="134"/>
      <c r="D125" s="184"/>
      <c r="G125" s="184"/>
      <c r="H125" s="143"/>
      <c r="I125" s="143"/>
      <c r="K125" s="143"/>
      <c r="L125" s="143"/>
    </row>
    <row r="126" spans="1:12" x14ac:dyDescent="0.2">
      <c r="A126" s="1601" t="s">
        <v>1800</v>
      </c>
      <c r="B126" s="1602"/>
      <c r="C126" s="1602"/>
      <c r="D126" s="1603"/>
      <c r="G126" s="134"/>
    </row>
    <row r="127" spans="1:12" x14ac:dyDescent="0.2">
      <c r="A127" s="1604" t="s">
        <v>5464</v>
      </c>
      <c r="B127" s="1605"/>
      <c r="C127" s="1605"/>
      <c r="D127" s="1606"/>
      <c r="G127" s="134"/>
    </row>
    <row r="128" spans="1:12" x14ac:dyDescent="0.2">
      <c r="A128" s="164">
        <v>1</v>
      </c>
      <c r="B128" s="134" t="s">
        <v>5465</v>
      </c>
      <c r="C128" s="145">
        <v>6541831</v>
      </c>
      <c r="D128" s="307">
        <v>4</v>
      </c>
      <c r="G128" s="134"/>
    </row>
    <row r="129" spans="1:236" x14ac:dyDescent="0.2">
      <c r="A129" s="164">
        <v>2</v>
      </c>
      <c r="B129" s="134" t="s">
        <v>5466</v>
      </c>
      <c r="C129" s="145">
        <v>18328</v>
      </c>
      <c r="D129" s="307">
        <v>28</v>
      </c>
      <c r="G129" s="184"/>
    </row>
    <row r="130" spans="1:236" x14ac:dyDescent="0.2">
      <c r="A130" s="164">
        <v>3</v>
      </c>
      <c r="B130" s="134" t="s">
        <v>5467</v>
      </c>
      <c r="C130" s="145">
        <v>139658</v>
      </c>
      <c r="D130" s="307">
        <v>25</v>
      </c>
    </row>
    <row r="131" spans="1:236" x14ac:dyDescent="0.2">
      <c r="A131" s="164">
        <v>4</v>
      </c>
      <c r="B131" s="134" t="s">
        <v>5468</v>
      </c>
      <c r="C131" s="145">
        <v>4390</v>
      </c>
      <c r="D131" s="307"/>
      <c r="G131" s="134"/>
    </row>
    <row r="132" spans="1:236" x14ac:dyDescent="0.2">
      <c r="A132" s="164">
        <v>5</v>
      </c>
      <c r="B132" s="184" t="s">
        <v>5469</v>
      </c>
      <c r="C132" s="145">
        <v>123841</v>
      </c>
      <c r="D132" s="307">
        <v>83</v>
      </c>
      <c r="G132" s="134"/>
    </row>
    <row r="133" spans="1:236" x14ac:dyDescent="0.2">
      <c r="A133" s="164">
        <v>6</v>
      </c>
      <c r="B133" s="134" t="s">
        <v>5052</v>
      </c>
      <c r="C133" s="145">
        <v>429128</v>
      </c>
      <c r="D133" s="307">
        <v>89</v>
      </c>
      <c r="G133" s="134"/>
      <c r="H133" s="143"/>
      <c r="I133" s="143"/>
      <c r="K133" s="143"/>
      <c r="L133" s="143"/>
    </row>
    <row r="134" spans="1:236" x14ac:dyDescent="0.2">
      <c r="A134" s="164">
        <v>7</v>
      </c>
      <c r="B134" s="134" t="s">
        <v>1175</v>
      </c>
      <c r="C134" s="145">
        <v>94609</v>
      </c>
      <c r="D134" s="307">
        <v>69</v>
      </c>
      <c r="G134" s="184"/>
    </row>
    <row r="135" spans="1:236" x14ac:dyDescent="0.2">
      <c r="A135" s="164">
        <v>8</v>
      </c>
      <c r="B135" s="1608" t="s">
        <v>3287</v>
      </c>
      <c r="C135" s="145">
        <v>289160</v>
      </c>
      <c r="D135" s="307">
        <v>80</v>
      </c>
      <c r="G135" s="184"/>
    </row>
    <row r="136" spans="1:236" x14ac:dyDescent="0.2">
      <c r="A136" s="164">
        <v>9</v>
      </c>
      <c r="B136" s="134" t="s">
        <v>1397</v>
      </c>
      <c r="C136" s="145">
        <v>107039</v>
      </c>
      <c r="D136" s="307">
        <v>99</v>
      </c>
      <c r="G136" s="134"/>
      <c r="R136" s="107"/>
    </row>
    <row r="137" spans="1:236" x14ac:dyDescent="0.2">
      <c r="A137" s="164">
        <v>10</v>
      </c>
      <c r="B137" s="134" t="s">
        <v>5442</v>
      </c>
      <c r="C137" s="145">
        <v>67336</v>
      </c>
      <c r="D137" s="307">
        <v>51</v>
      </c>
      <c r="G137" s="134"/>
    </row>
    <row r="138" spans="1:236" x14ac:dyDescent="0.2">
      <c r="A138" s="164">
        <v>11</v>
      </c>
      <c r="B138" s="134" t="s">
        <v>1808</v>
      </c>
      <c r="C138" s="145">
        <v>20973</v>
      </c>
      <c r="D138" s="307">
        <v>28</v>
      </c>
      <c r="G138" s="134"/>
    </row>
    <row r="139" spans="1:236" x14ac:dyDescent="0.2">
      <c r="A139" s="164">
        <v>12</v>
      </c>
      <c r="B139" s="134" t="s">
        <v>5070</v>
      </c>
      <c r="C139" s="145">
        <v>295</v>
      </c>
      <c r="D139" s="307">
        <v>60</v>
      </c>
      <c r="G139" s="134"/>
    </row>
    <row r="140" spans="1:236" x14ac:dyDescent="0.2">
      <c r="A140" s="164">
        <v>13</v>
      </c>
      <c r="B140" s="134" t="s">
        <v>5470</v>
      </c>
      <c r="C140" s="145">
        <v>142648</v>
      </c>
      <c r="D140" s="307">
        <v>50</v>
      </c>
      <c r="G140" s="184"/>
      <c r="Q140" s="107"/>
    </row>
    <row r="141" spans="1:236" x14ac:dyDescent="0.2">
      <c r="A141" s="164">
        <v>14</v>
      </c>
      <c r="B141" s="184" t="s">
        <v>5471</v>
      </c>
      <c r="C141" s="145">
        <v>699776</v>
      </c>
      <c r="D141" s="307">
        <v>66</v>
      </c>
      <c r="G141" s="134"/>
    </row>
    <row r="142" spans="1:236" x14ac:dyDescent="0.2">
      <c r="A142" s="164">
        <v>15</v>
      </c>
      <c r="B142" s="184" t="s">
        <v>5472</v>
      </c>
      <c r="C142" s="145">
        <v>703871</v>
      </c>
      <c r="D142" s="307">
        <v>16</v>
      </c>
      <c r="G142" s="134"/>
    </row>
    <row r="143" spans="1:236" x14ac:dyDescent="0.2">
      <c r="A143" s="164">
        <v>16</v>
      </c>
      <c r="B143" s="184" t="s">
        <v>5473</v>
      </c>
      <c r="C143" s="145"/>
      <c r="D143" s="307"/>
      <c r="G143" s="134"/>
    </row>
    <row r="144" spans="1:236" x14ac:dyDescent="0.2">
      <c r="A144" s="164">
        <v>17</v>
      </c>
      <c r="B144" s="184" t="s">
        <v>5474</v>
      </c>
      <c r="C144" s="145">
        <v>39364</v>
      </c>
      <c r="D144" s="307">
        <v>37</v>
      </c>
      <c r="E144" s="143"/>
      <c r="F144" s="143"/>
      <c r="G144" s="134"/>
      <c r="T144" s="143"/>
      <c r="U144" s="143"/>
      <c r="V144" s="143"/>
      <c r="W144" s="143"/>
      <c r="X144" s="143"/>
      <c r="Y144" s="143"/>
      <c r="Z144" s="143"/>
      <c r="AA144" s="143"/>
      <c r="AB144" s="143"/>
      <c r="AC144" s="143"/>
      <c r="AD144" s="143"/>
      <c r="AE144" s="143"/>
      <c r="AF144" s="143"/>
      <c r="AG144" s="143"/>
      <c r="AH144" s="143"/>
      <c r="AI144" s="143"/>
      <c r="AJ144" s="143"/>
      <c r="AK144" s="143"/>
      <c r="AL144" s="143"/>
      <c r="AM144" s="143"/>
      <c r="AN144" s="143"/>
      <c r="AO144" s="143"/>
      <c r="AP144" s="143"/>
      <c r="AQ144" s="143"/>
      <c r="AR144" s="143"/>
      <c r="AS144" s="143"/>
      <c r="AT144" s="143"/>
      <c r="AU144" s="143"/>
      <c r="AV144" s="143"/>
      <c r="AW144" s="143"/>
      <c r="AX144" s="143"/>
      <c r="AY144" s="143"/>
      <c r="AZ144" s="143"/>
      <c r="BA144" s="143"/>
      <c r="BB144" s="143"/>
      <c r="BC144" s="143"/>
      <c r="BD144" s="143"/>
      <c r="BE144" s="143"/>
      <c r="BF144" s="143"/>
      <c r="BG144" s="143"/>
      <c r="BH144" s="143"/>
      <c r="BI144" s="143"/>
      <c r="BJ144" s="143"/>
      <c r="BK144" s="143"/>
      <c r="BL144" s="143"/>
      <c r="BM144" s="143"/>
      <c r="BN144" s="143"/>
      <c r="BO144" s="143"/>
      <c r="BP144" s="143"/>
      <c r="BQ144" s="143"/>
      <c r="BR144" s="143"/>
      <c r="BS144" s="143"/>
      <c r="BT144" s="143"/>
      <c r="BU144" s="143"/>
      <c r="BV144" s="143"/>
      <c r="BW144" s="143"/>
      <c r="BX144" s="143"/>
      <c r="BY144" s="143"/>
      <c r="BZ144" s="143"/>
      <c r="CA144" s="143"/>
      <c r="CB144" s="143"/>
      <c r="CC144" s="143"/>
      <c r="CD144" s="143"/>
      <c r="CE144" s="143"/>
      <c r="CF144" s="143"/>
      <c r="CG144" s="143"/>
      <c r="CH144" s="143"/>
      <c r="CI144" s="143"/>
      <c r="CJ144" s="143"/>
      <c r="CK144" s="143"/>
      <c r="CL144" s="143"/>
      <c r="CM144" s="143"/>
      <c r="CN144" s="143"/>
      <c r="CO144" s="143"/>
      <c r="CP144" s="143"/>
      <c r="CQ144" s="143"/>
      <c r="CR144" s="143"/>
      <c r="CS144" s="143"/>
      <c r="CT144" s="143"/>
      <c r="CU144" s="143"/>
      <c r="CV144" s="143"/>
      <c r="CW144" s="143"/>
      <c r="CX144" s="143"/>
      <c r="CY144" s="143"/>
      <c r="CZ144" s="143"/>
      <c r="DA144" s="143"/>
      <c r="DB144" s="143"/>
      <c r="DC144" s="143"/>
      <c r="DD144" s="143"/>
      <c r="DE144" s="143"/>
      <c r="DF144" s="143"/>
      <c r="DG144" s="143"/>
      <c r="DH144" s="143"/>
      <c r="DI144" s="143"/>
      <c r="DJ144" s="143"/>
      <c r="DK144" s="143"/>
      <c r="DL144" s="143"/>
      <c r="DM144" s="143"/>
      <c r="DN144" s="143"/>
      <c r="DO144" s="143"/>
      <c r="DP144" s="143"/>
      <c r="DQ144" s="143"/>
      <c r="DR144" s="143"/>
      <c r="DS144" s="143"/>
      <c r="DT144" s="143"/>
      <c r="DU144" s="143"/>
      <c r="DV144" s="143"/>
      <c r="DW144" s="143"/>
      <c r="DX144" s="143"/>
      <c r="DY144" s="143"/>
      <c r="DZ144" s="143"/>
      <c r="EA144" s="143"/>
      <c r="EB144" s="143"/>
      <c r="EC144" s="143"/>
      <c r="ED144" s="143"/>
      <c r="EE144" s="143"/>
      <c r="EF144" s="143"/>
      <c r="EG144" s="143"/>
      <c r="EH144" s="143"/>
      <c r="EI144" s="143"/>
      <c r="EJ144" s="143"/>
      <c r="EK144" s="143"/>
      <c r="EL144" s="143"/>
      <c r="EM144" s="143"/>
      <c r="EN144" s="143"/>
      <c r="EO144" s="143"/>
      <c r="EP144" s="143"/>
      <c r="EQ144" s="143"/>
      <c r="ER144" s="143"/>
      <c r="ES144" s="143"/>
      <c r="ET144" s="143"/>
      <c r="EU144" s="143"/>
      <c r="EV144" s="143"/>
      <c r="EW144" s="143"/>
      <c r="EX144" s="143"/>
      <c r="EY144" s="143"/>
      <c r="EZ144" s="143"/>
      <c r="FA144" s="143"/>
      <c r="FB144" s="143"/>
      <c r="FC144" s="143"/>
      <c r="FD144" s="143"/>
      <c r="FE144" s="143"/>
      <c r="FF144" s="143"/>
      <c r="FG144" s="143"/>
      <c r="FH144" s="143"/>
      <c r="FI144" s="143"/>
      <c r="FJ144" s="143"/>
      <c r="FK144" s="143"/>
      <c r="FL144" s="143"/>
      <c r="FM144" s="143"/>
      <c r="FN144" s="143"/>
      <c r="FO144" s="143"/>
      <c r="FP144" s="143"/>
      <c r="FQ144" s="143"/>
      <c r="FR144" s="143"/>
      <c r="FS144" s="143"/>
      <c r="FT144" s="143"/>
      <c r="FU144" s="143"/>
      <c r="FV144" s="143"/>
      <c r="FW144" s="143"/>
      <c r="FX144" s="143"/>
      <c r="FY144" s="143"/>
      <c r="FZ144" s="143"/>
      <c r="GA144" s="143"/>
      <c r="GB144" s="143"/>
      <c r="GC144" s="143"/>
      <c r="GD144" s="143"/>
      <c r="GE144" s="143"/>
      <c r="GF144" s="143"/>
      <c r="GG144" s="143"/>
      <c r="GH144" s="143"/>
      <c r="GI144" s="143"/>
      <c r="GJ144" s="143"/>
      <c r="GK144" s="143"/>
      <c r="GL144" s="143"/>
      <c r="GM144" s="143"/>
      <c r="GN144" s="143"/>
      <c r="GO144" s="143"/>
      <c r="GP144" s="143"/>
      <c r="GQ144" s="143"/>
      <c r="GR144" s="143"/>
      <c r="GS144" s="143"/>
      <c r="GT144" s="143"/>
      <c r="GU144" s="143"/>
      <c r="GV144" s="143"/>
      <c r="GW144" s="143"/>
      <c r="GX144" s="143"/>
      <c r="GY144" s="143"/>
      <c r="GZ144" s="143"/>
      <c r="HA144" s="143"/>
      <c r="HB144" s="143"/>
      <c r="HC144" s="143"/>
      <c r="HD144" s="143"/>
      <c r="HE144" s="143"/>
      <c r="HF144" s="143"/>
      <c r="HG144" s="143"/>
      <c r="HH144" s="143"/>
      <c r="HI144" s="143"/>
      <c r="HJ144" s="143"/>
      <c r="HK144" s="143"/>
      <c r="HL144" s="143"/>
      <c r="HM144" s="143"/>
      <c r="HN144" s="143"/>
      <c r="HO144" s="143"/>
      <c r="HP144" s="143"/>
      <c r="HQ144" s="143"/>
      <c r="HR144" s="143"/>
      <c r="HS144" s="143"/>
      <c r="HT144" s="143"/>
      <c r="HU144" s="143"/>
      <c r="HV144" s="143"/>
      <c r="HW144" s="143"/>
      <c r="HX144" s="143"/>
      <c r="HY144" s="143"/>
      <c r="HZ144" s="143"/>
      <c r="IA144" s="143"/>
      <c r="IB144" s="143"/>
    </row>
    <row r="145" spans="1:236" x14ac:dyDescent="0.2">
      <c r="A145" s="164">
        <v>18</v>
      </c>
      <c r="B145" s="184" t="s">
        <v>5061</v>
      </c>
      <c r="C145" s="145">
        <v>21658</v>
      </c>
      <c r="D145" s="307">
        <v>63</v>
      </c>
      <c r="E145" s="143"/>
      <c r="F145" s="143"/>
      <c r="G145" s="134"/>
      <c r="T145" s="143"/>
      <c r="U145" s="143"/>
      <c r="V145" s="143"/>
      <c r="W145" s="143"/>
      <c r="X145" s="143"/>
      <c r="Y145" s="143"/>
      <c r="Z145" s="143"/>
      <c r="AA145" s="143"/>
      <c r="AB145" s="143"/>
      <c r="AC145" s="143"/>
      <c r="AD145" s="143"/>
      <c r="AE145" s="143"/>
      <c r="AF145" s="143"/>
      <c r="AG145" s="143"/>
      <c r="AH145" s="143"/>
      <c r="AI145" s="143"/>
      <c r="AJ145" s="143"/>
      <c r="AK145" s="143"/>
      <c r="AL145" s="143"/>
      <c r="AM145" s="143"/>
      <c r="AN145" s="143"/>
      <c r="AO145" s="143"/>
      <c r="AP145" s="143"/>
      <c r="AQ145" s="143"/>
      <c r="AR145" s="143"/>
      <c r="AS145" s="143"/>
      <c r="AT145" s="143"/>
      <c r="AU145" s="143"/>
      <c r="AV145" s="143"/>
      <c r="AW145" s="143"/>
      <c r="AX145" s="143"/>
      <c r="AY145" s="143"/>
      <c r="AZ145" s="143"/>
      <c r="BA145" s="143"/>
      <c r="BB145" s="143"/>
      <c r="BC145" s="143"/>
      <c r="BD145" s="143"/>
      <c r="BE145" s="143"/>
      <c r="BF145" s="143"/>
      <c r="BG145" s="143"/>
      <c r="BH145" s="143"/>
      <c r="BI145" s="143"/>
      <c r="BJ145" s="143"/>
      <c r="BK145" s="143"/>
      <c r="BL145" s="143"/>
      <c r="BM145" s="143"/>
      <c r="BN145" s="143"/>
      <c r="BO145" s="143"/>
      <c r="BP145" s="143"/>
      <c r="BQ145" s="143"/>
      <c r="BR145" s="143"/>
      <c r="BS145" s="143"/>
      <c r="BT145" s="143"/>
      <c r="BU145" s="143"/>
      <c r="BV145" s="143"/>
      <c r="BW145" s="143"/>
      <c r="BX145" s="143"/>
      <c r="BY145" s="143"/>
      <c r="BZ145" s="143"/>
      <c r="CA145" s="143"/>
      <c r="CB145" s="143"/>
      <c r="CC145" s="143"/>
      <c r="CD145" s="143"/>
      <c r="CE145" s="143"/>
      <c r="CF145" s="143"/>
      <c r="CG145" s="143"/>
      <c r="CH145" s="143"/>
      <c r="CI145" s="143"/>
      <c r="CJ145" s="143"/>
      <c r="CK145" s="143"/>
      <c r="CL145" s="143"/>
      <c r="CM145" s="143"/>
      <c r="CN145" s="143"/>
      <c r="CO145" s="143"/>
      <c r="CP145" s="143"/>
      <c r="CQ145" s="143"/>
      <c r="CR145" s="143"/>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c r="EO145" s="143"/>
      <c r="EP145" s="143"/>
      <c r="EQ145" s="143"/>
      <c r="ER145" s="143"/>
      <c r="ES145" s="143"/>
      <c r="ET145" s="143"/>
      <c r="EU145" s="143"/>
      <c r="EV145" s="143"/>
      <c r="EW145" s="143"/>
      <c r="EX145" s="143"/>
      <c r="EY145" s="143"/>
      <c r="EZ145" s="143"/>
      <c r="FA145" s="143"/>
      <c r="FB145" s="143"/>
      <c r="FC145" s="143"/>
      <c r="FD145" s="143"/>
      <c r="FE145" s="143"/>
      <c r="FF145" s="143"/>
      <c r="FG145" s="143"/>
      <c r="FH145" s="143"/>
      <c r="FI145" s="143"/>
      <c r="FJ145" s="143"/>
      <c r="FK145" s="143"/>
      <c r="FL145" s="143"/>
      <c r="FM145" s="143"/>
      <c r="FN145" s="143"/>
      <c r="FO145" s="143"/>
      <c r="FP145" s="143"/>
      <c r="FQ145" s="143"/>
      <c r="FR145" s="143"/>
      <c r="FS145" s="143"/>
      <c r="FT145" s="143"/>
      <c r="FU145" s="143"/>
      <c r="FV145" s="143"/>
      <c r="FW145" s="143"/>
      <c r="FX145" s="143"/>
      <c r="FY145" s="143"/>
      <c r="FZ145" s="143"/>
      <c r="GA145" s="143"/>
      <c r="GB145" s="143"/>
      <c r="GC145" s="143"/>
      <c r="GD145" s="143"/>
      <c r="GE145" s="143"/>
      <c r="GF145" s="143"/>
      <c r="GG145" s="143"/>
      <c r="GH145" s="143"/>
      <c r="GI145" s="143"/>
      <c r="GJ145" s="143"/>
      <c r="GK145" s="143"/>
      <c r="GL145" s="143"/>
      <c r="GM145" s="143"/>
      <c r="GN145" s="143"/>
      <c r="GO145" s="143"/>
      <c r="GP145" s="143"/>
      <c r="GQ145" s="143"/>
      <c r="GR145" s="143"/>
      <c r="GS145" s="143"/>
      <c r="GT145" s="143"/>
      <c r="GU145" s="143"/>
      <c r="GV145" s="143"/>
      <c r="GW145" s="143"/>
      <c r="GX145" s="143"/>
      <c r="GY145" s="143"/>
      <c r="GZ145" s="143"/>
      <c r="HA145" s="143"/>
      <c r="HB145" s="143"/>
      <c r="HC145" s="143"/>
      <c r="HD145" s="143"/>
      <c r="HE145" s="143"/>
      <c r="HF145" s="143"/>
      <c r="HG145" s="143"/>
      <c r="HH145" s="143"/>
      <c r="HI145" s="143"/>
      <c r="HJ145" s="143"/>
      <c r="HK145" s="143"/>
      <c r="HL145" s="143"/>
      <c r="HM145" s="143"/>
      <c r="HN145" s="143"/>
      <c r="HO145" s="143"/>
      <c r="HP145" s="143"/>
      <c r="HQ145" s="143"/>
      <c r="HR145" s="143"/>
      <c r="HS145" s="143"/>
      <c r="HT145" s="143"/>
      <c r="HU145" s="143"/>
      <c r="HV145" s="143"/>
      <c r="HW145" s="143"/>
      <c r="HX145" s="143"/>
      <c r="HY145" s="143"/>
      <c r="HZ145" s="143"/>
      <c r="IA145" s="143"/>
      <c r="IB145" s="143"/>
    </row>
    <row r="146" spans="1:236" x14ac:dyDescent="0.2">
      <c r="A146" s="219">
        <v>19</v>
      </c>
      <c r="B146" s="134" t="s">
        <v>5475</v>
      </c>
      <c r="C146" s="145">
        <v>966862</v>
      </c>
      <c r="D146" s="307">
        <v>22</v>
      </c>
      <c r="G146" s="134"/>
    </row>
    <row r="147" spans="1:236" x14ac:dyDescent="0.2">
      <c r="A147" s="219">
        <v>20</v>
      </c>
      <c r="B147" s="134" t="s">
        <v>5476</v>
      </c>
      <c r="C147" s="145">
        <v>1743105</v>
      </c>
      <c r="D147" s="307">
        <v>27</v>
      </c>
      <c r="E147" s="143"/>
      <c r="F147" s="143"/>
      <c r="G147" s="184"/>
      <c r="H147" s="143"/>
      <c r="I147" s="143"/>
      <c r="K147" s="143"/>
      <c r="L147" s="143"/>
      <c r="S147" s="143"/>
      <c r="T147" s="143"/>
      <c r="U147" s="143"/>
      <c r="V147" s="143"/>
      <c r="W147" s="143"/>
      <c r="X147" s="143"/>
      <c r="Y147" s="143"/>
      <c r="Z147" s="143"/>
      <c r="AA147" s="143"/>
      <c r="AB147" s="143"/>
      <c r="AC147" s="143"/>
      <c r="AD147" s="143"/>
      <c r="AE147" s="143"/>
      <c r="AF147" s="143"/>
      <c r="AG147" s="143"/>
      <c r="AH147" s="143"/>
      <c r="AI147" s="143"/>
      <c r="AJ147" s="143"/>
      <c r="AK147" s="143"/>
      <c r="AL147" s="143"/>
      <c r="AM147" s="143"/>
      <c r="AN147" s="143"/>
      <c r="AO147" s="143"/>
      <c r="AP147" s="143"/>
      <c r="AQ147" s="143"/>
      <c r="AR147" s="143"/>
      <c r="AS147" s="143"/>
      <c r="AT147" s="143"/>
      <c r="AU147" s="143"/>
      <c r="AV147" s="143"/>
      <c r="AW147" s="143"/>
      <c r="AX147" s="143"/>
      <c r="AY147" s="143"/>
      <c r="AZ147" s="143"/>
      <c r="BA147" s="143"/>
      <c r="BB147" s="143"/>
      <c r="BC147" s="143"/>
      <c r="BD147" s="143"/>
      <c r="BE147" s="143"/>
      <c r="BF147" s="143"/>
      <c r="BG147" s="143"/>
      <c r="BH147" s="143"/>
      <c r="BI147" s="143"/>
      <c r="BJ147" s="143"/>
      <c r="BK147" s="143"/>
      <c r="BL147" s="143"/>
      <c r="BM147" s="143"/>
      <c r="BN147" s="143"/>
      <c r="BO147" s="143"/>
      <c r="BP147" s="143"/>
      <c r="BQ147" s="143"/>
      <c r="BR147" s="143"/>
      <c r="BS147" s="143"/>
      <c r="BT147" s="143"/>
      <c r="BU147" s="143"/>
      <c r="BV147" s="143"/>
      <c r="BW147" s="143"/>
      <c r="BX147" s="143"/>
      <c r="BY147" s="143"/>
      <c r="BZ147" s="143"/>
      <c r="CA147" s="143"/>
      <c r="CB147" s="143"/>
      <c r="CC147" s="143"/>
      <c r="CD147" s="143"/>
      <c r="CE147" s="143"/>
      <c r="CF147" s="143"/>
      <c r="CG147" s="143"/>
      <c r="CH147" s="143"/>
      <c r="CI147" s="143"/>
      <c r="CJ147" s="143"/>
      <c r="CK147" s="143"/>
      <c r="CL147" s="143"/>
      <c r="CM147" s="143"/>
      <c r="CN147" s="143"/>
      <c r="CO147" s="143"/>
      <c r="CP147" s="143"/>
      <c r="CQ147" s="143"/>
      <c r="CR147" s="143"/>
      <c r="CS147" s="143"/>
      <c r="CT147" s="143"/>
      <c r="CU147" s="143"/>
      <c r="CV147" s="143"/>
      <c r="CW147" s="143"/>
      <c r="CX147" s="143"/>
      <c r="CY147" s="143"/>
      <c r="CZ147" s="143"/>
      <c r="DA147" s="143"/>
      <c r="DB147" s="143"/>
      <c r="DC147" s="143"/>
      <c r="DD147" s="143"/>
      <c r="DE147" s="143"/>
      <c r="DF147" s="143"/>
      <c r="DG147" s="143"/>
      <c r="DH147" s="143"/>
      <c r="DI147" s="143"/>
      <c r="DJ147" s="143"/>
      <c r="DK147" s="143"/>
      <c r="DL147" s="143"/>
      <c r="DM147" s="143"/>
      <c r="DN147" s="143"/>
      <c r="DO147" s="143"/>
      <c r="DP147" s="143"/>
      <c r="DQ147" s="143"/>
      <c r="DR147" s="143"/>
      <c r="DS147" s="143"/>
      <c r="DT147" s="143"/>
      <c r="DU147" s="143"/>
      <c r="DV147" s="143"/>
      <c r="DW147" s="143"/>
      <c r="DX147" s="143"/>
      <c r="DY147" s="143"/>
      <c r="DZ147" s="143"/>
      <c r="EA147" s="143"/>
      <c r="EB147" s="143"/>
      <c r="EC147" s="143"/>
      <c r="ED147" s="143"/>
      <c r="EE147" s="143"/>
      <c r="EF147" s="143"/>
      <c r="EG147" s="143"/>
      <c r="EH147" s="143"/>
      <c r="EI147" s="143"/>
      <c r="EJ147" s="143"/>
      <c r="EK147" s="143"/>
      <c r="EL147" s="143"/>
      <c r="EM147" s="143"/>
      <c r="EN147" s="143"/>
      <c r="EO147" s="143"/>
      <c r="EP147" s="143"/>
      <c r="EQ147" s="143"/>
      <c r="ER147" s="143"/>
      <c r="ES147" s="143"/>
      <c r="ET147" s="143"/>
      <c r="EU147" s="143"/>
      <c r="EV147" s="143"/>
      <c r="EW147" s="143"/>
      <c r="EX147" s="143"/>
      <c r="EY147" s="143"/>
      <c r="EZ147" s="143"/>
      <c r="FA147" s="143"/>
      <c r="FB147" s="143"/>
      <c r="FC147" s="143"/>
      <c r="FD147" s="143"/>
      <c r="FE147" s="143"/>
      <c r="FF147" s="143"/>
      <c r="FG147" s="143"/>
      <c r="FH147" s="143"/>
      <c r="FI147" s="143"/>
      <c r="FJ147" s="143"/>
      <c r="FK147" s="143"/>
      <c r="FL147" s="143"/>
      <c r="FM147" s="143"/>
      <c r="FN147" s="143"/>
      <c r="FO147" s="143"/>
      <c r="FP147" s="143"/>
      <c r="FQ147" s="143"/>
      <c r="FR147" s="143"/>
      <c r="FS147" s="143"/>
      <c r="FT147" s="143"/>
      <c r="FU147" s="143"/>
      <c r="FV147" s="143"/>
      <c r="FW147" s="143"/>
      <c r="FX147" s="143"/>
      <c r="FY147" s="143"/>
      <c r="FZ147" s="143"/>
      <c r="GA147" s="143"/>
      <c r="GB147" s="143"/>
      <c r="GC147" s="143"/>
      <c r="GD147" s="143"/>
      <c r="GE147" s="143"/>
      <c r="GF147" s="143"/>
      <c r="GG147" s="143"/>
      <c r="GH147" s="143"/>
      <c r="GI147" s="143"/>
      <c r="GJ147" s="143"/>
      <c r="GK147" s="143"/>
      <c r="GL147" s="143"/>
      <c r="GM147" s="143"/>
      <c r="GN147" s="143"/>
      <c r="GO147" s="143"/>
      <c r="GP147" s="143"/>
      <c r="GQ147" s="143"/>
      <c r="GR147" s="143"/>
      <c r="GS147" s="143"/>
      <c r="GT147" s="143"/>
      <c r="GU147" s="143"/>
      <c r="GV147" s="143"/>
      <c r="GW147" s="143"/>
      <c r="GX147" s="143"/>
      <c r="GY147" s="143"/>
      <c r="GZ147" s="143"/>
      <c r="HA147" s="143"/>
      <c r="HB147" s="143"/>
      <c r="HC147" s="143"/>
      <c r="HD147" s="143"/>
      <c r="HE147" s="143"/>
      <c r="HF147" s="143"/>
      <c r="HG147" s="143"/>
      <c r="HH147" s="143"/>
      <c r="HI147" s="143"/>
      <c r="HJ147" s="143"/>
      <c r="HK147" s="143"/>
      <c r="HL147" s="143"/>
      <c r="HM147" s="143"/>
      <c r="HN147" s="143"/>
      <c r="HO147" s="143"/>
      <c r="HP147" s="143"/>
      <c r="HQ147" s="143"/>
      <c r="HR147" s="143"/>
      <c r="HS147" s="143"/>
      <c r="HT147" s="143"/>
      <c r="HU147" s="143"/>
      <c r="HV147" s="143"/>
      <c r="HW147" s="143"/>
      <c r="HX147" s="143"/>
      <c r="HY147" s="143"/>
      <c r="HZ147" s="143"/>
      <c r="IA147" s="143"/>
      <c r="IB147" s="143"/>
    </row>
    <row r="148" spans="1:236" x14ac:dyDescent="0.2">
      <c r="A148" s="219">
        <v>21</v>
      </c>
      <c r="B148" s="134" t="s">
        <v>5477</v>
      </c>
      <c r="C148" s="145">
        <v>294012</v>
      </c>
      <c r="D148" s="307">
        <v>24</v>
      </c>
      <c r="G148" s="184"/>
      <c r="J148" s="134"/>
      <c r="S148" s="143"/>
    </row>
    <row r="149" spans="1:236" x14ac:dyDescent="0.2">
      <c r="A149" s="219">
        <v>22</v>
      </c>
      <c r="B149" s="184" t="s">
        <v>5172</v>
      </c>
      <c r="C149" s="145">
        <v>484808</v>
      </c>
      <c r="D149" s="307">
        <v>10</v>
      </c>
      <c r="E149" s="143"/>
      <c r="F149" s="143"/>
      <c r="G149" s="134"/>
      <c r="T149" s="143"/>
      <c r="U149" s="143"/>
      <c r="V149" s="143"/>
      <c r="W149" s="143"/>
      <c r="X149" s="143"/>
      <c r="Y149" s="143"/>
      <c r="Z149" s="143"/>
      <c r="AA149" s="143"/>
      <c r="AB149" s="143"/>
      <c r="AC149" s="143"/>
      <c r="AD149" s="143"/>
      <c r="AE149" s="143"/>
      <c r="AF149" s="143"/>
      <c r="AG149" s="143"/>
      <c r="AH149" s="143"/>
      <c r="AI149" s="143"/>
      <c r="AJ149" s="143"/>
      <c r="AK149" s="143"/>
      <c r="AL149" s="143"/>
      <c r="AM149" s="143"/>
      <c r="AN149" s="143"/>
      <c r="AO149" s="143"/>
      <c r="AP149" s="143"/>
      <c r="AQ149" s="143"/>
      <c r="AR149" s="143"/>
      <c r="AS149" s="143"/>
      <c r="AT149" s="143"/>
      <c r="AU149" s="143"/>
      <c r="AV149" s="143"/>
      <c r="AW149" s="143"/>
      <c r="AX149" s="143"/>
      <c r="AY149" s="143"/>
      <c r="AZ149" s="143"/>
      <c r="BA149" s="143"/>
      <c r="BB149" s="143"/>
      <c r="BC149" s="143"/>
      <c r="BD149" s="143"/>
      <c r="BE149" s="143"/>
      <c r="BF149" s="143"/>
      <c r="BG149" s="143"/>
      <c r="BH149" s="143"/>
      <c r="BI149" s="143"/>
      <c r="BJ149" s="143"/>
      <c r="BK149" s="143"/>
      <c r="BL149" s="143"/>
      <c r="BM149" s="143"/>
      <c r="BN149" s="143"/>
      <c r="BO149" s="143"/>
      <c r="BP149" s="143"/>
      <c r="BQ149" s="143"/>
      <c r="BR149" s="143"/>
      <c r="BS149" s="143"/>
      <c r="BT149" s="143"/>
      <c r="BU149" s="143"/>
      <c r="BV149" s="143"/>
      <c r="BW149" s="143"/>
      <c r="BX149" s="143"/>
      <c r="BY149" s="143"/>
      <c r="BZ149" s="143"/>
      <c r="CA149" s="143"/>
      <c r="CB149" s="143"/>
      <c r="CC149" s="143"/>
      <c r="CD149" s="143"/>
      <c r="CE149" s="143"/>
      <c r="CF149" s="143"/>
      <c r="CG149" s="143"/>
      <c r="CH149" s="143"/>
      <c r="CI149" s="143"/>
      <c r="CJ149" s="143"/>
      <c r="CK149" s="143"/>
      <c r="CL149" s="143"/>
      <c r="CM149" s="143"/>
      <c r="CN149" s="143"/>
      <c r="CO149" s="143"/>
      <c r="CP149" s="143"/>
      <c r="CQ149" s="143"/>
      <c r="CR149" s="143"/>
      <c r="CS149" s="143"/>
      <c r="CT149" s="143"/>
      <c r="CU149" s="143"/>
      <c r="CV149" s="143"/>
      <c r="CW149" s="143"/>
      <c r="CX149" s="143"/>
      <c r="CY149" s="143"/>
      <c r="CZ149" s="143"/>
      <c r="DA149" s="143"/>
      <c r="DB149" s="143"/>
      <c r="DC149" s="143"/>
      <c r="DD149" s="143"/>
      <c r="DE149" s="143"/>
      <c r="DF149" s="143"/>
      <c r="DG149" s="143"/>
      <c r="DH149" s="143"/>
      <c r="DI149" s="143"/>
      <c r="DJ149" s="143"/>
      <c r="DK149" s="143"/>
      <c r="DL149" s="143"/>
      <c r="DM149" s="143"/>
      <c r="DN149" s="143"/>
      <c r="DO149" s="143"/>
      <c r="DP149" s="143"/>
      <c r="DQ149" s="143"/>
      <c r="DR149" s="143"/>
      <c r="DS149" s="143"/>
      <c r="DT149" s="143"/>
      <c r="DU149" s="143"/>
      <c r="DV149" s="143"/>
      <c r="DW149" s="143"/>
      <c r="DX149" s="143"/>
      <c r="DY149" s="143"/>
      <c r="DZ149" s="143"/>
      <c r="EA149" s="143"/>
      <c r="EB149" s="143"/>
      <c r="EC149" s="143"/>
      <c r="ED149" s="143"/>
      <c r="EE149" s="143"/>
      <c r="EF149" s="143"/>
      <c r="EG149" s="143"/>
      <c r="EH149" s="143"/>
      <c r="EI149" s="143"/>
      <c r="EJ149" s="143"/>
      <c r="EK149" s="143"/>
      <c r="EL149" s="143"/>
      <c r="EM149" s="143"/>
      <c r="EN149" s="143"/>
      <c r="EO149" s="143"/>
      <c r="EP149" s="143"/>
      <c r="EQ149" s="143"/>
      <c r="ER149" s="143"/>
      <c r="ES149" s="143"/>
      <c r="ET149" s="143"/>
      <c r="EU149" s="143"/>
      <c r="EV149" s="143"/>
      <c r="EW149" s="143"/>
      <c r="EX149" s="143"/>
      <c r="EY149" s="143"/>
      <c r="EZ149" s="143"/>
      <c r="FA149" s="143"/>
      <c r="FB149" s="143"/>
      <c r="FC149" s="143"/>
      <c r="FD149" s="143"/>
      <c r="FE149" s="143"/>
      <c r="FF149" s="143"/>
      <c r="FG149" s="143"/>
      <c r="FH149" s="143"/>
      <c r="FI149" s="143"/>
      <c r="FJ149" s="143"/>
      <c r="FK149" s="143"/>
      <c r="FL149" s="143"/>
      <c r="FM149" s="143"/>
      <c r="FN149" s="143"/>
      <c r="FO149" s="143"/>
      <c r="FP149" s="143"/>
      <c r="FQ149" s="143"/>
      <c r="FR149" s="143"/>
      <c r="FS149" s="143"/>
      <c r="FT149" s="143"/>
      <c r="FU149" s="143"/>
      <c r="FV149" s="143"/>
      <c r="FW149" s="143"/>
      <c r="FX149" s="143"/>
      <c r="FY149" s="143"/>
      <c r="FZ149" s="143"/>
      <c r="GA149" s="143"/>
      <c r="GB149" s="143"/>
      <c r="GC149" s="143"/>
      <c r="GD149" s="143"/>
      <c r="GE149" s="143"/>
      <c r="GF149" s="143"/>
      <c r="GG149" s="143"/>
      <c r="GH149" s="143"/>
      <c r="GI149" s="143"/>
      <c r="GJ149" s="143"/>
      <c r="GK149" s="143"/>
      <c r="GL149" s="143"/>
      <c r="GM149" s="143"/>
      <c r="GN149" s="143"/>
      <c r="GO149" s="143"/>
      <c r="GP149" s="143"/>
      <c r="GQ149" s="143"/>
      <c r="GR149" s="143"/>
      <c r="GS149" s="143"/>
      <c r="GT149" s="143"/>
      <c r="GU149" s="143"/>
      <c r="GV149" s="143"/>
      <c r="GW149" s="143"/>
      <c r="GX149" s="143"/>
      <c r="GY149" s="143"/>
      <c r="GZ149" s="143"/>
      <c r="HA149" s="143"/>
      <c r="HB149" s="143"/>
      <c r="HC149" s="143"/>
      <c r="HD149" s="143"/>
      <c r="HE149" s="143"/>
      <c r="HF149" s="143"/>
      <c r="HG149" s="143"/>
      <c r="HH149" s="143"/>
      <c r="HI149" s="143"/>
      <c r="HJ149" s="143"/>
      <c r="HK149" s="143"/>
      <c r="HL149" s="143"/>
      <c r="HM149" s="143"/>
      <c r="HN149" s="143"/>
      <c r="HO149" s="143"/>
      <c r="HP149" s="143"/>
      <c r="HQ149" s="143"/>
      <c r="HR149" s="143"/>
      <c r="HS149" s="143"/>
      <c r="HT149" s="143"/>
      <c r="HU149" s="143"/>
      <c r="HV149" s="143"/>
      <c r="HW149" s="143"/>
      <c r="HX149" s="143"/>
      <c r="HY149" s="143"/>
      <c r="HZ149" s="143"/>
      <c r="IA149" s="143"/>
      <c r="IB149" s="143"/>
    </row>
    <row r="150" spans="1:236" x14ac:dyDescent="0.2">
      <c r="A150" s="219">
        <v>23</v>
      </c>
      <c r="B150" s="184" t="s">
        <v>1570</v>
      </c>
      <c r="C150" s="145">
        <v>519995</v>
      </c>
      <c r="D150" s="307">
        <v>35</v>
      </c>
      <c r="G150" s="184"/>
      <c r="H150" s="143"/>
      <c r="I150" s="143"/>
      <c r="K150" s="143"/>
      <c r="L150" s="143"/>
      <c r="S150" s="143"/>
    </row>
    <row r="151" spans="1:236" x14ac:dyDescent="0.2">
      <c r="A151" s="219">
        <v>24</v>
      </c>
      <c r="B151" s="184" t="s">
        <v>5173</v>
      </c>
      <c r="C151" s="145">
        <v>292337</v>
      </c>
      <c r="D151" s="307">
        <v>36</v>
      </c>
      <c r="E151" s="143"/>
      <c r="F151" s="143"/>
      <c r="G151" s="134"/>
      <c r="T151" s="143"/>
      <c r="U151" s="143"/>
      <c r="V151" s="143"/>
      <c r="W151" s="143"/>
      <c r="X151" s="143"/>
      <c r="Y151" s="143"/>
      <c r="Z151" s="143"/>
      <c r="AA151" s="143"/>
      <c r="AB151" s="143"/>
      <c r="AC151" s="143"/>
      <c r="AD151" s="143"/>
      <c r="AE151" s="143"/>
      <c r="AF151" s="143"/>
      <c r="AG151" s="143"/>
      <c r="AH151" s="143"/>
      <c r="AI151" s="143"/>
      <c r="AJ151" s="143"/>
      <c r="AK151" s="143"/>
      <c r="AL151" s="143"/>
      <c r="AM151" s="143"/>
      <c r="AN151" s="143"/>
      <c r="AO151" s="143"/>
      <c r="AP151" s="143"/>
      <c r="AQ151" s="143"/>
      <c r="AR151" s="143"/>
      <c r="AS151" s="143"/>
      <c r="AT151" s="143"/>
      <c r="AU151" s="143"/>
      <c r="AV151" s="143"/>
      <c r="AW151" s="143"/>
      <c r="AX151" s="143"/>
      <c r="AY151" s="143"/>
      <c r="AZ151" s="143"/>
      <c r="BA151" s="143"/>
      <c r="BB151" s="143"/>
      <c r="BC151" s="143"/>
      <c r="BD151" s="143"/>
      <c r="BE151" s="143"/>
      <c r="BF151" s="143"/>
      <c r="BG151" s="143"/>
      <c r="BH151" s="143"/>
      <c r="BI151" s="143"/>
      <c r="BJ151" s="143"/>
      <c r="BK151" s="143"/>
      <c r="BL151" s="143"/>
      <c r="BM151" s="143"/>
      <c r="BN151" s="143"/>
      <c r="BO151" s="143"/>
      <c r="BP151" s="143"/>
      <c r="BQ151" s="143"/>
      <c r="BR151" s="143"/>
      <c r="BS151" s="143"/>
      <c r="BT151" s="143"/>
      <c r="BU151" s="143"/>
      <c r="BV151" s="143"/>
      <c r="BW151" s="143"/>
      <c r="BX151" s="143"/>
      <c r="BY151" s="143"/>
      <c r="BZ151" s="143"/>
      <c r="CA151" s="143"/>
      <c r="CB151" s="143"/>
      <c r="CC151" s="143"/>
      <c r="CD151" s="143"/>
      <c r="CE151" s="143"/>
      <c r="CF151" s="143"/>
      <c r="CG151" s="143"/>
      <c r="CH151" s="143"/>
      <c r="CI151" s="143"/>
      <c r="CJ151" s="143"/>
      <c r="CK151" s="143"/>
      <c r="CL151" s="143"/>
      <c r="CM151" s="143"/>
      <c r="CN151" s="143"/>
      <c r="CO151" s="143"/>
      <c r="CP151" s="143"/>
      <c r="CQ151" s="143"/>
      <c r="CR151" s="143"/>
      <c r="CS151" s="143"/>
      <c r="CT151" s="143"/>
      <c r="CU151" s="143"/>
      <c r="CV151" s="143"/>
      <c r="CW151" s="143"/>
      <c r="CX151" s="143"/>
      <c r="CY151" s="143"/>
      <c r="CZ151" s="143"/>
      <c r="DA151" s="143"/>
      <c r="DB151" s="143"/>
      <c r="DC151" s="143"/>
      <c r="DD151" s="143"/>
      <c r="DE151" s="143"/>
      <c r="DF151" s="143"/>
      <c r="DG151" s="143"/>
      <c r="DH151" s="143"/>
      <c r="DI151" s="143"/>
      <c r="DJ151" s="143"/>
      <c r="DK151" s="143"/>
      <c r="DL151" s="143"/>
      <c r="DM151" s="143"/>
      <c r="DN151" s="143"/>
      <c r="DO151" s="143"/>
      <c r="DP151" s="143"/>
      <c r="DQ151" s="143"/>
      <c r="DR151" s="143"/>
      <c r="DS151" s="143"/>
      <c r="DT151" s="143"/>
      <c r="DU151" s="143"/>
      <c r="DV151" s="143"/>
      <c r="DW151" s="143"/>
      <c r="DX151" s="143"/>
      <c r="DY151" s="143"/>
      <c r="DZ151" s="143"/>
      <c r="EA151" s="143"/>
      <c r="EB151" s="143"/>
      <c r="EC151" s="143"/>
      <c r="ED151" s="143"/>
      <c r="EE151" s="143"/>
      <c r="EF151" s="143"/>
      <c r="EG151" s="143"/>
      <c r="EH151" s="143"/>
      <c r="EI151" s="143"/>
      <c r="EJ151" s="143"/>
      <c r="EK151" s="143"/>
      <c r="EL151" s="143"/>
      <c r="EM151" s="143"/>
      <c r="EN151" s="143"/>
      <c r="EO151" s="143"/>
      <c r="EP151" s="143"/>
      <c r="EQ151" s="143"/>
      <c r="ER151" s="143"/>
      <c r="ES151" s="143"/>
      <c r="ET151" s="143"/>
      <c r="EU151" s="143"/>
      <c r="EV151" s="143"/>
      <c r="EW151" s="143"/>
      <c r="EX151" s="143"/>
      <c r="EY151" s="143"/>
      <c r="EZ151" s="143"/>
      <c r="FA151" s="143"/>
      <c r="FB151" s="143"/>
      <c r="FC151" s="143"/>
      <c r="FD151" s="143"/>
      <c r="FE151" s="143"/>
      <c r="FF151" s="143"/>
      <c r="FG151" s="143"/>
      <c r="FH151" s="143"/>
      <c r="FI151" s="143"/>
      <c r="FJ151" s="143"/>
      <c r="FK151" s="143"/>
      <c r="FL151" s="143"/>
      <c r="FM151" s="143"/>
      <c r="FN151" s="143"/>
      <c r="FO151" s="143"/>
      <c r="FP151" s="143"/>
      <c r="FQ151" s="143"/>
      <c r="FR151" s="143"/>
      <c r="FS151" s="143"/>
      <c r="FT151" s="143"/>
      <c r="FU151" s="143"/>
      <c r="FV151" s="143"/>
      <c r="FW151" s="143"/>
      <c r="FX151" s="143"/>
      <c r="FY151" s="143"/>
      <c r="FZ151" s="143"/>
      <c r="GA151" s="143"/>
      <c r="GB151" s="143"/>
      <c r="GC151" s="143"/>
      <c r="GD151" s="143"/>
      <c r="GE151" s="143"/>
      <c r="GF151" s="143"/>
      <c r="GG151" s="143"/>
      <c r="GH151" s="143"/>
      <c r="GI151" s="143"/>
      <c r="GJ151" s="143"/>
      <c r="GK151" s="143"/>
      <c r="GL151" s="143"/>
      <c r="GM151" s="143"/>
      <c r="GN151" s="143"/>
      <c r="GO151" s="143"/>
      <c r="GP151" s="143"/>
      <c r="GQ151" s="143"/>
      <c r="GR151" s="143"/>
      <c r="GS151" s="143"/>
      <c r="GT151" s="143"/>
      <c r="GU151" s="143"/>
      <c r="GV151" s="143"/>
      <c r="GW151" s="143"/>
      <c r="GX151" s="143"/>
      <c r="GY151" s="143"/>
      <c r="GZ151" s="143"/>
      <c r="HA151" s="143"/>
      <c r="HB151" s="143"/>
      <c r="HC151" s="143"/>
      <c r="HD151" s="143"/>
      <c r="HE151" s="143"/>
      <c r="HF151" s="143"/>
      <c r="HG151" s="143"/>
      <c r="HH151" s="143"/>
      <c r="HI151" s="143"/>
      <c r="HJ151" s="143"/>
      <c r="HK151" s="143"/>
      <c r="HL151" s="143"/>
      <c r="HM151" s="143"/>
      <c r="HN151" s="143"/>
      <c r="HO151" s="143"/>
      <c r="HP151" s="143"/>
      <c r="HQ151" s="143"/>
      <c r="HR151" s="143"/>
      <c r="HS151" s="143"/>
      <c r="HT151" s="143"/>
      <c r="HU151" s="143"/>
      <c r="HV151" s="143"/>
      <c r="HW151" s="143"/>
      <c r="HX151" s="143"/>
      <c r="HY151" s="143"/>
      <c r="HZ151" s="143"/>
      <c r="IA151" s="143"/>
      <c r="IB151" s="143"/>
    </row>
    <row r="152" spans="1:236" x14ac:dyDescent="0.2">
      <c r="A152" s="219">
        <v>25</v>
      </c>
      <c r="B152" s="184" t="s">
        <v>5478</v>
      </c>
      <c r="C152" s="145">
        <v>126501</v>
      </c>
      <c r="D152" s="307">
        <v>53</v>
      </c>
      <c r="G152" s="184"/>
      <c r="S152" s="143"/>
    </row>
    <row r="153" spans="1:236" x14ac:dyDescent="0.2">
      <c r="A153" s="219">
        <v>26</v>
      </c>
      <c r="B153" s="184" t="s">
        <v>5479</v>
      </c>
      <c r="C153" s="145"/>
      <c r="D153" s="307"/>
      <c r="E153" s="143"/>
      <c r="F153" s="143"/>
      <c r="G153" s="134"/>
      <c r="T153" s="143"/>
      <c r="U153" s="143"/>
      <c r="V153" s="143"/>
      <c r="W153" s="143"/>
      <c r="X153" s="143"/>
      <c r="Y153" s="143"/>
      <c r="Z153" s="143"/>
      <c r="AA153" s="143"/>
      <c r="AB153" s="143"/>
      <c r="AC153" s="143"/>
      <c r="AD153" s="143"/>
      <c r="AE153" s="143"/>
      <c r="AF153" s="143"/>
      <c r="AG153" s="143"/>
      <c r="AH153" s="143"/>
      <c r="AI153" s="143"/>
      <c r="AJ153" s="143"/>
      <c r="AK153" s="143"/>
      <c r="AL153" s="143"/>
      <c r="AM153" s="143"/>
      <c r="AN153" s="143"/>
      <c r="AO153" s="143"/>
      <c r="AP153" s="143"/>
      <c r="AQ153" s="143"/>
      <c r="AR153" s="143"/>
      <c r="AS153" s="143"/>
      <c r="AT153" s="143"/>
      <c r="AU153" s="143"/>
      <c r="AV153" s="143"/>
      <c r="AW153" s="143"/>
      <c r="AX153" s="143"/>
      <c r="AY153" s="143"/>
      <c r="AZ153" s="143"/>
      <c r="BA153" s="143"/>
      <c r="BB153" s="143"/>
      <c r="BC153" s="143"/>
      <c r="BD153" s="143"/>
      <c r="BE153" s="143"/>
      <c r="BF153" s="143"/>
      <c r="BG153" s="143"/>
      <c r="BH153" s="143"/>
      <c r="BI153" s="143"/>
      <c r="BJ153" s="143"/>
      <c r="BK153" s="143"/>
      <c r="BL153" s="143"/>
      <c r="BM153" s="143"/>
      <c r="BN153" s="143"/>
      <c r="BO153" s="143"/>
      <c r="BP153" s="143"/>
      <c r="BQ153" s="143"/>
      <c r="BR153" s="143"/>
      <c r="BS153" s="143"/>
      <c r="BT153" s="143"/>
      <c r="BU153" s="143"/>
      <c r="BV153" s="143"/>
      <c r="BW153" s="143"/>
      <c r="BX153" s="143"/>
      <c r="BY153" s="143"/>
      <c r="BZ153" s="143"/>
      <c r="CA153" s="143"/>
      <c r="CB153" s="143"/>
      <c r="CC153" s="143"/>
      <c r="CD153" s="143"/>
      <c r="CE153" s="143"/>
      <c r="CF153" s="143"/>
      <c r="CG153" s="143"/>
      <c r="CH153" s="143"/>
      <c r="CI153" s="143"/>
      <c r="CJ153" s="143"/>
      <c r="CK153" s="143"/>
      <c r="CL153" s="143"/>
      <c r="CM153" s="143"/>
      <c r="CN153" s="143"/>
      <c r="CO153" s="143"/>
      <c r="CP153" s="143"/>
      <c r="CQ153" s="143"/>
      <c r="CR153" s="143"/>
      <c r="CS153" s="143"/>
      <c r="CT153" s="143"/>
      <c r="CU153" s="143"/>
      <c r="CV153" s="143"/>
      <c r="CW153" s="143"/>
      <c r="CX153" s="143"/>
      <c r="CY153" s="143"/>
      <c r="CZ153" s="143"/>
      <c r="DA153" s="143"/>
      <c r="DB153" s="143"/>
      <c r="DC153" s="143"/>
      <c r="DD153" s="143"/>
      <c r="DE153" s="143"/>
      <c r="DF153" s="143"/>
      <c r="DG153" s="143"/>
      <c r="DH153" s="143"/>
      <c r="DI153" s="143"/>
      <c r="DJ153" s="143"/>
      <c r="DK153" s="143"/>
      <c r="DL153" s="143"/>
      <c r="DM153" s="143"/>
      <c r="DN153" s="143"/>
      <c r="DO153" s="143"/>
      <c r="DP153" s="143"/>
      <c r="DQ153" s="143"/>
      <c r="DR153" s="143"/>
      <c r="DS153" s="143"/>
      <c r="DT153" s="143"/>
      <c r="DU153" s="143"/>
      <c r="DV153" s="143"/>
      <c r="DW153" s="143"/>
      <c r="DX153" s="143"/>
      <c r="DY153" s="143"/>
      <c r="DZ153" s="143"/>
      <c r="EA153" s="143"/>
      <c r="EB153" s="143"/>
      <c r="EC153" s="143"/>
      <c r="ED153" s="143"/>
      <c r="EE153" s="143"/>
      <c r="EF153" s="143"/>
      <c r="EG153" s="143"/>
      <c r="EH153" s="143"/>
      <c r="EI153" s="143"/>
      <c r="EJ153" s="143"/>
      <c r="EK153" s="143"/>
      <c r="EL153" s="143"/>
      <c r="EM153" s="143"/>
      <c r="EN153" s="143"/>
      <c r="EO153" s="143"/>
      <c r="EP153" s="143"/>
      <c r="EQ153" s="143"/>
      <c r="ER153" s="143"/>
      <c r="ES153" s="143"/>
      <c r="ET153" s="143"/>
      <c r="EU153" s="143"/>
      <c r="EV153" s="143"/>
      <c r="EW153" s="143"/>
      <c r="EX153" s="143"/>
      <c r="EY153" s="143"/>
      <c r="EZ153" s="143"/>
      <c r="FA153" s="143"/>
      <c r="FB153" s="143"/>
      <c r="FC153" s="143"/>
      <c r="FD153" s="143"/>
      <c r="FE153" s="143"/>
      <c r="FF153" s="143"/>
      <c r="FG153" s="143"/>
      <c r="FH153" s="143"/>
      <c r="FI153" s="143"/>
      <c r="FJ153" s="143"/>
      <c r="FK153" s="143"/>
      <c r="FL153" s="143"/>
      <c r="FM153" s="143"/>
      <c r="FN153" s="143"/>
      <c r="FO153" s="143"/>
      <c r="FP153" s="143"/>
      <c r="FQ153" s="143"/>
      <c r="FR153" s="143"/>
      <c r="FS153" s="143"/>
      <c r="FT153" s="143"/>
      <c r="FU153" s="143"/>
      <c r="FV153" s="143"/>
      <c r="FW153" s="143"/>
      <c r="FX153" s="143"/>
      <c r="FY153" s="143"/>
      <c r="FZ153" s="143"/>
      <c r="GA153" s="143"/>
      <c r="GB153" s="143"/>
      <c r="GC153" s="143"/>
      <c r="GD153" s="143"/>
      <c r="GE153" s="143"/>
      <c r="GF153" s="143"/>
      <c r="GG153" s="143"/>
      <c r="GH153" s="143"/>
      <c r="GI153" s="143"/>
      <c r="GJ153" s="143"/>
      <c r="GK153" s="143"/>
      <c r="GL153" s="143"/>
      <c r="GM153" s="143"/>
      <c r="GN153" s="143"/>
      <c r="GO153" s="143"/>
      <c r="GP153" s="143"/>
      <c r="GQ153" s="143"/>
      <c r="GR153" s="143"/>
      <c r="GS153" s="143"/>
      <c r="GT153" s="143"/>
      <c r="GU153" s="143"/>
      <c r="GV153" s="143"/>
      <c r="GW153" s="143"/>
      <c r="GX153" s="143"/>
      <c r="GY153" s="143"/>
      <c r="GZ153" s="143"/>
      <c r="HA153" s="143"/>
      <c r="HB153" s="143"/>
      <c r="HC153" s="143"/>
      <c r="HD153" s="143"/>
      <c r="HE153" s="143"/>
      <c r="HF153" s="143"/>
      <c r="HG153" s="143"/>
      <c r="HH153" s="143"/>
      <c r="HI153" s="143"/>
      <c r="HJ153" s="143"/>
      <c r="HK153" s="143"/>
      <c r="HL153" s="143"/>
      <c r="HM153" s="143"/>
      <c r="HN153" s="143"/>
      <c r="HO153" s="143"/>
      <c r="HP153" s="143"/>
      <c r="HQ153" s="143"/>
      <c r="HR153" s="143"/>
      <c r="HS153" s="143"/>
      <c r="HT153" s="143"/>
      <c r="HU153" s="143"/>
      <c r="HV153" s="143"/>
      <c r="HW153" s="143"/>
      <c r="HX153" s="143"/>
      <c r="HY153" s="143"/>
      <c r="HZ153" s="143"/>
      <c r="IA153" s="143"/>
      <c r="IB153" s="143"/>
    </row>
    <row r="154" spans="1:236" x14ac:dyDescent="0.2">
      <c r="A154" s="219">
        <v>27</v>
      </c>
      <c r="B154" s="184" t="s">
        <v>5480</v>
      </c>
      <c r="C154" s="145">
        <v>52697</v>
      </c>
      <c r="D154" s="307">
        <v>32</v>
      </c>
      <c r="G154" s="184"/>
      <c r="S154" s="143"/>
    </row>
    <row r="155" spans="1:236" ht="30" x14ac:dyDescent="0.2">
      <c r="A155" s="219">
        <v>28</v>
      </c>
      <c r="B155" s="384" t="s">
        <v>5481</v>
      </c>
      <c r="C155" s="145">
        <v>19400</v>
      </c>
      <c r="D155" s="307">
        <v>57</v>
      </c>
      <c r="H155" s="143"/>
      <c r="I155" s="143"/>
      <c r="K155" s="143"/>
      <c r="L155" s="143"/>
    </row>
    <row r="156" spans="1:236" x14ac:dyDescent="0.2">
      <c r="A156" s="219">
        <v>29</v>
      </c>
      <c r="B156" s="184" t="s">
        <v>2763</v>
      </c>
      <c r="C156" s="145">
        <v>133304</v>
      </c>
      <c r="D156" s="307">
        <v>78</v>
      </c>
      <c r="G156" s="184"/>
      <c r="S156" s="143"/>
    </row>
    <row r="157" spans="1:236" ht="16" thickBot="1" x14ac:dyDescent="0.25">
      <c r="A157" s="219">
        <v>30</v>
      </c>
      <c r="B157" s="184" t="s">
        <v>5482</v>
      </c>
      <c r="C157" s="187">
        <v>360161</v>
      </c>
      <c r="D157" s="444">
        <v>82</v>
      </c>
    </row>
    <row r="158" spans="1:236" x14ac:dyDescent="0.2">
      <c r="A158" s="151"/>
      <c r="B158" s="1609" t="s">
        <v>5483</v>
      </c>
      <c r="C158" s="309">
        <v>14437100</v>
      </c>
      <c r="D158" s="364">
        <v>4</v>
      </c>
      <c r="Q158" s="107"/>
    </row>
    <row r="159" spans="1:236" x14ac:dyDescent="0.2">
      <c r="C159" s="321">
        <f>SUM(C128:C157)</f>
        <v>14437087</v>
      </c>
      <c r="D159" s="321">
        <f>SUM(D128:D157)</f>
        <v>1304</v>
      </c>
      <c r="G159" s="184"/>
      <c r="Q159" s="107"/>
    </row>
    <row r="160" spans="1:236" x14ac:dyDescent="0.2">
      <c r="G160" s="134"/>
    </row>
    <row r="161" spans="1:28" x14ac:dyDescent="0.2">
      <c r="C161" s="107"/>
      <c r="G161" s="134"/>
    </row>
    <row r="167" spans="1:28" x14ac:dyDescent="0.2">
      <c r="A167" s="1607" t="s">
        <v>1342</v>
      </c>
      <c r="B167" s="1607"/>
    </row>
    <row r="168" spans="1:28" ht="29" customHeight="1" x14ac:dyDescent="0.2">
      <c r="B168" s="1610" t="s">
        <v>5425</v>
      </c>
      <c r="C168" s="207" t="s">
        <v>5484</v>
      </c>
      <c r="D168" s="208"/>
      <c r="E168" s="208"/>
      <c r="F168" s="208"/>
      <c r="G168" s="208"/>
      <c r="H168" s="208"/>
      <c r="I168" s="208"/>
      <c r="J168" s="208"/>
      <c r="K168" s="208"/>
      <c r="L168" s="208"/>
      <c r="M168" s="208"/>
      <c r="N168" s="208"/>
      <c r="O168" s="208"/>
      <c r="P168" s="208"/>
      <c r="Q168" s="207" t="s">
        <v>5485</v>
      </c>
      <c r="R168" s="208"/>
      <c r="S168" s="208"/>
      <c r="T168" s="209"/>
      <c r="U168" s="208" t="s">
        <v>5486</v>
      </c>
      <c r="V168" s="208"/>
      <c r="W168" s="208"/>
      <c r="X168" s="208"/>
      <c r="Y168" s="208"/>
      <c r="Z168" s="208"/>
      <c r="AA168" s="208"/>
      <c r="AB168" s="209"/>
    </row>
    <row r="169" spans="1:28" ht="28.25" customHeight="1" x14ac:dyDescent="0.2">
      <c r="B169" s="1611"/>
      <c r="C169" s="212" t="s">
        <v>4141</v>
      </c>
      <c r="D169" s="210"/>
      <c r="E169" s="212" t="s">
        <v>4143</v>
      </c>
      <c r="F169" s="210"/>
      <c r="G169" s="273" t="s">
        <v>5487</v>
      </c>
      <c r="H169" s="239"/>
      <c r="I169" s="212" t="s">
        <v>5488</v>
      </c>
      <c r="J169" s="210"/>
      <c r="K169" s="212" t="s">
        <v>5489</v>
      </c>
      <c r="L169" s="210"/>
      <c r="M169" s="212" t="s">
        <v>5490</v>
      </c>
      <c r="N169" s="255"/>
      <c r="O169" s="255"/>
      <c r="P169" s="255"/>
      <c r="Q169" s="213"/>
      <c r="R169" s="214"/>
      <c r="S169" s="214"/>
      <c r="T169" s="215"/>
      <c r="U169" s="212" t="s">
        <v>5491</v>
      </c>
      <c r="V169" s="255"/>
      <c r="W169" s="255"/>
      <c r="X169" s="210"/>
      <c r="Y169" s="212" t="s">
        <v>5492</v>
      </c>
      <c r="Z169" s="210"/>
      <c r="AA169" s="212" t="s">
        <v>5493</v>
      </c>
      <c r="AB169" s="210"/>
    </row>
    <row r="170" spans="1:28" ht="28.25" customHeight="1" x14ac:dyDescent="0.2">
      <c r="B170" s="1612"/>
      <c r="C170" s="207" t="s">
        <v>2764</v>
      </c>
      <c r="D170" s="209"/>
      <c r="E170" s="207" t="s">
        <v>2764</v>
      </c>
      <c r="F170" s="209"/>
      <c r="G170" s="207" t="s">
        <v>2764</v>
      </c>
      <c r="H170" s="209"/>
      <c r="I170" s="207"/>
      <c r="J170" s="209"/>
      <c r="K170" s="207"/>
      <c r="L170" s="209"/>
      <c r="M170" s="207"/>
      <c r="N170" s="208"/>
      <c r="O170" s="208"/>
      <c r="P170" s="209"/>
      <c r="Q170" s="207"/>
      <c r="R170" s="208"/>
      <c r="S170" s="208"/>
      <c r="T170" s="209"/>
      <c r="U170" s="207"/>
      <c r="V170" s="208"/>
      <c r="W170" s="208"/>
      <c r="X170" s="209"/>
      <c r="Y170" s="207"/>
      <c r="Z170" s="209"/>
      <c r="AA170" s="207"/>
      <c r="AB170" s="209"/>
    </row>
    <row r="171" spans="1:28" x14ac:dyDescent="0.2">
      <c r="B171" s="164">
        <v>1898</v>
      </c>
      <c r="C171" s="164">
        <v>1</v>
      </c>
      <c r="D171" s="185">
        <v>40</v>
      </c>
      <c r="E171" s="164">
        <v>1</v>
      </c>
      <c r="F171" s="185">
        <v>20</v>
      </c>
      <c r="G171" s="164">
        <v>1</v>
      </c>
      <c r="H171" s="185"/>
      <c r="I171" s="164">
        <v>0</v>
      </c>
      <c r="J171" s="185">
        <v>80</v>
      </c>
      <c r="K171" s="164"/>
      <c r="L171" s="185"/>
      <c r="M171" s="164"/>
      <c r="N171" s="134">
        <v>0</v>
      </c>
      <c r="O171" s="134">
        <v>20</v>
      </c>
      <c r="P171" s="134"/>
      <c r="Q171" s="164"/>
      <c r="R171" s="134">
        <v>0</v>
      </c>
      <c r="S171" s="184">
        <v>80</v>
      </c>
      <c r="T171" s="185"/>
      <c r="U171" s="164"/>
      <c r="V171" s="134">
        <v>1</v>
      </c>
      <c r="W171" s="184">
        <v>20</v>
      </c>
      <c r="X171" s="185"/>
      <c r="Y171" s="164">
        <v>0</v>
      </c>
      <c r="Z171" s="185">
        <v>80</v>
      </c>
      <c r="AA171" s="164">
        <v>1</v>
      </c>
      <c r="AB171" s="185">
        <v>10</v>
      </c>
    </row>
    <row r="172" spans="1:28" x14ac:dyDescent="0.2">
      <c r="B172" s="164">
        <v>1899</v>
      </c>
      <c r="C172" s="164">
        <v>2</v>
      </c>
      <c r="D172" s="185">
        <v>40</v>
      </c>
      <c r="E172" s="164">
        <v>2</v>
      </c>
      <c r="F172" s="185">
        <v>10</v>
      </c>
      <c r="G172" s="164">
        <v>2</v>
      </c>
      <c r="H172" s="185"/>
      <c r="I172" s="164">
        <v>1</v>
      </c>
      <c r="J172" s="185">
        <v>80</v>
      </c>
      <c r="K172" s="164"/>
      <c r="L172" s="185"/>
      <c r="M172" s="164"/>
      <c r="N172" s="134">
        <v>0</v>
      </c>
      <c r="O172" s="134">
        <v>20</v>
      </c>
      <c r="P172" s="134"/>
      <c r="Q172" s="164"/>
      <c r="R172" s="134">
        <v>0</v>
      </c>
      <c r="S172" s="184">
        <v>80</v>
      </c>
      <c r="T172" s="185"/>
      <c r="U172" s="164"/>
      <c r="V172" s="134">
        <v>2</v>
      </c>
      <c r="W172" s="184">
        <v>10</v>
      </c>
      <c r="X172" s="185"/>
      <c r="Y172" s="164">
        <v>1</v>
      </c>
      <c r="Z172" s="185">
        <v>80</v>
      </c>
      <c r="AA172" s="164">
        <v>2</v>
      </c>
      <c r="AB172" s="185">
        <v>20</v>
      </c>
    </row>
    <row r="173" spans="1:28" x14ac:dyDescent="0.2">
      <c r="B173" s="164">
        <v>1900</v>
      </c>
      <c r="C173" s="164">
        <v>1</v>
      </c>
      <c r="D173" s="185">
        <v>80</v>
      </c>
      <c r="E173" s="164">
        <v>1</v>
      </c>
      <c r="F173" s="185">
        <v>40</v>
      </c>
      <c r="G173" s="164">
        <v>1</v>
      </c>
      <c r="H173" s="185">
        <v>25</v>
      </c>
      <c r="I173" s="164">
        <v>1</v>
      </c>
      <c r="J173" s="185"/>
      <c r="K173" s="164"/>
      <c r="L173" s="185"/>
      <c r="M173" s="164"/>
      <c r="N173" s="134">
        <v>0</v>
      </c>
      <c r="O173" s="134">
        <v>20</v>
      </c>
      <c r="P173" s="134"/>
      <c r="Q173" s="164"/>
      <c r="R173" s="134"/>
      <c r="S173" s="184"/>
      <c r="T173" s="185"/>
      <c r="U173" s="164"/>
      <c r="V173" s="134">
        <v>1</v>
      </c>
      <c r="W173" s="134">
        <v>40</v>
      </c>
      <c r="X173" s="185"/>
      <c r="Y173" s="164">
        <v>1</v>
      </c>
      <c r="Z173" s="185"/>
      <c r="AA173" s="164">
        <v>1</v>
      </c>
      <c r="AB173" s="185">
        <v>50</v>
      </c>
    </row>
    <row r="174" spans="1:28" x14ac:dyDescent="0.2">
      <c r="B174" s="164">
        <v>1900</v>
      </c>
      <c r="C174" s="164">
        <v>2</v>
      </c>
      <c r="D174" s="185"/>
      <c r="E174" s="164">
        <v>1</v>
      </c>
      <c r="F174" s="185">
        <v>40</v>
      </c>
      <c r="G174" s="164">
        <v>1</v>
      </c>
      <c r="H174" s="185">
        <v>25</v>
      </c>
      <c r="I174" s="164">
        <v>1</v>
      </c>
      <c r="J174" s="185"/>
      <c r="K174" s="164"/>
      <c r="L174" s="185"/>
      <c r="M174" s="164"/>
      <c r="N174" s="134">
        <v>0</v>
      </c>
      <c r="O174" s="134">
        <v>20</v>
      </c>
      <c r="P174" s="134"/>
      <c r="Q174" s="164"/>
      <c r="R174" s="134">
        <v>0</v>
      </c>
      <c r="S174" s="184">
        <v>80</v>
      </c>
      <c r="T174" s="185"/>
      <c r="U174" s="164"/>
      <c r="V174" s="184">
        <v>1</v>
      </c>
      <c r="W174" s="184">
        <v>40</v>
      </c>
      <c r="X174" s="185"/>
      <c r="Y174" s="164">
        <v>1</v>
      </c>
      <c r="Z174" s="185"/>
      <c r="AA174" s="164">
        <v>1</v>
      </c>
      <c r="AB174" s="185">
        <v>50</v>
      </c>
    </row>
    <row r="175" spans="1:28" x14ac:dyDescent="0.2">
      <c r="B175" s="164">
        <v>1901</v>
      </c>
      <c r="C175" s="164">
        <v>2</v>
      </c>
      <c r="D175" s="185">
        <v>40</v>
      </c>
      <c r="E175" s="164">
        <v>1</v>
      </c>
      <c r="F175" s="185">
        <v>80</v>
      </c>
      <c r="G175" s="164">
        <v>1</v>
      </c>
      <c r="H175" s="185">
        <v>25</v>
      </c>
      <c r="I175" s="164">
        <v>1</v>
      </c>
      <c r="J175" s="185"/>
      <c r="K175" s="164"/>
      <c r="L175" s="185"/>
      <c r="M175" s="164"/>
      <c r="N175" s="184">
        <v>0</v>
      </c>
      <c r="O175" s="184">
        <v>20</v>
      </c>
      <c r="P175" s="134"/>
      <c r="Q175" s="164"/>
      <c r="R175" s="184">
        <v>0</v>
      </c>
      <c r="S175" s="184">
        <v>80</v>
      </c>
      <c r="T175" s="185"/>
      <c r="U175" s="164"/>
      <c r="V175" s="184">
        <v>3</v>
      </c>
      <c r="W175" s="134"/>
      <c r="X175" s="185"/>
      <c r="Y175" s="164">
        <v>1</v>
      </c>
      <c r="Z175" s="185"/>
      <c r="AA175" s="164">
        <v>3</v>
      </c>
      <c r="AB175" s="185"/>
    </row>
    <row r="176" spans="1:28" x14ac:dyDescent="0.2">
      <c r="B176" s="164">
        <v>1902</v>
      </c>
      <c r="C176" s="164">
        <v>5</v>
      </c>
      <c r="D176" s="185"/>
      <c r="E176" s="164">
        <v>3</v>
      </c>
      <c r="F176" s="185">
        <v>50</v>
      </c>
      <c r="G176" s="164">
        <v>2</v>
      </c>
      <c r="H176" s="185">
        <v>50</v>
      </c>
      <c r="I176" s="164">
        <v>2</v>
      </c>
      <c r="J176" s="185"/>
      <c r="K176" s="164"/>
      <c r="L176" s="185"/>
      <c r="M176" s="164"/>
      <c r="N176" s="184">
        <v>0</v>
      </c>
      <c r="O176" s="184">
        <v>20</v>
      </c>
      <c r="P176" s="134"/>
      <c r="Q176" s="164"/>
      <c r="R176" s="184">
        <v>0</v>
      </c>
      <c r="S176" s="184">
        <v>80</v>
      </c>
      <c r="T176" s="185"/>
      <c r="U176" s="164"/>
      <c r="V176" s="184">
        <v>8</v>
      </c>
      <c r="W176" s="134"/>
      <c r="X176" s="185"/>
      <c r="Y176" s="164">
        <v>6</v>
      </c>
      <c r="Z176" s="185"/>
      <c r="AA176" s="164">
        <v>12</v>
      </c>
      <c r="AB176" s="185"/>
    </row>
    <row r="177" spans="2:28" x14ac:dyDescent="0.2">
      <c r="B177" s="164">
        <v>1902</v>
      </c>
      <c r="C177" s="164">
        <v>10</v>
      </c>
      <c r="D177" s="185"/>
      <c r="E177" s="164">
        <v>7</v>
      </c>
      <c r="F177" s="185"/>
      <c r="G177" s="164">
        <v>4</v>
      </c>
      <c r="H177" s="185"/>
      <c r="I177" s="164">
        <v>3</v>
      </c>
      <c r="J177" s="185"/>
      <c r="K177" s="164"/>
      <c r="L177" s="185"/>
      <c r="M177" s="164"/>
      <c r="N177" s="184">
        <v>1</v>
      </c>
      <c r="O177" s="184">
        <v>0.5</v>
      </c>
      <c r="P177" s="134"/>
      <c r="Q177" s="164"/>
      <c r="R177" s="184">
        <v>0</v>
      </c>
      <c r="S177" s="184">
        <v>80</v>
      </c>
      <c r="T177" s="185"/>
      <c r="U177" s="164"/>
      <c r="V177" s="184">
        <v>8</v>
      </c>
      <c r="W177" s="134"/>
      <c r="X177" s="185"/>
      <c r="Y177" s="164">
        <v>6</v>
      </c>
      <c r="Z177" s="185"/>
      <c r="AA177" s="164">
        <v>12</v>
      </c>
      <c r="AB177" s="185"/>
    </row>
    <row r="178" spans="2:28" x14ac:dyDescent="0.2">
      <c r="B178" s="164">
        <v>1903</v>
      </c>
      <c r="C178" s="164">
        <v>25</v>
      </c>
      <c r="D178" s="185"/>
      <c r="E178" s="164">
        <v>20</v>
      </c>
      <c r="F178" s="185"/>
      <c r="G178" s="164">
        <v>16</v>
      </c>
      <c r="H178" s="185"/>
      <c r="I178" s="164">
        <v>12</v>
      </c>
      <c r="J178" s="185"/>
      <c r="K178" s="164"/>
      <c r="L178" s="185"/>
      <c r="M178" s="164">
        <v>2.1</v>
      </c>
      <c r="N178" s="184"/>
      <c r="O178" s="134">
        <v>25.1</v>
      </c>
      <c r="P178" s="184"/>
      <c r="Q178" s="164">
        <v>0</v>
      </c>
      <c r="R178" s="184">
        <v>50</v>
      </c>
      <c r="S178" s="184">
        <v>0</v>
      </c>
      <c r="T178" s="185">
        <v>40</v>
      </c>
      <c r="U178" s="164"/>
      <c r="V178" s="184">
        <v>28</v>
      </c>
      <c r="W178" s="134"/>
      <c r="X178" s="185"/>
      <c r="Y178" s="164">
        <v>10</v>
      </c>
      <c r="Z178" s="185"/>
      <c r="AA178" s="164">
        <v>30</v>
      </c>
      <c r="AB178" s="185"/>
    </row>
    <row r="179" spans="2:28" x14ac:dyDescent="0.2">
      <c r="B179" s="164">
        <v>1903</v>
      </c>
      <c r="C179" s="164">
        <v>0</v>
      </c>
      <c r="D179" s="185">
        <v>50</v>
      </c>
      <c r="E179" s="164">
        <v>0</v>
      </c>
      <c r="F179" s="185">
        <v>40</v>
      </c>
      <c r="G179" s="164">
        <v>0</v>
      </c>
      <c r="H179" s="185">
        <v>30</v>
      </c>
      <c r="I179" s="164">
        <v>0</v>
      </c>
      <c r="J179" s="185">
        <v>25</v>
      </c>
      <c r="K179" s="164"/>
      <c r="L179" s="185"/>
      <c r="M179" s="164">
        <v>0</v>
      </c>
      <c r="N179" s="184">
        <v>0.5</v>
      </c>
      <c r="O179" s="184">
        <v>0</v>
      </c>
      <c r="P179" s="184">
        <v>0.2</v>
      </c>
      <c r="Q179" s="164">
        <v>0</v>
      </c>
      <c r="R179" s="184">
        <v>50</v>
      </c>
      <c r="S179" s="184">
        <v>0</v>
      </c>
      <c r="T179" s="185">
        <v>40</v>
      </c>
      <c r="U179" s="164"/>
      <c r="V179" s="184">
        <v>28</v>
      </c>
      <c r="W179" s="134"/>
      <c r="X179" s="185"/>
      <c r="Y179" s="164">
        <v>10</v>
      </c>
      <c r="Z179" s="185"/>
      <c r="AA179" s="164">
        <v>30</v>
      </c>
      <c r="AB179" s="185"/>
    </row>
    <row r="180" spans="2:28" x14ac:dyDescent="0.2">
      <c r="B180" s="164">
        <v>1904</v>
      </c>
      <c r="C180" s="164">
        <v>0</v>
      </c>
      <c r="D180" s="185">
        <v>50</v>
      </c>
      <c r="E180" s="164">
        <v>0</v>
      </c>
      <c r="F180" s="185">
        <v>40</v>
      </c>
      <c r="G180" s="164">
        <v>0</v>
      </c>
      <c r="H180" s="185">
        <v>30</v>
      </c>
      <c r="I180" s="164">
        <v>0</v>
      </c>
      <c r="J180" s="185">
        <v>25</v>
      </c>
      <c r="K180" s="164"/>
      <c r="L180" s="185"/>
      <c r="M180" s="164">
        <v>0</v>
      </c>
      <c r="N180" s="184">
        <v>0.5</v>
      </c>
      <c r="O180" s="184">
        <v>0</v>
      </c>
      <c r="P180" s="184">
        <v>0.2</v>
      </c>
      <c r="Q180" s="164"/>
      <c r="R180" s="134"/>
      <c r="S180" s="134"/>
      <c r="T180" s="185"/>
      <c r="U180" s="164"/>
      <c r="V180" s="184">
        <v>0</v>
      </c>
      <c r="W180" s="134">
        <v>40</v>
      </c>
      <c r="X180" s="185"/>
      <c r="Y180" s="164">
        <v>0</v>
      </c>
      <c r="Z180" s="185">
        <v>25</v>
      </c>
      <c r="AA180" s="164">
        <v>0</v>
      </c>
      <c r="AB180" s="185">
        <v>50</v>
      </c>
    </row>
    <row r="181" spans="2:28" x14ac:dyDescent="0.2">
      <c r="B181" s="164">
        <v>1905</v>
      </c>
      <c r="C181" s="164">
        <v>0</v>
      </c>
      <c r="D181" s="185">
        <v>50</v>
      </c>
      <c r="E181" s="164">
        <v>0</v>
      </c>
      <c r="F181" s="185">
        <v>40</v>
      </c>
      <c r="G181" s="164">
        <v>0</v>
      </c>
      <c r="H181" s="185">
        <v>35</v>
      </c>
      <c r="I181" s="164">
        <v>0</v>
      </c>
      <c r="J181" s="185">
        <v>25</v>
      </c>
      <c r="K181" s="164"/>
      <c r="L181" s="185"/>
      <c r="M181" s="164"/>
      <c r="N181" s="184">
        <v>0</v>
      </c>
      <c r="O181" s="184">
        <v>0.7</v>
      </c>
      <c r="P181" s="134"/>
      <c r="Q181" s="164">
        <v>0</v>
      </c>
      <c r="R181" s="184">
        <v>50</v>
      </c>
      <c r="S181" s="184">
        <v>0</v>
      </c>
      <c r="T181" s="185">
        <v>40</v>
      </c>
      <c r="U181" s="164">
        <v>0</v>
      </c>
      <c r="V181" s="184">
        <v>80</v>
      </c>
      <c r="W181" s="184">
        <v>0</v>
      </c>
      <c r="X181" s="185">
        <v>70</v>
      </c>
      <c r="Y181" s="164">
        <v>0</v>
      </c>
      <c r="Z181" s="185">
        <v>50</v>
      </c>
      <c r="AA181" s="164">
        <v>1</v>
      </c>
      <c r="AB181" s="185"/>
    </row>
    <row r="182" spans="2:28" x14ac:dyDescent="0.2">
      <c r="B182" s="164">
        <v>1906</v>
      </c>
      <c r="C182" s="164">
        <v>0</v>
      </c>
      <c r="D182" s="185">
        <v>50</v>
      </c>
      <c r="E182" s="164">
        <v>0</v>
      </c>
      <c r="F182" s="185">
        <v>40</v>
      </c>
      <c r="G182" s="164">
        <v>0</v>
      </c>
      <c r="H182" s="185">
        <v>35</v>
      </c>
      <c r="I182" s="164">
        <v>0</v>
      </c>
      <c r="J182" s="185">
        <v>25</v>
      </c>
      <c r="K182" s="164"/>
      <c r="L182" s="185"/>
      <c r="M182" s="164"/>
      <c r="N182" s="184">
        <v>0</v>
      </c>
      <c r="O182" s="184">
        <v>0.6</v>
      </c>
      <c r="P182" s="134"/>
      <c r="Q182" s="164">
        <v>0</v>
      </c>
      <c r="R182" s="184">
        <v>50</v>
      </c>
      <c r="S182" s="184">
        <v>0</v>
      </c>
      <c r="T182" s="185">
        <v>40</v>
      </c>
      <c r="U182" s="164">
        <v>0</v>
      </c>
      <c r="V182" s="184">
        <v>80</v>
      </c>
      <c r="W182" s="184">
        <v>0</v>
      </c>
      <c r="X182" s="185">
        <v>70</v>
      </c>
      <c r="Y182" s="164">
        <v>0</v>
      </c>
      <c r="Z182" s="185">
        <v>50</v>
      </c>
      <c r="AA182" s="164">
        <v>1</v>
      </c>
      <c r="AB182" s="185"/>
    </row>
    <row r="183" spans="2:28" x14ac:dyDescent="0.2">
      <c r="B183" s="151">
        <v>1907</v>
      </c>
      <c r="C183" s="151">
        <v>0</v>
      </c>
      <c r="D183" s="195">
        <v>50</v>
      </c>
      <c r="E183" s="151">
        <v>0</v>
      </c>
      <c r="F183" s="195">
        <v>40</v>
      </c>
      <c r="G183" s="151">
        <v>0</v>
      </c>
      <c r="H183" s="195">
        <v>35</v>
      </c>
      <c r="I183" s="151">
        <v>0</v>
      </c>
      <c r="J183" s="195">
        <v>25</v>
      </c>
      <c r="K183" s="151"/>
      <c r="L183" s="195"/>
      <c r="M183" s="164">
        <v>0</v>
      </c>
      <c r="N183" s="180">
        <v>7.5</v>
      </c>
      <c r="O183" s="184">
        <v>0</v>
      </c>
      <c r="P183" s="184">
        <v>0.9</v>
      </c>
      <c r="Q183" s="151">
        <v>0</v>
      </c>
      <c r="R183" s="1609">
        <v>50</v>
      </c>
      <c r="S183" s="1609">
        <v>0</v>
      </c>
      <c r="T183" s="195">
        <v>40</v>
      </c>
      <c r="U183" s="151">
        <v>0</v>
      </c>
      <c r="V183" s="194">
        <v>80</v>
      </c>
      <c r="W183" s="194">
        <v>0</v>
      </c>
      <c r="X183" s="195">
        <v>70</v>
      </c>
      <c r="Y183" s="151">
        <v>0</v>
      </c>
      <c r="Z183" s="195">
        <v>50</v>
      </c>
      <c r="AA183" s="151">
        <v>1</v>
      </c>
      <c r="AB183" s="195"/>
    </row>
    <row r="185" spans="2:28" x14ac:dyDescent="0.2">
      <c r="B185" s="106" t="s">
        <v>5494</v>
      </c>
    </row>
    <row r="186" spans="2:28" x14ac:dyDescent="0.2">
      <c r="B186" s="106" t="s">
        <v>5495</v>
      </c>
    </row>
    <row r="190" spans="2:28" x14ac:dyDescent="0.2">
      <c r="B190" s="1607" t="s">
        <v>1358</v>
      </c>
      <c r="C190" s="1607"/>
    </row>
    <row r="191" spans="2:28" ht="19" x14ac:dyDescent="0.25">
      <c r="B191" s="114" t="s">
        <v>5496</v>
      </c>
      <c r="C191" s="115"/>
      <c r="D191" s="116"/>
    </row>
    <row r="192" spans="2:28" x14ac:dyDescent="0.2">
      <c r="B192" s="216" t="s">
        <v>5497</v>
      </c>
      <c r="C192" s="217"/>
      <c r="D192" s="218"/>
    </row>
    <row r="193" spans="2:4" ht="60" customHeight="1" x14ac:dyDescent="0.2">
      <c r="B193" s="1613" t="s">
        <v>5498</v>
      </c>
      <c r="C193" s="1614"/>
      <c r="D193" s="1615"/>
    </row>
    <row r="194" spans="2:4" ht="30" x14ac:dyDescent="0.2">
      <c r="B194" s="178" t="s">
        <v>5499</v>
      </c>
      <c r="C194" s="134">
        <v>0</v>
      </c>
      <c r="D194" s="185">
        <v>50</v>
      </c>
    </row>
    <row r="195" spans="2:4" x14ac:dyDescent="0.2">
      <c r="B195" s="164" t="s">
        <v>5500</v>
      </c>
      <c r="C195" s="134">
        <v>0</v>
      </c>
      <c r="D195" s="185">
        <v>60</v>
      </c>
    </row>
    <row r="196" spans="2:4" x14ac:dyDescent="0.2">
      <c r="B196" s="164" t="s">
        <v>5501</v>
      </c>
      <c r="C196" s="134">
        <v>0</v>
      </c>
      <c r="D196" s="185" t="s">
        <v>5502</v>
      </c>
    </row>
    <row r="197" spans="2:4" ht="31.25" customHeight="1" x14ac:dyDescent="0.2">
      <c r="B197" s="305" t="s">
        <v>5503</v>
      </c>
      <c r="C197" s="306"/>
      <c r="D197" s="1616"/>
    </row>
    <row r="198" spans="2:4" x14ac:dyDescent="0.2">
      <c r="B198" s="164" t="s">
        <v>5504</v>
      </c>
      <c r="C198" s="141">
        <v>12300</v>
      </c>
      <c r="D198" s="185"/>
    </row>
    <row r="199" spans="2:4" x14ac:dyDescent="0.2">
      <c r="B199" s="151" t="s">
        <v>5505</v>
      </c>
      <c r="C199" s="309">
        <v>10033</v>
      </c>
      <c r="D199" s="195"/>
    </row>
    <row r="203" spans="2:4" x14ac:dyDescent="0.2">
      <c r="B203" s="1607" t="s">
        <v>1374</v>
      </c>
      <c r="C203" s="1607"/>
    </row>
    <row r="204" spans="2:4" ht="16" x14ac:dyDescent="0.2">
      <c r="B204" s="378" t="s">
        <v>5506</v>
      </c>
      <c r="C204" s="379"/>
      <c r="D204" s="380"/>
    </row>
    <row r="205" spans="2:4" ht="62.5" customHeight="1" x14ac:dyDescent="0.2">
      <c r="B205" s="1613" t="s">
        <v>5507</v>
      </c>
      <c r="C205" s="1614"/>
      <c r="D205" s="1615"/>
    </row>
    <row r="206" spans="2:4" x14ac:dyDescent="0.2">
      <c r="B206" s="164" t="s">
        <v>5508</v>
      </c>
      <c r="C206" s="134">
        <v>2</v>
      </c>
      <c r="D206" s="185"/>
    </row>
    <row r="207" spans="2:4" x14ac:dyDescent="0.2">
      <c r="B207" s="164" t="s">
        <v>5509</v>
      </c>
      <c r="C207" s="134">
        <v>0</v>
      </c>
      <c r="D207" s="185">
        <v>75</v>
      </c>
    </row>
    <row r="208" spans="2:4" ht="30" x14ac:dyDescent="0.2">
      <c r="B208" s="178" t="s">
        <v>5510</v>
      </c>
      <c r="C208" s="134">
        <v>0</v>
      </c>
      <c r="D208" s="185">
        <v>50</v>
      </c>
    </row>
    <row r="209" spans="2:4" x14ac:dyDescent="0.2">
      <c r="B209" s="164" t="s">
        <v>5511</v>
      </c>
      <c r="C209" s="184">
        <v>0</v>
      </c>
      <c r="D209" s="185">
        <v>50</v>
      </c>
    </row>
    <row r="210" spans="2:4" x14ac:dyDescent="0.2">
      <c r="B210" s="164" t="s">
        <v>5512</v>
      </c>
      <c r="C210" s="184">
        <v>0</v>
      </c>
      <c r="D210" s="185">
        <v>15</v>
      </c>
    </row>
    <row r="211" spans="2:4" ht="27.5" customHeight="1" x14ac:dyDescent="0.2">
      <c r="B211" s="305" t="s">
        <v>5513</v>
      </c>
      <c r="C211" s="306"/>
      <c r="D211" s="1616"/>
    </row>
    <row r="212" spans="2:4" ht="30" x14ac:dyDescent="0.2">
      <c r="B212" s="394" t="s">
        <v>5514</v>
      </c>
      <c r="C212" s="184">
        <v>2</v>
      </c>
      <c r="D212" s="185"/>
    </row>
    <row r="213" spans="2:4" ht="30" x14ac:dyDescent="0.2">
      <c r="B213" s="1617" t="s">
        <v>5515</v>
      </c>
      <c r="C213" s="194">
        <v>0</v>
      </c>
      <c r="D213" s="195">
        <v>60</v>
      </c>
    </row>
    <row r="230" ht="14.5" customHeight="1" x14ac:dyDescent="0.2"/>
  </sheetData>
  <mergeCells count="47">
    <mergeCell ref="B211:D211"/>
    <mergeCell ref="B192:D192"/>
    <mergeCell ref="B193:D193"/>
    <mergeCell ref="B197:D197"/>
    <mergeCell ref="B203:C203"/>
    <mergeCell ref="B204:D204"/>
    <mergeCell ref="B205:D205"/>
    <mergeCell ref="Q170:T170"/>
    <mergeCell ref="U170:X170"/>
    <mergeCell ref="Y170:Z170"/>
    <mergeCell ref="AA170:AB170"/>
    <mergeCell ref="B190:C190"/>
    <mergeCell ref="B191:D191"/>
    <mergeCell ref="C170:D170"/>
    <mergeCell ref="E170:F170"/>
    <mergeCell ref="G170:H170"/>
    <mergeCell ref="I170:J170"/>
    <mergeCell ref="K170:L170"/>
    <mergeCell ref="M170:P170"/>
    <mergeCell ref="Q168:T169"/>
    <mergeCell ref="U168:AB168"/>
    <mergeCell ref="C169:D169"/>
    <mergeCell ref="E169:F169"/>
    <mergeCell ref="I169:J169"/>
    <mergeCell ref="K169:L169"/>
    <mergeCell ref="M169:P169"/>
    <mergeCell ref="U169:X169"/>
    <mergeCell ref="Y169:Z169"/>
    <mergeCell ref="AA169:AB169"/>
    <mergeCell ref="A125:B125"/>
    <mergeCell ref="A126:D126"/>
    <mergeCell ref="A127:D127"/>
    <mergeCell ref="A167:B167"/>
    <mergeCell ref="B168:B169"/>
    <mergeCell ref="C168:P168"/>
    <mergeCell ref="A55:B55"/>
    <mergeCell ref="A56:D56"/>
    <mergeCell ref="A57:D57"/>
    <mergeCell ref="A84:B84"/>
    <mergeCell ref="A85:D85"/>
    <mergeCell ref="A86:D86"/>
    <mergeCell ref="A1:B1"/>
    <mergeCell ref="A2:D2"/>
    <mergeCell ref="A3:D3"/>
    <mergeCell ref="A26:B26"/>
    <mergeCell ref="A27:D27"/>
    <mergeCell ref="A28:D28"/>
  </mergeCells>
  <pageMargins left="0.75" right="0.75" top="1" bottom="1" header="0" footer="0"/>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X155"/>
  <sheetViews>
    <sheetView workbookViewId="0">
      <selection activeCell="B1" sqref="B1"/>
    </sheetView>
  </sheetViews>
  <sheetFormatPr baseColWidth="10" defaultColWidth="11.6640625" defaultRowHeight="15" x14ac:dyDescent="0.2"/>
  <cols>
    <col min="1" max="1" width="35.33203125" style="106" customWidth="1"/>
    <col min="2" max="2" width="11.6640625" style="106"/>
    <col min="3" max="4" width="6.1640625" style="106" customWidth="1"/>
    <col min="5" max="5" width="11.6640625" style="106"/>
    <col min="6" max="7" width="6.1640625" style="106" customWidth="1"/>
    <col min="8" max="8" width="11.6640625" style="106"/>
    <col min="9" max="10" width="6.1640625" style="106" customWidth="1"/>
    <col min="11" max="11" width="11.6640625" style="106"/>
    <col min="12" max="13" width="6.1640625" style="106" customWidth="1"/>
    <col min="14" max="14" width="11.6640625" style="106"/>
    <col min="15" max="16" width="6.1640625" style="106" customWidth="1"/>
    <col min="17" max="17" width="11.6640625" style="106"/>
    <col min="18" max="19" width="6.1640625" style="106" customWidth="1"/>
    <col min="20" max="20" width="11.6640625" style="106"/>
    <col min="21" max="22" width="6.1640625" style="106" customWidth="1"/>
    <col min="23" max="23" width="11.6640625" style="106"/>
    <col min="24" max="25" width="6.1640625" style="106" customWidth="1"/>
    <col min="26" max="26" width="11.6640625" style="106"/>
    <col min="27" max="28" width="6.1640625" style="106" customWidth="1"/>
    <col min="29" max="29" width="11.6640625" style="106"/>
    <col min="30" max="31" width="6.1640625" style="106" customWidth="1"/>
    <col min="32" max="32" width="11.6640625" style="106"/>
    <col min="33" max="34" width="6.1640625" style="106" customWidth="1"/>
    <col min="35" max="35" width="11.6640625" style="106"/>
    <col min="36" max="37" width="6.1640625" style="106" customWidth="1"/>
    <col min="38" max="38" width="11.6640625" style="106"/>
    <col min="39" max="40" width="6.1640625" style="106" customWidth="1"/>
    <col min="41" max="41" width="11.6640625" style="106"/>
    <col min="42" max="43" width="6.1640625" style="106" customWidth="1"/>
    <col min="44" max="44" width="11.6640625" style="106"/>
    <col min="45" max="46" width="6.1640625" style="106" customWidth="1"/>
    <col min="47" max="47" width="11.6640625" style="106"/>
    <col min="48" max="49" width="6.1640625" style="106" customWidth="1"/>
    <col min="50" max="50" width="11.6640625" style="106"/>
    <col min="51" max="52" width="6.1640625" style="106" customWidth="1"/>
    <col min="53" max="53" width="11.6640625" style="106"/>
    <col min="54" max="55" width="6.1640625" style="106" customWidth="1"/>
    <col min="56" max="56" width="11.6640625" style="106"/>
    <col min="57" max="58" width="6.1640625" style="106" customWidth="1"/>
    <col min="59" max="59" width="11.6640625" style="106"/>
    <col min="60" max="61" width="6.1640625" style="106" customWidth="1"/>
    <col min="62" max="62" width="11.6640625" style="106"/>
    <col min="63" max="64" width="6.1640625" style="106" customWidth="1"/>
    <col min="65" max="65" width="11.6640625" style="106"/>
    <col min="66" max="67" width="6.1640625" style="106" customWidth="1"/>
    <col min="68" max="68" width="11.6640625" style="106"/>
    <col min="69" max="70" width="6.1640625" style="106" customWidth="1"/>
    <col min="71" max="71" width="11.6640625" style="106"/>
    <col min="72" max="73" width="6.1640625" style="106" customWidth="1"/>
    <col min="74" max="74" width="11.6640625" style="106"/>
    <col min="75" max="76" width="6.1640625" style="106" customWidth="1"/>
    <col min="77" max="77" width="11.6640625" style="106"/>
    <col min="78" max="79" width="6.1640625" style="106" customWidth="1"/>
    <col min="80" max="80" width="11.6640625" style="106"/>
    <col min="81" max="82" width="6.1640625" style="106" customWidth="1"/>
    <col min="83" max="83" width="11.6640625" style="106"/>
    <col min="84" max="85" width="6.1640625" style="106" customWidth="1"/>
    <col min="86" max="86" width="11.6640625" style="106"/>
    <col min="87" max="88" width="6.1640625" style="106" customWidth="1"/>
    <col min="89" max="89" width="11.6640625" style="106"/>
    <col min="90" max="91" width="6.1640625" style="106" customWidth="1"/>
    <col min="92" max="92" width="11.6640625" style="106"/>
    <col min="93" max="94" width="6.1640625" style="106" customWidth="1"/>
    <col min="95" max="95" width="11.6640625" style="106"/>
    <col min="96" max="97" width="6.1640625" style="106" customWidth="1"/>
    <col min="98" max="98" width="11.6640625" style="106"/>
    <col min="99" max="100" width="6.1640625" style="106" customWidth="1"/>
    <col min="101" max="101" width="11.6640625" style="106"/>
    <col min="102" max="103" width="6.1640625" style="106" customWidth="1"/>
    <col min="104" max="104" width="11.6640625" style="106"/>
    <col min="105" max="106" width="6.1640625" style="106" customWidth="1"/>
    <col min="107" max="107" width="11.6640625" style="106"/>
    <col min="108" max="109" width="6.1640625" style="106" customWidth="1"/>
    <col min="110" max="110" width="11.6640625" style="106"/>
    <col min="111" max="112" width="6.1640625" style="106" customWidth="1"/>
    <col min="113" max="113" width="11.6640625" style="106"/>
    <col min="114" max="115" width="6.1640625" style="106" customWidth="1"/>
    <col min="116" max="116" width="11.6640625" style="106"/>
    <col min="117" max="118" width="6.1640625" style="106" customWidth="1"/>
    <col min="119" max="119" width="11.6640625" style="106"/>
    <col min="120" max="121" width="6.1640625" style="106" customWidth="1"/>
    <col min="122" max="122" width="11.6640625" style="106"/>
    <col min="123" max="124" width="6.1640625" style="106" customWidth="1"/>
    <col min="125" max="125" width="11.6640625" style="106"/>
    <col min="126" max="127" width="6.1640625" style="106" customWidth="1"/>
    <col min="128" max="128" width="11.6640625" style="106"/>
    <col min="129" max="130" width="6.1640625" style="106" customWidth="1"/>
    <col min="131" max="131" width="11.6640625" style="106"/>
    <col min="132" max="133" width="6.1640625" style="106" customWidth="1"/>
    <col min="134" max="134" width="11.6640625" style="106"/>
    <col min="135" max="136" width="6.1640625" style="106" customWidth="1"/>
    <col min="137" max="137" width="11.6640625" style="106"/>
    <col min="138" max="139" width="6.1640625" style="106" customWidth="1"/>
    <col min="140" max="140" width="11.6640625" style="106"/>
    <col min="141" max="142" width="6.1640625" style="106" customWidth="1"/>
    <col min="143" max="143" width="11.6640625" style="106"/>
    <col min="144" max="145" width="6.1640625" style="106" customWidth="1"/>
    <col min="146" max="146" width="11.6640625" style="106"/>
    <col min="147" max="148" width="6.1640625" style="106" customWidth="1"/>
    <col min="149" max="149" width="11.6640625" style="106"/>
    <col min="150" max="151" width="6.1640625" style="106" customWidth="1"/>
    <col min="152" max="152" width="11.6640625" style="106"/>
    <col min="153" max="154" width="6.1640625" style="106" customWidth="1"/>
    <col min="155" max="155" width="11.6640625" style="106"/>
    <col min="156" max="157" width="6.1640625" style="106" customWidth="1"/>
    <col min="158" max="158" width="11.6640625" style="106"/>
    <col min="159" max="160" width="6.1640625" style="106" customWidth="1"/>
    <col min="161" max="161" width="11.6640625" style="106"/>
    <col min="162" max="163" width="6.1640625" style="106" customWidth="1"/>
    <col min="164" max="164" width="11.6640625" style="106"/>
    <col min="165" max="166" width="6.1640625" style="106" customWidth="1"/>
    <col min="167" max="167" width="11.6640625" style="106"/>
    <col min="168" max="169" width="6.1640625" style="106" customWidth="1"/>
    <col min="170" max="170" width="11.6640625" style="106"/>
    <col min="171" max="172" width="6.1640625" style="106" customWidth="1"/>
    <col min="173" max="173" width="11.6640625" style="106"/>
    <col min="174" max="175" width="6.1640625" style="106" customWidth="1"/>
    <col min="176" max="176" width="11.6640625" style="106"/>
    <col min="177" max="178" width="6.1640625" style="106" customWidth="1"/>
    <col min="179" max="179" width="11.6640625" style="106"/>
    <col min="180" max="181" width="6.1640625" style="106" customWidth="1"/>
    <col min="182" max="182" width="11.6640625" style="106"/>
    <col min="183" max="184" width="6.1640625" style="106" customWidth="1"/>
    <col min="185" max="185" width="11.6640625" style="106"/>
    <col min="186" max="187" width="6.1640625" style="106" customWidth="1"/>
    <col min="188" max="188" width="11.6640625" style="106"/>
    <col min="189" max="190" width="6.1640625" style="106" customWidth="1"/>
    <col min="191" max="191" width="11.6640625" style="106"/>
    <col min="192" max="193" width="6.1640625" style="106" customWidth="1"/>
    <col min="194" max="194" width="11.6640625" style="106"/>
    <col min="195" max="196" width="6.1640625" style="106" customWidth="1"/>
    <col min="197" max="197" width="11.6640625" style="106"/>
    <col min="198" max="199" width="6.1640625" style="106" customWidth="1"/>
    <col min="200" max="200" width="11.6640625" style="106"/>
    <col min="201" max="202" width="6.1640625" style="106" customWidth="1"/>
    <col min="203" max="203" width="11.6640625" style="106"/>
    <col min="204" max="205" width="6.1640625" style="106" customWidth="1"/>
    <col min="206" max="206" width="11.6640625" style="106"/>
    <col min="207" max="208" width="6.1640625" style="106" customWidth="1"/>
    <col min="209" max="209" width="11.6640625" style="106"/>
    <col min="210" max="211" width="6.1640625" style="106" customWidth="1"/>
    <col min="212" max="212" width="11.6640625" style="106"/>
    <col min="213" max="214" width="6.1640625" style="106" customWidth="1"/>
    <col min="215" max="215" width="11.6640625" style="106"/>
    <col min="216" max="217" width="6.1640625" style="106" customWidth="1"/>
    <col min="218" max="218" width="11.6640625" style="106"/>
    <col min="219" max="220" width="6.1640625" style="106" customWidth="1"/>
    <col min="221" max="221" width="11.6640625" style="106"/>
    <col min="222" max="223" width="6.1640625" style="106" customWidth="1"/>
    <col min="224" max="224" width="11.6640625" style="106"/>
    <col min="225" max="226" width="6.1640625" style="106" customWidth="1"/>
    <col min="227" max="227" width="11.6640625" style="106"/>
    <col min="228" max="229" width="6.1640625" style="106" customWidth="1"/>
    <col min="230" max="230" width="11.6640625" style="106"/>
    <col min="231" max="232" width="6.1640625" style="106" customWidth="1"/>
    <col min="233" max="16384" width="11.6640625" style="106"/>
  </cols>
  <sheetData>
    <row r="1" spans="1:2" x14ac:dyDescent="0.2">
      <c r="A1" s="1607" t="s">
        <v>5516</v>
      </c>
      <c r="B1" s="1607"/>
    </row>
    <row r="2" spans="1:2" ht="40.25" customHeight="1" x14ac:dyDescent="0.2">
      <c r="A2" s="281" t="s">
        <v>5517</v>
      </c>
      <c r="B2" s="283"/>
    </row>
    <row r="3" spans="1:2" ht="73.25" customHeight="1" x14ac:dyDescent="0.2">
      <c r="A3" s="178" t="s">
        <v>5518</v>
      </c>
      <c r="B3" s="185">
        <v>15</v>
      </c>
    </row>
    <row r="4" spans="1:2" ht="30" x14ac:dyDescent="0.2">
      <c r="A4" s="178" t="s">
        <v>5519</v>
      </c>
      <c r="B4" s="185">
        <v>3</v>
      </c>
    </row>
    <row r="5" spans="1:2" ht="30" x14ac:dyDescent="0.2">
      <c r="A5" s="178" t="s">
        <v>5520</v>
      </c>
      <c r="B5" s="185">
        <v>4</v>
      </c>
    </row>
    <row r="6" spans="1:2" ht="45" x14ac:dyDescent="0.2">
      <c r="A6" s="178" t="s">
        <v>5521</v>
      </c>
      <c r="B6" s="185">
        <v>50</v>
      </c>
    </row>
    <row r="7" spans="1:2" ht="105" x14ac:dyDescent="0.2">
      <c r="A7" s="178" t="s">
        <v>5522</v>
      </c>
      <c r="B7" s="185"/>
    </row>
    <row r="8" spans="1:2" ht="60" x14ac:dyDescent="0.2">
      <c r="A8" s="178" t="s">
        <v>5523</v>
      </c>
      <c r="B8" s="185">
        <v>25</v>
      </c>
    </row>
    <row r="9" spans="1:2" ht="45" x14ac:dyDescent="0.2">
      <c r="A9" s="178" t="s">
        <v>5524</v>
      </c>
      <c r="B9" s="185">
        <v>8</v>
      </c>
    </row>
    <row r="10" spans="1:2" ht="30" x14ac:dyDescent="0.2">
      <c r="A10" s="178" t="s">
        <v>5525</v>
      </c>
      <c r="B10" s="185">
        <v>3</v>
      </c>
    </row>
    <row r="11" spans="1:2" ht="30" x14ac:dyDescent="0.2">
      <c r="A11" s="178" t="s">
        <v>5526</v>
      </c>
      <c r="B11" s="185">
        <v>3</v>
      </c>
    </row>
    <row r="12" spans="1:2" ht="60" x14ac:dyDescent="0.2">
      <c r="A12" s="178" t="s">
        <v>5527</v>
      </c>
      <c r="B12" s="185">
        <v>5</v>
      </c>
    </row>
    <row r="13" spans="1:2" ht="30" x14ac:dyDescent="0.2">
      <c r="A13" s="178" t="s">
        <v>5528</v>
      </c>
      <c r="B13" s="185">
        <v>2</v>
      </c>
    </row>
    <row r="14" spans="1:2" ht="141.5" customHeight="1" x14ac:dyDescent="0.2">
      <c r="A14" s="1618" t="s">
        <v>5529</v>
      </c>
      <c r="B14" s="1619"/>
    </row>
    <row r="19" ht="29" customHeight="1" x14ac:dyDescent="0.2"/>
    <row r="51" ht="34.25" customHeight="1" x14ac:dyDescent="0.2"/>
    <row r="146" spans="2:232" x14ac:dyDescent="0.2">
      <c r="B146" s="143"/>
      <c r="C146" s="143"/>
      <c r="D146" s="143"/>
      <c r="E146" s="143"/>
      <c r="F146" s="143"/>
      <c r="G146" s="143"/>
      <c r="H146" s="143"/>
      <c r="I146" s="143"/>
      <c r="J146" s="143"/>
      <c r="K146" s="143"/>
      <c r="L146" s="143"/>
      <c r="M146" s="143"/>
      <c r="N146" s="143"/>
      <c r="O146" s="143"/>
      <c r="P146" s="143"/>
      <c r="Q146" s="143"/>
      <c r="R146" s="143"/>
      <c r="S146" s="143"/>
      <c r="T146" s="143"/>
      <c r="U146" s="143"/>
      <c r="V146" s="143"/>
      <c r="W146" s="143"/>
      <c r="X146" s="143"/>
      <c r="Y146" s="143"/>
      <c r="Z146" s="143"/>
      <c r="AA146" s="143"/>
      <c r="AB146" s="143"/>
      <c r="AC146" s="143"/>
      <c r="AD146" s="143"/>
      <c r="AE146" s="143"/>
      <c r="AF146" s="143"/>
      <c r="AG146" s="143"/>
      <c r="AH146" s="143"/>
      <c r="AI146" s="143"/>
      <c r="AJ146" s="143"/>
      <c r="AK146" s="143"/>
      <c r="AL146" s="143"/>
      <c r="AM146" s="143"/>
      <c r="AN146" s="143"/>
      <c r="AO146" s="143"/>
      <c r="AP146" s="143"/>
      <c r="AQ146" s="143"/>
      <c r="AR146" s="143"/>
      <c r="AS146" s="143"/>
      <c r="AT146" s="143"/>
      <c r="AU146" s="143"/>
      <c r="AV146" s="143"/>
      <c r="AW146" s="143"/>
      <c r="AX146" s="143"/>
      <c r="AY146" s="143"/>
      <c r="AZ146" s="143"/>
      <c r="BA146" s="143"/>
      <c r="BB146" s="143"/>
      <c r="BC146" s="143"/>
      <c r="BD146" s="143"/>
      <c r="BE146" s="143"/>
      <c r="BF146" s="143"/>
      <c r="BG146" s="143"/>
      <c r="BH146" s="143"/>
      <c r="BI146" s="143"/>
      <c r="BJ146" s="143"/>
      <c r="BK146" s="143"/>
      <c r="BL146" s="143"/>
      <c r="BM146" s="143"/>
      <c r="BN146" s="143"/>
      <c r="BO146" s="143"/>
      <c r="BP146" s="143"/>
      <c r="BQ146" s="143"/>
      <c r="BR146" s="143"/>
      <c r="BS146" s="143"/>
      <c r="BT146" s="143"/>
      <c r="BU146" s="143"/>
      <c r="BV146" s="143"/>
      <c r="BW146" s="143"/>
      <c r="BX146" s="143"/>
      <c r="BY146" s="143"/>
      <c r="BZ146" s="143"/>
      <c r="CA146" s="143"/>
      <c r="CB146" s="143"/>
      <c r="CC146" s="143"/>
      <c r="CD146" s="143"/>
      <c r="CE146" s="143"/>
      <c r="CF146" s="143"/>
      <c r="CG146" s="143"/>
      <c r="CH146" s="143"/>
      <c r="CI146" s="143"/>
      <c r="CJ146" s="143"/>
      <c r="CK146" s="143"/>
      <c r="CL146" s="143"/>
      <c r="CM146" s="143"/>
      <c r="CN146" s="143"/>
      <c r="CO146" s="143"/>
      <c r="CP146" s="143"/>
      <c r="CQ146" s="143"/>
      <c r="CR146" s="143"/>
      <c r="CS146" s="143"/>
      <c r="CT146" s="143"/>
      <c r="CU146" s="143"/>
      <c r="CV146" s="143"/>
      <c r="CW146" s="143"/>
      <c r="CX146" s="143"/>
      <c r="CY146" s="143"/>
      <c r="CZ146" s="143"/>
      <c r="DA146" s="143"/>
      <c r="DB146" s="143"/>
      <c r="DC146" s="143"/>
      <c r="DD146" s="143"/>
      <c r="DE146" s="143"/>
      <c r="DF146" s="143"/>
      <c r="DG146" s="143"/>
      <c r="DH146" s="143"/>
      <c r="DI146" s="143"/>
      <c r="DJ146" s="143"/>
      <c r="DK146" s="143"/>
      <c r="DL146" s="143"/>
      <c r="DM146" s="143"/>
      <c r="DN146" s="143"/>
      <c r="DO146" s="143"/>
      <c r="DP146" s="143"/>
      <c r="DQ146" s="143"/>
      <c r="DR146" s="143"/>
      <c r="DS146" s="143"/>
      <c r="DT146" s="143"/>
      <c r="DU146" s="143"/>
      <c r="DV146" s="143"/>
      <c r="DW146" s="143"/>
      <c r="DX146" s="143"/>
      <c r="DY146" s="143"/>
      <c r="DZ146" s="143"/>
      <c r="EA146" s="143"/>
      <c r="EB146" s="143"/>
      <c r="EC146" s="143"/>
      <c r="ED146" s="143"/>
      <c r="EE146" s="143"/>
      <c r="EF146" s="143"/>
      <c r="EG146" s="143"/>
      <c r="EH146" s="143"/>
      <c r="EI146" s="143"/>
      <c r="EJ146" s="143"/>
      <c r="EK146" s="143"/>
      <c r="EL146" s="143"/>
      <c r="EM146" s="143"/>
      <c r="EN146" s="143"/>
      <c r="EO146" s="143"/>
      <c r="EP146" s="143"/>
      <c r="EQ146" s="143"/>
      <c r="ER146" s="143"/>
      <c r="ES146" s="143"/>
      <c r="ET146" s="143"/>
      <c r="EU146" s="143"/>
      <c r="EV146" s="143"/>
      <c r="EW146" s="143"/>
      <c r="EX146" s="143"/>
      <c r="EY146" s="143"/>
      <c r="EZ146" s="143"/>
      <c r="FA146" s="143"/>
      <c r="FB146" s="143"/>
      <c r="FC146" s="143"/>
      <c r="FD146" s="143"/>
      <c r="FE146" s="143"/>
      <c r="FF146" s="143"/>
      <c r="FG146" s="143"/>
      <c r="FH146" s="143"/>
      <c r="FI146" s="143"/>
      <c r="FJ146" s="143"/>
      <c r="FK146" s="143"/>
      <c r="FL146" s="143"/>
      <c r="FM146" s="143"/>
      <c r="FN146" s="143"/>
      <c r="FO146" s="143"/>
      <c r="FP146" s="143"/>
      <c r="FQ146" s="143"/>
      <c r="FR146" s="143"/>
      <c r="FS146" s="143"/>
      <c r="FT146" s="143"/>
      <c r="FU146" s="143"/>
      <c r="FV146" s="143"/>
      <c r="FW146" s="143"/>
      <c r="FX146" s="143"/>
      <c r="FY146" s="143"/>
      <c r="FZ146" s="143"/>
      <c r="GA146" s="143"/>
      <c r="GB146" s="143"/>
      <c r="GC146" s="143"/>
      <c r="GD146" s="143"/>
      <c r="GE146" s="143"/>
      <c r="GF146" s="143"/>
      <c r="GG146" s="143"/>
      <c r="GH146" s="143"/>
      <c r="GI146" s="143"/>
      <c r="GJ146" s="143"/>
      <c r="GK146" s="143"/>
      <c r="GL146" s="143"/>
      <c r="GM146" s="143"/>
      <c r="GN146" s="143"/>
      <c r="GO146" s="143"/>
      <c r="GP146" s="143"/>
      <c r="GQ146" s="143"/>
      <c r="GR146" s="143"/>
      <c r="GS146" s="143"/>
      <c r="GT146" s="143"/>
      <c r="GU146" s="143"/>
      <c r="GV146" s="143"/>
      <c r="GW146" s="143"/>
      <c r="GX146" s="143"/>
      <c r="GY146" s="143"/>
      <c r="GZ146" s="143"/>
      <c r="HA146" s="143"/>
      <c r="HB146" s="143"/>
      <c r="HC146" s="143"/>
      <c r="HD146" s="143"/>
      <c r="HE146" s="143"/>
      <c r="HF146" s="143"/>
      <c r="HG146" s="143"/>
      <c r="HH146" s="143"/>
      <c r="HI146" s="143"/>
      <c r="HJ146" s="143"/>
      <c r="HK146" s="143"/>
      <c r="HL146" s="143"/>
      <c r="HM146" s="143"/>
      <c r="HN146" s="143"/>
      <c r="HO146" s="143"/>
      <c r="HP146" s="143"/>
      <c r="HQ146" s="143"/>
      <c r="HR146" s="143"/>
      <c r="HS146" s="143"/>
      <c r="HT146" s="143"/>
      <c r="HU146" s="143"/>
      <c r="HV146" s="143"/>
      <c r="HW146" s="143"/>
      <c r="HX146" s="143"/>
    </row>
    <row r="147" spans="2:232" x14ac:dyDescent="0.2">
      <c r="B147" s="143"/>
      <c r="C147" s="143"/>
      <c r="D147" s="143"/>
      <c r="E147" s="143"/>
      <c r="F147" s="143"/>
      <c r="G147" s="143"/>
      <c r="H147" s="143"/>
      <c r="I147" s="143"/>
      <c r="J147" s="143"/>
      <c r="K147" s="143"/>
      <c r="L147" s="143"/>
      <c r="M147" s="143"/>
      <c r="N147" s="143"/>
      <c r="O147" s="143"/>
      <c r="P147" s="143"/>
      <c r="Q147" s="143"/>
      <c r="R147" s="143"/>
      <c r="S147" s="143"/>
      <c r="T147" s="143"/>
      <c r="U147" s="143"/>
      <c r="V147" s="143"/>
      <c r="W147" s="143"/>
      <c r="X147" s="143"/>
      <c r="Y147" s="143"/>
      <c r="Z147" s="143"/>
      <c r="AA147" s="143"/>
      <c r="AB147" s="143"/>
      <c r="AC147" s="143"/>
      <c r="AD147" s="143"/>
      <c r="AE147" s="143"/>
      <c r="AF147" s="143"/>
      <c r="AG147" s="143"/>
      <c r="AH147" s="143"/>
      <c r="AI147" s="143"/>
      <c r="AJ147" s="143"/>
      <c r="AK147" s="143"/>
      <c r="AL147" s="143"/>
      <c r="AM147" s="143"/>
      <c r="AN147" s="143"/>
      <c r="AO147" s="143"/>
      <c r="AP147" s="143"/>
      <c r="AQ147" s="143"/>
      <c r="AR147" s="143"/>
      <c r="AS147" s="143"/>
      <c r="AT147" s="143"/>
      <c r="AU147" s="143"/>
      <c r="AV147" s="143"/>
      <c r="AW147" s="143"/>
      <c r="AX147" s="143"/>
      <c r="AY147" s="143"/>
      <c r="AZ147" s="143"/>
      <c r="BA147" s="143"/>
      <c r="BB147" s="143"/>
      <c r="BC147" s="143"/>
      <c r="BD147" s="143"/>
      <c r="BE147" s="143"/>
      <c r="BF147" s="143"/>
      <c r="BG147" s="143"/>
      <c r="BH147" s="143"/>
      <c r="BI147" s="143"/>
      <c r="BJ147" s="143"/>
      <c r="BK147" s="143"/>
      <c r="BL147" s="143"/>
      <c r="BM147" s="143"/>
      <c r="BN147" s="143"/>
      <c r="BO147" s="143"/>
      <c r="BP147" s="143"/>
      <c r="BQ147" s="143"/>
      <c r="BR147" s="143"/>
      <c r="BS147" s="143"/>
      <c r="BT147" s="143"/>
      <c r="BU147" s="143"/>
      <c r="BV147" s="143"/>
      <c r="BW147" s="143"/>
      <c r="BX147" s="143"/>
      <c r="BY147" s="143"/>
      <c r="BZ147" s="143"/>
      <c r="CA147" s="143"/>
      <c r="CB147" s="143"/>
      <c r="CC147" s="143"/>
      <c r="CD147" s="143"/>
      <c r="CE147" s="143"/>
      <c r="CF147" s="143"/>
      <c r="CG147" s="143"/>
      <c r="CH147" s="143"/>
      <c r="CI147" s="143"/>
      <c r="CJ147" s="143"/>
      <c r="CK147" s="143"/>
      <c r="CL147" s="143"/>
      <c r="CM147" s="143"/>
      <c r="CN147" s="143"/>
      <c r="CO147" s="143"/>
      <c r="CP147" s="143"/>
      <c r="CQ147" s="143"/>
      <c r="CR147" s="143"/>
      <c r="CS147" s="143"/>
      <c r="CT147" s="143"/>
      <c r="CU147" s="143"/>
      <c r="CV147" s="143"/>
      <c r="CW147" s="143"/>
      <c r="CX147" s="143"/>
      <c r="CY147" s="143"/>
      <c r="CZ147" s="143"/>
      <c r="DA147" s="143"/>
      <c r="DB147" s="143"/>
      <c r="DC147" s="143"/>
      <c r="DD147" s="143"/>
      <c r="DE147" s="143"/>
      <c r="DF147" s="143"/>
      <c r="DG147" s="143"/>
      <c r="DH147" s="143"/>
      <c r="DI147" s="143"/>
      <c r="DJ147" s="143"/>
      <c r="DK147" s="143"/>
      <c r="DL147" s="143"/>
      <c r="DM147" s="143"/>
      <c r="DN147" s="143"/>
      <c r="DO147" s="143"/>
      <c r="DP147" s="143"/>
      <c r="DQ147" s="143"/>
      <c r="DR147" s="143"/>
      <c r="DS147" s="143"/>
      <c r="DT147" s="143"/>
      <c r="DU147" s="143"/>
      <c r="DV147" s="143"/>
      <c r="DW147" s="143"/>
      <c r="DX147" s="143"/>
      <c r="DY147" s="143"/>
      <c r="DZ147" s="143"/>
      <c r="EA147" s="143"/>
      <c r="EB147" s="143"/>
      <c r="EC147" s="143"/>
      <c r="ED147" s="143"/>
      <c r="EE147" s="143"/>
      <c r="EF147" s="143"/>
      <c r="EG147" s="143"/>
      <c r="EH147" s="143"/>
      <c r="EI147" s="143"/>
      <c r="EJ147" s="143"/>
      <c r="EK147" s="143"/>
      <c r="EL147" s="143"/>
      <c r="EM147" s="143"/>
      <c r="EN147" s="143"/>
      <c r="EO147" s="143"/>
      <c r="EP147" s="143"/>
      <c r="EQ147" s="143"/>
      <c r="ER147" s="143"/>
      <c r="ES147" s="143"/>
      <c r="ET147" s="143"/>
      <c r="EU147" s="143"/>
      <c r="EV147" s="143"/>
      <c r="EW147" s="143"/>
      <c r="EX147" s="143"/>
      <c r="EY147" s="143"/>
      <c r="EZ147" s="143"/>
      <c r="FA147" s="143"/>
      <c r="FB147" s="143"/>
      <c r="FC147" s="143"/>
      <c r="FD147" s="143"/>
      <c r="FE147" s="143"/>
      <c r="FF147" s="143"/>
      <c r="FG147" s="143"/>
      <c r="FH147" s="143"/>
      <c r="FI147" s="143"/>
      <c r="FJ147" s="143"/>
      <c r="FK147" s="143"/>
      <c r="FL147" s="143"/>
      <c r="FM147" s="143"/>
      <c r="FN147" s="143"/>
      <c r="FO147" s="143"/>
      <c r="FP147" s="143"/>
      <c r="FQ147" s="143"/>
      <c r="FR147" s="143"/>
      <c r="FS147" s="143"/>
      <c r="FT147" s="143"/>
      <c r="FU147" s="143"/>
      <c r="FV147" s="143"/>
      <c r="FW147" s="143"/>
      <c r="FX147" s="143"/>
      <c r="FY147" s="143"/>
      <c r="FZ147" s="143"/>
      <c r="GA147" s="143"/>
      <c r="GB147" s="143"/>
      <c r="GC147" s="143"/>
      <c r="GD147" s="143"/>
      <c r="GE147" s="143"/>
      <c r="GF147" s="143"/>
      <c r="GG147" s="143"/>
      <c r="GH147" s="143"/>
      <c r="GI147" s="143"/>
      <c r="GJ147" s="143"/>
      <c r="GK147" s="143"/>
      <c r="GL147" s="143"/>
      <c r="GM147" s="143"/>
      <c r="GN147" s="143"/>
      <c r="GO147" s="143"/>
      <c r="GP147" s="143"/>
      <c r="GQ147" s="143"/>
      <c r="GR147" s="143"/>
      <c r="GS147" s="143"/>
      <c r="GT147" s="143"/>
      <c r="GU147" s="143"/>
      <c r="GV147" s="143"/>
      <c r="GW147" s="143"/>
      <c r="GX147" s="143"/>
      <c r="GY147" s="143"/>
      <c r="GZ147" s="143"/>
      <c r="HA147" s="143"/>
      <c r="HB147" s="143"/>
      <c r="HC147" s="143"/>
      <c r="HD147" s="143"/>
      <c r="HE147" s="143"/>
      <c r="HF147" s="143"/>
      <c r="HG147" s="143"/>
      <c r="HH147" s="143"/>
      <c r="HI147" s="143"/>
      <c r="HJ147" s="143"/>
      <c r="HK147" s="143"/>
      <c r="HL147" s="143"/>
      <c r="HM147" s="143"/>
      <c r="HN147" s="143"/>
      <c r="HO147" s="143"/>
      <c r="HP147" s="143"/>
      <c r="HQ147" s="143"/>
      <c r="HR147" s="143"/>
      <c r="HS147" s="143"/>
      <c r="HT147" s="143"/>
      <c r="HU147" s="143"/>
      <c r="HV147" s="143"/>
      <c r="HW147" s="143"/>
      <c r="HX147" s="143"/>
    </row>
    <row r="149" spans="2:232" x14ac:dyDescent="0.2">
      <c r="B149" s="143"/>
      <c r="C149" s="143"/>
      <c r="D149" s="143"/>
      <c r="E149" s="143"/>
      <c r="F149" s="143"/>
      <c r="G149" s="143"/>
      <c r="H149" s="143"/>
      <c r="I149" s="143"/>
      <c r="J149" s="143"/>
      <c r="K149" s="143"/>
      <c r="L149" s="143"/>
      <c r="M149" s="143"/>
      <c r="N149" s="143"/>
      <c r="O149" s="143"/>
      <c r="P149" s="143"/>
      <c r="Q149" s="143"/>
      <c r="R149" s="143"/>
      <c r="S149" s="143"/>
      <c r="T149" s="143"/>
      <c r="U149" s="143"/>
      <c r="V149" s="143"/>
      <c r="W149" s="143"/>
      <c r="X149" s="143"/>
      <c r="Y149" s="143"/>
      <c r="Z149" s="143"/>
      <c r="AA149" s="143"/>
      <c r="AB149" s="143"/>
      <c r="AC149" s="143"/>
      <c r="AD149" s="143"/>
      <c r="AE149" s="143"/>
      <c r="AF149" s="143"/>
      <c r="AG149" s="143"/>
      <c r="AH149" s="143"/>
      <c r="AI149" s="143"/>
      <c r="AJ149" s="143"/>
      <c r="AK149" s="143"/>
      <c r="AL149" s="143"/>
      <c r="AM149" s="143"/>
      <c r="AN149" s="143"/>
      <c r="AO149" s="143"/>
      <c r="AP149" s="143"/>
      <c r="AQ149" s="143"/>
      <c r="AR149" s="143"/>
      <c r="AS149" s="143"/>
      <c r="AT149" s="143"/>
      <c r="AU149" s="143"/>
      <c r="AV149" s="143"/>
      <c r="AW149" s="143"/>
      <c r="AX149" s="143"/>
      <c r="AY149" s="143"/>
      <c r="AZ149" s="143"/>
      <c r="BA149" s="143"/>
      <c r="BB149" s="143"/>
      <c r="BC149" s="143"/>
      <c r="BD149" s="143"/>
      <c r="BE149" s="143"/>
      <c r="BF149" s="143"/>
      <c r="BG149" s="143"/>
      <c r="BH149" s="143"/>
      <c r="BI149" s="143"/>
      <c r="BJ149" s="143"/>
      <c r="BK149" s="143"/>
      <c r="BL149" s="143"/>
      <c r="BM149" s="143"/>
      <c r="BN149" s="143"/>
      <c r="BO149" s="143"/>
      <c r="BP149" s="143"/>
      <c r="BQ149" s="143"/>
      <c r="BR149" s="143"/>
      <c r="BS149" s="143"/>
      <c r="BT149" s="143"/>
      <c r="BU149" s="143"/>
      <c r="BV149" s="143"/>
      <c r="BW149" s="143"/>
      <c r="BX149" s="143"/>
      <c r="BY149" s="143"/>
      <c r="BZ149" s="143"/>
      <c r="CA149" s="143"/>
      <c r="CB149" s="143"/>
      <c r="CC149" s="143"/>
      <c r="CD149" s="143"/>
      <c r="CE149" s="143"/>
      <c r="CF149" s="143"/>
      <c r="CG149" s="143"/>
      <c r="CH149" s="143"/>
      <c r="CI149" s="143"/>
      <c r="CJ149" s="143"/>
      <c r="CK149" s="143"/>
      <c r="CL149" s="143"/>
      <c r="CM149" s="143"/>
      <c r="CN149" s="143"/>
      <c r="CO149" s="143"/>
      <c r="CP149" s="143"/>
      <c r="CQ149" s="143"/>
      <c r="CR149" s="143"/>
      <c r="CS149" s="143"/>
      <c r="CT149" s="143"/>
      <c r="CU149" s="143"/>
      <c r="CV149" s="143"/>
      <c r="CW149" s="143"/>
      <c r="CX149" s="143"/>
      <c r="CY149" s="143"/>
      <c r="CZ149" s="143"/>
      <c r="DA149" s="143"/>
      <c r="DB149" s="143"/>
      <c r="DC149" s="143"/>
      <c r="DD149" s="143"/>
      <c r="DE149" s="143"/>
      <c r="DF149" s="143"/>
      <c r="DG149" s="143"/>
      <c r="DH149" s="143"/>
      <c r="DI149" s="143"/>
      <c r="DJ149" s="143"/>
      <c r="DK149" s="143"/>
      <c r="DL149" s="143"/>
      <c r="DM149" s="143"/>
      <c r="DN149" s="143"/>
      <c r="DO149" s="143"/>
      <c r="DP149" s="143"/>
      <c r="DQ149" s="143"/>
      <c r="DR149" s="143"/>
      <c r="DS149" s="143"/>
      <c r="DT149" s="143"/>
      <c r="DU149" s="143"/>
      <c r="DV149" s="143"/>
      <c r="DW149" s="143"/>
      <c r="DX149" s="143"/>
      <c r="DY149" s="143"/>
      <c r="DZ149" s="143"/>
      <c r="EA149" s="143"/>
      <c r="EB149" s="143"/>
      <c r="EC149" s="143"/>
      <c r="ED149" s="143"/>
      <c r="EE149" s="143"/>
      <c r="EF149" s="143"/>
      <c r="EG149" s="143"/>
      <c r="EH149" s="143"/>
      <c r="EI149" s="143"/>
      <c r="EJ149" s="143"/>
      <c r="EK149" s="143"/>
      <c r="EL149" s="143"/>
      <c r="EM149" s="143"/>
      <c r="EN149" s="143"/>
      <c r="EO149" s="143"/>
      <c r="EP149" s="143"/>
      <c r="EQ149" s="143"/>
      <c r="ER149" s="143"/>
      <c r="ES149" s="143"/>
      <c r="ET149" s="143"/>
      <c r="EU149" s="143"/>
      <c r="EV149" s="143"/>
      <c r="EW149" s="143"/>
      <c r="EX149" s="143"/>
      <c r="EY149" s="143"/>
      <c r="EZ149" s="143"/>
      <c r="FA149" s="143"/>
      <c r="FB149" s="143"/>
      <c r="FC149" s="143"/>
      <c r="FD149" s="143"/>
      <c r="FE149" s="143"/>
      <c r="FF149" s="143"/>
      <c r="FG149" s="143"/>
      <c r="FH149" s="143"/>
      <c r="FI149" s="143"/>
      <c r="FJ149" s="143"/>
      <c r="FK149" s="143"/>
      <c r="FL149" s="143"/>
      <c r="FM149" s="143"/>
      <c r="FN149" s="143"/>
      <c r="FO149" s="143"/>
      <c r="FP149" s="143"/>
      <c r="FQ149" s="143"/>
      <c r="FR149" s="143"/>
      <c r="FS149" s="143"/>
      <c r="FT149" s="143"/>
      <c r="FU149" s="143"/>
      <c r="FV149" s="143"/>
      <c r="FW149" s="143"/>
      <c r="FX149" s="143"/>
      <c r="FY149" s="143"/>
      <c r="FZ149" s="143"/>
      <c r="GA149" s="143"/>
      <c r="GB149" s="143"/>
      <c r="GC149" s="143"/>
      <c r="GD149" s="143"/>
      <c r="GE149" s="143"/>
      <c r="GF149" s="143"/>
      <c r="GG149" s="143"/>
      <c r="GH149" s="143"/>
      <c r="GI149" s="143"/>
      <c r="GJ149" s="143"/>
      <c r="GK149" s="143"/>
      <c r="GL149" s="143"/>
      <c r="GM149" s="143"/>
      <c r="GN149" s="143"/>
      <c r="GO149" s="143"/>
      <c r="GP149" s="143"/>
      <c r="GQ149" s="143"/>
      <c r="GR149" s="143"/>
      <c r="GS149" s="143"/>
      <c r="GT149" s="143"/>
      <c r="GU149" s="143"/>
      <c r="GV149" s="143"/>
      <c r="GW149" s="143"/>
      <c r="GX149" s="143"/>
      <c r="GY149" s="143"/>
      <c r="GZ149" s="143"/>
      <c r="HA149" s="143"/>
      <c r="HB149" s="143"/>
      <c r="HC149" s="143"/>
      <c r="HD149" s="143"/>
      <c r="HE149" s="143"/>
      <c r="HF149" s="143"/>
      <c r="HG149" s="143"/>
      <c r="HH149" s="143"/>
      <c r="HI149" s="143"/>
      <c r="HJ149" s="143"/>
      <c r="HK149" s="143"/>
      <c r="HL149" s="143"/>
      <c r="HM149" s="143"/>
      <c r="HN149" s="143"/>
      <c r="HO149" s="143"/>
      <c r="HP149" s="143"/>
      <c r="HQ149" s="143"/>
      <c r="HR149" s="143"/>
      <c r="HS149" s="143"/>
      <c r="HT149" s="143"/>
      <c r="HU149" s="143"/>
      <c r="HV149" s="143"/>
      <c r="HW149" s="143"/>
      <c r="HX149" s="143"/>
    </row>
    <row r="151" spans="2:232" x14ac:dyDescent="0.2">
      <c r="B151" s="143"/>
      <c r="C151" s="143"/>
      <c r="D151" s="143"/>
      <c r="E151" s="143"/>
      <c r="F151" s="143"/>
      <c r="G151" s="143"/>
      <c r="H151" s="143"/>
      <c r="I151" s="143"/>
      <c r="J151" s="143"/>
      <c r="K151" s="143"/>
      <c r="L151" s="143"/>
      <c r="M151" s="143"/>
      <c r="N151" s="143"/>
      <c r="O151" s="143"/>
      <c r="P151" s="143"/>
      <c r="Q151" s="143"/>
      <c r="R151" s="143"/>
      <c r="S151" s="143"/>
      <c r="T151" s="143"/>
      <c r="U151" s="143"/>
      <c r="V151" s="143"/>
      <c r="W151" s="143"/>
      <c r="X151" s="143"/>
      <c r="Y151" s="143"/>
      <c r="Z151" s="143"/>
      <c r="AA151" s="143"/>
      <c r="AB151" s="143"/>
      <c r="AC151" s="143"/>
      <c r="AD151" s="143"/>
      <c r="AE151" s="143"/>
      <c r="AF151" s="143"/>
      <c r="AG151" s="143"/>
      <c r="AH151" s="143"/>
      <c r="AI151" s="143"/>
      <c r="AJ151" s="143"/>
      <c r="AK151" s="143"/>
      <c r="AL151" s="143"/>
      <c r="AM151" s="143"/>
      <c r="AN151" s="143"/>
      <c r="AO151" s="143"/>
      <c r="AP151" s="143"/>
      <c r="AQ151" s="143"/>
      <c r="AR151" s="143"/>
      <c r="AS151" s="143"/>
      <c r="AT151" s="143"/>
      <c r="AU151" s="143"/>
      <c r="AV151" s="143"/>
      <c r="AW151" s="143"/>
      <c r="AX151" s="143"/>
      <c r="AY151" s="143"/>
      <c r="AZ151" s="143"/>
      <c r="BA151" s="143"/>
      <c r="BB151" s="143"/>
      <c r="BC151" s="143"/>
      <c r="BD151" s="143"/>
      <c r="BE151" s="143"/>
      <c r="BF151" s="143"/>
      <c r="BG151" s="143"/>
      <c r="BH151" s="143"/>
      <c r="BI151" s="143"/>
      <c r="BJ151" s="143"/>
      <c r="BK151" s="143"/>
      <c r="BL151" s="143"/>
      <c r="BM151" s="143"/>
      <c r="BN151" s="143"/>
      <c r="BO151" s="143"/>
      <c r="BP151" s="143"/>
      <c r="BQ151" s="143"/>
      <c r="BR151" s="143"/>
      <c r="BS151" s="143"/>
      <c r="BT151" s="143"/>
      <c r="BU151" s="143"/>
      <c r="BV151" s="143"/>
      <c r="BW151" s="143"/>
      <c r="BX151" s="143"/>
      <c r="BY151" s="143"/>
      <c r="BZ151" s="143"/>
      <c r="CA151" s="143"/>
      <c r="CB151" s="143"/>
      <c r="CC151" s="143"/>
      <c r="CD151" s="143"/>
      <c r="CE151" s="143"/>
      <c r="CF151" s="143"/>
      <c r="CG151" s="143"/>
      <c r="CH151" s="143"/>
      <c r="CI151" s="143"/>
      <c r="CJ151" s="143"/>
      <c r="CK151" s="143"/>
      <c r="CL151" s="143"/>
      <c r="CM151" s="143"/>
      <c r="CN151" s="143"/>
      <c r="CO151" s="143"/>
      <c r="CP151" s="143"/>
      <c r="CQ151" s="143"/>
      <c r="CR151" s="143"/>
      <c r="CS151" s="143"/>
      <c r="CT151" s="143"/>
      <c r="CU151" s="143"/>
      <c r="CV151" s="143"/>
      <c r="CW151" s="143"/>
      <c r="CX151" s="143"/>
      <c r="CY151" s="143"/>
      <c r="CZ151" s="143"/>
      <c r="DA151" s="143"/>
      <c r="DB151" s="143"/>
      <c r="DC151" s="143"/>
      <c r="DD151" s="143"/>
      <c r="DE151" s="143"/>
      <c r="DF151" s="143"/>
      <c r="DG151" s="143"/>
      <c r="DH151" s="143"/>
      <c r="DI151" s="143"/>
      <c r="DJ151" s="143"/>
      <c r="DK151" s="143"/>
      <c r="DL151" s="143"/>
      <c r="DM151" s="143"/>
      <c r="DN151" s="143"/>
      <c r="DO151" s="143"/>
      <c r="DP151" s="143"/>
      <c r="DQ151" s="143"/>
      <c r="DR151" s="143"/>
      <c r="DS151" s="143"/>
      <c r="DT151" s="143"/>
      <c r="DU151" s="143"/>
      <c r="DV151" s="143"/>
      <c r="DW151" s="143"/>
      <c r="DX151" s="143"/>
      <c r="DY151" s="143"/>
      <c r="DZ151" s="143"/>
      <c r="EA151" s="143"/>
      <c r="EB151" s="143"/>
      <c r="EC151" s="143"/>
      <c r="ED151" s="143"/>
      <c r="EE151" s="143"/>
      <c r="EF151" s="143"/>
      <c r="EG151" s="143"/>
      <c r="EH151" s="143"/>
      <c r="EI151" s="143"/>
      <c r="EJ151" s="143"/>
      <c r="EK151" s="143"/>
      <c r="EL151" s="143"/>
      <c r="EM151" s="143"/>
      <c r="EN151" s="143"/>
      <c r="EO151" s="143"/>
      <c r="EP151" s="143"/>
      <c r="EQ151" s="143"/>
      <c r="ER151" s="143"/>
      <c r="ES151" s="143"/>
      <c r="ET151" s="143"/>
      <c r="EU151" s="143"/>
      <c r="EV151" s="143"/>
      <c r="EW151" s="143"/>
      <c r="EX151" s="143"/>
      <c r="EY151" s="143"/>
      <c r="EZ151" s="143"/>
      <c r="FA151" s="143"/>
      <c r="FB151" s="143"/>
      <c r="FC151" s="143"/>
      <c r="FD151" s="143"/>
      <c r="FE151" s="143"/>
      <c r="FF151" s="143"/>
      <c r="FG151" s="143"/>
      <c r="FH151" s="143"/>
      <c r="FI151" s="143"/>
      <c r="FJ151" s="143"/>
      <c r="FK151" s="143"/>
      <c r="FL151" s="143"/>
      <c r="FM151" s="143"/>
      <c r="FN151" s="143"/>
      <c r="FO151" s="143"/>
      <c r="FP151" s="143"/>
      <c r="FQ151" s="143"/>
      <c r="FR151" s="143"/>
      <c r="FS151" s="143"/>
      <c r="FT151" s="143"/>
      <c r="FU151" s="143"/>
      <c r="FV151" s="143"/>
      <c r="FW151" s="143"/>
      <c r="FX151" s="143"/>
      <c r="FY151" s="143"/>
      <c r="FZ151" s="143"/>
      <c r="GA151" s="143"/>
      <c r="GB151" s="143"/>
      <c r="GC151" s="143"/>
      <c r="GD151" s="143"/>
      <c r="GE151" s="143"/>
      <c r="GF151" s="143"/>
      <c r="GG151" s="143"/>
      <c r="GH151" s="143"/>
      <c r="GI151" s="143"/>
      <c r="GJ151" s="143"/>
      <c r="GK151" s="143"/>
      <c r="GL151" s="143"/>
      <c r="GM151" s="143"/>
      <c r="GN151" s="143"/>
      <c r="GO151" s="143"/>
      <c r="GP151" s="143"/>
      <c r="GQ151" s="143"/>
      <c r="GR151" s="143"/>
      <c r="GS151" s="143"/>
      <c r="GT151" s="143"/>
      <c r="GU151" s="143"/>
      <c r="GV151" s="143"/>
      <c r="GW151" s="143"/>
      <c r="GX151" s="143"/>
      <c r="GY151" s="143"/>
      <c r="GZ151" s="143"/>
      <c r="HA151" s="143"/>
      <c r="HB151" s="143"/>
      <c r="HC151" s="143"/>
      <c r="HD151" s="143"/>
      <c r="HE151" s="143"/>
      <c r="HF151" s="143"/>
      <c r="HG151" s="143"/>
      <c r="HH151" s="143"/>
      <c r="HI151" s="143"/>
      <c r="HJ151" s="143"/>
      <c r="HK151" s="143"/>
      <c r="HL151" s="143"/>
      <c r="HM151" s="143"/>
      <c r="HN151" s="143"/>
      <c r="HO151" s="143"/>
      <c r="HP151" s="143"/>
      <c r="HQ151" s="143"/>
      <c r="HR151" s="143"/>
      <c r="HS151" s="143"/>
      <c r="HT151" s="143"/>
      <c r="HU151" s="143"/>
      <c r="HV151" s="143"/>
      <c r="HW151" s="143"/>
      <c r="HX151" s="143"/>
    </row>
    <row r="153" spans="2:232" x14ac:dyDescent="0.2">
      <c r="B153" s="143"/>
      <c r="C153" s="143"/>
      <c r="D153" s="143"/>
      <c r="E153" s="143"/>
      <c r="F153" s="143"/>
      <c r="G153" s="143"/>
      <c r="H153" s="143"/>
      <c r="I153" s="143"/>
      <c r="J153" s="143"/>
      <c r="K153" s="143"/>
      <c r="L153" s="143"/>
      <c r="M153" s="143"/>
      <c r="N153" s="143"/>
      <c r="O153" s="143"/>
      <c r="P153" s="143"/>
      <c r="Q153" s="143"/>
      <c r="R153" s="143"/>
      <c r="S153" s="143"/>
      <c r="T153" s="143"/>
      <c r="U153" s="143"/>
      <c r="V153" s="143"/>
      <c r="W153" s="143"/>
      <c r="X153" s="143"/>
      <c r="Y153" s="143"/>
      <c r="Z153" s="143"/>
      <c r="AA153" s="143"/>
      <c r="AB153" s="143"/>
      <c r="AC153" s="143"/>
      <c r="AD153" s="143"/>
      <c r="AE153" s="143"/>
      <c r="AF153" s="143"/>
      <c r="AG153" s="143"/>
      <c r="AH153" s="143"/>
      <c r="AI153" s="143"/>
      <c r="AJ153" s="143"/>
      <c r="AK153" s="143"/>
      <c r="AL153" s="143"/>
      <c r="AM153" s="143"/>
      <c r="AN153" s="143"/>
      <c r="AO153" s="143"/>
      <c r="AP153" s="143"/>
      <c r="AQ153" s="143"/>
      <c r="AR153" s="143"/>
      <c r="AS153" s="143"/>
      <c r="AT153" s="143"/>
      <c r="AU153" s="143"/>
      <c r="AV153" s="143"/>
      <c r="AW153" s="143"/>
      <c r="AX153" s="143"/>
      <c r="AY153" s="143"/>
      <c r="AZ153" s="143"/>
      <c r="BA153" s="143"/>
      <c r="BB153" s="143"/>
      <c r="BC153" s="143"/>
      <c r="BD153" s="143"/>
      <c r="BE153" s="143"/>
      <c r="BF153" s="143"/>
      <c r="BG153" s="143"/>
      <c r="BH153" s="143"/>
      <c r="BI153" s="143"/>
      <c r="BJ153" s="143"/>
      <c r="BK153" s="143"/>
      <c r="BL153" s="143"/>
      <c r="BM153" s="143"/>
      <c r="BN153" s="143"/>
      <c r="BO153" s="143"/>
      <c r="BP153" s="143"/>
      <c r="BQ153" s="143"/>
      <c r="BR153" s="143"/>
      <c r="BS153" s="143"/>
      <c r="BT153" s="143"/>
      <c r="BU153" s="143"/>
      <c r="BV153" s="143"/>
      <c r="BW153" s="143"/>
      <c r="BX153" s="143"/>
      <c r="BY153" s="143"/>
      <c r="BZ153" s="143"/>
      <c r="CA153" s="143"/>
      <c r="CB153" s="143"/>
      <c r="CC153" s="143"/>
      <c r="CD153" s="143"/>
      <c r="CE153" s="143"/>
      <c r="CF153" s="143"/>
      <c r="CG153" s="143"/>
      <c r="CH153" s="143"/>
      <c r="CI153" s="143"/>
      <c r="CJ153" s="143"/>
      <c r="CK153" s="143"/>
      <c r="CL153" s="143"/>
      <c r="CM153" s="143"/>
      <c r="CN153" s="143"/>
      <c r="CO153" s="143"/>
      <c r="CP153" s="143"/>
      <c r="CQ153" s="143"/>
      <c r="CR153" s="143"/>
      <c r="CS153" s="143"/>
      <c r="CT153" s="143"/>
      <c r="CU153" s="143"/>
      <c r="CV153" s="143"/>
      <c r="CW153" s="143"/>
      <c r="CX153" s="143"/>
      <c r="CY153" s="143"/>
      <c r="CZ153" s="143"/>
      <c r="DA153" s="143"/>
      <c r="DB153" s="143"/>
      <c r="DC153" s="143"/>
      <c r="DD153" s="143"/>
      <c r="DE153" s="143"/>
      <c r="DF153" s="143"/>
      <c r="DG153" s="143"/>
      <c r="DH153" s="143"/>
      <c r="DI153" s="143"/>
      <c r="DJ153" s="143"/>
      <c r="DK153" s="143"/>
      <c r="DL153" s="143"/>
      <c r="DM153" s="143"/>
      <c r="DN153" s="143"/>
      <c r="DO153" s="143"/>
      <c r="DP153" s="143"/>
      <c r="DQ153" s="143"/>
      <c r="DR153" s="143"/>
      <c r="DS153" s="143"/>
      <c r="DT153" s="143"/>
      <c r="DU153" s="143"/>
      <c r="DV153" s="143"/>
      <c r="DW153" s="143"/>
      <c r="DX153" s="143"/>
      <c r="DY153" s="143"/>
      <c r="DZ153" s="143"/>
      <c r="EA153" s="143"/>
      <c r="EB153" s="143"/>
      <c r="EC153" s="143"/>
      <c r="ED153" s="143"/>
      <c r="EE153" s="143"/>
      <c r="EF153" s="143"/>
      <c r="EG153" s="143"/>
      <c r="EH153" s="143"/>
      <c r="EI153" s="143"/>
      <c r="EJ153" s="143"/>
      <c r="EK153" s="143"/>
      <c r="EL153" s="143"/>
      <c r="EM153" s="143"/>
      <c r="EN153" s="143"/>
      <c r="EO153" s="143"/>
      <c r="EP153" s="143"/>
      <c r="EQ153" s="143"/>
      <c r="ER153" s="143"/>
      <c r="ES153" s="143"/>
      <c r="ET153" s="143"/>
      <c r="EU153" s="143"/>
      <c r="EV153" s="143"/>
      <c r="EW153" s="143"/>
      <c r="EX153" s="143"/>
      <c r="EY153" s="143"/>
      <c r="EZ153" s="143"/>
      <c r="FA153" s="143"/>
      <c r="FB153" s="143"/>
      <c r="FC153" s="143"/>
      <c r="FD153" s="143"/>
      <c r="FE153" s="143"/>
      <c r="FF153" s="143"/>
      <c r="FG153" s="143"/>
      <c r="FH153" s="143"/>
      <c r="FI153" s="143"/>
      <c r="FJ153" s="143"/>
      <c r="FK153" s="143"/>
      <c r="FL153" s="143"/>
      <c r="FM153" s="143"/>
      <c r="FN153" s="143"/>
      <c r="FO153" s="143"/>
      <c r="FP153" s="143"/>
      <c r="FQ153" s="143"/>
      <c r="FR153" s="143"/>
      <c r="FS153" s="143"/>
      <c r="FT153" s="143"/>
      <c r="FU153" s="143"/>
      <c r="FV153" s="143"/>
      <c r="FW153" s="143"/>
      <c r="FX153" s="143"/>
      <c r="FY153" s="143"/>
      <c r="FZ153" s="143"/>
      <c r="GA153" s="143"/>
      <c r="GB153" s="143"/>
      <c r="GC153" s="143"/>
      <c r="GD153" s="143"/>
      <c r="GE153" s="143"/>
      <c r="GF153" s="143"/>
      <c r="GG153" s="143"/>
      <c r="GH153" s="143"/>
      <c r="GI153" s="143"/>
      <c r="GJ153" s="143"/>
      <c r="GK153" s="143"/>
      <c r="GL153" s="143"/>
      <c r="GM153" s="143"/>
      <c r="GN153" s="143"/>
      <c r="GO153" s="143"/>
      <c r="GP153" s="143"/>
      <c r="GQ153" s="143"/>
      <c r="GR153" s="143"/>
      <c r="GS153" s="143"/>
      <c r="GT153" s="143"/>
      <c r="GU153" s="143"/>
      <c r="GV153" s="143"/>
      <c r="GW153" s="143"/>
      <c r="GX153" s="143"/>
      <c r="GY153" s="143"/>
      <c r="GZ153" s="143"/>
      <c r="HA153" s="143"/>
      <c r="HB153" s="143"/>
      <c r="HC153" s="143"/>
      <c r="HD153" s="143"/>
      <c r="HE153" s="143"/>
      <c r="HF153" s="143"/>
      <c r="HG153" s="143"/>
      <c r="HH153" s="143"/>
      <c r="HI153" s="143"/>
      <c r="HJ153" s="143"/>
      <c r="HK153" s="143"/>
      <c r="HL153" s="143"/>
      <c r="HM153" s="143"/>
      <c r="HN153" s="143"/>
      <c r="HO153" s="143"/>
      <c r="HP153" s="143"/>
      <c r="HQ153" s="143"/>
      <c r="HR153" s="143"/>
      <c r="HS153" s="143"/>
      <c r="HT153" s="143"/>
      <c r="HU153" s="143"/>
      <c r="HV153" s="143"/>
      <c r="HW153" s="143"/>
      <c r="HX153" s="143"/>
    </row>
    <row r="155" spans="2:232" x14ac:dyDescent="0.2">
      <c r="B155" s="143"/>
      <c r="C155" s="143"/>
      <c r="D155" s="143"/>
      <c r="E155" s="143"/>
      <c r="F155" s="143"/>
      <c r="G155" s="143"/>
      <c r="H155" s="143"/>
      <c r="I155" s="143"/>
      <c r="J155" s="143"/>
      <c r="K155" s="143"/>
      <c r="L155" s="143"/>
      <c r="M155" s="143"/>
      <c r="N155" s="143"/>
      <c r="O155" s="143"/>
      <c r="P155" s="143"/>
      <c r="Q155" s="143"/>
      <c r="R155" s="143"/>
      <c r="S155" s="143"/>
      <c r="T155" s="143"/>
      <c r="U155" s="143"/>
      <c r="V155" s="143"/>
      <c r="W155" s="143"/>
      <c r="X155" s="143"/>
      <c r="Y155" s="143"/>
      <c r="Z155" s="143"/>
      <c r="AA155" s="143"/>
      <c r="AB155" s="143"/>
      <c r="AC155" s="143"/>
      <c r="AD155" s="143"/>
      <c r="AE155" s="143"/>
      <c r="AF155" s="143"/>
      <c r="AG155" s="143"/>
      <c r="AH155" s="143"/>
      <c r="AI155" s="143"/>
      <c r="AJ155" s="143"/>
      <c r="AK155" s="143"/>
      <c r="AL155" s="143"/>
      <c r="AM155" s="143"/>
      <c r="AN155" s="143"/>
      <c r="AO155" s="143"/>
      <c r="AP155" s="143"/>
      <c r="AQ155" s="143"/>
      <c r="AR155" s="143"/>
      <c r="AS155" s="143"/>
      <c r="AT155" s="143"/>
      <c r="AU155" s="143"/>
      <c r="AV155" s="143"/>
      <c r="AW155" s="143"/>
      <c r="AX155" s="143"/>
      <c r="AY155" s="143"/>
      <c r="AZ155" s="143"/>
      <c r="BA155" s="143"/>
      <c r="BB155" s="143"/>
      <c r="BC155" s="143"/>
      <c r="BD155" s="143"/>
      <c r="BE155" s="143"/>
      <c r="BF155" s="143"/>
      <c r="BG155" s="143"/>
      <c r="BH155" s="143"/>
      <c r="BI155" s="143"/>
      <c r="BJ155" s="143"/>
      <c r="BK155" s="143"/>
      <c r="BL155" s="143"/>
      <c r="BM155" s="143"/>
      <c r="BN155" s="143"/>
      <c r="BO155" s="143"/>
      <c r="BP155" s="143"/>
      <c r="BQ155" s="143"/>
      <c r="BR155" s="143"/>
      <c r="BS155" s="143"/>
      <c r="BT155" s="143"/>
      <c r="BU155" s="143"/>
      <c r="BV155" s="143"/>
      <c r="BW155" s="143"/>
      <c r="BX155" s="143"/>
      <c r="BY155" s="143"/>
      <c r="BZ155" s="143"/>
      <c r="CA155" s="143"/>
      <c r="CB155" s="143"/>
      <c r="CC155" s="143"/>
      <c r="CD155" s="143"/>
      <c r="CE155" s="143"/>
      <c r="CF155" s="143"/>
      <c r="CG155" s="143"/>
      <c r="CH155" s="143"/>
      <c r="CI155" s="143"/>
      <c r="CJ155" s="143"/>
      <c r="CK155" s="143"/>
      <c r="CL155" s="143"/>
      <c r="CM155" s="143"/>
      <c r="CN155" s="143"/>
      <c r="CO155" s="143"/>
      <c r="CP155" s="143"/>
      <c r="CQ155" s="143"/>
      <c r="CR155" s="143"/>
      <c r="CS155" s="143"/>
      <c r="CT155" s="143"/>
      <c r="CU155" s="143"/>
      <c r="CV155" s="143"/>
      <c r="CW155" s="143"/>
      <c r="CX155" s="143"/>
      <c r="CY155" s="143"/>
      <c r="CZ155" s="143"/>
      <c r="DA155" s="143"/>
      <c r="DB155" s="143"/>
      <c r="DC155" s="143"/>
      <c r="DD155" s="143"/>
      <c r="DE155" s="143"/>
      <c r="DF155" s="143"/>
      <c r="DG155" s="143"/>
      <c r="DH155" s="143"/>
      <c r="DI155" s="143"/>
      <c r="DJ155" s="143"/>
      <c r="DK155" s="143"/>
      <c r="DL155" s="143"/>
      <c r="DM155" s="143"/>
      <c r="DN155" s="143"/>
      <c r="DO155" s="143"/>
      <c r="DP155" s="143"/>
      <c r="DQ155" s="143"/>
      <c r="DR155" s="143"/>
      <c r="DS155" s="143"/>
      <c r="DT155" s="143"/>
      <c r="DU155" s="143"/>
      <c r="DV155" s="143"/>
      <c r="DW155" s="143"/>
      <c r="DX155" s="143"/>
      <c r="DY155" s="143"/>
      <c r="DZ155" s="143"/>
      <c r="EA155" s="143"/>
      <c r="EB155" s="143"/>
      <c r="EC155" s="143"/>
      <c r="ED155" s="143"/>
      <c r="EE155" s="143"/>
      <c r="EF155" s="143"/>
      <c r="EG155" s="143"/>
      <c r="EH155" s="143"/>
      <c r="EI155" s="143"/>
      <c r="EJ155" s="143"/>
      <c r="EK155" s="143"/>
      <c r="EL155" s="143"/>
      <c r="EM155" s="143"/>
      <c r="EN155" s="143"/>
      <c r="EO155" s="143"/>
      <c r="EP155" s="143"/>
      <c r="EQ155" s="143"/>
      <c r="ER155" s="143"/>
      <c r="ES155" s="143"/>
      <c r="ET155" s="143"/>
      <c r="EU155" s="143"/>
      <c r="EV155" s="143"/>
      <c r="EW155" s="143"/>
      <c r="EX155" s="143"/>
      <c r="EY155" s="143"/>
      <c r="EZ155" s="143"/>
      <c r="FA155" s="143"/>
      <c r="FB155" s="143"/>
      <c r="FC155" s="143"/>
      <c r="FD155" s="143"/>
      <c r="FE155" s="143"/>
      <c r="FF155" s="143"/>
      <c r="FG155" s="143"/>
      <c r="FH155" s="143"/>
      <c r="FI155" s="143"/>
      <c r="FJ155" s="143"/>
      <c r="FK155" s="143"/>
      <c r="FL155" s="143"/>
      <c r="FM155" s="143"/>
      <c r="FN155" s="143"/>
      <c r="FO155" s="143"/>
      <c r="FP155" s="143"/>
      <c r="FQ155" s="143"/>
      <c r="FR155" s="143"/>
      <c r="FS155" s="143"/>
      <c r="FT155" s="143"/>
      <c r="FU155" s="143"/>
      <c r="FV155" s="143"/>
      <c r="FW155" s="143"/>
      <c r="FX155" s="143"/>
      <c r="FY155" s="143"/>
      <c r="FZ155" s="143"/>
      <c r="GA155" s="143"/>
      <c r="GB155" s="143"/>
      <c r="GC155" s="143"/>
      <c r="GD155" s="143"/>
      <c r="GE155" s="143"/>
      <c r="GF155" s="143"/>
      <c r="GG155" s="143"/>
      <c r="GH155" s="143"/>
      <c r="GI155" s="143"/>
      <c r="GJ155" s="143"/>
      <c r="GK155" s="143"/>
      <c r="GL155" s="143"/>
      <c r="GM155" s="143"/>
      <c r="GN155" s="143"/>
      <c r="GO155" s="143"/>
      <c r="GP155" s="143"/>
      <c r="GQ155" s="143"/>
      <c r="GR155" s="143"/>
      <c r="GS155" s="143"/>
      <c r="GT155" s="143"/>
      <c r="GU155" s="143"/>
      <c r="GV155" s="143"/>
      <c r="GW155" s="143"/>
      <c r="GX155" s="143"/>
      <c r="GY155" s="143"/>
      <c r="GZ155" s="143"/>
      <c r="HA155" s="143"/>
      <c r="HB155" s="143"/>
      <c r="HC155" s="143"/>
      <c r="HD155" s="143"/>
      <c r="HE155" s="143"/>
      <c r="HF155" s="143"/>
      <c r="HG155" s="143"/>
      <c r="HH155" s="143"/>
      <c r="HI155" s="143"/>
      <c r="HJ155" s="143"/>
      <c r="HK155" s="143"/>
      <c r="HL155" s="143"/>
      <c r="HM155" s="143"/>
      <c r="HN155" s="143"/>
      <c r="HO155" s="143"/>
      <c r="HP155" s="143"/>
      <c r="HQ155" s="143"/>
      <c r="HR155" s="143"/>
      <c r="HS155" s="143"/>
      <c r="HT155" s="143"/>
      <c r="HU155" s="143"/>
      <c r="HV155" s="143"/>
      <c r="HW155" s="143"/>
      <c r="HX155" s="143"/>
    </row>
  </sheetData>
  <mergeCells count="3">
    <mergeCell ref="A1:B1"/>
    <mergeCell ref="A2:B2"/>
    <mergeCell ref="A14:B14"/>
  </mergeCells>
  <pageMargins left="0.75" right="0.75" top="1" bottom="1" header="0" footer="0"/>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workbookViewId="0">
      <selection activeCell="B1" sqref="B1"/>
    </sheetView>
  </sheetViews>
  <sheetFormatPr baseColWidth="10" defaultRowHeight="15" x14ac:dyDescent="0.2"/>
  <cols>
    <col min="1" max="1" width="30.1640625" style="106" customWidth="1"/>
    <col min="2" max="16384" width="10.83203125" style="106"/>
  </cols>
  <sheetData>
    <row r="1" spans="1:5" x14ac:dyDescent="0.2">
      <c r="A1" s="1607" t="s">
        <v>5530</v>
      </c>
      <c r="B1" s="1607"/>
    </row>
    <row r="2" spans="1:5" ht="28.25" customHeight="1" x14ac:dyDescent="0.2">
      <c r="A2" s="378" t="s">
        <v>5531</v>
      </c>
      <c r="B2" s="380"/>
    </row>
    <row r="3" spans="1:5" x14ac:dyDescent="0.2">
      <c r="A3" s="164" t="s">
        <v>5532</v>
      </c>
      <c r="B3" s="185" t="s">
        <v>5533</v>
      </c>
    </row>
    <row r="4" spans="1:5" x14ac:dyDescent="0.2">
      <c r="A4" s="164" t="s">
        <v>5534</v>
      </c>
      <c r="B4" s="1620">
        <v>1.7000000000000001E-2</v>
      </c>
      <c r="E4" s="1621"/>
    </row>
    <row r="5" spans="1:5" x14ac:dyDescent="0.2">
      <c r="A5" s="164" t="s">
        <v>5535</v>
      </c>
      <c r="B5" s="1620">
        <v>3.4000000000000002E-2</v>
      </c>
    </row>
    <row r="6" spans="1:5" x14ac:dyDescent="0.2">
      <c r="A6" s="164" t="s">
        <v>5536</v>
      </c>
      <c r="B6" s="1620">
        <v>5.0999999999999997E-2</v>
      </c>
    </row>
    <row r="7" spans="1:5" x14ac:dyDescent="0.2">
      <c r="A7" s="164" t="s">
        <v>5537</v>
      </c>
      <c r="B7" s="1620">
        <v>8.5000000000000006E-2</v>
      </c>
    </row>
    <row r="8" spans="1:5" x14ac:dyDescent="0.2">
      <c r="A8" s="164" t="s">
        <v>5538</v>
      </c>
      <c r="B8" s="1620">
        <v>0.17</v>
      </c>
    </row>
    <row r="9" spans="1:5" x14ac:dyDescent="0.2">
      <c r="A9" s="164" t="s">
        <v>5539</v>
      </c>
      <c r="B9" s="1620">
        <v>0.22500000000000001</v>
      </c>
    </row>
    <row r="10" spans="1:5" x14ac:dyDescent="0.2">
      <c r="A10" s="164" t="s">
        <v>5540</v>
      </c>
      <c r="B10" s="1620">
        <v>0.34</v>
      </c>
    </row>
    <row r="11" spans="1:5" x14ac:dyDescent="0.2">
      <c r="A11" s="164" t="s">
        <v>5541</v>
      </c>
      <c r="B11" s="1620">
        <v>0.51</v>
      </c>
    </row>
    <row r="12" spans="1:5" x14ac:dyDescent="0.2">
      <c r="A12" s="164" t="s">
        <v>5542</v>
      </c>
      <c r="B12" s="1620">
        <v>0.68</v>
      </c>
    </row>
    <row r="13" spans="1:5" x14ac:dyDescent="0.2">
      <c r="A13" s="164" t="s">
        <v>5543</v>
      </c>
      <c r="B13" s="1620">
        <v>0.85</v>
      </c>
    </row>
    <row r="14" spans="1:5" x14ac:dyDescent="0.2">
      <c r="A14" s="164" t="s">
        <v>5544</v>
      </c>
      <c r="B14" s="1620">
        <v>1.02</v>
      </c>
    </row>
    <row r="15" spans="1:5" x14ac:dyDescent="0.2">
      <c r="A15" s="164" t="s">
        <v>5545</v>
      </c>
      <c r="B15" s="1620">
        <v>1.19</v>
      </c>
    </row>
    <row r="16" spans="1:5" x14ac:dyDescent="0.2">
      <c r="A16" s="164" t="s">
        <v>5546</v>
      </c>
      <c r="B16" s="1620">
        <v>1.36</v>
      </c>
    </row>
    <row r="17" spans="1:3" x14ac:dyDescent="0.2">
      <c r="A17" s="164" t="s">
        <v>5547</v>
      </c>
      <c r="B17" s="1620">
        <v>1.53</v>
      </c>
    </row>
    <row r="18" spans="1:3" x14ac:dyDescent="0.2">
      <c r="A18" s="151" t="s">
        <v>5548</v>
      </c>
      <c r="B18" s="1622">
        <v>2.5499999999999998</v>
      </c>
    </row>
    <row r="22" spans="1:3" x14ac:dyDescent="0.2">
      <c r="A22" s="1607" t="s">
        <v>1428</v>
      </c>
      <c r="B22" s="1607"/>
    </row>
    <row r="23" spans="1:3" ht="44" customHeight="1" x14ac:dyDescent="0.2">
      <c r="A23" s="281" t="s">
        <v>5549</v>
      </c>
      <c r="B23" s="282"/>
      <c r="C23" s="283"/>
    </row>
    <row r="24" spans="1:3" ht="60" x14ac:dyDescent="0.2">
      <c r="A24" s="178" t="s">
        <v>5550</v>
      </c>
      <c r="B24" s="145">
        <v>8653478</v>
      </c>
      <c r="C24" s="185">
        <v>63</v>
      </c>
    </row>
    <row r="25" spans="1:3" ht="45" x14ac:dyDescent="0.2">
      <c r="A25" s="178" t="s">
        <v>5551</v>
      </c>
      <c r="B25" s="145">
        <v>165156</v>
      </c>
      <c r="C25" s="185">
        <v>84</v>
      </c>
    </row>
    <row r="26" spans="1:3" ht="30" x14ac:dyDescent="0.2">
      <c r="A26" s="178" t="s">
        <v>5552</v>
      </c>
      <c r="B26" s="145">
        <v>181243</v>
      </c>
      <c r="C26" s="185">
        <v>98</v>
      </c>
    </row>
    <row r="27" spans="1:3" x14ac:dyDescent="0.2">
      <c r="A27" s="178" t="s">
        <v>5553</v>
      </c>
      <c r="B27" s="145">
        <v>8410</v>
      </c>
      <c r="C27" s="185"/>
    </row>
    <row r="28" spans="1:3" ht="30" x14ac:dyDescent="0.2">
      <c r="A28" s="178" t="s">
        <v>5554</v>
      </c>
      <c r="B28" s="145">
        <v>25410</v>
      </c>
      <c r="C28" s="185">
        <v>28</v>
      </c>
    </row>
    <row r="29" spans="1:3" ht="30" x14ac:dyDescent="0.2">
      <c r="A29" s="178" t="s">
        <v>5555</v>
      </c>
      <c r="B29" s="145">
        <v>474953</v>
      </c>
      <c r="C29" s="185">
        <v>88</v>
      </c>
    </row>
    <row r="30" spans="1:3" x14ac:dyDescent="0.2">
      <c r="A30" s="178" t="s">
        <v>5556</v>
      </c>
      <c r="B30" s="145">
        <v>110068</v>
      </c>
      <c r="C30" s="185">
        <v>94</v>
      </c>
    </row>
    <row r="31" spans="1:3" x14ac:dyDescent="0.2">
      <c r="A31" s="178" t="s">
        <v>5557</v>
      </c>
      <c r="B31" s="145">
        <v>308799</v>
      </c>
      <c r="C31" s="185">
        <v>45</v>
      </c>
    </row>
    <row r="32" spans="1:3" ht="30" x14ac:dyDescent="0.2">
      <c r="A32" s="178" t="s">
        <v>5558</v>
      </c>
      <c r="B32" s="145">
        <v>88489</v>
      </c>
      <c r="C32" s="185">
        <v>19</v>
      </c>
    </row>
    <row r="33" spans="1:3" x14ac:dyDescent="0.2">
      <c r="A33" s="178" t="s">
        <v>5559</v>
      </c>
      <c r="B33" s="145">
        <v>243052</v>
      </c>
      <c r="C33" s="185">
        <v>66</v>
      </c>
    </row>
    <row r="34" spans="1:3" x14ac:dyDescent="0.2">
      <c r="A34" s="178" t="s">
        <v>1808</v>
      </c>
      <c r="B34" s="145">
        <v>38223</v>
      </c>
      <c r="C34" s="185">
        <v>93</v>
      </c>
    </row>
    <row r="35" spans="1:3" x14ac:dyDescent="0.2">
      <c r="A35" s="178" t="s">
        <v>5560</v>
      </c>
      <c r="B35" s="145">
        <v>328</v>
      </c>
      <c r="C35" s="185">
        <v>60</v>
      </c>
    </row>
    <row r="36" spans="1:3" x14ac:dyDescent="0.2">
      <c r="A36" s="178" t="s">
        <v>5472</v>
      </c>
      <c r="B36" s="145">
        <v>534779</v>
      </c>
      <c r="C36" s="185">
        <v>7</v>
      </c>
    </row>
    <row r="37" spans="1:3" ht="30" x14ac:dyDescent="0.2">
      <c r="A37" s="178" t="s">
        <v>5561</v>
      </c>
      <c r="B37" s="145">
        <v>736266</v>
      </c>
      <c r="C37" s="185">
        <v>16</v>
      </c>
    </row>
    <row r="38" spans="1:3" x14ac:dyDescent="0.2">
      <c r="A38" s="178" t="s">
        <v>5429</v>
      </c>
      <c r="B38" s="145">
        <v>10000</v>
      </c>
      <c r="C38" s="185"/>
    </row>
    <row r="39" spans="1:3" x14ac:dyDescent="0.2">
      <c r="A39" s="178" t="s">
        <v>5562</v>
      </c>
      <c r="B39" s="145">
        <v>16000</v>
      </c>
      <c r="C39" s="185"/>
    </row>
    <row r="40" spans="1:3" x14ac:dyDescent="0.2">
      <c r="A40" s="178" t="s">
        <v>5563</v>
      </c>
      <c r="B40" s="145"/>
      <c r="C40" s="185"/>
    </row>
    <row r="41" spans="1:3" x14ac:dyDescent="0.2">
      <c r="A41" s="178" t="s">
        <v>5564</v>
      </c>
      <c r="B41" s="145">
        <v>24800</v>
      </c>
      <c r="C41" s="185">
        <v>48</v>
      </c>
    </row>
    <row r="42" spans="1:3" ht="30" x14ac:dyDescent="0.2">
      <c r="A42" s="178" t="s">
        <v>5565</v>
      </c>
      <c r="B42" s="145">
        <v>364180</v>
      </c>
      <c r="C42" s="185">
        <v>27</v>
      </c>
    </row>
    <row r="43" spans="1:3" ht="30" x14ac:dyDescent="0.2">
      <c r="A43" s="178" t="s">
        <v>5566</v>
      </c>
      <c r="B43" s="145">
        <v>28086</v>
      </c>
      <c r="C43" s="185">
        <v>99</v>
      </c>
    </row>
    <row r="44" spans="1:3" x14ac:dyDescent="0.2">
      <c r="A44" s="178" t="s">
        <v>5567</v>
      </c>
      <c r="B44" s="145">
        <v>20977</v>
      </c>
      <c r="C44" s="185">
        <v>44</v>
      </c>
    </row>
    <row r="45" spans="1:3" ht="30" x14ac:dyDescent="0.2">
      <c r="A45" s="178" t="s">
        <v>5568</v>
      </c>
      <c r="B45" s="145">
        <v>24517</v>
      </c>
      <c r="C45" s="185">
        <v>80</v>
      </c>
    </row>
    <row r="46" spans="1:3" ht="30" x14ac:dyDescent="0.2">
      <c r="A46" s="178" t="s">
        <v>5569</v>
      </c>
      <c r="B46" s="145">
        <v>32475</v>
      </c>
      <c r="C46" s="185">
        <v>77</v>
      </c>
    </row>
    <row r="47" spans="1:3" ht="45" x14ac:dyDescent="0.2">
      <c r="A47" s="178" t="s">
        <v>5570</v>
      </c>
      <c r="B47" s="145">
        <v>75418</v>
      </c>
      <c r="C47" s="185">
        <v>77</v>
      </c>
    </row>
    <row r="48" spans="1:3" ht="30" x14ac:dyDescent="0.2">
      <c r="A48" s="178" t="s">
        <v>5571</v>
      </c>
      <c r="B48" s="145">
        <v>55641</v>
      </c>
      <c r="C48" s="185">
        <v>31</v>
      </c>
    </row>
    <row r="49" spans="1:3" x14ac:dyDescent="0.2">
      <c r="A49" s="178" t="s">
        <v>1666</v>
      </c>
      <c r="B49" s="145">
        <v>12220760</v>
      </c>
      <c r="C49" s="185">
        <v>44</v>
      </c>
    </row>
    <row r="50" spans="1:3" x14ac:dyDescent="0.2">
      <c r="A50" s="151"/>
      <c r="B50" s="152">
        <f>SUM(B24:B48)</f>
        <v>12220748</v>
      </c>
      <c r="C50" s="1623">
        <f>SUM(C24:C48)</f>
        <v>1244</v>
      </c>
    </row>
  </sheetData>
  <mergeCells count="4">
    <mergeCell ref="A1:B1"/>
    <mergeCell ref="A2:B2"/>
    <mergeCell ref="A22:B22"/>
    <mergeCell ref="A23:C23"/>
  </mergeCells>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X161"/>
  <sheetViews>
    <sheetView workbookViewId="0">
      <selection activeCell="B1" sqref="B1"/>
    </sheetView>
  </sheetViews>
  <sheetFormatPr baseColWidth="10" defaultColWidth="11.6640625" defaultRowHeight="15" x14ac:dyDescent="0.2"/>
  <cols>
    <col min="1" max="1" width="26.83203125" style="106" customWidth="1"/>
    <col min="2" max="2" width="11.6640625" style="106"/>
    <col min="3" max="3" width="6.1640625" style="106" customWidth="1"/>
    <col min="4" max="4" width="11.83203125" style="106" customWidth="1"/>
    <col min="5" max="5" width="5.83203125" style="106" customWidth="1"/>
    <col min="6" max="6" width="12.6640625" style="106" customWidth="1"/>
    <col min="7" max="7" width="6.1640625" style="106" customWidth="1"/>
    <col min="8" max="8" width="11.6640625" style="106"/>
    <col min="9" max="9" width="6.1640625" style="106" customWidth="1"/>
    <col min="10" max="10" width="11.6640625" style="106"/>
    <col min="11" max="11" width="6.1640625" style="106" customWidth="1"/>
    <col min="12" max="12" width="11.6640625" style="106"/>
    <col min="13" max="13" width="6.1640625" style="106" customWidth="1"/>
    <col min="14" max="14" width="11.6640625" style="106"/>
    <col min="15" max="15" width="6.1640625" style="106" customWidth="1"/>
    <col min="16" max="16" width="11.6640625" style="106"/>
    <col min="17" max="17" width="6.1640625" style="106" customWidth="1"/>
    <col min="18" max="18" width="11.6640625" style="106"/>
    <col min="19" max="19" width="6.1640625" style="106" customWidth="1"/>
    <col min="20" max="20" width="11.6640625" style="106"/>
    <col min="21" max="21" width="6.1640625" style="106" customWidth="1"/>
    <col min="22" max="22" width="11.6640625" style="106"/>
    <col min="23" max="25" width="6.1640625" style="106" customWidth="1"/>
    <col min="26" max="26" width="11.6640625" style="106"/>
    <col min="27" max="28" width="6.1640625" style="106" customWidth="1"/>
    <col min="29" max="29" width="11.6640625" style="106"/>
    <col min="30" max="31" width="6.1640625" style="106" customWidth="1"/>
    <col min="32" max="32" width="11.6640625" style="106"/>
    <col min="33" max="34" width="6.1640625" style="106" customWidth="1"/>
    <col min="35" max="35" width="11.6640625" style="106"/>
    <col min="36" max="37" width="6.1640625" style="106" customWidth="1"/>
    <col min="38" max="38" width="11.6640625" style="106"/>
    <col min="39" max="40" width="6.1640625" style="106" customWidth="1"/>
    <col min="41" max="41" width="11.6640625" style="106"/>
    <col min="42" max="43" width="6.1640625" style="106" customWidth="1"/>
    <col min="44" max="44" width="11.6640625" style="106"/>
    <col min="45" max="46" width="6.1640625" style="106" customWidth="1"/>
    <col min="47" max="47" width="11.6640625" style="106"/>
    <col min="48" max="49" width="6.1640625" style="106" customWidth="1"/>
    <col min="50" max="50" width="11.6640625" style="106"/>
    <col min="51" max="52" width="6.1640625" style="106" customWidth="1"/>
    <col min="53" max="53" width="11.6640625" style="106"/>
    <col min="54" max="55" width="6.1640625" style="106" customWidth="1"/>
    <col min="56" max="56" width="11.6640625" style="106"/>
    <col min="57" max="58" width="6.1640625" style="106" customWidth="1"/>
    <col min="59" max="59" width="11.6640625" style="106"/>
    <col min="60" max="61" width="6.1640625" style="106" customWidth="1"/>
    <col min="62" max="62" width="11.6640625" style="106"/>
    <col min="63" max="64" width="6.1640625" style="106" customWidth="1"/>
    <col min="65" max="65" width="11.6640625" style="106"/>
    <col min="66" max="67" width="6.1640625" style="106" customWidth="1"/>
    <col min="68" max="68" width="11.6640625" style="106"/>
    <col min="69" max="70" width="6.1640625" style="106" customWidth="1"/>
    <col min="71" max="71" width="11.6640625" style="106"/>
    <col min="72" max="73" width="6.1640625" style="106" customWidth="1"/>
    <col min="74" max="74" width="11.6640625" style="106"/>
    <col min="75" max="76" width="6.1640625" style="106" customWidth="1"/>
    <col min="77" max="77" width="11.6640625" style="106"/>
    <col min="78" max="79" width="6.1640625" style="106" customWidth="1"/>
    <col min="80" max="80" width="11.6640625" style="106"/>
    <col min="81" max="82" width="6.1640625" style="106" customWidth="1"/>
    <col min="83" max="83" width="11.6640625" style="106"/>
    <col min="84" max="85" width="6.1640625" style="106" customWidth="1"/>
    <col min="86" max="86" width="11.6640625" style="106"/>
    <col min="87" max="88" width="6.1640625" style="106" customWidth="1"/>
    <col min="89" max="89" width="11.6640625" style="106"/>
    <col min="90" max="91" width="6.1640625" style="106" customWidth="1"/>
    <col min="92" max="92" width="11.6640625" style="106"/>
    <col min="93" max="94" width="6.1640625" style="106" customWidth="1"/>
    <col min="95" max="95" width="11.6640625" style="106"/>
    <col min="96" max="97" width="6.1640625" style="106" customWidth="1"/>
    <col min="98" max="98" width="11.6640625" style="106"/>
    <col min="99" max="100" width="6.1640625" style="106" customWidth="1"/>
    <col min="101" max="101" width="11.6640625" style="106"/>
    <col min="102" max="103" width="6.1640625" style="106" customWidth="1"/>
    <col min="104" max="104" width="11.6640625" style="106"/>
    <col min="105" max="106" width="6.1640625" style="106" customWidth="1"/>
    <col min="107" max="107" width="11.6640625" style="106"/>
    <col min="108" max="109" width="6.1640625" style="106" customWidth="1"/>
    <col min="110" max="110" width="11.6640625" style="106"/>
    <col min="111" max="112" width="6.1640625" style="106" customWidth="1"/>
    <col min="113" max="113" width="11.6640625" style="106"/>
    <col min="114" max="115" width="6.1640625" style="106" customWidth="1"/>
    <col min="116" max="116" width="11.6640625" style="106"/>
    <col min="117" max="118" width="6.1640625" style="106" customWidth="1"/>
    <col min="119" max="119" width="11.6640625" style="106"/>
    <col min="120" max="121" width="6.1640625" style="106" customWidth="1"/>
    <col min="122" max="122" width="11.6640625" style="106"/>
    <col min="123" max="124" width="6.1640625" style="106" customWidth="1"/>
    <col min="125" max="125" width="11.6640625" style="106"/>
    <col min="126" max="127" width="6.1640625" style="106" customWidth="1"/>
    <col min="128" max="128" width="11.6640625" style="106"/>
    <col min="129" max="130" width="6.1640625" style="106" customWidth="1"/>
    <col min="131" max="131" width="11.6640625" style="106"/>
    <col min="132" max="133" width="6.1640625" style="106" customWidth="1"/>
    <col min="134" max="134" width="11.6640625" style="106"/>
    <col min="135" max="136" width="6.1640625" style="106" customWidth="1"/>
    <col min="137" max="137" width="11.6640625" style="106"/>
    <col min="138" max="139" width="6.1640625" style="106" customWidth="1"/>
    <col min="140" max="140" width="11.6640625" style="106"/>
    <col min="141" max="142" width="6.1640625" style="106" customWidth="1"/>
    <col min="143" max="143" width="11.6640625" style="106"/>
    <col min="144" max="145" width="6.1640625" style="106" customWidth="1"/>
    <col min="146" max="146" width="11.6640625" style="106"/>
    <col min="147" max="148" width="6.1640625" style="106" customWidth="1"/>
    <col min="149" max="149" width="11.6640625" style="106"/>
    <col min="150" max="151" width="6.1640625" style="106" customWidth="1"/>
    <col min="152" max="152" width="11.6640625" style="106"/>
    <col min="153" max="154" width="6.1640625" style="106" customWidth="1"/>
    <col min="155" max="155" width="11.6640625" style="106"/>
    <col min="156" max="157" width="6.1640625" style="106" customWidth="1"/>
    <col min="158" max="158" width="11.6640625" style="106"/>
    <col min="159" max="160" width="6.1640625" style="106" customWidth="1"/>
    <col min="161" max="161" width="11.6640625" style="106"/>
    <col min="162" max="163" width="6.1640625" style="106" customWidth="1"/>
    <col min="164" max="164" width="11.6640625" style="106"/>
    <col min="165" max="166" width="6.1640625" style="106" customWidth="1"/>
    <col min="167" max="167" width="11.6640625" style="106"/>
    <col min="168" max="169" width="6.1640625" style="106" customWidth="1"/>
    <col min="170" max="170" width="11.6640625" style="106"/>
    <col min="171" max="172" width="6.1640625" style="106" customWidth="1"/>
    <col min="173" max="173" width="11.6640625" style="106"/>
    <col min="174" max="175" width="6.1640625" style="106" customWidth="1"/>
    <col min="176" max="176" width="11.6640625" style="106"/>
    <col min="177" max="178" width="6.1640625" style="106" customWidth="1"/>
    <col min="179" max="179" width="11.6640625" style="106"/>
    <col min="180" max="181" width="6.1640625" style="106" customWidth="1"/>
    <col min="182" max="182" width="11.6640625" style="106"/>
    <col min="183" max="184" width="6.1640625" style="106" customWidth="1"/>
    <col min="185" max="185" width="11.6640625" style="106"/>
    <col min="186" max="187" width="6.1640625" style="106" customWidth="1"/>
    <col min="188" max="188" width="11.6640625" style="106"/>
    <col min="189" max="190" width="6.1640625" style="106" customWidth="1"/>
    <col min="191" max="191" width="11.6640625" style="106"/>
    <col min="192" max="193" width="6.1640625" style="106" customWidth="1"/>
    <col min="194" max="194" width="11.6640625" style="106"/>
    <col min="195" max="196" width="6.1640625" style="106" customWidth="1"/>
    <col min="197" max="197" width="11.6640625" style="106"/>
    <col min="198" max="199" width="6.1640625" style="106" customWidth="1"/>
    <col min="200" max="200" width="11.6640625" style="106"/>
    <col min="201" max="202" width="6.1640625" style="106" customWidth="1"/>
    <col min="203" max="203" width="11.6640625" style="106"/>
    <col min="204" max="205" width="6.1640625" style="106" customWidth="1"/>
    <col min="206" max="206" width="11.6640625" style="106"/>
    <col min="207" max="208" width="6.1640625" style="106" customWidth="1"/>
    <col min="209" max="209" width="11.6640625" style="106"/>
    <col min="210" max="211" width="6.1640625" style="106" customWidth="1"/>
    <col min="212" max="212" width="11.6640625" style="106"/>
    <col min="213" max="214" width="6.1640625" style="106" customWidth="1"/>
    <col min="215" max="215" width="11.6640625" style="106"/>
    <col min="216" max="217" width="6.1640625" style="106" customWidth="1"/>
    <col min="218" max="218" width="11.6640625" style="106"/>
    <col min="219" max="220" width="6.1640625" style="106" customWidth="1"/>
    <col min="221" max="221" width="11.6640625" style="106"/>
    <col min="222" max="223" width="6.1640625" style="106" customWidth="1"/>
    <col min="224" max="224" width="11.6640625" style="106"/>
    <col min="225" max="226" width="6.1640625" style="106" customWidth="1"/>
    <col min="227" max="227" width="11.6640625" style="106"/>
    <col min="228" max="229" width="6.1640625" style="106" customWidth="1"/>
    <col min="230" max="230" width="11.6640625" style="106"/>
    <col min="231" max="232" width="6.1640625" style="106" customWidth="1"/>
    <col min="233" max="16384" width="11.6640625" style="106"/>
  </cols>
  <sheetData>
    <row r="1" spans="1:3" x14ac:dyDescent="0.2">
      <c r="A1" s="113" t="s">
        <v>1111</v>
      </c>
    </row>
    <row r="2" spans="1:3" ht="35" customHeight="1" x14ac:dyDescent="0.2">
      <c r="A2" s="1601" t="s">
        <v>5572</v>
      </c>
      <c r="B2" s="1602"/>
      <c r="C2" s="1603"/>
    </row>
    <row r="3" spans="1:3" x14ac:dyDescent="0.2">
      <c r="A3" s="374" t="s">
        <v>5573</v>
      </c>
      <c r="B3" s="375"/>
      <c r="C3" s="397"/>
    </row>
    <row r="4" spans="1:3" x14ac:dyDescent="0.2">
      <c r="A4" s="164">
        <v>1910</v>
      </c>
      <c r="B4" s="1122">
        <v>474953.88</v>
      </c>
      <c r="C4" s="185"/>
    </row>
    <row r="5" spans="1:3" x14ac:dyDescent="0.2">
      <c r="A5" s="164">
        <v>1911</v>
      </c>
      <c r="B5" s="1122">
        <v>451273.7</v>
      </c>
      <c r="C5" s="185"/>
    </row>
    <row r="6" spans="1:3" x14ac:dyDescent="0.2">
      <c r="A6" s="374" t="s">
        <v>5574</v>
      </c>
      <c r="B6" s="375"/>
      <c r="C6" s="397"/>
    </row>
    <row r="7" spans="1:3" x14ac:dyDescent="0.2">
      <c r="A7" s="164">
        <v>1910</v>
      </c>
      <c r="B7" s="145">
        <f>85285+3204</f>
        <v>88489</v>
      </c>
      <c r="C7" s="185">
        <f>13+6</f>
        <v>19</v>
      </c>
    </row>
    <row r="8" spans="1:3" x14ac:dyDescent="0.2">
      <c r="A8" s="164">
        <v>1911</v>
      </c>
      <c r="B8" s="145">
        <v>85285</v>
      </c>
      <c r="C8" s="185">
        <v>13</v>
      </c>
    </row>
    <row r="9" spans="1:3" x14ac:dyDescent="0.2">
      <c r="A9" s="374" t="s">
        <v>5575</v>
      </c>
      <c r="B9" s="375"/>
      <c r="C9" s="397"/>
    </row>
    <row r="10" spans="1:3" x14ac:dyDescent="0.2">
      <c r="A10" s="164">
        <v>1910</v>
      </c>
      <c r="B10" s="145">
        <v>110068</v>
      </c>
      <c r="C10" s="185">
        <v>94</v>
      </c>
    </row>
    <row r="11" spans="1:3" x14ac:dyDescent="0.2">
      <c r="A11" s="164">
        <v>1911</v>
      </c>
      <c r="B11" s="145">
        <v>119799</v>
      </c>
      <c r="C11" s="185">
        <v>92</v>
      </c>
    </row>
    <row r="12" spans="1:3" x14ac:dyDescent="0.2">
      <c r="A12" s="374" t="s">
        <v>5576</v>
      </c>
      <c r="B12" s="375"/>
      <c r="C12" s="397"/>
    </row>
    <row r="13" spans="1:3" x14ac:dyDescent="0.2">
      <c r="A13" s="164">
        <v>1910</v>
      </c>
      <c r="B13" s="145">
        <v>308799</v>
      </c>
      <c r="C13" s="185">
        <v>45</v>
      </c>
    </row>
    <row r="14" spans="1:3" x14ac:dyDescent="0.2">
      <c r="A14" s="151">
        <v>1911</v>
      </c>
      <c r="B14" s="309">
        <v>336031</v>
      </c>
      <c r="C14" s="195">
        <v>44</v>
      </c>
    </row>
    <row r="18" spans="1:23" x14ac:dyDescent="0.2">
      <c r="A18" s="113" t="s">
        <v>1428</v>
      </c>
    </row>
    <row r="19" spans="1:23" ht="26" customHeight="1" x14ac:dyDescent="0.2">
      <c r="A19" s="1624" t="s">
        <v>5577</v>
      </c>
      <c r="B19" s="198"/>
      <c r="C19" s="198"/>
      <c r="D19" s="198"/>
      <c r="E19" s="199"/>
    </row>
    <row r="20" spans="1:23" ht="30.5" customHeight="1" x14ac:dyDescent="0.2">
      <c r="A20" s="305" t="s">
        <v>5578</v>
      </c>
      <c r="B20" s="306"/>
      <c r="C20" s="306"/>
      <c r="D20" s="306"/>
      <c r="E20" s="1616"/>
    </row>
    <row r="21" spans="1:23" ht="25.25" customHeight="1" x14ac:dyDescent="0.2">
      <c r="A21" s="509"/>
      <c r="B21" s="1625" t="s">
        <v>5579</v>
      </c>
      <c r="C21" s="127" t="s">
        <v>5580</v>
      </c>
      <c r="D21" s="128"/>
      <c r="E21" s="129"/>
    </row>
    <row r="22" spans="1:23" x14ac:dyDescent="0.2">
      <c r="A22" s="135" t="s">
        <v>5581</v>
      </c>
      <c r="B22" s="1626">
        <v>0.5</v>
      </c>
      <c r="C22" s="489">
        <v>26545</v>
      </c>
      <c r="D22" s="493"/>
      <c r="E22" s="185">
        <v>59</v>
      </c>
    </row>
    <row r="23" spans="1:23" x14ac:dyDescent="0.2">
      <c r="A23" s="135" t="s">
        <v>5582</v>
      </c>
      <c r="B23" s="1626">
        <v>0.6</v>
      </c>
      <c r="C23" s="489">
        <v>30514</v>
      </c>
      <c r="D23" s="493"/>
      <c r="E23" s="278">
        <v>35</v>
      </c>
    </row>
    <row r="24" spans="1:23" x14ac:dyDescent="0.2">
      <c r="A24" s="263" t="s">
        <v>5583</v>
      </c>
      <c r="B24" s="1627">
        <v>0.3</v>
      </c>
      <c r="C24" s="790"/>
      <c r="D24" s="791"/>
      <c r="E24" s="215"/>
    </row>
    <row r="25" spans="1:23" ht="29.5" customHeight="1" x14ac:dyDescent="0.2">
      <c r="A25" s="1618" t="s">
        <v>5584</v>
      </c>
      <c r="B25" s="1628"/>
      <c r="C25" s="1628"/>
      <c r="D25" s="1628"/>
      <c r="E25" s="1619"/>
    </row>
    <row r="29" spans="1:23" x14ac:dyDescent="0.2">
      <c r="A29" s="113" t="s">
        <v>1182</v>
      </c>
    </row>
    <row r="30" spans="1:23" ht="41.5" customHeight="1" x14ac:dyDescent="0.2">
      <c r="A30" s="1629" t="s">
        <v>5585</v>
      </c>
      <c r="B30" s="1630"/>
      <c r="C30" s="1630"/>
      <c r="D30" s="1630"/>
      <c r="E30" s="1630"/>
      <c r="F30" s="1630"/>
      <c r="G30" s="1630"/>
      <c r="H30" s="1630"/>
      <c r="I30" s="1630"/>
      <c r="J30" s="1630"/>
      <c r="K30" s="1630"/>
      <c r="L30" s="1630"/>
      <c r="M30" s="1630"/>
      <c r="N30" s="1630"/>
      <c r="O30" s="1630"/>
      <c r="P30" s="1630"/>
      <c r="Q30" s="1630"/>
      <c r="R30" s="1630"/>
      <c r="S30" s="1630"/>
      <c r="T30" s="1630"/>
      <c r="U30" s="1630"/>
      <c r="V30" s="1630"/>
      <c r="W30" s="1631"/>
    </row>
    <row r="31" spans="1:23" ht="44" customHeight="1" x14ac:dyDescent="0.2">
      <c r="A31" s="1632" t="s">
        <v>1227</v>
      </c>
      <c r="B31" s="252" t="s">
        <v>4714</v>
      </c>
      <c r="C31" s="253"/>
      <c r="D31" s="252" t="s">
        <v>5586</v>
      </c>
      <c r="E31" s="254"/>
      <c r="F31" s="253" t="s">
        <v>5587</v>
      </c>
      <c r="G31" s="254"/>
      <c r="H31" s="253" t="s">
        <v>5588</v>
      </c>
      <c r="I31" s="253"/>
      <c r="J31" s="252" t="s">
        <v>5589</v>
      </c>
      <c r="K31" s="253"/>
      <c r="L31" s="252" t="s">
        <v>5590</v>
      </c>
      <c r="M31" s="254"/>
      <c r="N31" s="253" t="s">
        <v>5591</v>
      </c>
      <c r="O31" s="254"/>
      <c r="P31" s="253" t="s">
        <v>4977</v>
      </c>
      <c r="Q31" s="253"/>
      <c r="R31" s="252" t="s">
        <v>5592</v>
      </c>
      <c r="S31" s="253"/>
      <c r="T31" s="252" t="s">
        <v>1357</v>
      </c>
      <c r="U31" s="254"/>
      <c r="V31" s="253" t="s">
        <v>1935</v>
      </c>
      <c r="W31" s="254"/>
    </row>
    <row r="32" spans="1:23" x14ac:dyDescent="0.2">
      <c r="A32" s="164" t="s">
        <v>1514</v>
      </c>
      <c r="B32" s="131">
        <v>7227</v>
      </c>
      <c r="C32" s="145">
        <v>26</v>
      </c>
      <c r="D32" s="131">
        <v>144</v>
      </c>
      <c r="E32" s="307">
        <v>44</v>
      </c>
      <c r="F32" s="145">
        <v>69</v>
      </c>
      <c r="G32" s="307">
        <v>19</v>
      </c>
      <c r="H32" s="145"/>
      <c r="I32" s="145"/>
      <c r="J32" s="131"/>
      <c r="K32" s="145"/>
      <c r="L32" s="131"/>
      <c r="M32" s="307"/>
      <c r="N32" s="145"/>
      <c r="O32" s="307"/>
      <c r="P32" s="145">
        <v>6</v>
      </c>
      <c r="Q32" s="145">
        <v>13</v>
      </c>
      <c r="R32" s="131"/>
      <c r="S32" s="145"/>
      <c r="T32" s="131">
        <v>7447</v>
      </c>
      <c r="U32" s="307">
        <v>2</v>
      </c>
      <c r="V32" s="145">
        <v>6664</v>
      </c>
      <c r="W32" s="307">
        <v>44</v>
      </c>
    </row>
    <row r="33" spans="1:24" x14ac:dyDescent="0.2">
      <c r="A33" s="164" t="s">
        <v>3668</v>
      </c>
      <c r="B33" s="131">
        <v>4572877</v>
      </c>
      <c r="C33" s="145">
        <v>75</v>
      </c>
      <c r="D33" s="131">
        <v>93076</v>
      </c>
      <c r="E33" s="307">
        <v>60</v>
      </c>
      <c r="F33" s="145">
        <v>69179</v>
      </c>
      <c r="G33" s="307">
        <v>15</v>
      </c>
      <c r="H33" s="145">
        <v>48038</v>
      </c>
      <c r="I33" s="145">
        <v>19</v>
      </c>
      <c r="J33" s="131"/>
      <c r="K33" s="145"/>
      <c r="L33" s="131">
        <v>298</v>
      </c>
      <c r="M33" s="307">
        <v>50</v>
      </c>
      <c r="N33" s="145">
        <v>2680</v>
      </c>
      <c r="O33" s="307"/>
      <c r="P33" s="145">
        <v>33146</v>
      </c>
      <c r="Q33" s="145">
        <v>17</v>
      </c>
      <c r="R33" s="131">
        <v>92323</v>
      </c>
      <c r="S33" s="145">
        <v>50</v>
      </c>
      <c r="T33" s="131">
        <v>4911619</v>
      </c>
      <c r="U33" s="307">
        <v>86</v>
      </c>
      <c r="V33" s="145">
        <v>87234</v>
      </c>
      <c r="W33" s="307">
        <v>59</v>
      </c>
    </row>
    <row r="34" spans="1:24" x14ac:dyDescent="0.2">
      <c r="A34" s="164" t="s">
        <v>1517</v>
      </c>
      <c r="B34" s="131">
        <v>876673</v>
      </c>
      <c r="C34" s="145">
        <v>73</v>
      </c>
      <c r="D34" s="131">
        <v>17521</v>
      </c>
      <c r="E34" s="307">
        <v>97</v>
      </c>
      <c r="F34" s="145">
        <v>15442</v>
      </c>
      <c r="G34" s="307">
        <v>50</v>
      </c>
      <c r="H34" s="145"/>
      <c r="I34" s="145"/>
      <c r="J34" s="131"/>
      <c r="K34" s="145"/>
      <c r="L34" s="131"/>
      <c r="M34" s="307"/>
      <c r="N34" s="145">
        <v>680</v>
      </c>
      <c r="O34" s="307"/>
      <c r="P34" s="145">
        <v>838</v>
      </c>
      <c r="Q34" s="145">
        <v>19</v>
      </c>
      <c r="R34" s="131">
        <v>26929</v>
      </c>
      <c r="S34" s="145">
        <v>13</v>
      </c>
      <c r="T34" s="131">
        <v>938085</v>
      </c>
      <c r="U34" s="307">
        <v>52</v>
      </c>
      <c r="V34" s="145">
        <v>45077</v>
      </c>
      <c r="W34" s="307">
        <v>10</v>
      </c>
    </row>
    <row r="35" spans="1:24" x14ac:dyDescent="0.2">
      <c r="A35" s="164" t="s">
        <v>4033</v>
      </c>
      <c r="B35" s="131">
        <v>2167329</v>
      </c>
      <c r="C35" s="145">
        <v>39</v>
      </c>
      <c r="D35" s="131">
        <v>43346</v>
      </c>
      <c r="E35" s="307">
        <v>76</v>
      </c>
      <c r="F35" s="145">
        <v>47104</v>
      </c>
      <c r="G35" s="307">
        <v>10</v>
      </c>
      <c r="H35" s="145">
        <v>12871</v>
      </c>
      <c r="I35" s="145">
        <v>71</v>
      </c>
      <c r="J35" s="131">
        <v>2450</v>
      </c>
      <c r="K35" s="145"/>
      <c r="L35" s="131">
        <v>97</v>
      </c>
      <c r="M35" s="307">
        <v>75</v>
      </c>
      <c r="N35" s="145">
        <v>2510</v>
      </c>
      <c r="O35" s="307"/>
      <c r="P35" s="145">
        <v>10476</v>
      </c>
      <c r="Q35" s="145">
        <v>30</v>
      </c>
      <c r="R35" s="131">
        <v>40722</v>
      </c>
      <c r="S35" s="145">
        <v>43</v>
      </c>
      <c r="T35" s="131">
        <v>2326908</v>
      </c>
      <c r="U35" s="307">
        <v>44</v>
      </c>
      <c r="V35" s="145">
        <v>108751</v>
      </c>
      <c r="W35" s="307">
        <v>73</v>
      </c>
    </row>
    <row r="36" spans="1:24" x14ac:dyDescent="0.2">
      <c r="A36" s="164" t="s">
        <v>1519</v>
      </c>
      <c r="B36" s="131">
        <v>374592</v>
      </c>
      <c r="C36" s="145">
        <v>18</v>
      </c>
      <c r="D36" s="131">
        <v>7509</v>
      </c>
      <c r="E36" s="307">
        <v>94</v>
      </c>
      <c r="F36" s="145"/>
      <c r="G36" s="307"/>
      <c r="H36" s="145"/>
      <c r="I36" s="145"/>
      <c r="J36" s="131"/>
      <c r="K36" s="145"/>
      <c r="L36" s="131"/>
      <c r="M36" s="307"/>
      <c r="N36" s="145"/>
      <c r="O36" s="307"/>
      <c r="P36" s="145">
        <v>626</v>
      </c>
      <c r="Q36" s="145">
        <v>39</v>
      </c>
      <c r="R36" s="131">
        <v>4929</v>
      </c>
      <c r="S36" s="145">
        <v>25</v>
      </c>
      <c r="T36" s="131">
        <v>387657</v>
      </c>
      <c r="U36" s="307">
        <v>76</v>
      </c>
      <c r="V36" s="145">
        <v>27513</v>
      </c>
      <c r="W36" s="307">
        <v>1</v>
      </c>
    </row>
    <row r="37" spans="1:24" x14ac:dyDescent="0.2">
      <c r="A37" s="164" t="s">
        <v>4553</v>
      </c>
      <c r="B37" s="131">
        <v>231</v>
      </c>
      <c r="C37" s="145">
        <v>42</v>
      </c>
      <c r="D37" s="131">
        <v>3</v>
      </c>
      <c r="E37" s="307">
        <v>84</v>
      </c>
      <c r="F37" s="145"/>
      <c r="G37" s="307"/>
      <c r="H37" s="145"/>
      <c r="I37" s="145"/>
      <c r="J37" s="131"/>
      <c r="K37" s="145"/>
      <c r="L37" s="131"/>
      <c r="M37" s="307"/>
      <c r="N37" s="145"/>
      <c r="O37" s="307"/>
      <c r="P37" s="145">
        <v>23</v>
      </c>
      <c r="Q37" s="145">
        <v>78</v>
      </c>
      <c r="R37" s="131"/>
      <c r="S37" s="145"/>
      <c r="T37" s="131">
        <v>259</v>
      </c>
      <c r="U37" s="307">
        <v>4</v>
      </c>
      <c r="V37" s="145">
        <v>3886</v>
      </c>
      <c r="W37" s="307">
        <v>29</v>
      </c>
    </row>
    <row r="38" spans="1:24" x14ac:dyDescent="0.2">
      <c r="A38" s="164" t="s">
        <v>4828</v>
      </c>
      <c r="B38" s="131">
        <v>9349</v>
      </c>
      <c r="C38" s="145">
        <v>84</v>
      </c>
      <c r="D38" s="131">
        <v>187</v>
      </c>
      <c r="E38" s="307">
        <v>17</v>
      </c>
      <c r="F38" s="145">
        <v>132</v>
      </c>
      <c r="G38" s="307">
        <v>28</v>
      </c>
      <c r="H38" s="145"/>
      <c r="I38" s="145"/>
      <c r="J38" s="131"/>
      <c r="K38" s="145"/>
      <c r="L38" s="131"/>
      <c r="M38" s="307"/>
      <c r="N38" s="145"/>
      <c r="O38" s="307"/>
      <c r="P38" s="145">
        <v>18</v>
      </c>
      <c r="Q38" s="145">
        <v>52</v>
      </c>
      <c r="R38" s="131"/>
      <c r="S38" s="145"/>
      <c r="T38" s="131">
        <v>9687</v>
      </c>
      <c r="U38" s="307">
        <v>81</v>
      </c>
      <c r="V38" s="145">
        <v>6856</v>
      </c>
      <c r="W38" s="307">
        <v>3</v>
      </c>
    </row>
    <row r="39" spans="1:24" x14ac:dyDescent="0.2">
      <c r="A39" s="164" t="s">
        <v>5105</v>
      </c>
      <c r="B39" s="131">
        <v>55719</v>
      </c>
      <c r="C39" s="145">
        <v>35</v>
      </c>
      <c r="D39" s="131">
        <v>1092</v>
      </c>
      <c r="E39" s="307">
        <v>85</v>
      </c>
      <c r="F39" s="145">
        <v>1107</v>
      </c>
      <c r="G39" s="307">
        <v>65</v>
      </c>
      <c r="H39" s="145">
        <v>1101</v>
      </c>
      <c r="I39" s="145">
        <v>33</v>
      </c>
      <c r="J39" s="131"/>
      <c r="K39" s="145"/>
      <c r="L39" s="131">
        <v>24</v>
      </c>
      <c r="M39" s="307"/>
      <c r="N39" s="145">
        <v>680</v>
      </c>
      <c r="O39" s="307"/>
      <c r="P39" s="145">
        <v>5756</v>
      </c>
      <c r="Q39" s="145">
        <v>23</v>
      </c>
      <c r="R39" s="131"/>
      <c r="S39" s="145"/>
      <c r="T39" s="131">
        <v>65481</v>
      </c>
      <c r="U39" s="307">
        <v>41</v>
      </c>
      <c r="V39" s="145">
        <v>33146</v>
      </c>
      <c r="W39" s="307">
        <v>77</v>
      </c>
    </row>
    <row r="40" spans="1:24" x14ac:dyDescent="0.2">
      <c r="A40" s="164" t="s">
        <v>4034</v>
      </c>
      <c r="B40" s="131">
        <v>86019</v>
      </c>
      <c r="C40" s="145">
        <v>60</v>
      </c>
      <c r="D40" s="131">
        <v>2248</v>
      </c>
      <c r="E40" s="307">
        <v>29</v>
      </c>
      <c r="F40" s="145">
        <v>7180</v>
      </c>
      <c r="G40" s="307">
        <v>52</v>
      </c>
      <c r="H40" s="145">
        <v>9997</v>
      </c>
      <c r="I40" s="145">
        <v>16</v>
      </c>
      <c r="J40" s="131">
        <v>10</v>
      </c>
      <c r="K40" s="145"/>
      <c r="L40" s="131">
        <v>30</v>
      </c>
      <c r="M40" s="307">
        <v>50</v>
      </c>
      <c r="N40" s="145">
        <v>1500</v>
      </c>
      <c r="O40" s="307"/>
      <c r="P40" s="145">
        <v>1983</v>
      </c>
      <c r="Q40" s="145">
        <v>16</v>
      </c>
      <c r="R40" s="131">
        <v>14524</v>
      </c>
      <c r="S40" s="145">
        <v>75</v>
      </c>
      <c r="T40" s="131">
        <v>123493</v>
      </c>
      <c r="U40" s="307">
        <v>98</v>
      </c>
      <c r="V40" s="145">
        <v>23765</v>
      </c>
      <c r="W40" s="307">
        <v>41</v>
      </c>
    </row>
    <row r="41" spans="1:24" x14ac:dyDescent="0.2">
      <c r="A41" s="164" t="s">
        <v>1527</v>
      </c>
      <c r="B41" s="131">
        <v>249467</v>
      </c>
      <c r="C41" s="145">
        <v>5</v>
      </c>
      <c r="D41" s="131">
        <v>4999</v>
      </c>
      <c r="E41" s="307">
        <v>20</v>
      </c>
      <c r="F41" s="145">
        <v>5973</v>
      </c>
      <c r="G41" s="307">
        <v>65</v>
      </c>
      <c r="H41" s="145"/>
      <c r="I41" s="145"/>
      <c r="J41" s="131"/>
      <c r="K41" s="145"/>
      <c r="L41" s="131"/>
      <c r="M41" s="307"/>
      <c r="N41" s="145">
        <v>680</v>
      </c>
      <c r="O41" s="307"/>
      <c r="P41" s="145">
        <v>1435</v>
      </c>
      <c r="Q41" s="145">
        <v>54</v>
      </c>
      <c r="R41" s="131"/>
      <c r="S41" s="145"/>
      <c r="T41" s="131">
        <v>262555</v>
      </c>
      <c r="U41" s="307">
        <v>44</v>
      </c>
      <c r="V41" s="145">
        <v>24855</v>
      </c>
      <c r="W41" s="307">
        <v>33</v>
      </c>
      <c r="X41" s="141"/>
    </row>
    <row r="42" spans="1:24" x14ac:dyDescent="0.2">
      <c r="A42" s="164" t="s">
        <v>5593</v>
      </c>
      <c r="B42" s="131">
        <v>287549</v>
      </c>
      <c r="C42" s="145">
        <v>22</v>
      </c>
      <c r="D42" s="131">
        <v>6049</v>
      </c>
      <c r="E42" s="307">
        <v>71</v>
      </c>
      <c r="F42" s="145"/>
      <c r="G42" s="307"/>
      <c r="H42" s="145"/>
      <c r="I42" s="145"/>
      <c r="J42" s="131"/>
      <c r="K42" s="145"/>
      <c r="L42" s="131"/>
      <c r="M42" s="307"/>
      <c r="N42" s="145"/>
      <c r="O42" s="307"/>
      <c r="P42" s="145"/>
      <c r="Q42" s="145"/>
      <c r="R42" s="131"/>
      <c r="S42" s="145"/>
      <c r="T42" s="131">
        <v>293598</v>
      </c>
      <c r="U42" s="307">
        <v>93</v>
      </c>
      <c r="V42" s="145"/>
      <c r="W42" s="307"/>
    </row>
    <row r="43" spans="1:24" x14ac:dyDescent="0.2">
      <c r="A43" s="164" t="s">
        <v>5594</v>
      </c>
      <c r="B43" s="131">
        <v>965</v>
      </c>
      <c r="C43" s="145">
        <v>87</v>
      </c>
      <c r="D43" s="131"/>
      <c r="E43" s="307"/>
      <c r="F43" s="145"/>
      <c r="G43" s="307"/>
      <c r="H43" s="145"/>
      <c r="I43" s="145"/>
      <c r="J43" s="131"/>
      <c r="K43" s="145"/>
      <c r="L43" s="131"/>
      <c r="M43" s="307"/>
      <c r="N43" s="145"/>
      <c r="O43" s="307"/>
      <c r="P43" s="145"/>
      <c r="Q43" s="145"/>
      <c r="R43" s="131"/>
      <c r="S43" s="145"/>
      <c r="T43" s="131">
        <v>965</v>
      </c>
      <c r="U43" s="307">
        <v>87</v>
      </c>
      <c r="V43" s="145"/>
      <c r="W43" s="307"/>
    </row>
    <row r="44" spans="1:24" x14ac:dyDescent="0.2">
      <c r="A44" s="273" t="s">
        <v>1666</v>
      </c>
      <c r="B44" s="240">
        <v>8688022</v>
      </c>
      <c r="C44" s="318">
        <v>66</v>
      </c>
      <c r="D44" s="240">
        <v>176180</v>
      </c>
      <c r="E44" s="513">
        <v>77</v>
      </c>
      <c r="F44" s="318">
        <v>146189</v>
      </c>
      <c r="G44" s="513">
        <v>4</v>
      </c>
      <c r="H44" s="318">
        <v>72008</v>
      </c>
      <c r="I44" s="318">
        <v>39</v>
      </c>
      <c r="J44" s="240">
        <v>2460</v>
      </c>
      <c r="K44" s="318"/>
      <c r="L44" s="240">
        <v>450</v>
      </c>
      <c r="M44" s="513">
        <v>75</v>
      </c>
      <c r="N44" s="318">
        <v>8730</v>
      </c>
      <c r="O44" s="513"/>
      <c r="P44" s="318">
        <v>179429</v>
      </c>
      <c r="Q44" s="318">
        <v>6</v>
      </c>
      <c r="R44" s="240">
        <v>179427</v>
      </c>
      <c r="S44" s="318">
        <v>6</v>
      </c>
      <c r="T44" s="240">
        <v>9327761</v>
      </c>
      <c r="U44" s="513">
        <v>8</v>
      </c>
      <c r="V44" s="318">
        <v>367480</v>
      </c>
      <c r="W44" s="513">
        <v>70</v>
      </c>
    </row>
    <row r="45" spans="1:24" x14ac:dyDescent="0.2">
      <c r="A45" s="151"/>
      <c r="B45" s="1633">
        <f>SUM(B32:B43)</f>
        <v>8687997</v>
      </c>
      <c r="C45" s="1633">
        <f>SUM(C32:C43)</f>
        <v>566</v>
      </c>
      <c r="D45" s="299">
        <f>SUM(D32:D43)</f>
        <v>176174</v>
      </c>
      <c r="E45" s="299">
        <f>SUM(E32:E43)</f>
        <v>677</v>
      </c>
      <c r="F45" s="299">
        <f t="shared" ref="F45:W45" si="0">SUM(F32:F43)</f>
        <v>146186</v>
      </c>
      <c r="G45" s="299">
        <f t="shared" si="0"/>
        <v>304</v>
      </c>
      <c r="H45" s="299">
        <f t="shared" si="0"/>
        <v>72007</v>
      </c>
      <c r="I45" s="299">
        <f t="shared" si="0"/>
        <v>139</v>
      </c>
      <c r="J45" s="299">
        <f t="shared" si="0"/>
        <v>2460</v>
      </c>
      <c r="K45" s="299">
        <f t="shared" si="0"/>
        <v>0</v>
      </c>
      <c r="L45" s="299">
        <f t="shared" si="0"/>
        <v>449</v>
      </c>
      <c r="M45" s="299">
        <f t="shared" si="0"/>
        <v>175</v>
      </c>
      <c r="N45" s="299">
        <f t="shared" si="0"/>
        <v>8730</v>
      </c>
      <c r="O45" s="299">
        <f t="shared" si="0"/>
        <v>0</v>
      </c>
      <c r="P45" s="1633">
        <f t="shared" si="0"/>
        <v>54307</v>
      </c>
      <c r="Q45" s="1633">
        <f t="shared" si="0"/>
        <v>341</v>
      </c>
      <c r="R45" s="1633">
        <f t="shared" si="0"/>
        <v>179427</v>
      </c>
      <c r="S45" s="1633">
        <f t="shared" si="0"/>
        <v>206</v>
      </c>
      <c r="T45" s="299">
        <f t="shared" si="0"/>
        <v>9327754</v>
      </c>
      <c r="U45" s="299">
        <f t="shared" si="0"/>
        <v>708</v>
      </c>
      <c r="V45" s="299">
        <f>SUM(V32:V43)</f>
        <v>367747</v>
      </c>
      <c r="W45" s="299">
        <f t="shared" si="0"/>
        <v>370</v>
      </c>
    </row>
    <row r="46" spans="1:24" x14ac:dyDescent="0.2">
      <c r="A46" s="207"/>
      <c r="B46" s="208"/>
      <c r="C46" s="208"/>
      <c r="D46" s="208"/>
      <c r="E46" s="208"/>
      <c r="F46" s="208"/>
      <c r="G46" s="208"/>
      <c r="H46" s="208"/>
      <c r="I46" s="208"/>
      <c r="J46" s="208"/>
      <c r="K46" s="208"/>
      <c r="L46" s="208"/>
      <c r="M46" s="208"/>
      <c r="N46" s="208"/>
      <c r="O46" s="208"/>
      <c r="P46" s="208"/>
      <c r="Q46" s="208"/>
      <c r="R46" s="208"/>
      <c r="S46" s="208"/>
      <c r="T46" s="208"/>
      <c r="U46" s="208"/>
      <c r="V46" s="208"/>
      <c r="W46" s="209"/>
    </row>
    <row r="47" spans="1:24" x14ac:dyDescent="0.2">
      <c r="A47" s="382"/>
      <c r="B47" s="277"/>
      <c r="C47" s="277"/>
      <c r="D47" s="277"/>
      <c r="E47" s="277"/>
      <c r="F47" s="277"/>
      <c r="G47" s="277"/>
      <c r="H47" s="277"/>
      <c r="I47" s="277"/>
      <c r="J47" s="277"/>
      <c r="K47" s="277"/>
      <c r="L47" s="1634" t="s">
        <v>5595</v>
      </c>
      <c r="M47" s="1634"/>
      <c r="N47" s="1634"/>
      <c r="O47" s="1634"/>
      <c r="P47" s="1634"/>
      <c r="Q47" s="1634"/>
      <c r="R47" s="1634"/>
      <c r="S47" s="1634"/>
      <c r="T47" s="145">
        <v>9327761</v>
      </c>
      <c r="U47" s="145">
        <v>8</v>
      </c>
      <c r="V47" s="277"/>
      <c r="W47" s="278"/>
    </row>
    <row r="48" spans="1:24" ht="19" x14ac:dyDescent="0.25">
      <c r="A48" s="1635" t="s">
        <v>5102</v>
      </c>
      <c r="B48" s="1636"/>
      <c r="C48" s="1636"/>
      <c r="D48" s="1636"/>
      <c r="E48" s="1636"/>
      <c r="F48" s="1636"/>
      <c r="G48" s="1636"/>
      <c r="H48" s="1636"/>
      <c r="I48" s="1636"/>
      <c r="J48" s="1636"/>
      <c r="K48" s="1636"/>
      <c r="L48" s="1636"/>
      <c r="M48" s="1636"/>
      <c r="N48" s="1636"/>
      <c r="O48" s="1636"/>
      <c r="P48" s="1636"/>
      <c r="Q48" s="1636"/>
      <c r="R48" s="145"/>
      <c r="S48" s="145"/>
      <c r="T48" s="145"/>
      <c r="U48" s="145"/>
      <c r="V48" s="277"/>
      <c r="W48" s="278"/>
    </row>
    <row r="49" spans="1:23" x14ac:dyDescent="0.2">
      <c r="A49" s="374" t="s">
        <v>5596</v>
      </c>
      <c r="B49" s="375"/>
      <c r="C49" s="375"/>
      <c r="D49" s="375"/>
      <c r="E49" s="375"/>
      <c r="F49" s="375"/>
      <c r="G49" s="375"/>
      <c r="H49" s="375"/>
      <c r="I49" s="375"/>
      <c r="J49" s="375"/>
      <c r="K49" s="375"/>
      <c r="L49" s="375"/>
      <c r="M49" s="375"/>
      <c r="N49" s="375"/>
      <c r="O49" s="375"/>
      <c r="P49" s="375"/>
      <c r="Q49" s="375"/>
      <c r="R49" s="145">
        <v>212278</v>
      </c>
      <c r="S49" s="145">
        <v>94</v>
      </c>
      <c r="T49" s="145"/>
      <c r="U49" s="145"/>
      <c r="V49" s="277"/>
      <c r="W49" s="278"/>
    </row>
    <row r="50" spans="1:23" x14ac:dyDescent="0.2">
      <c r="A50" s="374" t="s">
        <v>5597</v>
      </c>
      <c r="B50" s="375"/>
      <c r="C50" s="375"/>
      <c r="D50" s="375"/>
      <c r="E50" s="375"/>
      <c r="F50" s="375"/>
      <c r="G50" s="375"/>
      <c r="H50" s="375"/>
      <c r="I50" s="375"/>
      <c r="J50" s="375"/>
      <c r="K50" s="375"/>
      <c r="L50" s="375"/>
      <c r="M50" s="375"/>
      <c r="N50" s="375"/>
      <c r="O50" s="375"/>
      <c r="P50" s="375"/>
      <c r="Q50" s="375"/>
      <c r="R50" s="145">
        <v>12375</v>
      </c>
      <c r="S50" s="145">
        <v>12</v>
      </c>
      <c r="T50" s="145"/>
      <c r="U50" s="145"/>
      <c r="V50" s="277"/>
      <c r="W50" s="278"/>
    </row>
    <row r="51" spans="1:23" x14ac:dyDescent="0.2">
      <c r="A51" s="374" t="s">
        <v>5598</v>
      </c>
      <c r="B51" s="375"/>
      <c r="C51" s="375"/>
      <c r="D51" s="375"/>
      <c r="E51" s="375"/>
      <c r="F51" s="375"/>
      <c r="G51" s="375"/>
      <c r="H51" s="375"/>
      <c r="I51" s="375"/>
      <c r="J51" s="375"/>
      <c r="K51" s="375"/>
      <c r="L51" s="375"/>
      <c r="M51" s="375"/>
      <c r="N51" s="375"/>
      <c r="O51" s="375"/>
      <c r="P51" s="375"/>
      <c r="Q51" s="375"/>
      <c r="R51" s="145">
        <v>1104</v>
      </c>
      <c r="S51" s="145">
        <v>90</v>
      </c>
      <c r="T51" s="145"/>
      <c r="U51" s="145"/>
      <c r="V51" s="277"/>
      <c r="W51" s="278"/>
    </row>
    <row r="52" spans="1:23" x14ac:dyDescent="0.2">
      <c r="A52" s="374" t="s">
        <v>5599</v>
      </c>
      <c r="B52" s="375"/>
      <c r="C52" s="375"/>
      <c r="D52" s="375"/>
      <c r="E52" s="375"/>
      <c r="F52" s="375"/>
      <c r="G52" s="375"/>
      <c r="H52" s="375"/>
      <c r="I52" s="375"/>
      <c r="J52" s="375"/>
      <c r="K52" s="375"/>
      <c r="L52" s="375"/>
      <c r="M52" s="375"/>
      <c r="N52" s="375"/>
      <c r="O52" s="375"/>
      <c r="P52" s="375"/>
      <c r="Q52" s="375"/>
      <c r="R52" s="145">
        <v>26438</v>
      </c>
      <c r="S52" s="145">
        <v>26</v>
      </c>
      <c r="T52" s="145"/>
      <c r="U52" s="145"/>
      <c r="V52" s="277"/>
      <c r="W52" s="278"/>
    </row>
    <row r="53" spans="1:23" ht="16" thickBot="1" x14ac:dyDescent="0.25">
      <c r="A53" s="374" t="s">
        <v>5600</v>
      </c>
      <c r="B53" s="375"/>
      <c r="C53" s="375"/>
      <c r="D53" s="375"/>
      <c r="E53" s="375"/>
      <c r="F53" s="375"/>
      <c r="G53" s="375"/>
      <c r="H53" s="375"/>
      <c r="I53" s="375"/>
      <c r="J53" s="375"/>
      <c r="K53" s="375"/>
      <c r="L53" s="375"/>
      <c r="M53" s="375"/>
      <c r="N53" s="375"/>
      <c r="O53" s="375"/>
      <c r="P53" s="375"/>
      <c r="Q53" s="375"/>
      <c r="R53" s="187">
        <v>3464</v>
      </c>
      <c r="S53" s="187">
        <v>54</v>
      </c>
      <c r="T53" s="187">
        <v>255661</v>
      </c>
      <c r="U53" s="187">
        <v>76</v>
      </c>
      <c r="V53" s="277"/>
      <c r="W53" s="278"/>
    </row>
    <row r="54" spans="1:23" x14ac:dyDescent="0.2">
      <c r="A54" s="151"/>
      <c r="B54" s="194"/>
      <c r="C54" s="194"/>
      <c r="D54" s="194"/>
      <c r="E54" s="194"/>
      <c r="F54" s="194"/>
      <c r="G54" s="194"/>
      <c r="H54" s="194"/>
      <c r="I54" s="194"/>
      <c r="J54" s="194"/>
      <c r="K54" s="194"/>
      <c r="L54" s="214" t="s">
        <v>5601</v>
      </c>
      <c r="M54" s="214"/>
      <c r="N54" s="214"/>
      <c r="O54" s="214"/>
      <c r="P54" s="214"/>
      <c r="Q54" s="214"/>
      <c r="R54" s="214"/>
      <c r="S54" s="214"/>
      <c r="T54" s="701">
        <v>9072099</v>
      </c>
      <c r="U54" s="701">
        <v>32</v>
      </c>
      <c r="V54" s="214"/>
      <c r="W54" s="215"/>
    </row>
    <row r="55" spans="1:23" x14ac:dyDescent="0.2">
      <c r="T55" s="321">
        <f>SUM(R49:R53)</f>
        <v>255659</v>
      </c>
      <c r="U55" s="321">
        <f>SUM(S49:S53)</f>
        <v>276</v>
      </c>
    </row>
    <row r="56" spans="1:23" x14ac:dyDescent="0.2">
      <c r="T56" s="321">
        <f>T47-T55</f>
        <v>9072102</v>
      </c>
      <c r="U56" s="321">
        <f>U47-U55</f>
        <v>-268</v>
      </c>
    </row>
    <row r="58" spans="1:23" x14ac:dyDescent="0.2">
      <c r="A58" s="113" t="s">
        <v>1226</v>
      </c>
    </row>
    <row r="59" spans="1:23" ht="51" customHeight="1" x14ac:dyDescent="0.2">
      <c r="A59" s="1637" t="s">
        <v>5602</v>
      </c>
      <c r="B59" s="1638"/>
      <c r="C59" s="1639"/>
    </row>
    <row r="60" spans="1:23" x14ac:dyDescent="0.2">
      <c r="A60" s="178" t="s">
        <v>1195</v>
      </c>
      <c r="B60" s="145">
        <v>119799</v>
      </c>
      <c r="C60" s="307">
        <v>92</v>
      </c>
    </row>
    <row r="61" spans="1:23" x14ac:dyDescent="0.2">
      <c r="A61" s="178" t="s">
        <v>5603</v>
      </c>
      <c r="B61" s="145">
        <v>287549</v>
      </c>
      <c r="C61" s="307">
        <v>22</v>
      </c>
    </row>
    <row r="62" spans="1:23" x14ac:dyDescent="0.2">
      <c r="A62" s="178" t="s">
        <v>5604</v>
      </c>
      <c r="B62" s="145">
        <v>6049</v>
      </c>
      <c r="C62" s="307">
        <v>71</v>
      </c>
    </row>
    <row r="63" spans="1:23" x14ac:dyDescent="0.2">
      <c r="A63" s="178" t="s">
        <v>4352</v>
      </c>
      <c r="B63" s="145">
        <v>13420</v>
      </c>
      <c r="C63" s="307">
        <v>7</v>
      </c>
    </row>
    <row r="64" spans="1:23" ht="16" thickBot="1" x14ac:dyDescent="0.25">
      <c r="A64" s="178" t="s">
        <v>2763</v>
      </c>
      <c r="B64" s="187">
        <v>9595</v>
      </c>
      <c r="C64" s="444">
        <v>62</v>
      </c>
    </row>
    <row r="65" spans="1:3" x14ac:dyDescent="0.2">
      <c r="A65" s="178" t="s">
        <v>5605</v>
      </c>
      <c r="B65" s="145">
        <v>436414</v>
      </c>
      <c r="C65" s="307">
        <v>54</v>
      </c>
    </row>
    <row r="66" spans="1:3" x14ac:dyDescent="0.2">
      <c r="A66" s="178"/>
      <c r="B66" s="138">
        <f>SUM(B60:B64)</f>
        <v>436412</v>
      </c>
      <c r="C66" s="138">
        <f>SUM(C60:C64)</f>
        <v>254</v>
      </c>
    </row>
    <row r="67" spans="1:3" ht="31" thickBot="1" x14ac:dyDescent="0.25">
      <c r="A67" s="178" t="s">
        <v>5606</v>
      </c>
      <c r="B67" s="187">
        <v>6049</v>
      </c>
      <c r="C67" s="444">
        <v>71</v>
      </c>
    </row>
    <row r="68" spans="1:3" x14ac:dyDescent="0.2">
      <c r="A68" s="320" t="s">
        <v>5607</v>
      </c>
      <c r="B68" s="701">
        <v>430364</v>
      </c>
      <c r="C68" s="702">
        <v>83</v>
      </c>
    </row>
    <row r="69" spans="1:3" x14ac:dyDescent="0.2">
      <c r="B69" s="321">
        <f>B66-B67</f>
        <v>430363</v>
      </c>
      <c r="C69" s="321">
        <f>C66-C67</f>
        <v>183</v>
      </c>
    </row>
    <row r="152" spans="2:232" x14ac:dyDescent="0.2">
      <c r="B152" s="143"/>
      <c r="C152" s="143"/>
      <c r="D152" s="143"/>
      <c r="E152" s="143"/>
      <c r="F152" s="143"/>
      <c r="G152" s="143"/>
      <c r="H152" s="143"/>
      <c r="I152" s="143"/>
      <c r="J152" s="143"/>
      <c r="K152" s="143"/>
      <c r="L152" s="143"/>
      <c r="M152" s="143"/>
      <c r="N152" s="143"/>
      <c r="O152" s="143"/>
      <c r="P152" s="143"/>
      <c r="Q152" s="143"/>
      <c r="R152" s="143"/>
      <c r="S152" s="143"/>
      <c r="T152" s="143"/>
      <c r="U152" s="143"/>
      <c r="V152" s="143"/>
      <c r="W152" s="143"/>
      <c r="X152" s="143"/>
      <c r="Y152" s="143"/>
      <c r="Z152" s="143"/>
      <c r="AA152" s="143"/>
      <c r="AB152" s="143"/>
      <c r="AC152" s="143"/>
      <c r="AD152" s="143"/>
      <c r="AE152" s="143"/>
      <c r="AF152" s="143"/>
      <c r="AG152" s="143"/>
      <c r="AH152" s="143"/>
      <c r="AI152" s="143"/>
      <c r="AJ152" s="143"/>
      <c r="AK152" s="143"/>
      <c r="AL152" s="143"/>
      <c r="AM152" s="143"/>
      <c r="AN152" s="143"/>
      <c r="AO152" s="143"/>
      <c r="AP152" s="143"/>
      <c r="AQ152" s="143"/>
      <c r="AR152" s="143"/>
      <c r="AS152" s="143"/>
      <c r="AT152" s="143"/>
      <c r="AU152" s="143"/>
      <c r="AV152" s="143"/>
      <c r="AW152" s="143"/>
      <c r="AX152" s="143"/>
      <c r="AY152" s="143"/>
      <c r="AZ152" s="143"/>
      <c r="BA152" s="143"/>
      <c r="BB152" s="143"/>
      <c r="BC152" s="143"/>
      <c r="BD152" s="143"/>
      <c r="BE152" s="143"/>
      <c r="BF152" s="143"/>
      <c r="BG152" s="143"/>
      <c r="BH152" s="143"/>
      <c r="BI152" s="143"/>
      <c r="BJ152" s="143"/>
      <c r="BK152" s="143"/>
      <c r="BL152" s="143"/>
      <c r="BM152" s="143"/>
      <c r="BN152" s="143"/>
      <c r="BO152" s="143"/>
      <c r="BP152" s="143"/>
      <c r="BQ152" s="143"/>
      <c r="BR152" s="143"/>
      <c r="BS152" s="143"/>
      <c r="BT152" s="143"/>
      <c r="BU152" s="143"/>
      <c r="BV152" s="143"/>
      <c r="BW152" s="143"/>
      <c r="BX152" s="143"/>
      <c r="BY152" s="143"/>
      <c r="BZ152" s="143"/>
      <c r="CA152" s="143"/>
      <c r="CB152" s="143"/>
      <c r="CC152" s="143"/>
      <c r="CD152" s="143"/>
      <c r="CE152" s="143"/>
      <c r="CF152" s="143"/>
      <c r="CG152" s="143"/>
      <c r="CH152" s="143"/>
      <c r="CI152" s="143"/>
      <c r="CJ152" s="143"/>
      <c r="CK152" s="143"/>
      <c r="CL152" s="143"/>
      <c r="CM152" s="143"/>
      <c r="CN152" s="143"/>
      <c r="CO152" s="143"/>
      <c r="CP152" s="143"/>
      <c r="CQ152" s="143"/>
      <c r="CR152" s="143"/>
      <c r="CS152" s="143"/>
      <c r="CT152" s="143"/>
      <c r="CU152" s="143"/>
      <c r="CV152" s="143"/>
      <c r="CW152" s="143"/>
      <c r="CX152" s="143"/>
      <c r="CY152" s="143"/>
      <c r="CZ152" s="143"/>
      <c r="DA152" s="143"/>
      <c r="DB152" s="143"/>
      <c r="DC152" s="143"/>
      <c r="DD152" s="143"/>
      <c r="DE152" s="143"/>
      <c r="DF152" s="143"/>
      <c r="DG152" s="143"/>
      <c r="DH152" s="143"/>
      <c r="DI152" s="143"/>
      <c r="DJ152" s="143"/>
      <c r="DK152" s="143"/>
      <c r="DL152" s="143"/>
      <c r="DM152" s="143"/>
      <c r="DN152" s="143"/>
      <c r="DO152" s="143"/>
      <c r="DP152" s="143"/>
      <c r="DQ152" s="143"/>
      <c r="DR152" s="143"/>
      <c r="DS152" s="143"/>
      <c r="DT152" s="143"/>
      <c r="DU152" s="143"/>
      <c r="DV152" s="143"/>
      <c r="DW152" s="143"/>
      <c r="DX152" s="143"/>
      <c r="DY152" s="143"/>
      <c r="DZ152" s="143"/>
      <c r="EA152" s="143"/>
      <c r="EB152" s="143"/>
      <c r="EC152" s="143"/>
      <c r="ED152" s="143"/>
      <c r="EE152" s="143"/>
      <c r="EF152" s="143"/>
      <c r="EG152" s="143"/>
      <c r="EH152" s="143"/>
      <c r="EI152" s="143"/>
      <c r="EJ152" s="143"/>
      <c r="EK152" s="143"/>
      <c r="EL152" s="143"/>
      <c r="EM152" s="143"/>
      <c r="EN152" s="143"/>
      <c r="EO152" s="143"/>
      <c r="EP152" s="143"/>
      <c r="EQ152" s="143"/>
      <c r="ER152" s="143"/>
      <c r="ES152" s="143"/>
      <c r="ET152" s="143"/>
      <c r="EU152" s="143"/>
      <c r="EV152" s="143"/>
      <c r="EW152" s="143"/>
      <c r="EX152" s="143"/>
      <c r="EY152" s="143"/>
      <c r="EZ152" s="143"/>
      <c r="FA152" s="143"/>
      <c r="FB152" s="143"/>
      <c r="FC152" s="143"/>
      <c r="FD152" s="143"/>
      <c r="FE152" s="143"/>
      <c r="FF152" s="143"/>
      <c r="FG152" s="143"/>
      <c r="FH152" s="143"/>
      <c r="FI152" s="143"/>
      <c r="FJ152" s="143"/>
      <c r="FK152" s="143"/>
      <c r="FL152" s="143"/>
      <c r="FM152" s="143"/>
      <c r="FN152" s="143"/>
      <c r="FO152" s="143"/>
      <c r="FP152" s="143"/>
      <c r="FQ152" s="143"/>
      <c r="FR152" s="143"/>
      <c r="FS152" s="143"/>
      <c r="FT152" s="143"/>
      <c r="FU152" s="143"/>
      <c r="FV152" s="143"/>
      <c r="FW152" s="143"/>
      <c r="FX152" s="143"/>
      <c r="FY152" s="143"/>
      <c r="FZ152" s="143"/>
      <c r="GA152" s="143"/>
      <c r="GB152" s="143"/>
      <c r="GC152" s="143"/>
      <c r="GD152" s="143"/>
      <c r="GE152" s="143"/>
      <c r="GF152" s="143"/>
      <c r="GG152" s="143"/>
      <c r="GH152" s="143"/>
      <c r="GI152" s="143"/>
      <c r="GJ152" s="143"/>
      <c r="GK152" s="143"/>
      <c r="GL152" s="143"/>
      <c r="GM152" s="143"/>
      <c r="GN152" s="143"/>
      <c r="GO152" s="143"/>
      <c r="GP152" s="143"/>
      <c r="GQ152" s="143"/>
      <c r="GR152" s="143"/>
      <c r="GS152" s="143"/>
      <c r="GT152" s="143"/>
      <c r="GU152" s="143"/>
      <c r="GV152" s="143"/>
      <c r="GW152" s="143"/>
      <c r="GX152" s="143"/>
      <c r="GY152" s="143"/>
      <c r="GZ152" s="143"/>
      <c r="HA152" s="143"/>
      <c r="HB152" s="143"/>
      <c r="HC152" s="143"/>
      <c r="HD152" s="143"/>
      <c r="HE152" s="143"/>
      <c r="HF152" s="143"/>
      <c r="HG152" s="143"/>
      <c r="HH152" s="143"/>
      <c r="HI152" s="143"/>
      <c r="HJ152" s="143"/>
      <c r="HK152" s="143"/>
      <c r="HL152" s="143"/>
      <c r="HM152" s="143"/>
      <c r="HN152" s="143"/>
      <c r="HO152" s="143"/>
      <c r="HP152" s="143"/>
      <c r="HQ152" s="143"/>
      <c r="HR152" s="143"/>
      <c r="HS152" s="143"/>
      <c r="HT152" s="143"/>
      <c r="HU152" s="143"/>
      <c r="HV152" s="143"/>
      <c r="HW152" s="143"/>
      <c r="HX152" s="143"/>
    </row>
    <row r="153" spans="2:232" x14ac:dyDescent="0.2">
      <c r="B153" s="143"/>
      <c r="C153" s="143"/>
      <c r="D153" s="143"/>
      <c r="E153" s="143"/>
      <c r="F153" s="143"/>
      <c r="G153" s="143"/>
      <c r="H153" s="143"/>
      <c r="I153" s="143"/>
      <c r="J153" s="143"/>
      <c r="K153" s="143"/>
      <c r="L153" s="143"/>
      <c r="M153" s="143"/>
      <c r="N153" s="143"/>
      <c r="O153" s="143"/>
      <c r="P153" s="143"/>
      <c r="Q153" s="143"/>
      <c r="R153" s="143"/>
      <c r="S153" s="143"/>
      <c r="T153" s="143"/>
      <c r="U153" s="143"/>
      <c r="V153" s="143"/>
      <c r="W153" s="143"/>
      <c r="X153" s="143"/>
      <c r="Y153" s="143"/>
      <c r="Z153" s="143"/>
      <c r="AA153" s="143"/>
      <c r="AB153" s="143"/>
      <c r="AC153" s="143"/>
      <c r="AD153" s="143"/>
      <c r="AE153" s="143"/>
      <c r="AF153" s="143"/>
      <c r="AG153" s="143"/>
      <c r="AH153" s="143"/>
      <c r="AI153" s="143"/>
      <c r="AJ153" s="143"/>
      <c r="AK153" s="143"/>
      <c r="AL153" s="143"/>
      <c r="AM153" s="143"/>
      <c r="AN153" s="143"/>
      <c r="AO153" s="143"/>
      <c r="AP153" s="143"/>
      <c r="AQ153" s="143"/>
      <c r="AR153" s="143"/>
      <c r="AS153" s="143"/>
      <c r="AT153" s="143"/>
      <c r="AU153" s="143"/>
      <c r="AV153" s="143"/>
      <c r="AW153" s="143"/>
      <c r="AX153" s="143"/>
      <c r="AY153" s="143"/>
      <c r="AZ153" s="143"/>
      <c r="BA153" s="143"/>
      <c r="BB153" s="143"/>
      <c r="BC153" s="143"/>
      <c r="BD153" s="143"/>
      <c r="BE153" s="143"/>
      <c r="BF153" s="143"/>
      <c r="BG153" s="143"/>
      <c r="BH153" s="143"/>
      <c r="BI153" s="143"/>
      <c r="BJ153" s="143"/>
      <c r="BK153" s="143"/>
      <c r="BL153" s="143"/>
      <c r="BM153" s="143"/>
      <c r="BN153" s="143"/>
      <c r="BO153" s="143"/>
      <c r="BP153" s="143"/>
      <c r="BQ153" s="143"/>
      <c r="BR153" s="143"/>
      <c r="BS153" s="143"/>
      <c r="BT153" s="143"/>
      <c r="BU153" s="143"/>
      <c r="BV153" s="143"/>
      <c r="BW153" s="143"/>
      <c r="BX153" s="143"/>
      <c r="BY153" s="143"/>
      <c r="BZ153" s="143"/>
      <c r="CA153" s="143"/>
      <c r="CB153" s="143"/>
      <c r="CC153" s="143"/>
      <c r="CD153" s="143"/>
      <c r="CE153" s="143"/>
      <c r="CF153" s="143"/>
      <c r="CG153" s="143"/>
      <c r="CH153" s="143"/>
      <c r="CI153" s="143"/>
      <c r="CJ153" s="143"/>
      <c r="CK153" s="143"/>
      <c r="CL153" s="143"/>
      <c r="CM153" s="143"/>
      <c r="CN153" s="143"/>
      <c r="CO153" s="143"/>
      <c r="CP153" s="143"/>
      <c r="CQ153" s="143"/>
      <c r="CR153" s="143"/>
      <c r="CS153" s="143"/>
      <c r="CT153" s="143"/>
      <c r="CU153" s="143"/>
      <c r="CV153" s="143"/>
      <c r="CW153" s="143"/>
      <c r="CX153" s="143"/>
      <c r="CY153" s="143"/>
      <c r="CZ153" s="143"/>
      <c r="DA153" s="143"/>
      <c r="DB153" s="143"/>
      <c r="DC153" s="143"/>
      <c r="DD153" s="143"/>
      <c r="DE153" s="143"/>
      <c r="DF153" s="143"/>
      <c r="DG153" s="143"/>
      <c r="DH153" s="143"/>
      <c r="DI153" s="143"/>
      <c r="DJ153" s="143"/>
      <c r="DK153" s="143"/>
      <c r="DL153" s="143"/>
      <c r="DM153" s="143"/>
      <c r="DN153" s="143"/>
      <c r="DO153" s="143"/>
      <c r="DP153" s="143"/>
      <c r="DQ153" s="143"/>
      <c r="DR153" s="143"/>
      <c r="DS153" s="143"/>
      <c r="DT153" s="143"/>
      <c r="DU153" s="143"/>
      <c r="DV153" s="143"/>
      <c r="DW153" s="143"/>
      <c r="DX153" s="143"/>
      <c r="DY153" s="143"/>
      <c r="DZ153" s="143"/>
      <c r="EA153" s="143"/>
      <c r="EB153" s="143"/>
      <c r="EC153" s="143"/>
      <c r="ED153" s="143"/>
      <c r="EE153" s="143"/>
      <c r="EF153" s="143"/>
      <c r="EG153" s="143"/>
      <c r="EH153" s="143"/>
      <c r="EI153" s="143"/>
      <c r="EJ153" s="143"/>
      <c r="EK153" s="143"/>
      <c r="EL153" s="143"/>
      <c r="EM153" s="143"/>
      <c r="EN153" s="143"/>
      <c r="EO153" s="143"/>
      <c r="EP153" s="143"/>
      <c r="EQ153" s="143"/>
      <c r="ER153" s="143"/>
      <c r="ES153" s="143"/>
      <c r="ET153" s="143"/>
      <c r="EU153" s="143"/>
      <c r="EV153" s="143"/>
      <c r="EW153" s="143"/>
      <c r="EX153" s="143"/>
      <c r="EY153" s="143"/>
      <c r="EZ153" s="143"/>
      <c r="FA153" s="143"/>
      <c r="FB153" s="143"/>
      <c r="FC153" s="143"/>
      <c r="FD153" s="143"/>
      <c r="FE153" s="143"/>
      <c r="FF153" s="143"/>
      <c r="FG153" s="143"/>
      <c r="FH153" s="143"/>
      <c r="FI153" s="143"/>
      <c r="FJ153" s="143"/>
      <c r="FK153" s="143"/>
      <c r="FL153" s="143"/>
      <c r="FM153" s="143"/>
      <c r="FN153" s="143"/>
      <c r="FO153" s="143"/>
      <c r="FP153" s="143"/>
      <c r="FQ153" s="143"/>
      <c r="FR153" s="143"/>
      <c r="FS153" s="143"/>
      <c r="FT153" s="143"/>
      <c r="FU153" s="143"/>
      <c r="FV153" s="143"/>
      <c r="FW153" s="143"/>
      <c r="FX153" s="143"/>
      <c r="FY153" s="143"/>
      <c r="FZ153" s="143"/>
      <c r="GA153" s="143"/>
      <c r="GB153" s="143"/>
      <c r="GC153" s="143"/>
      <c r="GD153" s="143"/>
      <c r="GE153" s="143"/>
      <c r="GF153" s="143"/>
      <c r="GG153" s="143"/>
      <c r="GH153" s="143"/>
      <c r="GI153" s="143"/>
      <c r="GJ153" s="143"/>
      <c r="GK153" s="143"/>
      <c r="GL153" s="143"/>
      <c r="GM153" s="143"/>
      <c r="GN153" s="143"/>
      <c r="GO153" s="143"/>
      <c r="GP153" s="143"/>
      <c r="GQ153" s="143"/>
      <c r="GR153" s="143"/>
      <c r="GS153" s="143"/>
      <c r="GT153" s="143"/>
      <c r="GU153" s="143"/>
      <c r="GV153" s="143"/>
      <c r="GW153" s="143"/>
      <c r="GX153" s="143"/>
      <c r="GY153" s="143"/>
      <c r="GZ153" s="143"/>
      <c r="HA153" s="143"/>
      <c r="HB153" s="143"/>
      <c r="HC153" s="143"/>
      <c r="HD153" s="143"/>
      <c r="HE153" s="143"/>
      <c r="HF153" s="143"/>
      <c r="HG153" s="143"/>
      <c r="HH153" s="143"/>
      <c r="HI153" s="143"/>
      <c r="HJ153" s="143"/>
      <c r="HK153" s="143"/>
      <c r="HL153" s="143"/>
      <c r="HM153" s="143"/>
      <c r="HN153" s="143"/>
      <c r="HO153" s="143"/>
      <c r="HP153" s="143"/>
      <c r="HQ153" s="143"/>
      <c r="HR153" s="143"/>
      <c r="HS153" s="143"/>
      <c r="HT153" s="143"/>
      <c r="HU153" s="143"/>
      <c r="HV153" s="143"/>
      <c r="HW153" s="143"/>
      <c r="HX153" s="143"/>
    </row>
    <row r="155" spans="2:232" x14ac:dyDescent="0.2">
      <c r="B155" s="143"/>
      <c r="C155" s="143"/>
      <c r="D155" s="143"/>
      <c r="E155" s="143"/>
      <c r="F155" s="143"/>
      <c r="G155" s="143"/>
      <c r="H155" s="143"/>
      <c r="I155" s="143"/>
      <c r="J155" s="143"/>
      <c r="K155" s="143"/>
      <c r="L155" s="143"/>
      <c r="M155" s="143"/>
      <c r="N155" s="143"/>
      <c r="O155" s="143"/>
      <c r="P155" s="143"/>
      <c r="Q155" s="143"/>
      <c r="R155" s="143"/>
      <c r="S155" s="143"/>
      <c r="T155" s="143"/>
      <c r="U155" s="143"/>
      <c r="V155" s="143"/>
      <c r="W155" s="143"/>
      <c r="X155" s="143"/>
      <c r="Y155" s="143"/>
      <c r="Z155" s="143"/>
      <c r="AA155" s="143"/>
      <c r="AB155" s="143"/>
      <c r="AC155" s="143"/>
      <c r="AD155" s="143"/>
      <c r="AE155" s="143"/>
      <c r="AF155" s="143"/>
      <c r="AG155" s="143"/>
      <c r="AH155" s="143"/>
      <c r="AI155" s="143"/>
      <c r="AJ155" s="143"/>
      <c r="AK155" s="143"/>
      <c r="AL155" s="143"/>
      <c r="AM155" s="143"/>
      <c r="AN155" s="143"/>
      <c r="AO155" s="143"/>
      <c r="AP155" s="143"/>
      <c r="AQ155" s="143"/>
      <c r="AR155" s="143"/>
      <c r="AS155" s="143"/>
      <c r="AT155" s="143"/>
      <c r="AU155" s="143"/>
      <c r="AV155" s="143"/>
      <c r="AW155" s="143"/>
      <c r="AX155" s="143"/>
      <c r="AY155" s="143"/>
      <c r="AZ155" s="143"/>
      <c r="BA155" s="143"/>
      <c r="BB155" s="143"/>
      <c r="BC155" s="143"/>
      <c r="BD155" s="143"/>
      <c r="BE155" s="143"/>
      <c r="BF155" s="143"/>
      <c r="BG155" s="143"/>
      <c r="BH155" s="143"/>
      <c r="BI155" s="143"/>
      <c r="BJ155" s="143"/>
      <c r="BK155" s="143"/>
      <c r="BL155" s="143"/>
      <c r="BM155" s="143"/>
      <c r="BN155" s="143"/>
      <c r="BO155" s="143"/>
      <c r="BP155" s="143"/>
      <c r="BQ155" s="143"/>
      <c r="BR155" s="143"/>
      <c r="BS155" s="143"/>
      <c r="BT155" s="143"/>
      <c r="BU155" s="143"/>
      <c r="BV155" s="143"/>
      <c r="BW155" s="143"/>
      <c r="BX155" s="143"/>
      <c r="BY155" s="143"/>
      <c r="BZ155" s="143"/>
      <c r="CA155" s="143"/>
      <c r="CB155" s="143"/>
      <c r="CC155" s="143"/>
      <c r="CD155" s="143"/>
      <c r="CE155" s="143"/>
      <c r="CF155" s="143"/>
      <c r="CG155" s="143"/>
      <c r="CH155" s="143"/>
      <c r="CI155" s="143"/>
      <c r="CJ155" s="143"/>
      <c r="CK155" s="143"/>
      <c r="CL155" s="143"/>
      <c r="CM155" s="143"/>
      <c r="CN155" s="143"/>
      <c r="CO155" s="143"/>
      <c r="CP155" s="143"/>
      <c r="CQ155" s="143"/>
      <c r="CR155" s="143"/>
      <c r="CS155" s="143"/>
      <c r="CT155" s="143"/>
      <c r="CU155" s="143"/>
      <c r="CV155" s="143"/>
      <c r="CW155" s="143"/>
      <c r="CX155" s="143"/>
      <c r="CY155" s="143"/>
      <c r="CZ155" s="143"/>
      <c r="DA155" s="143"/>
      <c r="DB155" s="143"/>
      <c r="DC155" s="143"/>
      <c r="DD155" s="143"/>
      <c r="DE155" s="143"/>
      <c r="DF155" s="143"/>
      <c r="DG155" s="143"/>
      <c r="DH155" s="143"/>
      <c r="DI155" s="143"/>
      <c r="DJ155" s="143"/>
      <c r="DK155" s="143"/>
      <c r="DL155" s="143"/>
      <c r="DM155" s="143"/>
      <c r="DN155" s="143"/>
      <c r="DO155" s="143"/>
      <c r="DP155" s="143"/>
      <c r="DQ155" s="143"/>
      <c r="DR155" s="143"/>
      <c r="DS155" s="143"/>
      <c r="DT155" s="143"/>
      <c r="DU155" s="143"/>
      <c r="DV155" s="143"/>
      <c r="DW155" s="143"/>
      <c r="DX155" s="143"/>
      <c r="DY155" s="143"/>
      <c r="DZ155" s="143"/>
      <c r="EA155" s="143"/>
      <c r="EB155" s="143"/>
      <c r="EC155" s="143"/>
      <c r="ED155" s="143"/>
      <c r="EE155" s="143"/>
      <c r="EF155" s="143"/>
      <c r="EG155" s="143"/>
      <c r="EH155" s="143"/>
      <c r="EI155" s="143"/>
      <c r="EJ155" s="143"/>
      <c r="EK155" s="143"/>
      <c r="EL155" s="143"/>
      <c r="EM155" s="143"/>
      <c r="EN155" s="143"/>
      <c r="EO155" s="143"/>
      <c r="EP155" s="143"/>
      <c r="EQ155" s="143"/>
      <c r="ER155" s="143"/>
      <c r="ES155" s="143"/>
      <c r="ET155" s="143"/>
      <c r="EU155" s="143"/>
      <c r="EV155" s="143"/>
      <c r="EW155" s="143"/>
      <c r="EX155" s="143"/>
      <c r="EY155" s="143"/>
      <c r="EZ155" s="143"/>
      <c r="FA155" s="143"/>
      <c r="FB155" s="143"/>
      <c r="FC155" s="143"/>
      <c r="FD155" s="143"/>
      <c r="FE155" s="143"/>
      <c r="FF155" s="143"/>
      <c r="FG155" s="143"/>
      <c r="FH155" s="143"/>
      <c r="FI155" s="143"/>
      <c r="FJ155" s="143"/>
      <c r="FK155" s="143"/>
      <c r="FL155" s="143"/>
      <c r="FM155" s="143"/>
      <c r="FN155" s="143"/>
      <c r="FO155" s="143"/>
      <c r="FP155" s="143"/>
      <c r="FQ155" s="143"/>
      <c r="FR155" s="143"/>
      <c r="FS155" s="143"/>
      <c r="FT155" s="143"/>
      <c r="FU155" s="143"/>
      <c r="FV155" s="143"/>
      <c r="FW155" s="143"/>
      <c r="FX155" s="143"/>
      <c r="FY155" s="143"/>
      <c r="FZ155" s="143"/>
      <c r="GA155" s="143"/>
      <c r="GB155" s="143"/>
      <c r="GC155" s="143"/>
      <c r="GD155" s="143"/>
      <c r="GE155" s="143"/>
      <c r="GF155" s="143"/>
      <c r="GG155" s="143"/>
      <c r="GH155" s="143"/>
      <c r="GI155" s="143"/>
      <c r="GJ155" s="143"/>
      <c r="GK155" s="143"/>
      <c r="GL155" s="143"/>
      <c r="GM155" s="143"/>
      <c r="GN155" s="143"/>
      <c r="GO155" s="143"/>
      <c r="GP155" s="143"/>
      <c r="GQ155" s="143"/>
      <c r="GR155" s="143"/>
      <c r="GS155" s="143"/>
      <c r="GT155" s="143"/>
      <c r="GU155" s="143"/>
      <c r="GV155" s="143"/>
      <c r="GW155" s="143"/>
      <c r="GX155" s="143"/>
      <c r="GY155" s="143"/>
      <c r="GZ155" s="143"/>
      <c r="HA155" s="143"/>
      <c r="HB155" s="143"/>
      <c r="HC155" s="143"/>
      <c r="HD155" s="143"/>
      <c r="HE155" s="143"/>
      <c r="HF155" s="143"/>
      <c r="HG155" s="143"/>
      <c r="HH155" s="143"/>
      <c r="HI155" s="143"/>
      <c r="HJ155" s="143"/>
      <c r="HK155" s="143"/>
      <c r="HL155" s="143"/>
      <c r="HM155" s="143"/>
      <c r="HN155" s="143"/>
      <c r="HO155" s="143"/>
      <c r="HP155" s="143"/>
      <c r="HQ155" s="143"/>
      <c r="HR155" s="143"/>
      <c r="HS155" s="143"/>
      <c r="HT155" s="143"/>
      <c r="HU155" s="143"/>
      <c r="HV155" s="143"/>
      <c r="HW155" s="143"/>
      <c r="HX155" s="143"/>
    </row>
    <row r="157" spans="2:232" x14ac:dyDescent="0.2">
      <c r="B157" s="143"/>
      <c r="C157" s="143"/>
      <c r="D157" s="143"/>
      <c r="E157" s="143"/>
      <c r="F157" s="143"/>
      <c r="G157" s="143"/>
      <c r="H157" s="143"/>
      <c r="I157" s="143"/>
      <c r="J157" s="143"/>
      <c r="K157" s="143"/>
      <c r="L157" s="143"/>
      <c r="M157" s="143"/>
      <c r="N157" s="143"/>
      <c r="O157" s="143"/>
      <c r="P157" s="143"/>
      <c r="Q157" s="143"/>
      <c r="R157" s="143"/>
      <c r="S157" s="143"/>
      <c r="T157" s="143"/>
      <c r="U157" s="143"/>
      <c r="V157" s="143"/>
      <c r="W157" s="143"/>
      <c r="X157" s="143"/>
      <c r="Y157" s="143"/>
      <c r="Z157" s="143"/>
      <c r="AA157" s="143"/>
      <c r="AB157" s="143"/>
      <c r="AC157" s="143"/>
      <c r="AD157" s="143"/>
      <c r="AE157" s="143"/>
      <c r="AF157" s="143"/>
      <c r="AG157" s="143"/>
      <c r="AH157" s="143"/>
      <c r="AI157" s="143"/>
      <c r="AJ157" s="143"/>
      <c r="AK157" s="143"/>
      <c r="AL157" s="143"/>
      <c r="AM157" s="143"/>
      <c r="AN157" s="143"/>
      <c r="AO157" s="143"/>
      <c r="AP157" s="143"/>
      <c r="AQ157" s="143"/>
      <c r="AR157" s="143"/>
      <c r="AS157" s="143"/>
      <c r="AT157" s="143"/>
      <c r="AU157" s="143"/>
      <c r="AV157" s="143"/>
      <c r="AW157" s="143"/>
      <c r="AX157" s="143"/>
      <c r="AY157" s="143"/>
      <c r="AZ157" s="143"/>
      <c r="BA157" s="143"/>
      <c r="BB157" s="143"/>
      <c r="BC157" s="143"/>
      <c r="BD157" s="143"/>
      <c r="BE157" s="143"/>
      <c r="BF157" s="143"/>
      <c r="BG157" s="143"/>
      <c r="BH157" s="143"/>
      <c r="BI157" s="143"/>
      <c r="BJ157" s="143"/>
      <c r="BK157" s="143"/>
      <c r="BL157" s="143"/>
      <c r="BM157" s="143"/>
      <c r="BN157" s="143"/>
      <c r="BO157" s="143"/>
      <c r="BP157" s="143"/>
      <c r="BQ157" s="143"/>
      <c r="BR157" s="143"/>
      <c r="BS157" s="143"/>
      <c r="BT157" s="143"/>
      <c r="BU157" s="143"/>
      <c r="BV157" s="143"/>
      <c r="BW157" s="143"/>
      <c r="BX157" s="143"/>
      <c r="BY157" s="143"/>
      <c r="BZ157" s="143"/>
      <c r="CA157" s="143"/>
      <c r="CB157" s="143"/>
      <c r="CC157" s="143"/>
      <c r="CD157" s="143"/>
      <c r="CE157" s="143"/>
      <c r="CF157" s="143"/>
      <c r="CG157" s="143"/>
      <c r="CH157" s="143"/>
      <c r="CI157" s="143"/>
      <c r="CJ157" s="143"/>
      <c r="CK157" s="143"/>
      <c r="CL157" s="143"/>
      <c r="CM157" s="143"/>
      <c r="CN157" s="143"/>
      <c r="CO157" s="143"/>
      <c r="CP157" s="143"/>
      <c r="CQ157" s="143"/>
      <c r="CR157" s="143"/>
      <c r="CS157" s="143"/>
      <c r="CT157" s="143"/>
      <c r="CU157" s="143"/>
      <c r="CV157" s="143"/>
      <c r="CW157" s="143"/>
      <c r="CX157" s="143"/>
      <c r="CY157" s="143"/>
      <c r="CZ157" s="143"/>
      <c r="DA157" s="143"/>
      <c r="DB157" s="143"/>
      <c r="DC157" s="143"/>
      <c r="DD157" s="143"/>
      <c r="DE157" s="143"/>
      <c r="DF157" s="143"/>
      <c r="DG157" s="143"/>
      <c r="DH157" s="143"/>
      <c r="DI157" s="143"/>
      <c r="DJ157" s="143"/>
      <c r="DK157" s="143"/>
      <c r="DL157" s="143"/>
      <c r="DM157" s="143"/>
      <c r="DN157" s="143"/>
      <c r="DO157" s="143"/>
      <c r="DP157" s="143"/>
      <c r="DQ157" s="143"/>
      <c r="DR157" s="143"/>
      <c r="DS157" s="143"/>
      <c r="DT157" s="143"/>
      <c r="DU157" s="143"/>
      <c r="DV157" s="143"/>
      <c r="DW157" s="143"/>
      <c r="DX157" s="143"/>
      <c r="DY157" s="143"/>
      <c r="DZ157" s="143"/>
      <c r="EA157" s="143"/>
      <c r="EB157" s="143"/>
      <c r="EC157" s="143"/>
      <c r="ED157" s="143"/>
      <c r="EE157" s="143"/>
      <c r="EF157" s="143"/>
      <c r="EG157" s="143"/>
      <c r="EH157" s="143"/>
      <c r="EI157" s="143"/>
      <c r="EJ157" s="143"/>
      <c r="EK157" s="143"/>
      <c r="EL157" s="143"/>
      <c r="EM157" s="143"/>
      <c r="EN157" s="143"/>
      <c r="EO157" s="143"/>
      <c r="EP157" s="143"/>
      <c r="EQ157" s="143"/>
      <c r="ER157" s="143"/>
      <c r="ES157" s="143"/>
      <c r="ET157" s="143"/>
      <c r="EU157" s="143"/>
      <c r="EV157" s="143"/>
      <c r="EW157" s="143"/>
      <c r="EX157" s="143"/>
      <c r="EY157" s="143"/>
      <c r="EZ157" s="143"/>
      <c r="FA157" s="143"/>
      <c r="FB157" s="143"/>
      <c r="FC157" s="143"/>
      <c r="FD157" s="143"/>
      <c r="FE157" s="143"/>
      <c r="FF157" s="143"/>
      <c r="FG157" s="143"/>
      <c r="FH157" s="143"/>
      <c r="FI157" s="143"/>
      <c r="FJ157" s="143"/>
      <c r="FK157" s="143"/>
      <c r="FL157" s="143"/>
      <c r="FM157" s="143"/>
      <c r="FN157" s="143"/>
      <c r="FO157" s="143"/>
      <c r="FP157" s="143"/>
      <c r="FQ157" s="143"/>
      <c r="FR157" s="143"/>
      <c r="FS157" s="143"/>
      <c r="FT157" s="143"/>
      <c r="FU157" s="143"/>
      <c r="FV157" s="143"/>
      <c r="FW157" s="143"/>
      <c r="FX157" s="143"/>
      <c r="FY157" s="143"/>
      <c r="FZ157" s="143"/>
      <c r="GA157" s="143"/>
      <c r="GB157" s="143"/>
      <c r="GC157" s="143"/>
      <c r="GD157" s="143"/>
      <c r="GE157" s="143"/>
      <c r="GF157" s="143"/>
      <c r="GG157" s="143"/>
      <c r="GH157" s="143"/>
      <c r="GI157" s="143"/>
      <c r="GJ157" s="143"/>
      <c r="GK157" s="143"/>
      <c r="GL157" s="143"/>
      <c r="GM157" s="143"/>
      <c r="GN157" s="143"/>
      <c r="GO157" s="143"/>
      <c r="GP157" s="143"/>
      <c r="GQ157" s="143"/>
      <c r="GR157" s="143"/>
      <c r="GS157" s="143"/>
      <c r="GT157" s="143"/>
      <c r="GU157" s="143"/>
      <c r="GV157" s="143"/>
      <c r="GW157" s="143"/>
      <c r="GX157" s="143"/>
      <c r="GY157" s="143"/>
      <c r="GZ157" s="143"/>
      <c r="HA157" s="143"/>
      <c r="HB157" s="143"/>
      <c r="HC157" s="143"/>
      <c r="HD157" s="143"/>
      <c r="HE157" s="143"/>
      <c r="HF157" s="143"/>
      <c r="HG157" s="143"/>
      <c r="HH157" s="143"/>
      <c r="HI157" s="143"/>
      <c r="HJ157" s="143"/>
      <c r="HK157" s="143"/>
      <c r="HL157" s="143"/>
      <c r="HM157" s="143"/>
      <c r="HN157" s="143"/>
      <c r="HO157" s="143"/>
      <c r="HP157" s="143"/>
      <c r="HQ157" s="143"/>
      <c r="HR157" s="143"/>
      <c r="HS157" s="143"/>
      <c r="HT157" s="143"/>
      <c r="HU157" s="143"/>
      <c r="HV157" s="143"/>
      <c r="HW157" s="143"/>
      <c r="HX157" s="143"/>
    </row>
    <row r="159" spans="2:232" x14ac:dyDescent="0.2">
      <c r="B159" s="143"/>
      <c r="C159" s="143"/>
      <c r="D159" s="143"/>
      <c r="E159" s="143"/>
      <c r="F159" s="143"/>
      <c r="G159" s="143"/>
      <c r="H159" s="143"/>
      <c r="I159" s="143"/>
      <c r="J159" s="143"/>
      <c r="K159" s="143"/>
      <c r="L159" s="143"/>
      <c r="M159" s="143"/>
      <c r="N159" s="143"/>
      <c r="O159" s="143"/>
      <c r="P159" s="143"/>
      <c r="Q159" s="143"/>
      <c r="R159" s="143"/>
      <c r="S159" s="143"/>
      <c r="T159" s="143"/>
      <c r="U159" s="143"/>
      <c r="V159" s="143"/>
      <c r="W159" s="143"/>
      <c r="X159" s="143"/>
      <c r="Y159" s="143"/>
      <c r="Z159" s="143"/>
      <c r="AA159" s="143"/>
      <c r="AB159" s="143"/>
      <c r="AC159" s="143"/>
      <c r="AD159" s="143"/>
      <c r="AE159" s="143"/>
      <c r="AF159" s="143"/>
      <c r="AG159" s="143"/>
      <c r="AH159" s="143"/>
      <c r="AI159" s="143"/>
      <c r="AJ159" s="143"/>
      <c r="AK159" s="143"/>
      <c r="AL159" s="143"/>
      <c r="AM159" s="143"/>
      <c r="AN159" s="143"/>
      <c r="AO159" s="143"/>
      <c r="AP159" s="143"/>
      <c r="AQ159" s="143"/>
      <c r="AR159" s="143"/>
      <c r="AS159" s="143"/>
      <c r="AT159" s="143"/>
      <c r="AU159" s="143"/>
      <c r="AV159" s="143"/>
      <c r="AW159" s="143"/>
      <c r="AX159" s="143"/>
      <c r="AY159" s="143"/>
      <c r="AZ159" s="143"/>
      <c r="BA159" s="143"/>
      <c r="BB159" s="143"/>
      <c r="BC159" s="143"/>
      <c r="BD159" s="143"/>
      <c r="BE159" s="143"/>
      <c r="BF159" s="143"/>
      <c r="BG159" s="143"/>
      <c r="BH159" s="143"/>
      <c r="BI159" s="143"/>
      <c r="BJ159" s="143"/>
      <c r="BK159" s="143"/>
      <c r="BL159" s="143"/>
      <c r="BM159" s="143"/>
      <c r="BN159" s="143"/>
      <c r="BO159" s="143"/>
      <c r="BP159" s="143"/>
      <c r="BQ159" s="143"/>
      <c r="BR159" s="143"/>
      <c r="BS159" s="143"/>
      <c r="BT159" s="143"/>
      <c r="BU159" s="143"/>
      <c r="BV159" s="143"/>
      <c r="BW159" s="143"/>
      <c r="BX159" s="143"/>
      <c r="BY159" s="143"/>
      <c r="BZ159" s="143"/>
      <c r="CA159" s="143"/>
      <c r="CB159" s="143"/>
      <c r="CC159" s="143"/>
      <c r="CD159" s="143"/>
      <c r="CE159" s="143"/>
      <c r="CF159" s="143"/>
      <c r="CG159" s="143"/>
      <c r="CH159" s="143"/>
      <c r="CI159" s="143"/>
      <c r="CJ159" s="143"/>
      <c r="CK159" s="143"/>
      <c r="CL159" s="143"/>
      <c r="CM159" s="143"/>
      <c r="CN159" s="143"/>
      <c r="CO159" s="143"/>
      <c r="CP159" s="143"/>
      <c r="CQ159" s="143"/>
      <c r="CR159" s="143"/>
      <c r="CS159" s="143"/>
      <c r="CT159" s="143"/>
      <c r="CU159" s="143"/>
      <c r="CV159" s="143"/>
      <c r="CW159" s="143"/>
      <c r="CX159" s="143"/>
      <c r="CY159" s="143"/>
      <c r="CZ159" s="143"/>
      <c r="DA159" s="143"/>
      <c r="DB159" s="143"/>
      <c r="DC159" s="143"/>
      <c r="DD159" s="143"/>
      <c r="DE159" s="143"/>
      <c r="DF159" s="143"/>
      <c r="DG159" s="143"/>
      <c r="DH159" s="143"/>
      <c r="DI159" s="143"/>
      <c r="DJ159" s="143"/>
      <c r="DK159" s="143"/>
      <c r="DL159" s="143"/>
      <c r="DM159" s="143"/>
      <c r="DN159" s="143"/>
      <c r="DO159" s="143"/>
      <c r="DP159" s="143"/>
      <c r="DQ159" s="143"/>
      <c r="DR159" s="143"/>
      <c r="DS159" s="143"/>
      <c r="DT159" s="143"/>
      <c r="DU159" s="143"/>
      <c r="DV159" s="143"/>
      <c r="DW159" s="143"/>
      <c r="DX159" s="143"/>
      <c r="DY159" s="143"/>
      <c r="DZ159" s="143"/>
      <c r="EA159" s="143"/>
      <c r="EB159" s="143"/>
      <c r="EC159" s="143"/>
      <c r="ED159" s="143"/>
      <c r="EE159" s="143"/>
      <c r="EF159" s="143"/>
      <c r="EG159" s="143"/>
      <c r="EH159" s="143"/>
      <c r="EI159" s="143"/>
      <c r="EJ159" s="143"/>
      <c r="EK159" s="143"/>
      <c r="EL159" s="143"/>
      <c r="EM159" s="143"/>
      <c r="EN159" s="143"/>
      <c r="EO159" s="143"/>
      <c r="EP159" s="143"/>
      <c r="EQ159" s="143"/>
      <c r="ER159" s="143"/>
      <c r="ES159" s="143"/>
      <c r="ET159" s="143"/>
      <c r="EU159" s="143"/>
      <c r="EV159" s="143"/>
      <c r="EW159" s="143"/>
      <c r="EX159" s="143"/>
      <c r="EY159" s="143"/>
      <c r="EZ159" s="143"/>
      <c r="FA159" s="143"/>
      <c r="FB159" s="143"/>
      <c r="FC159" s="143"/>
      <c r="FD159" s="143"/>
      <c r="FE159" s="143"/>
      <c r="FF159" s="143"/>
      <c r="FG159" s="143"/>
      <c r="FH159" s="143"/>
      <c r="FI159" s="143"/>
      <c r="FJ159" s="143"/>
      <c r="FK159" s="143"/>
      <c r="FL159" s="143"/>
      <c r="FM159" s="143"/>
      <c r="FN159" s="143"/>
      <c r="FO159" s="143"/>
      <c r="FP159" s="143"/>
      <c r="FQ159" s="143"/>
      <c r="FR159" s="143"/>
      <c r="FS159" s="143"/>
      <c r="FT159" s="143"/>
      <c r="FU159" s="143"/>
      <c r="FV159" s="143"/>
      <c r="FW159" s="143"/>
      <c r="FX159" s="143"/>
      <c r="FY159" s="143"/>
      <c r="FZ159" s="143"/>
      <c r="GA159" s="143"/>
      <c r="GB159" s="143"/>
      <c r="GC159" s="143"/>
      <c r="GD159" s="143"/>
      <c r="GE159" s="143"/>
      <c r="GF159" s="143"/>
      <c r="GG159" s="143"/>
      <c r="GH159" s="143"/>
      <c r="GI159" s="143"/>
      <c r="GJ159" s="143"/>
      <c r="GK159" s="143"/>
      <c r="GL159" s="143"/>
      <c r="GM159" s="143"/>
      <c r="GN159" s="143"/>
      <c r="GO159" s="143"/>
      <c r="GP159" s="143"/>
      <c r="GQ159" s="143"/>
      <c r="GR159" s="143"/>
      <c r="GS159" s="143"/>
      <c r="GT159" s="143"/>
      <c r="GU159" s="143"/>
      <c r="GV159" s="143"/>
      <c r="GW159" s="143"/>
      <c r="GX159" s="143"/>
      <c r="GY159" s="143"/>
      <c r="GZ159" s="143"/>
      <c r="HA159" s="143"/>
      <c r="HB159" s="143"/>
      <c r="HC159" s="143"/>
      <c r="HD159" s="143"/>
      <c r="HE159" s="143"/>
      <c r="HF159" s="143"/>
      <c r="HG159" s="143"/>
      <c r="HH159" s="143"/>
      <c r="HI159" s="143"/>
      <c r="HJ159" s="143"/>
      <c r="HK159" s="143"/>
      <c r="HL159" s="143"/>
      <c r="HM159" s="143"/>
      <c r="HN159" s="143"/>
      <c r="HO159" s="143"/>
      <c r="HP159" s="143"/>
      <c r="HQ159" s="143"/>
      <c r="HR159" s="143"/>
      <c r="HS159" s="143"/>
      <c r="HT159" s="143"/>
      <c r="HU159" s="143"/>
      <c r="HV159" s="143"/>
      <c r="HW159" s="143"/>
      <c r="HX159" s="143"/>
    </row>
    <row r="161" spans="2:232" x14ac:dyDescent="0.2">
      <c r="B161" s="143"/>
      <c r="C161" s="143"/>
      <c r="D161" s="143"/>
      <c r="E161" s="143"/>
      <c r="F161" s="143"/>
      <c r="G161" s="143"/>
      <c r="H161" s="143"/>
      <c r="I161" s="143"/>
      <c r="J161" s="143"/>
      <c r="K161" s="143"/>
      <c r="L161" s="143"/>
      <c r="M161" s="143"/>
      <c r="N161" s="143"/>
      <c r="O161" s="143"/>
      <c r="P161" s="143"/>
      <c r="Q161" s="143"/>
      <c r="R161" s="143"/>
      <c r="S161" s="143"/>
      <c r="T161" s="143"/>
      <c r="U161" s="143"/>
      <c r="V161" s="143"/>
      <c r="W161" s="143"/>
      <c r="X161" s="143"/>
      <c r="Y161" s="143"/>
      <c r="Z161" s="143"/>
      <c r="AA161" s="143"/>
      <c r="AB161" s="143"/>
      <c r="AC161" s="143"/>
      <c r="AD161" s="143"/>
      <c r="AE161" s="143"/>
      <c r="AF161" s="143"/>
      <c r="AG161" s="143"/>
      <c r="AH161" s="143"/>
      <c r="AI161" s="143"/>
      <c r="AJ161" s="143"/>
      <c r="AK161" s="143"/>
      <c r="AL161" s="143"/>
      <c r="AM161" s="143"/>
      <c r="AN161" s="143"/>
      <c r="AO161" s="143"/>
      <c r="AP161" s="143"/>
      <c r="AQ161" s="143"/>
      <c r="AR161" s="143"/>
      <c r="AS161" s="143"/>
      <c r="AT161" s="143"/>
      <c r="AU161" s="143"/>
      <c r="AV161" s="143"/>
      <c r="AW161" s="143"/>
      <c r="AX161" s="143"/>
      <c r="AY161" s="143"/>
      <c r="AZ161" s="143"/>
      <c r="BA161" s="143"/>
      <c r="BB161" s="143"/>
      <c r="BC161" s="143"/>
      <c r="BD161" s="143"/>
      <c r="BE161" s="143"/>
      <c r="BF161" s="143"/>
      <c r="BG161" s="143"/>
      <c r="BH161" s="143"/>
      <c r="BI161" s="143"/>
      <c r="BJ161" s="143"/>
      <c r="BK161" s="143"/>
      <c r="BL161" s="143"/>
      <c r="BM161" s="143"/>
      <c r="BN161" s="143"/>
      <c r="BO161" s="143"/>
      <c r="BP161" s="143"/>
      <c r="BQ161" s="143"/>
      <c r="BR161" s="143"/>
      <c r="BS161" s="143"/>
      <c r="BT161" s="143"/>
      <c r="BU161" s="143"/>
      <c r="BV161" s="143"/>
      <c r="BW161" s="143"/>
      <c r="BX161" s="143"/>
      <c r="BY161" s="143"/>
      <c r="BZ161" s="143"/>
      <c r="CA161" s="143"/>
      <c r="CB161" s="143"/>
      <c r="CC161" s="143"/>
      <c r="CD161" s="143"/>
      <c r="CE161" s="143"/>
      <c r="CF161" s="143"/>
      <c r="CG161" s="143"/>
      <c r="CH161" s="143"/>
      <c r="CI161" s="143"/>
      <c r="CJ161" s="143"/>
      <c r="CK161" s="143"/>
      <c r="CL161" s="143"/>
      <c r="CM161" s="143"/>
      <c r="CN161" s="143"/>
      <c r="CO161" s="143"/>
      <c r="CP161" s="143"/>
      <c r="CQ161" s="143"/>
      <c r="CR161" s="143"/>
      <c r="CS161" s="143"/>
      <c r="CT161" s="143"/>
      <c r="CU161" s="143"/>
      <c r="CV161" s="143"/>
      <c r="CW161" s="143"/>
      <c r="CX161" s="143"/>
      <c r="CY161" s="143"/>
      <c r="CZ161" s="143"/>
      <c r="DA161" s="143"/>
      <c r="DB161" s="143"/>
      <c r="DC161" s="143"/>
      <c r="DD161" s="143"/>
      <c r="DE161" s="143"/>
      <c r="DF161" s="143"/>
      <c r="DG161" s="143"/>
      <c r="DH161" s="143"/>
      <c r="DI161" s="143"/>
      <c r="DJ161" s="143"/>
      <c r="DK161" s="143"/>
      <c r="DL161" s="143"/>
      <c r="DM161" s="143"/>
      <c r="DN161" s="143"/>
      <c r="DO161" s="143"/>
      <c r="DP161" s="143"/>
      <c r="DQ161" s="143"/>
      <c r="DR161" s="143"/>
      <c r="DS161" s="143"/>
      <c r="DT161" s="143"/>
      <c r="DU161" s="143"/>
      <c r="DV161" s="143"/>
      <c r="DW161" s="143"/>
      <c r="DX161" s="143"/>
      <c r="DY161" s="143"/>
      <c r="DZ161" s="143"/>
      <c r="EA161" s="143"/>
      <c r="EB161" s="143"/>
      <c r="EC161" s="143"/>
      <c r="ED161" s="143"/>
      <c r="EE161" s="143"/>
      <c r="EF161" s="143"/>
      <c r="EG161" s="143"/>
      <c r="EH161" s="143"/>
      <c r="EI161" s="143"/>
      <c r="EJ161" s="143"/>
      <c r="EK161" s="143"/>
      <c r="EL161" s="143"/>
      <c r="EM161" s="143"/>
      <c r="EN161" s="143"/>
      <c r="EO161" s="143"/>
      <c r="EP161" s="143"/>
      <c r="EQ161" s="143"/>
      <c r="ER161" s="143"/>
      <c r="ES161" s="143"/>
      <c r="ET161" s="143"/>
      <c r="EU161" s="143"/>
      <c r="EV161" s="143"/>
      <c r="EW161" s="143"/>
      <c r="EX161" s="143"/>
      <c r="EY161" s="143"/>
      <c r="EZ161" s="143"/>
      <c r="FA161" s="143"/>
      <c r="FB161" s="143"/>
      <c r="FC161" s="143"/>
      <c r="FD161" s="143"/>
      <c r="FE161" s="143"/>
      <c r="FF161" s="143"/>
      <c r="FG161" s="143"/>
      <c r="FH161" s="143"/>
      <c r="FI161" s="143"/>
      <c r="FJ161" s="143"/>
      <c r="FK161" s="143"/>
      <c r="FL161" s="143"/>
      <c r="FM161" s="143"/>
      <c r="FN161" s="143"/>
      <c r="FO161" s="143"/>
      <c r="FP161" s="143"/>
      <c r="FQ161" s="143"/>
      <c r="FR161" s="143"/>
      <c r="FS161" s="143"/>
      <c r="FT161" s="143"/>
      <c r="FU161" s="143"/>
      <c r="FV161" s="143"/>
      <c r="FW161" s="143"/>
      <c r="FX161" s="143"/>
      <c r="FY161" s="143"/>
      <c r="FZ161" s="143"/>
      <c r="GA161" s="143"/>
      <c r="GB161" s="143"/>
      <c r="GC161" s="143"/>
      <c r="GD161" s="143"/>
      <c r="GE161" s="143"/>
      <c r="GF161" s="143"/>
      <c r="GG161" s="143"/>
      <c r="GH161" s="143"/>
      <c r="GI161" s="143"/>
      <c r="GJ161" s="143"/>
      <c r="GK161" s="143"/>
      <c r="GL161" s="143"/>
      <c r="GM161" s="143"/>
      <c r="GN161" s="143"/>
      <c r="GO161" s="143"/>
      <c r="GP161" s="143"/>
      <c r="GQ161" s="143"/>
      <c r="GR161" s="143"/>
      <c r="GS161" s="143"/>
      <c r="GT161" s="143"/>
      <c r="GU161" s="143"/>
      <c r="GV161" s="143"/>
      <c r="GW161" s="143"/>
      <c r="GX161" s="143"/>
      <c r="GY161" s="143"/>
      <c r="GZ161" s="143"/>
      <c r="HA161" s="143"/>
      <c r="HB161" s="143"/>
      <c r="HC161" s="143"/>
      <c r="HD161" s="143"/>
      <c r="HE161" s="143"/>
      <c r="HF161" s="143"/>
      <c r="HG161" s="143"/>
      <c r="HH161" s="143"/>
      <c r="HI161" s="143"/>
      <c r="HJ161" s="143"/>
      <c r="HK161" s="143"/>
      <c r="HL161" s="143"/>
      <c r="HM161" s="143"/>
      <c r="HN161" s="143"/>
      <c r="HO161" s="143"/>
      <c r="HP161" s="143"/>
      <c r="HQ161" s="143"/>
      <c r="HR161" s="143"/>
      <c r="HS161" s="143"/>
      <c r="HT161" s="143"/>
      <c r="HU161" s="143"/>
      <c r="HV161" s="143"/>
      <c r="HW161" s="143"/>
      <c r="HX161" s="143"/>
    </row>
  </sheetData>
  <mergeCells count="35">
    <mergeCell ref="A59:C59"/>
    <mergeCell ref="A49:Q49"/>
    <mergeCell ref="A50:Q50"/>
    <mergeCell ref="A51:Q51"/>
    <mergeCell ref="A52:Q52"/>
    <mergeCell ref="A53:Q53"/>
    <mergeCell ref="L54:S54"/>
    <mergeCell ref="N31:O31"/>
    <mergeCell ref="P31:Q31"/>
    <mergeCell ref="R31:S31"/>
    <mergeCell ref="T31:U31"/>
    <mergeCell ref="V31:W31"/>
    <mergeCell ref="A46:K47"/>
    <mergeCell ref="L46:W46"/>
    <mergeCell ref="L47:S47"/>
    <mergeCell ref="V47:W54"/>
    <mergeCell ref="A48:Q48"/>
    <mergeCell ref="B31:C31"/>
    <mergeCell ref="D31:E31"/>
    <mergeCell ref="F31:G31"/>
    <mergeCell ref="H31:I31"/>
    <mergeCell ref="J31:K31"/>
    <mergeCell ref="L31:M31"/>
    <mergeCell ref="C21:E21"/>
    <mergeCell ref="C22:D22"/>
    <mergeCell ref="C23:D24"/>
    <mergeCell ref="E23:E24"/>
    <mergeCell ref="A25:E25"/>
    <mergeCell ref="A30:W30"/>
    <mergeCell ref="A2:C2"/>
    <mergeCell ref="A3:C3"/>
    <mergeCell ref="A6:C6"/>
    <mergeCell ref="A9:C9"/>
    <mergeCell ref="A12:C12"/>
    <mergeCell ref="A20:E20"/>
  </mergeCells>
  <pageMargins left="0.75" right="0.75" top="1" bottom="1" header="0" footer="0"/>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X160"/>
  <sheetViews>
    <sheetView workbookViewId="0">
      <selection activeCell="B1" sqref="B1"/>
    </sheetView>
  </sheetViews>
  <sheetFormatPr baseColWidth="10" defaultColWidth="11.6640625" defaultRowHeight="15" x14ac:dyDescent="0.2"/>
  <cols>
    <col min="1" max="1" width="42.83203125" style="106" customWidth="1"/>
    <col min="2" max="2" width="11.6640625" style="106"/>
    <col min="3" max="3" width="6.1640625" style="106" customWidth="1"/>
    <col min="4" max="4" width="12.1640625" style="106" customWidth="1"/>
    <col min="5" max="5" width="8" style="106" customWidth="1"/>
    <col min="6" max="6" width="10.33203125" style="106" customWidth="1"/>
    <col min="7" max="7" width="6.1640625" style="106" customWidth="1"/>
    <col min="8" max="8" width="11.6640625" style="106"/>
    <col min="9" max="10" width="6.1640625" style="106" customWidth="1"/>
    <col min="11" max="11" width="11.6640625" style="106"/>
    <col min="12" max="13" width="6.1640625" style="106" customWidth="1"/>
    <col min="14" max="14" width="11.6640625" style="106"/>
    <col min="15" max="16" width="6.1640625" style="106" customWidth="1"/>
    <col min="17" max="17" width="11.6640625" style="106"/>
    <col min="18" max="19" width="6.1640625" style="106" customWidth="1"/>
    <col min="20" max="20" width="11.6640625" style="106"/>
    <col min="21" max="22" width="6.1640625" style="106" customWidth="1"/>
    <col min="23" max="23" width="11.6640625" style="106"/>
    <col min="24" max="25" width="6.1640625" style="106" customWidth="1"/>
    <col min="26" max="26" width="11.6640625" style="106"/>
    <col min="27" max="28" width="6.1640625" style="106" customWidth="1"/>
    <col min="29" max="29" width="11.6640625" style="106"/>
    <col min="30" max="31" width="6.1640625" style="106" customWidth="1"/>
    <col min="32" max="32" width="11.6640625" style="106"/>
    <col min="33" max="34" width="6.1640625" style="106" customWidth="1"/>
    <col min="35" max="35" width="11.6640625" style="106"/>
    <col min="36" max="37" width="6.1640625" style="106" customWidth="1"/>
    <col min="38" max="38" width="11.6640625" style="106"/>
    <col min="39" max="40" width="6.1640625" style="106" customWidth="1"/>
    <col min="41" max="41" width="11.6640625" style="106"/>
    <col min="42" max="43" width="6.1640625" style="106" customWidth="1"/>
    <col min="44" max="44" width="11.6640625" style="106"/>
    <col min="45" max="46" width="6.1640625" style="106" customWidth="1"/>
    <col min="47" max="47" width="11.6640625" style="106"/>
    <col min="48" max="49" width="6.1640625" style="106" customWidth="1"/>
    <col min="50" max="50" width="11.6640625" style="106"/>
    <col min="51" max="52" width="6.1640625" style="106" customWidth="1"/>
    <col min="53" max="53" width="11.6640625" style="106"/>
    <col min="54" max="55" width="6.1640625" style="106" customWidth="1"/>
    <col min="56" max="56" width="11.6640625" style="106"/>
    <col min="57" max="58" width="6.1640625" style="106" customWidth="1"/>
    <col min="59" max="59" width="11.6640625" style="106"/>
    <col min="60" max="61" width="6.1640625" style="106" customWidth="1"/>
    <col min="62" max="62" width="11.6640625" style="106"/>
    <col min="63" max="64" width="6.1640625" style="106" customWidth="1"/>
    <col min="65" max="65" width="11.6640625" style="106"/>
    <col min="66" max="67" width="6.1640625" style="106" customWidth="1"/>
    <col min="68" max="68" width="11.6640625" style="106"/>
    <col min="69" max="70" width="6.1640625" style="106" customWidth="1"/>
    <col min="71" max="71" width="11.6640625" style="106"/>
    <col min="72" max="73" width="6.1640625" style="106" customWidth="1"/>
    <col min="74" max="74" width="11.6640625" style="106"/>
    <col min="75" max="76" width="6.1640625" style="106" customWidth="1"/>
    <col min="77" max="77" width="11.6640625" style="106"/>
    <col min="78" max="79" width="6.1640625" style="106" customWidth="1"/>
    <col min="80" max="80" width="11.6640625" style="106"/>
    <col min="81" max="82" width="6.1640625" style="106" customWidth="1"/>
    <col min="83" max="83" width="11.6640625" style="106"/>
    <col min="84" max="85" width="6.1640625" style="106" customWidth="1"/>
    <col min="86" max="86" width="11.6640625" style="106"/>
    <col min="87" max="88" width="6.1640625" style="106" customWidth="1"/>
    <col min="89" max="89" width="11.6640625" style="106"/>
    <col min="90" max="91" width="6.1640625" style="106" customWidth="1"/>
    <col min="92" max="92" width="11.6640625" style="106"/>
    <col min="93" max="94" width="6.1640625" style="106" customWidth="1"/>
    <col min="95" max="95" width="11.6640625" style="106"/>
    <col min="96" max="97" width="6.1640625" style="106" customWidth="1"/>
    <col min="98" max="98" width="11.6640625" style="106"/>
    <col min="99" max="100" width="6.1640625" style="106" customWidth="1"/>
    <col min="101" max="101" width="11.6640625" style="106"/>
    <col min="102" max="103" width="6.1640625" style="106" customWidth="1"/>
    <col min="104" max="104" width="11.6640625" style="106"/>
    <col min="105" max="106" width="6.1640625" style="106" customWidth="1"/>
    <col min="107" max="107" width="11.6640625" style="106"/>
    <col min="108" max="109" width="6.1640625" style="106" customWidth="1"/>
    <col min="110" max="110" width="11.6640625" style="106"/>
    <col min="111" max="112" width="6.1640625" style="106" customWidth="1"/>
    <col min="113" max="113" width="11.6640625" style="106"/>
    <col min="114" max="115" width="6.1640625" style="106" customWidth="1"/>
    <col min="116" max="116" width="11.6640625" style="106"/>
    <col min="117" max="118" width="6.1640625" style="106" customWidth="1"/>
    <col min="119" max="119" width="11.6640625" style="106"/>
    <col min="120" max="121" width="6.1640625" style="106" customWidth="1"/>
    <col min="122" max="122" width="11.6640625" style="106"/>
    <col min="123" max="124" width="6.1640625" style="106" customWidth="1"/>
    <col min="125" max="125" width="11.6640625" style="106"/>
    <col min="126" max="127" width="6.1640625" style="106" customWidth="1"/>
    <col min="128" max="128" width="11.6640625" style="106"/>
    <col min="129" max="130" width="6.1640625" style="106" customWidth="1"/>
    <col min="131" max="131" width="11.6640625" style="106"/>
    <col min="132" max="133" width="6.1640625" style="106" customWidth="1"/>
    <col min="134" max="134" width="11.6640625" style="106"/>
    <col min="135" max="136" width="6.1640625" style="106" customWidth="1"/>
    <col min="137" max="137" width="11.6640625" style="106"/>
    <col min="138" max="139" width="6.1640625" style="106" customWidth="1"/>
    <col min="140" max="140" width="11.6640625" style="106"/>
    <col min="141" max="142" width="6.1640625" style="106" customWidth="1"/>
    <col min="143" max="143" width="11.6640625" style="106"/>
    <col min="144" max="145" width="6.1640625" style="106" customWidth="1"/>
    <col min="146" max="146" width="11.6640625" style="106"/>
    <col min="147" max="148" width="6.1640625" style="106" customWidth="1"/>
    <col min="149" max="149" width="11.6640625" style="106"/>
    <col min="150" max="151" width="6.1640625" style="106" customWidth="1"/>
    <col min="152" max="152" width="11.6640625" style="106"/>
    <col min="153" max="154" width="6.1640625" style="106" customWidth="1"/>
    <col min="155" max="155" width="11.6640625" style="106"/>
    <col min="156" max="157" width="6.1640625" style="106" customWidth="1"/>
    <col min="158" max="158" width="11.6640625" style="106"/>
    <col min="159" max="160" width="6.1640625" style="106" customWidth="1"/>
    <col min="161" max="161" width="11.6640625" style="106"/>
    <col min="162" max="163" width="6.1640625" style="106" customWidth="1"/>
    <col min="164" max="164" width="11.6640625" style="106"/>
    <col min="165" max="166" width="6.1640625" style="106" customWidth="1"/>
    <col min="167" max="167" width="11.6640625" style="106"/>
    <col min="168" max="169" width="6.1640625" style="106" customWidth="1"/>
    <col min="170" max="170" width="11.6640625" style="106"/>
    <col min="171" max="172" width="6.1640625" style="106" customWidth="1"/>
    <col min="173" max="173" width="11.6640625" style="106"/>
    <col min="174" max="175" width="6.1640625" style="106" customWidth="1"/>
    <col min="176" max="176" width="11.6640625" style="106"/>
    <col min="177" max="178" width="6.1640625" style="106" customWidth="1"/>
    <col min="179" max="179" width="11.6640625" style="106"/>
    <col min="180" max="181" width="6.1640625" style="106" customWidth="1"/>
    <col min="182" max="182" width="11.6640625" style="106"/>
    <col min="183" max="184" width="6.1640625" style="106" customWidth="1"/>
    <col min="185" max="185" width="11.6640625" style="106"/>
    <col min="186" max="187" width="6.1640625" style="106" customWidth="1"/>
    <col min="188" max="188" width="11.6640625" style="106"/>
    <col min="189" max="190" width="6.1640625" style="106" customWidth="1"/>
    <col min="191" max="191" width="11.6640625" style="106"/>
    <col min="192" max="193" width="6.1640625" style="106" customWidth="1"/>
    <col min="194" max="194" width="11.6640625" style="106"/>
    <col min="195" max="196" width="6.1640625" style="106" customWidth="1"/>
    <col min="197" max="197" width="11.6640625" style="106"/>
    <col min="198" max="199" width="6.1640625" style="106" customWidth="1"/>
    <col min="200" max="200" width="11.6640625" style="106"/>
    <col min="201" max="202" width="6.1640625" style="106" customWidth="1"/>
    <col min="203" max="203" width="11.6640625" style="106"/>
    <col min="204" max="205" width="6.1640625" style="106" customWidth="1"/>
    <col min="206" max="206" width="11.6640625" style="106"/>
    <col min="207" max="208" width="6.1640625" style="106" customWidth="1"/>
    <col min="209" max="209" width="11.6640625" style="106"/>
    <col min="210" max="211" width="6.1640625" style="106" customWidth="1"/>
    <col min="212" max="212" width="11.6640625" style="106"/>
    <col min="213" max="214" width="6.1640625" style="106" customWidth="1"/>
    <col min="215" max="215" width="11.6640625" style="106"/>
    <col min="216" max="217" width="6.1640625" style="106" customWidth="1"/>
    <col min="218" max="218" width="11.6640625" style="106"/>
    <col min="219" max="220" width="6.1640625" style="106" customWidth="1"/>
    <col min="221" max="221" width="11.6640625" style="106"/>
    <col min="222" max="223" width="6.1640625" style="106" customWidth="1"/>
    <col min="224" max="224" width="11.6640625" style="106"/>
    <col min="225" max="226" width="6.1640625" style="106" customWidth="1"/>
    <col min="227" max="227" width="11.6640625" style="106"/>
    <col min="228" max="229" width="6.1640625" style="106" customWidth="1"/>
    <col min="230" max="230" width="11.6640625" style="106"/>
    <col min="231" max="232" width="6.1640625" style="106" customWidth="1"/>
    <col min="233" max="16384" width="11.6640625" style="106"/>
  </cols>
  <sheetData>
    <row r="1" spans="1:8" x14ac:dyDescent="0.2">
      <c r="A1" s="113" t="s">
        <v>1111</v>
      </c>
    </row>
    <row r="2" spans="1:8" ht="28.25" customHeight="1" x14ac:dyDescent="0.2">
      <c r="A2" s="598" t="s">
        <v>5608</v>
      </c>
      <c r="B2" s="599"/>
      <c r="C2" s="600"/>
    </row>
    <row r="3" spans="1:8" ht="24" customHeight="1" x14ac:dyDescent="0.2">
      <c r="A3" s="117" t="s">
        <v>5609</v>
      </c>
      <c r="B3" s="118"/>
      <c r="C3" s="119"/>
    </row>
    <row r="4" spans="1:8" x14ac:dyDescent="0.2">
      <c r="A4" s="178" t="s">
        <v>5610</v>
      </c>
      <c r="B4" s="141">
        <v>10054897</v>
      </c>
      <c r="C4" s="395">
        <v>53</v>
      </c>
      <c r="F4" s="242"/>
      <c r="G4" s="242"/>
      <c r="H4" s="143"/>
    </row>
    <row r="5" spans="1:8" x14ac:dyDescent="0.2">
      <c r="A5" s="178" t="s">
        <v>5611</v>
      </c>
      <c r="B5" s="141">
        <v>202072</v>
      </c>
      <c r="C5" s="395">
        <v>86</v>
      </c>
      <c r="F5" s="242"/>
      <c r="G5" s="242"/>
      <c r="H5" s="143"/>
    </row>
    <row r="6" spans="1:8" x14ac:dyDescent="0.2">
      <c r="A6" s="178" t="s">
        <v>5612</v>
      </c>
      <c r="B6" s="141">
        <v>254419</v>
      </c>
      <c r="C6" s="395">
        <v>41</v>
      </c>
      <c r="F6" s="143"/>
      <c r="G6" s="143"/>
      <c r="H6" s="143"/>
    </row>
    <row r="7" spans="1:8" x14ac:dyDescent="0.2">
      <c r="A7" s="178" t="s">
        <v>5613</v>
      </c>
      <c r="B7" s="1640">
        <v>176043</v>
      </c>
      <c r="C7" s="1641">
        <v>65</v>
      </c>
      <c r="F7" s="143"/>
      <c r="G7" s="143"/>
      <c r="H7" s="143"/>
    </row>
    <row r="8" spans="1:8" x14ac:dyDescent="0.2">
      <c r="A8" s="178" t="s">
        <v>5614</v>
      </c>
      <c r="B8" s="1640">
        <v>58879</v>
      </c>
      <c r="C8" s="1641">
        <v>69</v>
      </c>
      <c r="F8" s="143"/>
      <c r="G8" s="143"/>
      <c r="H8" s="143"/>
    </row>
    <row r="9" spans="1:8" x14ac:dyDescent="0.2">
      <c r="A9" s="178" t="s">
        <v>5615</v>
      </c>
      <c r="B9" s="1640">
        <v>140</v>
      </c>
      <c r="C9" s="1641">
        <v>50</v>
      </c>
      <c r="F9" s="242"/>
      <c r="G9" s="242"/>
      <c r="H9" s="143"/>
    </row>
    <row r="10" spans="1:8" x14ac:dyDescent="0.2">
      <c r="A10" s="178" t="s">
        <v>5616</v>
      </c>
      <c r="B10" s="1640">
        <v>16185</v>
      </c>
      <c r="C10" s="1641">
        <v>44</v>
      </c>
      <c r="F10" s="143"/>
      <c r="G10" s="143"/>
      <c r="H10" s="143"/>
    </row>
    <row r="11" spans="1:8" x14ac:dyDescent="0.2">
      <c r="A11" s="178" t="s">
        <v>5617</v>
      </c>
      <c r="B11" s="1640">
        <v>3170</v>
      </c>
      <c r="C11" s="1641">
        <v>13</v>
      </c>
      <c r="F11" s="143"/>
      <c r="G11" s="143"/>
      <c r="H11" s="143"/>
    </row>
    <row r="12" spans="1:8" x14ac:dyDescent="0.2">
      <c r="A12" s="178" t="s">
        <v>5466</v>
      </c>
      <c r="B12" s="141"/>
      <c r="C12" s="395"/>
      <c r="F12" s="143"/>
      <c r="G12" s="143"/>
      <c r="H12" s="143"/>
    </row>
    <row r="13" spans="1:8" x14ac:dyDescent="0.2">
      <c r="A13" s="178" t="s">
        <v>5468</v>
      </c>
      <c r="B13" s="141">
        <v>9620</v>
      </c>
      <c r="C13" s="395"/>
      <c r="F13" s="143"/>
      <c r="G13" s="143"/>
      <c r="H13" s="143"/>
    </row>
    <row r="14" spans="1:8" x14ac:dyDescent="0.2">
      <c r="A14" s="178" t="s">
        <v>5052</v>
      </c>
      <c r="B14" s="141">
        <v>612211</v>
      </c>
      <c r="C14" s="395">
        <v>70</v>
      </c>
      <c r="F14" s="143"/>
      <c r="G14" s="143"/>
      <c r="H14" s="143"/>
    </row>
    <row r="15" spans="1:8" x14ac:dyDescent="0.2">
      <c r="A15" s="178" t="s">
        <v>1175</v>
      </c>
      <c r="B15" s="141">
        <v>168680</v>
      </c>
      <c r="C15" s="395">
        <v>93</v>
      </c>
      <c r="F15" s="242"/>
      <c r="G15" s="242"/>
      <c r="H15" s="143"/>
    </row>
    <row r="16" spans="1:8" x14ac:dyDescent="0.2">
      <c r="A16" s="178" t="s">
        <v>3287</v>
      </c>
      <c r="B16" s="141">
        <v>381730</v>
      </c>
      <c r="C16" s="395">
        <v>53</v>
      </c>
      <c r="F16" s="242"/>
      <c r="G16" s="242"/>
      <c r="H16" s="143"/>
    </row>
    <row r="17" spans="1:8" x14ac:dyDescent="0.2">
      <c r="A17" s="178" t="s">
        <v>5618</v>
      </c>
      <c r="B17" s="141">
        <v>127449</v>
      </c>
      <c r="C17" s="395">
        <v>42</v>
      </c>
      <c r="F17" s="242"/>
      <c r="G17" s="242"/>
      <c r="H17" s="143"/>
    </row>
    <row r="18" spans="1:8" x14ac:dyDescent="0.2">
      <c r="A18" s="178" t="s">
        <v>5442</v>
      </c>
      <c r="B18" s="141"/>
      <c r="C18" s="395"/>
      <c r="F18" s="143"/>
      <c r="G18" s="143"/>
      <c r="H18" s="143"/>
    </row>
    <row r="19" spans="1:8" ht="30" x14ac:dyDescent="0.2">
      <c r="A19" s="178" t="s">
        <v>5619</v>
      </c>
      <c r="B19" s="141">
        <v>18277</v>
      </c>
      <c r="C19" s="395">
        <v>58</v>
      </c>
      <c r="F19" s="242"/>
      <c r="G19" s="242"/>
      <c r="H19" s="143"/>
    </row>
    <row r="20" spans="1:8" x14ac:dyDescent="0.2">
      <c r="A20" s="178" t="s">
        <v>5620</v>
      </c>
      <c r="B20" s="141">
        <v>578</v>
      </c>
      <c r="C20" s="395">
        <v>60</v>
      </c>
      <c r="F20" s="242"/>
      <c r="G20" s="242"/>
      <c r="H20" s="143"/>
    </row>
    <row r="21" spans="1:8" ht="27.5" customHeight="1" x14ac:dyDescent="0.2">
      <c r="A21" s="178" t="s">
        <v>5621</v>
      </c>
      <c r="B21" s="141">
        <v>870906</v>
      </c>
      <c r="C21" s="395">
        <v>11</v>
      </c>
      <c r="F21" s="242"/>
      <c r="G21" s="242"/>
      <c r="H21" s="143"/>
    </row>
    <row r="22" spans="1:8" x14ac:dyDescent="0.2">
      <c r="A22" s="178" t="s">
        <v>5472</v>
      </c>
      <c r="B22" s="141">
        <v>160735</v>
      </c>
      <c r="C22" s="395">
        <v>45</v>
      </c>
      <c r="F22" s="242"/>
      <c r="G22" s="143"/>
      <c r="H22" s="143"/>
    </row>
    <row r="23" spans="1:8" x14ac:dyDescent="0.2">
      <c r="A23" s="178" t="s">
        <v>5473</v>
      </c>
      <c r="B23" s="141"/>
      <c r="C23" s="395"/>
      <c r="F23" s="143"/>
      <c r="G23" s="143"/>
      <c r="H23" s="143"/>
    </row>
    <row r="24" spans="1:8" x14ac:dyDescent="0.2">
      <c r="A24" s="178" t="s">
        <v>5562</v>
      </c>
      <c r="B24" s="141">
        <v>16000</v>
      </c>
      <c r="C24" s="395"/>
      <c r="F24" s="242"/>
      <c r="G24" s="242"/>
      <c r="H24" s="143"/>
    </row>
    <row r="25" spans="1:8" x14ac:dyDescent="0.2">
      <c r="A25" s="178" t="s">
        <v>5429</v>
      </c>
      <c r="B25" s="141"/>
      <c r="C25" s="395"/>
      <c r="D25" s="1642">
        <v>1912</v>
      </c>
      <c r="F25" s="242"/>
      <c r="G25" s="242"/>
      <c r="H25" s="143"/>
    </row>
    <row r="26" spans="1:8" x14ac:dyDescent="0.2">
      <c r="A26" s="178" t="s">
        <v>5061</v>
      </c>
      <c r="B26" s="141">
        <v>23392</v>
      </c>
      <c r="C26" s="395">
        <v>69</v>
      </c>
      <c r="F26" s="242"/>
      <c r="G26" s="242"/>
      <c r="H26" s="143"/>
    </row>
    <row r="27" spans="1:8" x14ac:dyDescent="0.2">
      <c r="A27" s="178" t="s">
        <v>5622</v>
      </c>
      <c r="B27" s="141">
        <v>445513</v>
      </c>
      <c r="C27" s="395">
        <v>64</v>
      </c>
      <c r="F27" s="143"/>
      <c r="G27" s="143"/>
      <c r="H27" s="143"/>
    </row>
    <row r="28" spans="1:8" x14ac:dyDescent="0.2">
      <c r="A28" s="178" t="s">
        <v>5623</v>
      </c>
      <c r="B28" s="141">
        <v>38104</v>
      </c>
      <c r="C28" s="395">
        <v>43</v>
      </c>
      <c r="F28" s="242"/>
      <c r="G28" s="242"/>
      <c r="H28" s="143"/>
    </row>
    <row r="29" spans="1:8" x14ac:dyDescent="0.2">
      <c r="A29" s="178" t="s">
        <v>5624</v>
      </c>
      <c r="B29" s="141">
        <v>39402</v>
      </c>
      <c r="C29" s="395">
        <v>56</v>
      </c>
      <c r="F29" s="143"/>
      <c r="G29" s="143"/>
      <c r="H29" s="143"/>
    </row>
    <row r="30" spans="1:8" ht="30" x14ac:dyDescent="0.2">
      <c r="A30" s="178" t="s">
        <v>5625</v>
      </c>
      <c r="B30" s="141">
        <v>257682</v>
      </c>
      <c r="C30" s="395">
        <v>5</v>
      </c>
      <c r="F30" s="242"/>
      <c r="G30" s="242"/>
      <c r="H30" s="143"/>
    </row>
    <row r="31" spans="1:8" x14ac:dyDescent="0.2">
      <c r="A31" s="178" t="s">
        <v>5626</v>
      </c>
      <c r="B31" s="141">
        <v>46655</v>
      </c>
      <c r="C31" s="395">
        <v>1</v>
      </c>
      <c r="F31" s="242"/>
      <c r="G31" s="242"/>
      <c r="H31" s="143"/>
    </row>
    <row r="32" spans="1:8" x14ac:dyDescent="0.2">
      <c r="A32" s="178" t="s">
        <v>5627</v>
      </c>
      <c r="B32" s="141">
        <v>7425</v>
      </c>
      <c r="C32" s="395">
        <v>55</v>
      </c>
      <c r="F32" s="242"/>
      <c r="G32" s="242"/>
      <c r="H32" s="143"/>
    </row>
    <row r="33" spans="1:62" x14ac:dyDescent="0.2">
      <c r="A33" s="178" t="s">
        <v>5628</v>
      </c>
      <c r="B33" s="141">
        <v>10000</v>
      </c>
      <c r="C33" s="395"/>
      <c r="F33" s="143"/>
      <c r="G33" s="143"/>
      <c r="H33" s="143"/>
    </row>
    <row r="34" spans="1:62" ht="45" x14ac:dyDescent="0.2">
      <c r="A34" s="178" t="s">
        <v>5629</v>
      </c>
      <c r="B34" s="141">
        <v>116561</v>
      </c>
      <c r="C34" s="395">
        <v>32</v>
      </c>
      <c r="F34" s="242"/>
      <c r="G34" s="242"/>
      <c r="H34" s="143"/>
    </row>
    <row r="35" spans="1:62" ht="16" thickBot="1" x14ac:dyDescent="0.25">
      <c r="A35" s="320" t="s">
        <v>1666</v>
      </c>
      <c r="B35" s="595">
        <v>13862317</v>
      </c>
      <c r="C35" s="596">
        <v>37</v>
      </c>
      <c r="F35" s="242"/>
      <c r="G35" s="242"/>
      <c r="H35" s="143"/>
    </row>
    <row r="36" spans="1:62" ht="18.5" customHeight="1" x14ac:dyDescent="0.2">
      <c r="B36" s="321">
        <f>B4+B5+B6+B13+B14+B15+B16+B17+B19+B20+B21+B22+B24+B26+B27+B28+B29+B30+B31+B32+B33+B34+C36/100</f>
        <v>13862317.369999999</v>
      </c>
      <c r="C36" s="321">
        <f>C4+C5+C6+C13+C14+C15+C16+C17+C19+C20+C21+C22+C24+C26+C27+C28+C29+C30+C31+C32+C33+C34</f>
        <v>937</v>
      </c>
      <c r="F36" s="143"/>
      <c r="G36" s="143"/>
      <c r="H36" s="143"/>
    </row>
    <row r="37" spans="1:62" ht="18.5" customHeight="1" x14ac:dyDescent="0.2">
      <c r="F37" s="242"/>
      <c r="G37" s="242"/>
      <c r="H37" s="143"/>
    </row>
    <row r="38" spans="1:62" ht="18.5" customHeight="1" x14ac:dyDescent="0.2">
      <c r="F38" s="242"/>
      <c r="G38" s="242"/>
      <c r="H38" s="143"/>
    </row>
    <row r="39" spans="1:62" x14ac:dyDescent="0.2">
      <c r="A39" s="113" t="s">
        <v>1428</v>
      </c>
      <c r="F39" s="242"/>
      <c r="G39" s="242"/>
      <c r="H39" s="143"/>
    </row>
    <row r="40" spans="1:62" ht="36" customHeight="1" x14ac:dyDescent="0.2">
      <c r="A40" s="858" t="s">
        <v>5630</v>
      </c>
      <c r="B40" s="484"/>
      <c r="C40" s="859"/>
      <c r="F40" s="143"/>
      <c r="G40" s="143"/>
      <c r="H40" s="143"/>
    </row>
    <row r="41" spans="1:62" x14ac:dyDescent="0.2">
      <c r="A41" s="1643">
        <v>1905</v>
      </c>
      <c r="B41" s="134"/>
      <c r="C41" s="185"/>
      <c r="E41" s="143"/>
      <c r="F41" s="143"/>
      <c r="G41" s="143"/>
      <c r="H41" s="143"/>
      <c r="I41" s="143"/>
      <c r="J41" s="143"/>
      <c r="K41" s="143"/>
      <c r="L41" s="143"/>
      <c r="M41" s="143"/>
      <c r="N41" s="143"/>
      <c r="O41" s="143"/>
      <c r="P41" s="143"/>
      <c r="Q41" s="143"/>
      <c r="R41" s="143"/>
      <c r="S41" s="143"/>
      <c r="T41" s="143"/>
      <c r="U41" s="143"/>
      <c r="V41" s="143"/>
      <c r="W41" s="143"/>
      <c r="X41" s="143"/>
      <c r="Y41" s="143"/>
      <c r="Z41" s="143"/>
      <c r="AA41" s="143"/>
      <c r="AB41" s="143"/>
      <c r="AC41" s="143"/>
      <c r="AD41" s="143"/>
      <c r="AE41" s="143"/>
      <c r="AF41" s="143"/>
      <c r="AG41" s="143"/>
      <c r="AH41" s="143"/>
      <c r="AI41" s="143"/>
      <c r="AJ41" s="143"/>
      <c r="AK41" s="143"/>
      <c r="AL41" s="143"/>
      <c r="AM41" s="143"/>
      <c r="AN41" s="143"/>
      <c r="AO41" s="143"/>
      <c r="AP41" s="143"/>
      <c r="AQ41" s="143"/>
      <c r="AR41" s="143"/>
      <c r="AS41" s="143"/>
      <c r="AT41" s="143"/>
    </row>
    <row r="42" spans="1:62" x14ac:dyDescent="0.2">
      <c r="A42" s="164" t="s">
        <v>5631</v>
      </c>
      <c r="B42" s="145">
        <v>9149012</v>
      </c>
      <c r="C42" s="307">
        <v>20</v>
      </c>
      <c r="E42" s="141"/>
      <c r="F42" s="141"/>
      <c r="G42" s="1644"/>
      <c r="H42" s="141"/>
      <c r="I42" s="141"/>
      <c r="J42" s="141"/>
      <c r="K42" s="141"/>
      <c r="L42" s="141"/>
      <c r="M42" s="141"/>
      <c r="N42" s="141"/>
      <c r="O42" s="141"/>
      <c r="P42" s="141"/>
      <c r="Q42" s="141"/>
      <c r="R42" s="141"/>
      <c r="S42" s="141"/>
      <c r="T42" s="141"/>
      <c r="U42" s="141"/>
      <c r="V42" s="141"/>
      <c r="W42" s="141"/>
      <c r="X42" s="141"/>
      <c r="Y42" s="141"/>
      <c r="Z42" s="141"/>
      <c r="AA42" s="141"/>
      <c r="AB42" s="141"/>
      <c r="AC42" s="141"/>
      <c r="AD42" s="141"/>
      <c r="AE42" s="141"/>
      <c r="AF42" s="141"/>
      <c r="AG42" s="141"/>
      <c r="AH42" s="141"/>
      <c r="AI42" s="141"/>
      <c r="AJ42" s="184"/>
      <c r="AK42" s="184"/>
      <c r="AL42" s="184"/>
      <c r="AM42" s="184"/>
      <c r="AN42" s="184"/>
      <c r="AO42" s="184"/>
      <c r="AP42" s="184"/>
      <c r="AQ42" s="184"/>
      <c r="AR42" s="184"/>
      <c r="AS42" s="184"/>
      <c r="AT42" s="184"/>
      <c r="AU42" s="184"/>
      <c r="AV42" s="184"/>
      <c r="AW42" s="184"/>
      <c r="AX42" s="184"/>
      <c r="AY42" s="184"/>
      <c r="AZ42" s="184"/>
      <c r="BA42" s="184"/>
      <c r="BB42" s="184"/>
      <c r="BC42" s="184"/>
      <c r="BD42" s="184"/>
      <c r="BE42" s="184"/>
      <c r="BF42" s="184"/>
      <c r="BG42" s="184"/>
      <c r="BH42" s="184"/>
      <c r="BI42" s="184"/>
      <c r="BJ42" s="184"/>
    </row>
    <row r="43" spans="1:62" x14ac:dyDescent="0.2">
      <c r="A43" s="164" t="s">
        <v>3637</v>
      </c>
      <c r="B43" s="145">
        <v>1551441</v>
      </c>
      <c r="C43" s="307">
        <v>97</v>
      </c>
      <c r="E43" s="184"/>
      <c r="F43" s="184"/>
      <c r="G43" s="184"/>
      <c r="H43" s="184"/>
      <c r="I43" s="184"/>
      <c r="J43" s="184"/>
      <c r="K43" s="184"/>
      <c r="L43" s="184"/>
      <c r="M43" s="184"/>
      <c r="N43" s="184"/>
      <c r="O43" s="184"/>
      <c r="P43" s="184"/>
      <c r="Q43" s="184"/>
      <c r="R43" s="184"/>
      <c r="S43" s="184"/>
      <c r="T43" s="184"/>
      <c r="U43" s="184"/>
      <c r="V43" s="184"/>
      <c r="W43" s="184"/>
      <c r="X43" s="184"/>
      <c r="Y43" s="184"/>
      <c r="Z43" s="184"/>
      <c r="AA43" s="184"/>
      <c r="AB43" s="184"/>
      <c r="AC43" s="184"/>
      <c r="AD43" s="184"/>
      <c r="AE43" s="184"/>
      <c r="AF43" s="184"/>
      <c r="AG43" s="184"/>
      <c r="AH43" s="184"/>
      <c r="AI43" s="184"/>
      <c r="AJ43" s="184"/>
      <c r="AK43" s="184"/>
      <c r="AL43" s="184"/>
      <c r="AM43" s="184"/>
      <c r="AN43" s="184"/>
      <c r="AO43" s="184"/>
      <c r="AP43" s="184"/>
      <c r="AQ43" s="184"/>
      <c r="AR43" s="184"/>
      <c r="AS43" s="184"/>
      <c r="AT43" s="184"/>
      <c r="AU43" s="184"/>
      <c r="AV43" s="184"/>
      <c r="AW43" s="184"/>
      <c r="AX43" s="184"/>
      <c r="AY43" s="184"/>
      <c r="AZ43" s="184"/>
      <c r="BA43" s="184"/>
      <c r="BB43" s="184"/>
      <c r="BC43" s="184"/>
      <c r="BD43" s="184"/>
      <c r="BE43" s="184"/>
      <c r="BF43" s="184"/>
      <c r="BG43" s="184"/>
      <c r="BH43" s="184"/>
      <c r="BI43" s="184"/>
      <c r="BJ43" s="184"/>
    </row>
    <row r="44" spans="1:62" x14ac:dyDescent="0.2">
      <c r="A44" s="164" t="s">
        <v>5632</v>
      </c>
      <c r="B44" s="1645"/>
      <c r="C44" s="307"/>
      <c r="E44" s="141"/>
      <c r="F44" s="141"/>
      <c r="G44" s="141"/>
      <c r="H44" s="141"/>
      <c r="I44" s="141"/>
      <c r="J44" s="141"/>
      <c r="K44" s="141"/>
      <c r="L44" s="141"/>
      <c r="M44" s="141"/>
      <c r="N44" s="141"/>
      <c r="O44" s="141"/>
      <c r="P44" s="141"/>
      <c r="Q44" s="141"/>
      <c r="R44" s="141"/>
      <c r="S44" s="141"/>
      <c r="T44" s="141"/>
      <c r="U44" s="141"/>
      <c r="V44" s="141"/>
      <c r="W44" s="141"/>
      <c r="X44" s="141"/>
      <c r="Y44" s="141"/>
      <c r="Z44" s="141"/>
      <c r="AA44" s="141"/>
      <c r="AB44" s="141"/>
      <c r="AC44" s="141"/>
      <c r="AD44" s="141"/>
      <c r="AE44" s="141"/>
      <c r="AF44" s="141"/>
      <c r="AG44" s="141"/>
      <c r="AH44" s="184"/>
      <c r="AI44" s="184"/>
      <c r="AJ44" s="184"/>
      <c r="AK44" s="184"/>
      <c r="AL44" s="184"/>
      <c r="AM44" s="184"/>
      <c r="AN44" s="184"/>
      <c r="AO44" s="184"/>
      <c r="AP44" s="184"/>
      <c r="AQ44" s="184"/>
      <c r="AR44" s="184"/>
      <c r="AS44" s="184"/>
      <c r="AT44" s="184"/>
      <c r="AU44" s="184"/>
      <c r="AV44" s="184"/>
      <c r="AW44" s="184"/>
      <c r="AX44" s="184"/>
      <c r="AY44" s="184"/>
      <c r="AZ44" s="184"/>
      <c r="BA44" s="184"/>
      <c r="BB44" s="184"/>
      <c r="BC44" s="184"/>
      <c r="BD44" s="184"/>
      <c r="BE44" s="184"/>
      <c r="BF44" s="184"/>
      <c r="BG44" s="184"/>
      <c r="BH44" s="184"/>
      <c r="BI44" s="184"/>
      <c r="BJ44" s="184"/>
    </row>
    <row r="45" spans="1:62" x14ac:dyDescent="0.2">
      <c r="A45" s="1643">
        <v>1906</v>
      </c>
      <c r="B45" s="145"/>
      <c r="C45" s="307"/>
      <c r="E45" s="184"/>
      <c r="F45" s="184"/>
      <c r="G45" s="184"/>
      <c r="H45" s="184"/>
      <c r="I45" s="184"/>
      <c r="J45" s="184"/>
      <c r="K45" s="184"/>
      <c r="L45" s="184"/>
      <c r="M45" s="184"/>
      <c r="N45" s="184"/>
      <c r="O45" s="184"/>
      <c r="P45" s="184"/>
      <c r="Q45" s="184"/>
      <c r="R45" s="184"/>
      <c r="S45" s="184"/>
      <c r="T45" s="184"/>
      <c r="U45" s="184"/>
      <c r="V45" s="184"/>
      <c r="W45" s="184"/>
      <c r="X45" s="184"/>
      <c r="Y45" s="184"/>
      <c r="Z45" s="184"/>
      <c r="AA45" s="184"/>
      <c r="AB45" s="184"/>
      <c r="AC45" s="184"/>
      <c r="AD45" s="184"/>
      <c r="AE45" s="184"/>
      <c r="AF45" s="184"/>
      <c r="AG45" s="184"/>
      <c r="AH45" s="184"/>
      <c r="AI45" s="184"/>
      <c r="AJ45" s="184"/>
      <c r="AK45" s="184"/>
      <c r="AL45" s="184"/>
      <c r="AM45" s="184"/>
      <c r="AN45" s="184"/>
      <c r="AO45" s="184"/>
      <c r="AP45" s="184"/>
      <c r="AQ45" s="184"/>
      <c r="AR45" s="184"/>
      <c r="AS45" s="184"/>
      <c r="AT45" s="184"/>
      <c r="AU45" s="184"/>
      <c r="AV45" s="184"/>
      <c r="AW45" s="184"/>
      <c r="AX45" s="184"/>
      <c r="AY45" s="184"/>
      <c r="AZ45" s="184"/>
      <c r="BA45" s="184"/>
      <c r="BB45" s="184"/>
      <c r="BC45" s="184"/>
      <c r="BD45" s="184"/>
      <c r="BE45" s="184"/>
      <c r="BF45" s="184"/>
      <c r="BG45" s="184"/>
      <c r="BH45" s="184"/>
      <c r="BI45" s="184"/>
      <c r="BJ45" s="184"/>
    </row>
    <row r="46" spans="1:62" x14ac:dyDescent="0.2">
      <c r="A46" s="164" t="s">
        <v>5631</v>
      </c>
      <c r="B46" s="145">
        <v>13935674</v>
      </c>
      <c r="C46" s="307">
        <v>22</v>
      </c>
      <c r="E46" s="184"/>
      <c r="F46" s="184"/>
      <c r="G46" s="184"/>
      <c r="H46" s="184"/>
      <c r="I46" s="184"/>
      <c r="J46" s="184"/>
      <c r="K46" s="184"/>
      <c r="L46" s="184"/>
      <c r="M46" s="184"/>
      <c r="N46" s="184"/>
      <c r="O46" s="184"/>
      <c r="P46" s="184"/>
      <c r="Q46" s="184"/>
      <c r="R46" s="184"/>
      <c r="S46" s="184"/>
      <c r="T46" s="184"/>
      <c r="U46" s="184"/>
      <c r="V46" s="184"/>
      <c r="W46" s="184"/>
      <c r="X46" s="184"/>
      <c r="Y46" s="184"/>
      <c r="Z46" s="184"/>
      <c r="AA46" s="184"/>
      <c r="AB46" s="184"/>
      <c r="AC46" s="184"/>
      <c r="AD46" s="184"/>
      <c r="AE46" s="184"/>
      <c r="AF46" s="184"/>
      <c r="AG46" s="184"/>
      <c r="AH46" s="184"/>
      <c r="AI46" s="184"/>
      <c r="AJ46" s="184"/>
      <c r="AK46" s="184"/>
      <c r="AL46" s="184"/>
      <c r="AM46" s="184"/>
      <c r="AN46" s="184"/>
      <c r="AO46" s="184"/>
      <c r="AP46" s="184"/>
      <c r="AQ46" s="184"/>
      <c r="AR46" s="184"/>
      <c r="AS46" s="184"/>
      <c r="AT46" s="184"/>
      <c r="AU46" s="184"/>
      <c r="AV46" s="184"/>
      <c r="AW46" s="184"/>
      <c r="AX46" s="184"/>
      <c r="AY46" s="184"/>
      <c r="AZ46" s="184"/>
      <c r="BA46" s="184"/>
      <c r="BB46" s="184"/>
      <c r="BC46" s="184"/>
      <c r="BD46" s="184"/>
      <c r="BE46" s="184"/>
      <c r="BF46" s="184"/>
      <c r="BG46" s="184"/>
      <c r="BH46" s="184"/>
      <c r="BI46" s="184"/>
      <c r="BJ46" s="184"/>
    </row>
    <row r="47" spans="1:62" x14ac:dyDescent="0.2">
      <c r="A47" s="164" t="s">
        <v>3637</v>
      </c>
      <c r="B47" s="145">
        <v>2521472</v>
      </c>
      <c r="C47" s="307">
        <v>39</v>
      </c>
    </row>
    <row r="48" spans="1:62" x14ac:dyDescent="0.2">
      <c r="A48" s="164" t="s">
        <v>5633</v>
      </c>
      <c r="B48" s="145"/>
      <c r="C48" s="307"/>
    </row>
    <row r="49" spans="1:3" x14ac:dyDescent="0.2">
      <c r="A49" s="1643">
        <v>1907</v>
      </c>
      <c r="B49" s="145"/>
      <c r="C49" s="307"/>
    </row>
    <row r="50" spans="1:3" x14ac:dyDescent="0.2">
      <c r="A50" s="164" t="s">
        <v>5631</v>
      </c>
      <c r="B50" s="145">
        <v>15829655</v>
      </c>
      <c r="C50" s="307">
        <v>59</v>
      </c>
    </row>
    <row r="51" spans="1:3" x14ac:dyDescent="0.2">
      <c r="A51" s="164" t="s">
        <v>3637</v>
      </c>
      <c r="B51" s="145">
        <v>3508117</v>
      </c>
      <c r="C51" s="307">
        <v>42</v>
      </c>
    </row>
    <row r="52" spans="1:3" x14ac:dyDescent="0.2">
      <c r="A52" s="164" t="s">
        <v>5634</v>
      </c>
      <c r="B52" s="145"/>
      <c r="C52" s="307"/>
    </row>
    <row r="53" spans="1:3" x14ac:dyDescent="0.2">
      <c r="A53" s="1643">
        <v>1908</v>
      </c>
      <c r="B53" s="145"/>
      <c r="C53" s="307"/>
    </row>
    <row r="54" spans="1:3" x14ac:dyDescent="0.2">
      <c r="A54" s="164" t="s">
        <v>5631</v>
      </c>
      <c r="B54" s="145">
        <v>16138444</v>
      </c>
      <c r="C54" s="307">
        <v>48</v>
      </c>
    </row>
    <row r="55" spans="1:3" x14ac:dyDescent="0.2">
      <c r="A55" s="164" t="s">
        <v>3637</v>
      </c>
      <c r="B55" s="145">
        <v>4960896</v>
      </c>
      <c r="C55" s="307">
        <v>5</v>
      </c>
    </row>
    <row r="56" spans="1:3" x14ac:dyDescent="0.2">
      <c r="A56" s="164" t="s">
        <v>5635</v>
      </c>
    </row>
    <row r="57" spans="1:3" x14ac:dyDescent="0.2">
      <c r="A57" s="1643">
        <v>1909</v>
      </c>
      <c r="B57" s="145"/>
      <c r="C57" s="307"/>
    </row>
    <row r="58" spans="1:3" x14ac:dyDescent="0.2">
      <c r="A58" s="164" t="s">
        <v>5631</v>
      </c>
      <c r="B58" s="145">
        <v>14437100</v>
      </c>
      <c r="C58" s="307">
        <v>4</v>
      </c>
    </row>
    <row r="59" spans="1:3" x14ac:dyDescent="0.2">
      <c r="A59" s="164" t="s">
        <v>3637</v>
      </c>
      <c r="B59" s="145">
        <v>3376576</v>
      </c>
      <c r="C59" s="307">
        <v>22</v>
      </c>
    </row>
    <row r="60" spans="1:3" x14ac:dyDescent="0.2">
      <c r="A60" s="164" t="s">
        <v>5636</v>
      </c>
      <c r="B60" s="145"/>
      <c r="C60" s="307"/>
    </row>
    <row r="61" spans="1:3" x14ac:dyDescent="0.2">
      <c r="A61" s="1643">
        <v>1910</v>
      </c>
      <c r="B61" s="145"/>
      <c r="C61" s="307"/>
    </row>
    <row r="62" spans="1:3" x14ac:dyDescent="0.2">
      <c r="A62" s="164" t="s">
        <v>5631</v>
      </c>
      <c r="B62" s="145">
        <v>12220760</v>
      </c>
      <c r="C62" s="307">
        <v>44</v>
      </c>
    </row>
    <row r="63" spans="1:3" x14ac:dyDescent="0.2">
      <c r="A63" s="164" t="s">
        <v>3637</v>
      </c>
      <c r="B63" s="145">
        <v>1082258</v>
      </c>
      <c r="C63" s="307">
        <v>60</v>
      </c>
    </row>
    <row r="64" spans="1:3" x14ac:dyDescent="0.2">
      <c r="A64" s="164" t="s">
        <v>5637</v>
      </c>
      <c r="B64" s="145"/>
      <c r="C64" s="307"/>
    </row>
    <row r="65" spans="1:5" x14ac:dyDescent="0.2">
      <c r="A65" s="1643">
        <v>1911</v>
      </c>
      <c r="B65" s="145"/>
      <c r="C65" s="307"/>
    </row>
    <row r="66" spans="1:5" x14ac:dyDescent="0.2">
      <c r="A66" s="164" t="s">
        <v>5631</v>
      </c>
      <c r="B66" s="145">
        <v>12450489</v>
      </c>
      <c r="C66" s="307">
        <v>46</v>
      </c>
    </row>
    <row r="67" spans="1:5" x14ac:dyDescent="0.2">
      <c r="A67" s="164" t="s">
        <v>3637</v>
      </c>
      <c r="B67" s="145">
        <v>837582</v>
      </c>
      <c r="C67" s="307">
        <v>25</v>
      </c>
    </row>
    <row r="68" spans="1:5" x14ac:dyDescent="0.2">
      <c r="A68" s="164" t="s">
        <v>5638</v>
      </c>
      <c r="B68" s="145"/>
      <c r="C68" s="307"/>
    </row>
    <row r="69" spans="1:5" x14ac:dyDescent="0.2">
      <c r="A69" s="1643">
        <v>1912</v>
      </c>
      <c r="B69" s="145"/>
      <c r="C69" s="307"/>
    </row>
    <row r="70" spans="1:5" x14ac:dyDescent="0.2">
      <c r="A70" s="164" t="s">
        <v>5631</v>
      </c>
      <c r="B70" s="145">
        <v>13862317</v>
      </c>
      <c r="C70" s="307">
        <v>37</v>
      </c>
    </row>
    <row r="71" spans="1:5" x14ac:dyDescent="0.2">
      <c r="A71" s="164" t="s">
        <v>5639</v>
      </c>
      <c r="B71" s="145">
        <v>852577</v>
      </c>
      <c r="C71" s="307"/>
    </row>
    <row r="72" spans="1:5" x14ac:dyDescent="0.2">
      <c r="A72" s="151" t="s">
        <v>5640</v>
      </c>
      <c r="B72" s="309"/>
      <c r="C72" s="364"/>
    </row>
    <row r="76" spans="1:5" x14ac:dyDescent="0.2">
      <c r="A76" s="113" t="s">
        <v>1182</v>
      </c>
    </row>
    <row r="77" spans="1:5" ht="33.5" customHeight="1" x14ac:dyDescent="0.2">
      <c r="A77" s="598" t="s">
        <v>5641</v>
      </c>
      <c r="B77" s="599"/>
      <c r="C77" s="599"/>
      <c r="D77" s="599"/>
      <c r="E77" s="600"/>
    </row>
    <row r="78" spans="1:5" ht="28.25" customHeight="1" x14ac:dyDescent="0.2">
      <c r="A78" s="507" t="s">
        <v>5642</v>
      </c>
      <c r="B78" s="252" t="s">
        <v>5643</v>
      </c>
      <c r="C78" s="254"/>
      <c r="D78" s="253" t="s">
        <v>5644</v>
      </c>
      <c r="E78" s="254"/>
    </row>
    <row r="79" spans="1:5" x14ac:dyDescent="0.2">
      <c r="A79" s="164" t="s">
        <v>1367</v>
      </c>
      <c r="B79" s="131">
        <v>1498741</v>
      </c>
      <c r="C79" s="307"/>
      <c r="D79" s="145">
        <v>1498741</v>
      </c>
      <c r="E79" s="307"/>
    </row>
    <row r="80" spans="1:5" x14ac:dyDescent="0.2">
      <c r="A80" s="164" t="s">
        <v>5645</v>
      </c>
      <c r="B80" s="131">
        <v>222116</v>
      </c>
      <c r="C80" s="307">
        <v>80</v>
      </c>
      <c r="D80" s="145">
        <v>214509</v>
      </c>
      <c r="E80" s="307">
        <v>50</v>
      </c>
    </row>
    <row r="81" spans="1:5" x14ac:dyDescent="0.2">
      <c r="A81" s="164" t="s">
        <v>2666</v>
      </c>
      <c r="B81" s="131">
        <v>526580</v>
      </c>
      <c r="C81" s="307"/>
      <c r="D81" s="145">
        <v>526580</v>
      </c>
      <c r="E81" s="307"/>
    </row>
    <row r="82" spans="1:5" x14ac:dyDescent="0.2">
      <c r="A82" s="164" t="s">
        <v>2693</v>
      </c>
      <c r="B82" s="131">
        <v>649535</v>
      </c>
      <c r="C82" s="307">
        <v>20</v>
      </c>
      <c r="D82" s="145">
        <v>649535</v>
      </c>
      <c r="E82" s="307">
        <v>20</v>
      </c>
    </row>
    <row r="83" spans="1:5" x14ac:dyDescent="0.2">
      <c r="A83" s="164" t="s">
        <v>5646</v>
      </c>
      <c r="B83" s="131">
        <v>507241</v>
      </c>
      <c r="C83" s="307">
        <v>29</v>
      </c>
      <c r="D83" s="145">
        <v>495077</v>
      </c>
      <c r="E83" s="307">
        <v>55</v>
      </c>
    </row>
    <row r="84" spans="1:5" x14ac:dyDescent="0.2">
      <c r="A84" s="164" t="s">
        <v>2694</v>
      </c>
      <c r="B84" s="131">
        <v>191650</v>
      </c>
      <c r="C84" s="307">
        <v>20</v>
      </c>
      <c r="D84" s="145">
        <v>191650</v>
      </c>
      <c r="E84" s="307">
        <v>20</v>
      </c>
    </row>
    <row r="85" spans="1:5" x14ac:dyDescent="0.2">
      <c r="A85" s="164" t="s">
        <v>2668</v>
      </c>
      <c r="B85" s="131">
        <v>903000</v>
      </c>
      <c r="C85" s="307"/>
      <c r="D85" s="145">
        <v>903000</v>
      </c>
      <c r="E85" s="307"/>
    </row>
    <row r="86" spans="1:5" x14ac:dyDescent="0.2">
      <c r="A86" s="164" t="s">
        <v>5647</v>
      </c>
      <c r="B86" s="131">
        <v>128000</v>
      </c>
      <c r="C86" s="307"/>
      <c r="D86" s="145">
        <v>128000</v>
      </c>
      <c r="E86" s="307"/>
    </row>
    <row r="87" spans="1:5" x14ac:dyDescent="0.2">
      <c r="A87" s="164" t="s">
        <v>2695</v>
      </c>
      <c r="B87" s="131">
        <v>320911</v>
      </c>
      <c r="C87" s="307">
        <v>80</v>
      </c>
      <c r="D87" s="145">
        <v>320740</v>
      </c>
      <c r="E87" s="307">
        <v>50</v>
      </c>
    </row>
    <row r="88" spans="1:5" x14ac:dyDescent="0.2">
      <c r="A88" s="164" t="s">
        <v>5648</v>
      </c>
      <c r="B88" s="131">
        <v>147665</v>
      </c>
      <c r="C88" s="307">
        <v>10</v>
      </c>
      <c r="D88" s="145">
        <v>147665</v>
      </c>
      <c r="E88" s="307">
        <v>10</v>
      </c>
    </row>
    <row r="89" spans="1:5" x14ac:dyDescent="0.2">
      <c r="A89" s="164" t="s">
        <v>2671</v>
      </c>
      <c r="B89" s="131">
        <v>312940</v>
      </c>
      <c r="C89" s="307"/>
      <c r="D89" s="145">
        <v>429664</v>
      </c>
      <c r="E89" s="307"/>
    </row>
    <row r="90" spans="1:5" x14ac:dyDescent="0.2">
      <c r="A90" s="164" t="s">
        <v>5649</v>
      </c>
      <c r="B90" s="131">
        <v>279500</v>
      </c>
      <c r="C90" s="307"/>
      <c r="D90" s="145">
        <v>279315</v>
      </c>
      <c r="E90" s="307">
        <v>60</v>
      </c>
    </row>
    <row r="91" spans="1:5" x14ac:dyDescent="0.2">
      <c r="A91" s="164" t="s">
        <v>2672</v>
      </c>
      <c r="B91" s="131">
        <v>395843</v>
      </c>
      <c r="C91" s="307">
        <v>82</v>
      </c>
      <c r="D91" s="145">
        <v>409712</v>
      </c>
      <c r="E91" s="307">
        <v>2</v>
      </c>
    </row>
    <row r="92" spans="1:5" x14ac:dyDescent="0.2">
      <c r="A92" s="151" t="s">
        <v>5650</v>
      </c>
      <c r="B92" s="230">
        <v>607804</v>
      </c>
      <c r="C92" s="364"/>
      <c r="D92" s="309">
        <v>607804</v>
      </c>
      <c r="E92" s="364"/>
    </row>
    <row r="151" spans="2:232" x14ac:dyDescent="0.2">
      <c r="B151" s="143"/>
      <c r="C151" s="143"/>
      <c r="D151" s="143"/>
      <c r="E151" s="143"/>
      <c r="F151" s="143"/>
      <c r="G151" s="143"/>
      <c r="H151" s="143"/>
      <c r="I151" s="143"/>
      <c r="J151" s="143"/>
      <c r="K151" s="143"/>
      <c r="L151" s="143"/>
      <c r="M151" s="143"/>
      <c r="N151" s="143"/>
      <c r="O151" s="143"/>
      <c r="P151" s="143"/>
      <c r="Q151" s="143"/>
      <c r="R151" s="143"/>
      <c r="S151" s="143"/>
      <c r="T151" s="143"/>
      <c r="U151" s="143"/>
      <c r="V151" s="143"/>
      <c r="W151" s="143"/>
      <c r="X151" s="143"/>
      <c r="Y151" s="143"/>
      <c r="Z151" s="143"/>
      <c r="AA151" s="143"/>
      <c r="AB151" s="143"/>
      <c r="AC151" s="143"/>
      <c r="AD151" s="143"/>
      <c r="AE151" s="143"/>
      <c r="AF151" s="143"/>
      <c r="AG151" s="143"/>
      <c r="AH151" s="143"/>
      <c r="AI151" s="143"/>
      <c r="AJ151" s="143"/>
      <c r="AK151" s="143"/>
      <c r="AL151" s="143"/>
      <c r="AM151" s="143"/>
      <c r="AN151" s="143"/>
      <c r="AO151" s="143"/>
      <c r="AP151" s="143"/>
      <c r="AQ151" s="143"/>
      <c r="AR151" s="143"/>
      <c r="AS151" s="143"/>
      <c r="AT151" s="143"/>
      <c r="AU151" s="143"/>
      <c r="AV151" s="143"/>
      <c r="AW151" s="143"/>
      <c r="AX151" s="143"/>
      <c r="AY151" s="143"/>
      <c r="AZ151" s="143"/>
      <c r="BA151" s="143"/>
      <c r="BB151" s="143"/>
      <c r="BC151" s="143"/>
      <c r="BD151" s="143"/>
      <c r="BE151" s="143"/>
      <c r="BF151" s="143"/>
      <c r="BG151" s="143"/>
      <c r="BH151" s="143"/>
      <c r="BI151" s="143"/>
      <c r="BJ151" s="143"/>
      <c r="BK151" s="143"/>
      <c r="BL151" s="143"/>
      <c r="BM151" s="143"/>
      <c r="BN151" s="143"/>
      <c r="BO151" s="143"/>
      <c r="BP151" s="143"/>
      <c r="BQ151" s="143"/>
      <c r="BR151" s="143"/>
      <c r="BS151" s="143"/>
      <c r="BT151" s="143"/>
      <c r="BU151" s="143"/>
      <c r="BV151" s="143"/>
      <c r="BW151" s="143"/>
      <c r="BX151" s="143"/>
      <c r="BY151" s="143"/>
      <c r="BZ151" s="143"/>
      <c r="CA151" s="143"/>
      <c r="CB151" s="143"/>
      <c r="CC151" s="143"/>
      <c r="CD151" s="143"/>
      <c r="CE151" s="143"/>
      <c r="CF151" s="143"/>
      <c r="CG151" s="143"/>
      <c r="CH151" s="143"/>
      <c r="CI151" s="143"/>
      <c r="CJ151" s="143"/>
      <c r="CK151" s="143"/>
      <c r="CL151" s="143"/>
      <c r="CM151" s="143"/>
      <c r="CN151" s="143"/>
      <c r="CO151" s="143"/>
      <c r="CP151" s="143"/>
      <c r="CQ151" s="143"/>
      <c r="CR151" s="143"/>
      <c r="CS151" s="143"/>
      <c r="CT151" s="143"/>
      <c r="CU151" s="143"/>
      <c r="CV151" s="143"/>
      <c r="CW151" s="143"/>
      <c r="CX151" s="143"/>
      <c r="CY151" s="143"/>
      <c r="CZ151" s="143"/>
      <c r="DA151" s="143"/>
      <c r="DB151" s="143"/>
      <c r="DC151" s="143"/>
      <c r="DD151" s="143"/>
      <c r="DE151" s="143"/>
      <c r="DF151" s="143"/>
      <c r="DG151" s="143"/>
      <c r="DH151" s="143"/>
      <c r="DI151" s="143"/>
      <c r="DJ151" s="143"/>
      <c r="DK151" s="143"/>
      <c r="DL151" s="143"/>
      <c r="DM151" s="143"/>
      <c r="DN151" s="143"/>
      <c r="DO151" s="143"/>
      <c r="DP151" s="143"/>
      <c r="DQ151" s="143"/>
      <c r="DR151" s="143"/>
      <c r="DS151" s="143"/>
      <c r="DT151" s="143"/>
      <c r="DU151" s="143"/>
      <c r="DV151" s="143"/>
      <c r="DW151" s="143"/>
      <c r="DX151" s="143"/>
      <c r="DY151" s="143"/>
      <c r="DZ151" s="143"/>
      <c r="EA151" s="143"/>
      <c r="EB151" s="143"/>
      <c r="EC151" s="143"/>
      <c r="ED151" s="143"/>
      <c r="EE151" s="143"/>
      <c r="EF151" s="143"/>
      <c r="EG151" s="143"/>
      <c r="EH151" s="143"/>
      <c r="EI151" s="143"/>
      <c r="EJ151" s="143"/>
      <c r="EK151" s="143"/>
      <c r="EL151" s="143"/>
      <c r="EM151" s="143"/>
      <c r="EN151" s="143"/>
      <c r="EO151" s="143"/>
      <c r="EP151" s="143"/>
      <c r="EQ151" s="143"/>
      <c r="ER151" s="143"/>
      <c r="ES151" s="143"/>
      <c r="ET151" s="143"/>
      <c r="EU151" s="143"/>
      <c r="EV151" s="143"/>
      <c r="EW151" s="143"/>
      <c r="EX151" s="143"/>
      <c r="EY151" s="143"/>
      <c r="EZ151" s="143"/>
      <c r="FA151" s="143"/>
      <c r="FB151" s="143"/>
      <c r="FC151" s="143"/>
      <c r="FD151" s="143"/>
      <c r="FE151" s="143"/>
      <c r="FF151" s="143"/>
      <c r="FG151" s="143"/>
      <c r="FH151" s="143"/>
      <c r="FI151" s="143"/>
      <c r="FJ151" s="143"/>
      <c r="FK151" s="143"/>
      <c r="FL151" s="143"/>
      <c r="FM151" s="143"/>
      <c r="FN151" s="143"/>
      <c r="FO151" s="143"/>
      <c r="FP151" s="143"/>
      <c r="FQ151" s="143"/>
      <c r="FR151" s="143"/>
      <c r="FS151" s="143"/>
      <c r="FT151" s="143"/>
      <c r="FU151" s="143"/>
      <c r="FV151" s="143"/>
      <c r="FW151" s="143"/>
      <c r="FX151" s="143"/>
      <c r="FY151" s="143"/>
      <c r="FZ151" s="143"/>
      <c r="GA151" s="143"/>
      <c r="GB151" s="143"/>
      <c r="GC151" s="143"/>
      <c r="GD151" s="143"/>
      <c r="GE151" s="143"/>
      <c r="GF151" s="143"/>
      <c r="GG151" s="143"/>
      <c r="GH151" s="143"/>
      <c r="GI151" s="143"/>
      <c r="GJ151" s="143"/>
      <c r="GK151" s="143"/>
      <c r="GL151" s="143"/>
      <c r="GM151" s="143"/>
      <c r="GN151" s="143"/>
      <c r="GO151" s="143"/>
      <c r="GP151" s="143"/>
      <c r="GQ151" s="143"/>
      <c r="GR151" s="143"/>
      <c r="GS151" s="143"/>
      <c r="GT151" s="143"/>
      <c r="GU151" s="143"/>
      <c r="GV151" s="143"/>
      <c r="GW151" s="143"/>
      <c r="GX151" s="143"/>
      <c r="GY151" s="143"/>
      <c r="GZ151" s="143"/>
      <c r="HA151" s="143"/>
      <c r="HB151" s="143"/>
      <c r="HC151" s="143"/>
      <c r="HD151" s="143"/>
      <c r="HE151" s="143"/>
      <c r="HF151" s="143"/>
      <c r="HG151" s="143"/>
      <c r="HH151" s="143"/>
      <c r="HI151" s="143"/>
      <c r="HJ151" s="143"/>
      <c r="HK151" s="143"/>
      <c r="HL151" s="143"/>
      <c r="HM151" s="143"/>
      <c r="HN151" s="143"/>
      <c r="HO151" s="143"/>
      <c r="HP151" s="143"/>
      <c r="HQ151" s="143"/>
      <c r="HR151" s="143"/>
      <c r="HS151" s="143"/>
      <c r="HT151" s="143"/>
      <c r="HU151" s="143"/>
      <c r="HV151" s="143"/>
      <c r="HW151" s="143"/>
      <c r="HX151" s="143"/>
    </row>
    <row r="152" spans="2:232" x14ac:dyDescent="0.2">
      <c r="B152" s="143"/>
      <c r="C152" s="143"/>
      <c r="D152" s="143"/>
      <c r="E152" s="143"/>
      <c r="F152" s="143"/>
      <c r="G152" s="143"/>
      <c r="H152" s="143"/>
      <c r="I152" s="143"/>
      <c r="J152" s="143"/>
      <c r="K152" s="143"/>
      <c r="L152" s="143"/>
      <c r="M152" s="143"/>
      <c r="N152" s="143"/>
      <c r="O152" s="143"/>
      <c r="P152" s="143"/>
      <c r="Q152" s="143"/>
      <c r="R152" s="143"/>
      <c r="S152" s="143"/>
      <c r="T152" s="143"/>
      <c r="U152" s="143"/>
      <c r="V152" s="143"/>
      <c r="W152" s="143"/>
      <c r="X152" s="143"/>
      <c r="Y152" s="143"/>
      <c r="Z152" s="143"/>
      <c r="AA152" s="143"/>
      <c r="AB152" s="143"/>
      <c r="AC152" s="143"/>
      <c r="AD152" s="143"/>
      <c r="AE152" s="143"/>
      <c r="AF152" s="143"/>
      <c r="AG152" s="143"/>
      <c r="AH152" s="143"/>
      <c r="AI152" s="143"/>
      <c r="AJ152" s="143"/>
      <c r="AK152" s="143"/>
      <c r="AL152" s="143"/>
      <c r="AM152" s="143"/>
      <c r="AN152" s="143"/>
      <c r="AO152" s="143"/>
      <c r="AP152" s="143"/>
      <c r="AQ152" s="143"/>
      <c r="AR152" s="143"/>
      <c r="AS152" s="143"/>
      <c r="AT152" s="143"/>
      <c r="AU152" s="143"/>
      <c r="AV152" s="143"/>
      <c r="AW152" s="143"/>
      <c r="AX152" s="143"/>
      <c r="AY152" s="143"/>
      <c r="AZ152" s="143"/>
      <c r="BA152" s="143"/>
      <c r="BB152" s="143"/>
      <c r="BC152" s="143"/>
      <c r="BD152" s="143"/>
      <c r="BE152" s="143"/>
      <c r="BF152" s="143"/>
      <c r="BG152" s="143"/>
      <c r="BH152" s="143"/>
      <c r="BI152" s="143"/>
      <c r="BJ152" s="143"/>
      <c r="BK152" s="143"/>
      <c r="BL152" s="143"/>
      <c r="BM152" s="143"/>
      <c r="BN152" s="143"/>
      <c r="BO152" s="143"/>
      <c r="BP152" s="143"/>
      <c r="BQ152" s="143"/>
      <c r="BR152" s="143"/>
      <c r="BS152" s="143"/>
      <c r="BT152" s="143"/>
      <c r="BU152" s="143"/>
      <c r="BV152" s="143"/>
      <c r="BW152" s="143"/>
      <c r="BX152" s="143"/>
      <c r="BY152" s="143"/>
      <c r="BZ152" s="143"/>
      <c r="CA152" s="143"/>
      <c r="CB152" s="143"/>
      <c r="CC152" s="143"/>
      <c r="CD152" s="143"/>
      <c r="CE152" s="143"/>
      <c r="CF152" s="143"/>
      <c r="CG152" s="143"/>
      <c r="CH152" s="143"/>
      <c r="CI152" s="143"/>
      <c r="CJ152" s="143"/>
      <c r="CK152" s="143"/>
      <c r="CL152" s="143"/>
      <c r="CM152" s="143"/>
      <c r="CN152" s="143"/>
      <c r="CO152" s="143"/>
      <c r="CP152" s="143"/>
      <c r="CQ152" s="143"/>
      <c r="CR152" s="143"/>
      <c r="CS152" s="143"/>
      <c r="CT152" s="143"/>
      <c r="CU152" s="143"/>
      <c r="CV152" s="143"/>
      <c r="CW152" s="143"/>
      <c r="CX152" s="143"/>
      <c r="CY152" s="143"/>
      <c r="CZ152" s="143"/>
      <c r="DA152" s="143"/>
      <c r="DB152" s="143"/>
      <c r="DC152" s="143"/>
      <c r="DD152" s="143"/>
      <c r="DE152" s="143"/>
      <c r="DF152" s="143"/>
      <c r="DG152" s="143"/>
      <c r="DH152" s="143"/>
      <c r="DI152" s="143"/>
      <c r="DJ152" s="143"/>
      <c r="DK152" s="143"/>
      <c r="DL152" s="143"/>
      <c r="DM152" s="143"/>
      <c r="DN152" s="143"/>
      <c r="DO152" s="143"/>
      <c r="DP152" s="143"/>
      <c r="DQ152" s="143"/>
      <c r="DR152" s="143"/>
      <c r="DS152" s="143"/>
      <c r="DT152" s="143"/>
      <c r="DU152" s="143"/>
      <c r="DV152" s="143"/>
      <c r="DW152" s="143"/>
      <c r="DX152" s="143"/>
      <c r="DY152" s="143"/>
      <c r="DZ152" s="143"/>
      <c r="EA152" s="143"/>
      <c r="EB152" s="143"/>
      <c r="EC152" s="143"/>
      <c r="ED152" s="143"/>
      <c r="EE152" s="143"/>
      <c r="EF152" s="143"/>
      <c r="EG152" s="143"/>
      <c r="EH152" s="143"/>
      <c r="EI152" s="143"/>
      <c r="EJ152" s="143"/>
      <c r="EK152" s="143"/>
      <c r="EL152" s="143"/>
      <c r="EM152" s="143"/>
      <c r="EN152" s="143"/>
      <c r="EO152" s="143"/>
      <c r="EP152" s="143"/>
      <c r="EQ152" s="143"/>
      <c r="ER152" s="143"/>
      <c r="ES152" s="143"/>
      <c r="ET152" s="143"/>
      <c r="EU152" s="143"/>
      <c r="EV152" s="143"/>
      <c r="EW152" s="143"/>
      <c r="EX152" s="143"/>
      <c r="EY152" s="143"/>
      <c r="EZ152" s="143"/>
      <c r="FA152" s="143"/>
      <c r="FB152" s="143"/>
      <c r="FC152" s="143"/>
      <c r="FD152" s="143"/>
      <c r="FE152" s="143"/>
      <c r="FF152" s="143"/>
      <c r="FG152" s="143"/>
      <c r="FH152" s="143"/>
      <c r="FI152" s="143"/>
      <c r="FJ152" s="143"/>
      <c r="FK152" s="143"/>
      <c r="FL152" s="143"/>
      <c r="FM152" s="143"/>
      <c r="FN152" s="143"/>
      <c r="FO152" s="143"/>
      <c r="FP152" s="143"/>
      <c r="FQ152" s="143"/>
      <c r="FR152" s="143"/>
      <c r="FS152" s="143"/>
      <c r="FT152" s="143"/>
      <c r="FU152" s="143"/>
      <c r="FV152" s="143"/>
      <c r="FW152" s="143"/>
      <c r="FX152" s="143"/>
      <c r="FY152" s="143"/>
      <c r="FZ152" s="143"/>
      <c r="GA152" s="143"/>
      <c r="GB152" s="143"/>
      <c r="GC152" s="143"/>
      <c r="GD152" s="143"/>
      <c r="GE152" s="143"/>
      <c r="GF152" s="143"/>
      <c r="GG152" s="143"/>
      <c r="GH152" s="143"/>
      <c r="GI152" s="143"/>
      <c r="GJ152" s="143"/>
      <c r="GK152" s="143"/>
      <c r="GL152" s="143"/>
      <c r="GM152" s="143"/>
      <c r="GN152" s="143"/>
      <c r="GO152" s="143"/>
      <c r="GP152" s="143"/>
      <c r="GQ152" s="143"/>
      <c r="GR152" s="143"/>
      <c r="GS152" s="143"/>
      <c r="GT152" s="143"/>
      <c r="GU152" s="143"/>
      <c r="GV152" s="143"/>
      <c r="GW152" s="143"/>
      <c r="GX152" s="143"/>
      <c r="GY152" s="143"/>
      <c r="GZ152" s="143"/>
      <c r="HA152" s="143"/>
      <c r="HB152" s="143"/>
      <c r="HC152" s="143"/>
      <c r="HD152" s="143"/>
      <c r="HE152" s="143"/>
      <c r="HF152" s="143"/>
      <c r="HG152" s="143"/>
      <c r="HH152" s="143"/>
      <c r="HI152" s="143"/>
      <c r="HJ152" s="143"/>
      <c r="HK152" s="143"/>
      <c r="HL152" s="143"/>
      <c r="HM152" s="143"/>
      <c r="HN152" s="143"/>
      <c r="HO152" s="143"/>
      <c r="HP152" s="143"/>
      <c r="HQ152" s="143"/>
      <c r="HR152" s="143"/>
      <c r="HS152" s="143"/>
      <c r="HT152" s="143"/>
      <c r="HU152" s="143"/>
      <c r="HV152" s="143"/>
      <c r="HW152" s="143"/>
      <c r="HX152" s="143"/>
    </row>
    <row r="154" spans="2:232" x14ac:dyDescent="0.2">
      <c r="B154" s="143"/>
      <c r="C154" s="143"/>
      <c r="D154" s="143"/>
      <c r="E154" s="143"/>
      <c r="F154" s="143"/>
      <c r="G154" s="143"/>
      <c r="H154" s="143"/>
      <c r="I154" s="143"/>
      <c r="J154" s="143"/>
      <c r="K154" s="143"/>
      <c r="L154" s="143"/>
      <c r="M154" s="143"/>
      <c r="N154" s="143"/>
      <c r="O154" s="143"/>
      <c r="P154" s="143"/>
      <c r="Q154" s="143"/>
      <c r="R154" s="143"/>
      <c r="S154" s="143"/>
      <c r="T154" s="143"/>
      <c r="U154" s="143"/>
      <c r="V154" s="143"/>
      <c r="W154" s="143"/>
      <c r="X154" s="143"/>
      <c r="Y154" s="143"/>
      <c r="Z154" s="143"/>
      <c r="AA154" s="143"/>
      <c r="AB154" s="143"/>
      <c r="AC154" s="143"/>
      <c r="AD154" s="143"/>
      <c r="AE154" s="143"/>
      <c r="AF154" s="143"/>
      <c r="AG154" s="143"/>
      <c r="AH154" s="143"/>
      <c r="AI154" s="143"/>
      <c r="AJ154" s="143"/>
      <c r="AK154" s="143"/>
      <c r="AL154" s="143"/>
      <c r="AM154" s="143"/>
      <c r="AN154" s="143"/>
      <c r="AO154" s="143"/>
      <c r="AP154" s="143"/>
      <c r="AQ154" s="143"/>
      <c r="AR154" s="143"/>
      <c r="AS154" s="143"/>
      <c r="AT154" s="143"/>
      <c r="AU154" s="143"/>
      <c r="AV154" s="143"/>
      <c r="AW154" s="143"/>
      <c r="AX154" s="143"/>
      <c r="AY154" s="143"/>
      <c r="AZ154" s="143"/>
      <c r="BA154" s="143"/>
      <c r="BB154" s="143"/>
      <c r="BC154" s="143"/>
      <c r="BD154" s="143"/>
      <c r="BE154" s="143"/>
      <c r="BF154" s="143"/>
      <c r="BG154" s="143"/>
      <c r="BH154" s="143"/>
      <c r="BI154" s="143"/>
      <c r="BJ154" s="143"/>
      <c r="BK154" s="143"/>
      <c r="BL154" s="143"/>
      <c r="BM154" s="143"/>
      <c r="BN154" s="143"/>
      <c r="BO154" s="143"/>
      <c r="BP154" s="143"/>
      <c r="BQ154" s="143"/>
      <c r="BR154" s="143"/>
      <c r="BS154" s="143"/>
      <c r="BT154" s="143"/>
      <c r="BU154" s="143"/>
      <c r="BV154" s="143"/>
      <c r="BW154" s="143"/>
      <c r="BX154" s="143"/>
      <c r="BY154" s="143"/>
      <c r="BZ154" s="143"/>
      <c r="CA154" s="143"/>
      <c r="CB154" s="143"/>
      <c r="CC154" s="143"/>
      <c r="CD154" s="143"/>
      <c r="CE154" s="143"/>
      <c r="CF154" s="143"/>
      <c r="CG154" s="143"/>
      <c r="CH154" s="143"/>
      <c r="CI154" s="143"/>
      <c r="CJ154" s="143"/>
      <c r="CK154" s="143"/>
      <c r="CL154" s="143"/>
      <c r="CM154" s="143"/>
      <c r="CN154" s="143"/>
      <c r="CO154" s="143"/>
      <c r="CP154" s="143"/>
      <c r="CQ154" s="143"/>
      <c r="CR154" s="143"/>
      <c r="CS154" s="143"/>
      <c r="CT154" s="143"/>
      <c r="CU154" s="143"/>
      <c r="CV154" s="143"/>
      <c r="CW154" s="143"/>
      <c r="CX154" s="143"/>
      <c r="CY154" s="143"/>
      <c r="CZ154" s="143"/>
      <c r="DA154" s="143"/>
      <c r="DB154" s="143"/>
      <c r="DC154" s="143"/>
      <c r="DD154" s="143"/>
      <c r="DE154" s="143"/>
      <c r="DF154" s="143"/>
      <c r="DG154" s="143"/>
      <c r="DH154" s="143"/>
      <c r="DI154" s="143"/>
      <c r="DJ154" s="143"/>
      <c r="DK154" s="143"/>
      <c r="DL154" s="143"/>
      <c r="DM154" s="143"/>
      <c r="DN154" s="143"/>
      <c r="DO154" s="143"/>
      <c r="DP154" s="143"/>
      <c r="DQ154" s="143"/>
      <c r="DR154" s="143"/>
      <c r="DS154" s="143"/>
      <c r="DT154" s="143"/>
      <c r="DU154" s="143"/>
      <c r="DV154" s="143"/>
      <c r="DW154" s="143"/>
      <c r="DX154" s="143"/>
      <c r="DY154" s="143"/>
      <c r="DZ154" s="143"/>
      <c r="EA154" s="143"/>
      <c r="EB154" s="143"/>
      <c r="EC154" s="143"/>
      <c r="ED154" s="143"/>
      <c r="EE154" s="143"/>
      <c r="EF154" s="143"/>
      <c r="EG154" s="143"/>
      <c r="EH154" s="143"/>
      <c r="EI154" s="143"/>
      <c r="EJ154" s="143"/>
      <c r="EK154" s="143"/>
      <c r="EL154" s="143"/>
      <c r="EM154" s="143"/>
      <c r="EN154" s="143"/>
      <c r="EO154" s="143"/>
      <c r="EP154" s="143"/>
      <c r="EQ154" s="143"/>
      <c r="ER154" s="143"/>
      <c r="ES154" s="143"/>
      <c r="ET154" s="143"/>
      <c r="EU154" s="143"/>
      <c r="EV154" s="143"/>
      <c r="EW154" s="143"/>
      <c r="EX154" s="143"/>
      <c r="EY154" s="143"/>
      <c r="EZ154" s="143"/>
      <c r="FA154" s="143"/>
      <c r="FB154" s="143"/>
      <c r="FC154" s="143"/>
      <c r="FD154" s="143"/>
      <c r="FE154" s="143"/>
      <c r="FF154" s="143"/>
      <c r="FG154" s="143"/>
      <c r="FH154" s="143"/>
      <c r="FI154" s="143"/>
      <c r="FJ154" s="143"/>
      <c r="FK154" s="143"/>
      <c r="FL154" s="143"/>
      <c r="FM154" s="143"/>
      <c r="FN154" s="143"/>
      <c r="FO154" s="143"/>
      <c r="FP154" s="143"/>
      <c r="FQ154" s="143"/>
      <c r="FR154" s="143"/>
      <c r="FS154" s="143"/>
      <c r="FT154" s="143"/>
      <c r="FU154" s="143"/>
      <c r="FV154" s="143"/>
      <c r="FW154" s="143"/>
      <c r="FX154" s="143"/>
      <c r="FY154" s="143"/>
      <c r="FZ154" s="143"/>
      <c r="GA154" s="143"/>
      <c r="GB154" s="143"/>
      <c r="GC154" s="143"/>
      <c r="GD154" s="143"/>
      <c r="GE154" s="143"/>
      <c r="GF154" s="143"/>
      <c r="GG154" s="143"/>
      <c r="GH154" s="143"/>
      <c r="GI154" s="143"/>
      <c r="GJ154" s="143"/>
      <c r="GK154" s="143"/>
      <c r="GL154" s="143"/>
      <c r="GM154" s="143"/>
      <c r="GN154" s="143"/>
      <c r="GO154" s="143"/>
      <c r="GP154" s="143"/>
      <c r="GQ154" s="143"/>
      <c r="GR154" s="143"/>
      <c r="GS154" s="143"/>
      <c r="GT154" s="143"/>
      <c r="GU154" s="143"/>
      <c r="GV154" s="143"/>
      <c r="GW154" s="143"/>
      <c r="GX154" s="143"/>
      <c r="GY154" s="143"/>
      <c r="GZ154" s="143"/>
      <c r="HA154" s="143"/>
      <c r="HB154" s="143"/>
      <c r="HC154" s="143"/>
      <c r="HD154" s="143"/>
      <c r="HE154" s="143"/>
      <c r="HF154" s="143"/>
      <c r="HG154" s="143"/>
      <c r="HH154" s="143"/>
      <c r="HI154" s="143"/>
      <c r="HJ154" s="143"/>
      <c r="HK154" s="143"/>
      <c r="HL154" s="143"/>
      <c r="HM154" s="143"/>
      <c r="HN154" s="143"/>
      <c r="HO154" s="143"/>
      <c r="HP154" s="143"/>
      <c r="HQ154" s="143"/>
      <c r="HR154" s="143"/>
      <c r="HS154" s="143"/>
      <c r="HT154" s="143"/>
      <c r="HU154" s="143"/>
      <c r="HV154" s="143"/>
      <c r="HW154" s="143"/>
      <c r="HX154" s="143"/>
    </row>
    <row r="156" spans="2:232" x14ac:dyDescent="0.2">
      <c r="B156" s="143"/>
      <c r="C156" s="143"/>
      <c r="D156" s="143"/>
      <c r="E156" s="143"/>
      <c r="F156" s="143"/>
      <c r="G156" s="143"/>
      <c r="H156" s="143"/>
      <c r="I156" s="143"/>
      <c r="J156" s="143"/>
      <c r="K156" s="143"/>
      <c r="L156" s="143"/>
      <c r="M156" s="143"/>
      <c r="N156" s="143"/>
      <c r="O156" s="143"/>
      <c r="P156" s="143"/>
      <c r="Q156" s="143"/>
      <c r="R156" s="143"/>
      <c r="S156" s="143"/>
      <c r="T156" s="143"/>
      <c r="U156" s="143"/>
      <c r="V156" s="143"/>
      <c r="W156" s="143"/>
      <c r="X156" s="143"/>
      <c r="Y156" s="143"/>
      <c r="Z156" s="143"/>
      <c r="AA156" s="143"/>
      <c r="AB156" s="143"/>
      <c r="AC156" s="143"/>
      <c r="AD156" s="143"/>
      <c r="AE156" s="143"/>
      <c r="AF156" s="143"/>
      <c r="AG156" s="143"/>
      <c r="AH156" s="143"/>
      <c r="AI156" s="143"/>
      <c r="AJ156" s="143"/>
      <c r="AK156" s="143"/>
      <c r="AL156" s="143"/>
      <c r="AM156" s="143"/>
      <c r="AN156" s="143"/>
      <c r="AO156" s="143"/>
      <c r="AP156" s="143"/>
      <c r="AQ156" s="143"/>
      <c r="AR156" s="143"/>
      <c r="AS156" s="143"/>
      <c r="AT156" s="143"/>
      <c r="AU156" s="143"/>
      <c r="AV156" s="143"/>
      <c r="AW156" s="143"/>
      <c r="AX156" s="143"/>
      <c r="AY156" s="143"/>
      <c r="AZ156" s="143"/>
      <c r="BA156" s="143"/>
      <c r="BB156" s="143"/>
      <c r="BC156" s="143"/>
      <c r="BD156" s="143"/>
      <c r="BE156" s="143"/>
      <c r="BF156" s="143"/>
      <c r="BG156" s="143"/>
      <c r="BH156" s="143"/>
      <c r="BI156" s="143"/>
      <c r="BJ156" s="143"/>
      <c r="BK156" s="143"/>
      <c r="BL156" s="143"/>
      <c r="BM156" s="143"/>
      <c r="BN156" s="143"/>
      <c r="BO156" s="143"/>
      <c r="BP156" s="143"/>
      <c r="BQ156" s="143"/>
      <c r="BR156" s="143"/>
      <c r="BS156" s="143"/>
      <c r="BT156" s="143"/>
      <c r="BU156" s="143"/>
      <c r="BV156" s="143"/>
      <c r="BW156" s="143"/>
      <c r="BX156" s="143"/>
      <c r="BY156" s="143"/>
      <c r="BZ156" s="143"/>
      <c r="CA156" s="143"/>
      <c r="CB156" s="143"/>
      <c r="CC156" s="143"/>
      <c r="CD156" s="143"/>
      <c r="CE156" s="143"/>
      <c r="CF156" s="143"/>
      <c r="CG156" s="143"/>
      <c r="CH156" s="143"/>
      <c r="CI156" s="143"/>
      <c r="CJ156" s="143"/>
      <c r="CK156" s="143"/>
      <c r="CL156" s="143"/>
      <c r="CM156" s="143"/>
      <c r="CN156" s="143"/>
      <c r="CO156" s="143"/>
      <c r="CP156" s="143"/>
      <c r="CQ156" s="143"/>
      <c r="CR156" s="143"/>
      <c r="CS156" s="143"/>
      <c r="CT156" s="143"/>
      <c r="CU156" s="143"/>
      <c r="CV156" s="143"/>
      <c r="CW156" s="143"/>
      <c r="CX156" s="143"/>
      <c r="CY156" s="143"/>
      <c r="CZ156" s="143"/>
      <c r="DA156" s="143"/>
      <c r="DB156" s="143"/>
      <c r="DC156" s="143"/>
      <c r="DD156" s="143"/>
      <c r="DE156" s="143"/>
      <c r="DF156" s="143"/>
      <c r="DG156" s="143"/>
      <c r="DH156" s="143"/>
      <c r="DI156" s="143"/>
      <c r="DJ156" s="143"/>
      <c r="DK156" s="143"/>
      <c r="DL156" s="143"/>
      <c r="DM156" s="143"/>
      <c r="DN156" s="143"/>
      <c r="DO156" s="143"/>
      <c r="DP156" s="143"/>
      <c r="DQ156" s="143"/>
      <c r="DR156" s="143"/>
      <c r="DS156" s="143"/>
      <c r="DT156" s="143"/>
      <c r="DU156" s="143"/>
      <c r="DV156" s="143"/>
      <c r="DW156" s="143"/>
      <c r="DX156" s="143"/>
      <c r="DY156" s="143"/>
      <c r="DZ156" s="143"/>
      <c r="EA156" s="143"/>
      <c r="EB156" s="143"/>
      <c r="EC156" s="143"/>
      <c r="ED156" s="143"/>
      <c r="EE156" s="143"/>
      <c r="EF156" s="143"/>
      <c r="EG156" s="143"/>
      <c r="EH156" s="143"/>
      <c r="EI156" s="143"/>
      <c r="EJ156" s="143"/>
      <c r="EK156" s="143"/>
      <c r="EL156" s="143"/>
      <c r="EM156" s="143"/>
      <c r="EN156" s="143"/>
      <c r="EO156" s="143"/>
      <c r="EP156" s="143"/>
      <c r="EQ156" s="143"/>
      <c r="ER156" s="143"/>
      <c r="ES156" s="143"/>
      <c r="ET156" s="143"/>
      <c r="EU156" s="143"/>
      <c r="EV156" s="143"/>
      <c r="EW156" s="143"/>
      <c r="EX156" s="143"/>
      <c r="EY156" s="143"/>
      <c r="EZ156" s="143"/>
      <c r="FA156" s="143"/>
      <c r="FB156" s="143"/>
      <c r="FC156" s="143"/>
      <c r="FD156" s="143"/>
      <c r="FE156" s="143"/>
      <c r="FF156" s="143"/>
      <c r="FG156" s="143"/>
      <c r="FH156" s="143"/>
      <c r="FI156" s="143"/>
      <c r="FJ156" s="143"/>
      <c r="FK156" s="143"/>
      <c r="FL156" s="143"/>
      <c r="FM156" s="143"/>
      <c r="FN156" s="143"/>
      <c r="FO156" s="143"/>
      <c r="FP156" s="143"/>
      <c r="FQ156" s="143"/>
      <c r="FR156" s="143"/>
      <c r="FS156" s="143"/>
      <c r="FT156" s="143"/>
      <c r="FU156" s="143"/>
      <c r="FV156" s="143"/>
      <c r="FW156" s="143"/>
      <c r="FX156" s="143"/>
      <c r="FY156" s="143"/>
      <c r="FZ156" s="143"/>
      <c r="GA156" s="143"/>
      <c r="GB156" s="143"/>
      <c r="GC156" s="143"/>
      <c r="GD156" s="143"/>
      <c r="GE156" s="143"/>
      <c r="GF156" s="143"/>
      <c r="GG156" s="143"/>
      <c r="GH156" s="143"/>
      <c r="GI156" s="143"/>
      <c r="GJ156" s="143"/>
      <c r="GK156" s="143"/>
      <c r="GL156" s="143"/>
      <c r="GM156" s="143"/>
      <c r="GN156" s="143"/>
      <c r="GO156" s="143"/>
      <c r="GP156" s="143"/>
      <c r="GQ156" s="143"/>
      <c r="GR156" s="143"/>
      <c r="GS156" s="143"/>
      <c r="GT156" s="143"/>
      <c r="GU156" s="143"/>
      <c r="GV156" s="143"/>
      <c r="GW156" s="143"/>
      <c r="GX156" s="143"/>
      <c r="GY156" s="143"/>
      <c r="GZ156" s="143"/>
      <c r="HA156" s="143"/>
      <c r="HB156" s="143"/>
      <c r="HC156" s="143"/>
      <c r="HD156" s="143"/>
      <c r="HE156" s="143"/>
      <c r="HF156" s="143"/>
      <c r="HG156" s="143"/>
      <c r="HH156" s="143"/>
      <c r="HI156" s="143"/>
      <c r="HJ156" s="143"/>
      <c r="HK156" s="143"/>
      <c r="HL156" s="143"/>
      <c r="HM156" s="143"/>
      <c r="HN156" s="143"/>
      <c r="HO156" s="143"/>
      <c r="HP156" s="143"/>
      <c r="HQ156" s="143"/>
      <c r="HR156" s="143"/>
      <c r="HS156" s="143"/>
      <c r="HT156" s="143"/>
      <c r="HU156" s="143"/>
      <c r="HV156" s="143"/>
      <c r="HW156" s="143"/>
      <c r="HX156" s="143"/>
    </row>
    <row r="158" spans="2:232" x14ac:dyDescent="0.2">
      <c r="B158" s="143"/>
      <c r="C158" s="143"/>
      <c r="D158" s="143"/>
      <c r="E158" s="143"/>
      <c r="F158" s="143"/>
      <c r="G158" s="143"/>
      <c r="H158" s="143"/>
      <c r="I158" s="143"/>
      <c r="J158" s="143"/>
      <c r="K158" s="143"/>
      <c r="L158" s="143"/>
      <c r="M158" s="143"/>
      <c r="N158" s="143"/>
      <c r="O158" s="143"/>
      <c r="P158" s="143"/>
      <c r="Q158" s="143"/>
      <c r="R158" s="143"/>
      <c r="S158" s="143"/>
      <c r="T158" s="143"/>
      <c r="U158" s="143"/>
      <c r="V158" s="143"/>
      <c r="W158" s="143"/>
      <c r="X158" s="143"/>
      <c r="Y158" s="143"/>
      <c r="Z158" s="143"/>
      <c r="AA158" s="143"/>
      <c r="AB158" s="143"/>
      <c r="AC158" s="143"/>
      <c r="AD158" s="143"/>
      <c r="AE158" s="143"/>
      <c r="AF158" s="143"/>
      <c r="AG158" s="143"/>
      <c r="AH158" s="143"/>
      <c r="AI158" s="143"/>
      <c r="AJ158" s="143"/>
      <c r="AK158" s="143"/>
      <c r="AL158" s="143"/>
      <c r="AM158" s="143"/>
      <c r="AN158" s="143"/>
      <c r="AO158" s="143"/>
      <c r="AP158" s="143"/>
      <c r="AQ158" s="143"/>
      <c r="AR158" s="143"/>
      <c r="AS158" s="143"/>
      <c r="AT158" s="143"/>
      <c r="AU158" s="143"/>
      <c r="AV158" s="143"/>
      <c r="AW158" s="143"/>
      <c r="AX158" s="143"/>
      <c r="AY158" s="143"/>
      <c r="AZ158" s="143"/>
      <c r="BA158" s="143"/>
      <c r="BB158" s="143"/>
      <c r="BC158" s="143"/>
      <c r="BD158" s="143"/>
      <c r="BE158" s="143"/>
      <c r="BF158" s="143"/>
      <c r="BG158" s="143"/>
      <c r="BH158" s="143"/>
      <c r="BI158" s="143"/>
      <c r="BJ158" s="143"/>
      <c r="BK158" s="143"/>
      <c r="BL158" s="143"/>
      <c r="BM158" s="143"/>
      <c r="BN158" s="143"/>
      <c r="BO158" s="143"/>
      <c r="BP158" s="143"/>
      <c r="BQ158" s="143"/>
      <c r="BR158" s="143"/>
      <c r="BS158" s="143"/>
      <c r="BT158" s="143"/>
      <c r="BU158" s="143"/>
      <c r="BV158" s="143"/>
      <c r="BW158" s="143"/>
      <c r="BX158" s="143"/>
      <c r="BY158" s="143"/>
      <c r="BZ158" s="143"/>
      <c r="CA158" s="143"/>
      <c r="CB158" s="143"/>
      <c r="CC158" s="143"/>
      <c r="CD158" s="143"/>
      <c r="CE158" s="143"/>
      <c r="CF158" s="143"/>
      <c r="CG158" s="143"/>
      <c r="CH158" s="143"/>
      <c r="CI158" s="143"/>
      <c r="CJ158" s="143"/>
      <c r="CK158" s="143"/>
      <c r="CL158" s="143"/>
      <c r="CM158" s="143"/>
      <c r="CN158" s="143"/>
      <c r="CO158" s="143"/>
      <c r="CP158" s="143"/>
      <c r="CQ158" s="143"/>
      <c r="CR158" s="143"/>
      <c r="CS158" s="143"/>
      <c r="CT158" s="143"/>
      <c r="CU158" s="143"/>
      <c r="CV158" s="143"/>
      <c r="CW158" s="143"/>
      <c r="CX158" s="143"/>
      <c r="CY158" s="143"/>
      <c r="CZ158" s="143"/>
      <c r="DA158" s="143"/>
      <c r="DB158" s="143"/>
      <c r="DC158" s="143"/>
      <c r="DD158" s="143"/>
      <c r="DE158" s="143"/>
      <c r="DF158" s="143"/>
      <c r="DG158" s="143"/>
      <c r="DH158" s="143"/>
      <c r="DI158" s="143"/>
      <c r="DJ158" s="143"/>
      <c r="DK158" s="143"/>
      <c r="DL158" s="143"/>
      <c r="DM158" s="143"/>
      <c r="DN158" s="143"/>
      <c r="DO158" s="143"/>
      <c r="DP158" s="143"/>
      <c r="DQ158" s="143"/>
      <c r="DR158" s="143"/>
      <c r="DS158" s="143"/>
      <c r="DT158" s="143"/>
      <c r="DU158" s="143"/>
      <c r="DV158" s="143"/>
      <c r="DW158" s="143"/>
      <c r="DX158" s="143"/>
      <c r="DY158" s="143"/>
      <c r="DZ158" s="143"/>
      <c r="EA158" s="143"/>
      <c r="EB158" s="143"/>
      <c r="EC158" s="143"/>
      <c r="ED158" s="143"/>
      <c r="EE158" s="143"/>
      <c r="EF158" s="143"/>
      <c r="EG158" s="143"/>
      <c r="EH158" s="143"/>
      <c r="EI158" s="143"/>
      <c r="EJ158" s="143"/>
      <c r="EK158" s="143"/>
      <c r="EL158" s="143"/>
      <c r="EM158" s="143"/>
      <c r="EN158" s="143"/>
      <c r="EO158" s="143"/>
      <c r="EP158" s="143"/>
      <c r="EQ158" s="143"/>
      <c r="ER158" s="143"/>
      <c r="ES158" s="143"/>
      <c r="ET158" s="143"/>
      <c r="EU158" s="143"/>
      <c r="EV158" s="143"/>
      <c r="EW158" s="143"/>
      <c r="EX158" s="143"/>
      <c r="EY158" s="143"/>
      <c r="EZ158" s="143"/>
      <c r="FA158" s="143"/>
      <c r="FB158" s="143"/>
      <c r="FC158" s="143"/>
      <c r="FD158" s="143"/>
      <c r="FE158" s="143"/>
      <c r="FF158" s="143"/>
      <c r="FG158" s="143"/>
      <c r="FH158" s="143"/>
      <c r="FI158" s="143"/>
      <c r="FJ158" s="143"/>
      <c r="FK158" s="143"/>
      <c r="FL158" s="143"/>
      <c r="FM158" s="143"/>
      <c r="FN158" s="143"/>
      <c r="FO158" s="143"/>
      <c r="FP158" s="143"/>
      <c r="FQ158" s="143"/>
      <c r="FR158" s="143"/>
      <c r="FS158" s="143"/>
      <c r="FT158" s="143"/>
      <c r="FU158" s="143"/>
      <c r="FV158" s="143"/>
      <c r="FW158" s="143"/>
      <c r="FX158" s="143"/>
      <c r="FY158" s="143"/>
      <c r="FZ158" s="143"/>
      <c r="GA158" s="143"/>
      <c r="GB158" s="143"/>
      <c r="GC158" s="143"/>
      <c r="GD158" s="143"/>
      <c r="GE158" s="143"/>
      <c r="GF158" s="143"/>
      <c r="GG158" s="143"/>
      <c r="GH158" s="143"/>
      <c r="GI158" s="143"/>
      <c r="GJ158" s="143"/>
      <c r="GK158" s="143"/>
      <c r="GL158" s="143"/>
      <c r="GM158" s="143"/>
      <c r="GN158" s="143"/>
      <c r="GO158" s="143"/>
      <c r="GP158" s="143"/>
      <c r="GQ158" s="143"/>
      <c r="GR158" s="143"/>
      <c r="GS158" s="143"/>
      <c r="GT158" s="143"/>
      <c r="GU158" s="143"/>
      <c r="GV158" s="143"/>
      <c r="GW158" s="143"/>
      <c r="GX158" s="143"/>
      <c r="GY158" s="143"/>
      <c r="GZ158" s="143"/>
      <c r="HA158" s="143"/>
      <c r="HB158" s="143"/>
      <c r="HC158" s="143"/>
      <c r="HD158" s="143"/>
      <c r="HE158" s="143"/>
      <c r="HF158" s="143"/>
      <c r="HG158" s="143"/>
      <c r="HH158" s="143"/>
      <c r="HI158" s="143"/>
      <c r="HJ158" s="143"/>
      <c r="HK158" s="143"/>
      <c r="HL158" s="143"/>
      <c r="HM158" s="143"/>
      <c r="HN158" s="143"/>
      <c r="HO158" s="143"/>
      <c r="HP158" s="143"/>
      <c r="HQ158" s="143"/>
      <c r="HR158" s="143"/>
      <c r="HS158" s="143"/>
      <c r="HT158" s="143"/>
      <c r="HU158" s="143"/>
      <c r="HV158" s="143"/>
      <c r="HW158" s="143"/>
      <c r="HX158" s="143"/>
    </row>
    <row r="160" spans="2:232" x14ac:dyDescent="0.2">
      <c r="B160" s="143"/>
      <c r="C160" s="143"/>
      <c r="D160" s="143"/>
      <c r="E160" s="143"/>
      <c r="F160" s="143"/>
      <c r="G160" s="143"/>
      <c r="H160" s="143"/>
      <c r="I160" s="143"/>
      <c r="J160" s="143"/>
      <c r="K160" s="143"/>
      <c r="L160" s="143"/>
      <c r="M160" s="143"/>
      <c r="N160" s="143"/>
      <c r="O160" s="143"/>
      <c r="P160" s="143"/>
      <c r="Q160" s="143"/>
      <c r="R160" s="143"/>
      <c r="S160" s="143"/>
      <c r="T160" s="143"/>
      <c r="U160" s="143"/>
      <c r="V160" s="143"/>
      <c r="W160" s="143"/>
      <c r="X160" s="143"/>
      <c r="Y160" s="143"/>
      <c r="Z160" s="143"/>
      <c r="AA160" s="143"/>
      <c r="AB160" s="143"/>
      <c r="AC160" s="143"/>
      <c r="AD160" s="143"/>
      <c r="AE160" s="143"/>
      <c r="AF160" s="143"/>
      <c r="AG160" s="143"/>
      <c r="AH160" s="143"/>
      <c r="AI160" s="143"/>
      <c r="AJ160" s="143"/>
      <c r="AK160" s="143"/>
      <c r="AL160" s="143"/>
      <c r="AM160" s="143"/>
      <c r="AN160" s="143"/>
      <c r="AO160" s="143"/>
      <c r="AP160" s="143"/>
      <c r="AQ160" s="143"/>
      <c r="AR160" s="14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row>
  </sheetData>
  <mergeCells count="6">
    <mergeCell ref="A2:C2"/>
    <mergeCell ref="A3:C3"/>
    <mergeCell ref="A40:C40"/>
    <mergeCell ref="A77:E77"/>
    <mergeCell ref="B78:C78"/>
    <mergeCell ref="D78:E78"/>
  </mergeCells>
  <pageMargins left="0.75" right="0.75" top="1" bottom="1" header="0" footer="0"/>
  <headerFooter alignWithMargins="0"/>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W160"/>
  <sheetViews>
    <sheetView workbookViewId="0">
      <selection activeCell="B1" sqref="B1"/>
    </sheetView>
  </sheetViews>
  <sheetFormatPr baseColWidth="10" defaultColWidth="11.6640625" defaultRowHeight="15" x14ac:dyDescent="0.2"/>
  <cols>
    <col min="1" max="1" width="40.1640625" style="106" customWidth="1"/>
    <col min="2" max="2" width="11.6640625" style="106"/>
    <col min="3" max="3" width="6.1640625" style="106" customWidth="1"/>
    <col min="4" max="4" width="11.6640625" style="106"/>
    <col min="5" max="6" width="6.1640625" style="106" customWidth="1"/>
    <col min="7" max="7" width="11.6640625" style="106"/>
    <col min="8" max="9" width="6.1640625" style="106" customWidth="1"/>
    <col min="10" max="10" width="11.6640625" style="106"/>
    <col min="11" max="12" width="6.1640625" style="106" customWidth="1"/>
    <col min="13" max="13" width="11.6640625" style="106"/>
    <col min="14" max="15" width="6.1640625" style="106" customWidth="1"/>
    <col min="16" max="16" width="11.6640625" style="106"/>
    <col min="17" max="18" width="6.1640625" style="106" customWidth="1"/>
    <col min="19" max="19" width="11.6640625" style="106"/>
    <col min="20" max="21" width="6.1640625" style="106" customWidth="1"/>
    <col min="22" max="22" width="11.6640625" style="106"/>
    <col min="23" max="24" width="6.1640625" style="106" customWidth="1"/>
    <col min="25" max="25" width="11.6640625" style="106"/>
    <col min="26" max="27" width="6.1640625" style="106" customWidth="1"/>
    <col min="28" max="28" width="11.6640625" style="106"/>
    <col min="29" max="30" width="6.1640625" style="106" customWidth="1"/>
    <col min="31" max="31" width="11.6640625" style="106"/>
    <col min="32" max="33" width="6.1640625" style="106" customWidth="1"/>
    <col min="34" max="34" width="11.6640625" style="106"/>
    <col min="35" max="36" width="6.1640625" style="106" customWidth="1"/>
    <col min="37" max="37" width="11.6640625" style="106"/>
    <col min="38" max="39" width="6.1640625" style="106" customWidth="1"/>
    <col min="40" max="40" width="11.6640625" style="106"/>
    <col min="41" max="42" width="6.1640625" style="106" customWidth="1"/>
    <col min="43" max="43" width="11.6640625" style="106"/>
    <col min="44" max="45" width="6.1640625" style="106" customWidth="1"/>
    <col min="46" max="46" width="11.6640625" style="106"/>
    <col min="47" max="48" width="6.1640625" style="106" customWidth="1"/>
    <col min="49" max="49" width="11.6640625" style="106"/>
    <col min="50" max="51" width="6.1640625" style="106" customWidth="1"/>
    <col min="52" max="52" width="11.6640625" style="106"/>
    <col min="53" max="54" width="6.1640625" style="106" customWidth="1"/>
    <col min="55" max="55" width="11.6640625" style="106"/>
    <col min="56" max="57" width="6.1640625" style="106" customWidth="1"/>
    <col min="58" max="58" width="11.6640625" style="106"/>
    <col min="59" max="60" width="6.1640625" style="106" customWidth="1"/>
    <col min="61" max="61" width="11.6640625" style="106"/>
    <col min="62" max="63" width="6.1640625" style="106" customWidth="1"/>
    <col min="64" max="64" width="11.6640625" style="106"/>
    <col min="65" max="66" width="6.1640625" style="106" customWidth="1"/>
    <col min="67" max="67" width="11.6640625" style="106"/>
    <col min="68" max="69" width="6.1640625" style="106" customWidth="1"/>
    <col min="70" max="70" width="11.6640625" style="106"/>
    <col min="71" max="72" width="6.1640625" style="106" customWidth="1"/>
    <col min="73" max="73" width="11.6640625" style="106"/>
    <col min="74" max="75" width="6.1640625" style="106" customWidth="1"/>
    <col min="76" max="76" width="11.6640625" style="106"/>
    <col min="77" max="78" width="6.1640625" style="106" customWidth="1"/>
    <col min="79" max="79" width="11.6640625" style="106"/>
    <col min="80" max="81" width="6.1640625" style="106" customWidth="1"/>
    <col min="82" max="82" width="11.6640625" style="106"/>
    <col min="83" max="84" width="6.1640625" style="106" customWidth="1"/>
    <col min="85" max="85" width="11.6640625" style="106"/>
    <col min="86" max="87" width="6.1640625" style="106" customWidth="1"/>
    <col min="88" max="88" width="11.6640625" style="106"/>
    <col min="89" max="90" width="6.1640625" style="106" customWidth="1"/>
    <col min="91" max="91" width="11.6640625" style="106"/>
    <col min="92" max="93" width="6.1640625" style="106" customWidth="1"/>
    <col min="94" max="94" width="11.6640625" style="106"/>
    <col min="95" max="96" width="6.1640625" style="106" customWidth="1"/>
    <col min="97" max="97" width="11.6640625" style="106"/>
    <col min="98" max="99" width="6.1640625" style="106" customWidth="1"/>
    <col min="100" max="100" width="11.6640625" style="106"/>
    <col min="101" max="102" width="6.1640625" style="106" customWidth="1"/>
    <col min="103" max="103" width="11.6640625" style="106"/>
    <col min="104" max="105" width="6.1640625" style="106" customWidth="1"/>
    <col min="106" max="106" width="11.6640625" style="106"/>
    <col min="107" max="108" width="6.1640625" style="106" customWidth="1"/>
    <col min="109" max="109" width="11.6640625" style="106"/>
    <col min="110" max="111" width="6.1640625" style="106" customWidth="1"/>
    <col min="112" max="112" width="11.6640625" style="106"/>
    <col min="113" max="114" width="6.1640625" style="106" customWidth="1"/>
    <col min="115" max="115" width="11.6640625" style="106"/>
    <col min="116" max="117" width="6.1640625" style="106" customWidth="1"/>
    <col min="118" max="118" width="11.6640625" style="106"/>
    <col min="119" max="120" width="6.1640625" style="106" customWidth="1"/>
    <col min="121" max="121" width="11.6640625" style="106"/>
    <col min="122" max="123" width="6.1640625" style="106" customWidth="1"/>
    <col min="124" max="124" width="11.6640625" style="106"/>
    <col min="125" max="126" width="6.1640625" style="106" customWidth="1"/>
    <col min="127" max="127" width="11.6640625" style="106"/>
    <col min="128" max="129" width="6.1640625" style="106" customWidth="1"/>
    <col min="130" max="130" width="11.6640625" style="106"/>
    <col min="131" max="132" width="6.1640625" style="106" customWidth="1"/>
    <col min="133" max="133" width="11.6640625" style="106"/>
    <col min="134" max="135" width="6.1640625" style="106" customWidth="1"/>
    <col min="136" max="136" width="11.6640625" style="106"/>
    <col min="137" max="138" width="6.1640625" style="106" customWidth="1"/>
    <col min="139" max="139" width="11.6640625" style="106"/>
    <col min="140" max="141" width="6.1640625" style="106" customWidth="1"/>
    <col min="142" max="142" width="11.6640625" style="106"/>
    <col min="143" max="144" width="6.1640625" style="106" customWidth="1"/>
    <col min="145" max="145" width="11.6640625" style="106"/>
    <col min="146" max="147" width="6.1640625" style="106" customWidth="1"/>
    <col min="148" max="148" width="11.6640625" style="106"/>
    <col min="149" max="150" width="6.1640625" style="106" customWidth="1"/>
    <col min="151" max="151" width="11.6640625" style="106"/>
    <col min="152" max="153" width="6.1640625" style="106" customWidth="1"/>
    <col min="154" max="154" width="11.6640625" style="106"/>
    <col min="155" max="156" width="6.1640625" style="106" customWidth="1"/>
    <col min="157" max="157" width="11.6640625" style="106"/>
    <col min="158" max="159" width="6.1640625" style="106" customWidth="1"/>
    <col min="160" max="160" width="11.6640625" style="106"/>
    <col min="161" max="162" width="6.1640625" style="106" customWidth="1"/>
    <col min="163" max="163" width="11.6640625" style="106"/>
    <col min="164" max="165" width="6.1640625" style="106" customWidth="1"/>
    <col min="166" max="166" width="11.6640625" style="106"/>
    <col min="167" max="168" width="6.1640625" style="106" customWidth="1"/>
    <col min="169" max="169" width="11.6640625" style="106"/>
    <col min="170" max="171" width="6.1640625" style="106" customWidth="1"/>
    <col min="172" max="172" width="11.6640625" style="106"/>
    <col min="173" max="174" width="6.1640625" style="106" customWidth="1"/>
    <col min="175" max="175" width="11.6640625" style="106"/>
    <col min="176" max="177" width="6.1640625" style="106" customWidth="1"/>
    <col min="178" max="178" width="11.6640625" style="106"/>
    <col min="179" max="180" width="6.1640625" style="106" customWidth="1"/>
    <col min="181" max="181" width="11.6640625" style="106"/>
    <col min="182" max="183" width="6.1640625" style="106" customWidth="1"/>
    <col min="184" max="184" width="11.6640625" style="106"/>
    <col min="185" max="186" width="6.1640625" style="106" customWidth="1"/>
    <col min="187" max="187" width="11.6640625" style="106"/>
    <col min="188" max="189" width="6.1640625" style="106" customWidth="1"/>
    <col min="190" max="190" width="11.6640625" style="106"/>
    <col min="191" max="192" width="6.1640625" style="106" customWidth="1"/>
    <col min="193" max="193" width="11.6640625" style="106"/>
    <col min="194" max="195" width="6.1640625" style="106" customWidth="1"/>
    <col min="196" max="196" width="11.6640625" style="106"/>
    <col min="197" max="198" width="6.1640625" style="106" customWidth="1"/>
    <col min="199" max="199" width="11.6640625" style="106"/>
    <col min="200" max="201" width="6.1640625" style="106" customWidth="1"/>
    <col min="202" max="202" width="11.6640625" style="106"/>
    <col min="203" max="204" width="6.1640625" style="106" customWidth="1"/>
    <col min="205" max="205" width="11.6640625" style="106"/>
    <col min="206" max="207" width="6.1640625" style="106" customWidth="1"/>
    <col min="208" max="208" width="11.6640625" style="106"/>
    <col min="209" max="210" width="6.1640625" style="106" customWidth="1"/>
    <col min="211" max="211" width="11.6640625" style="106"/>
    <col min="212" max="213" width="6.1640625" style="106" customWidth="1"/>
    <col min="214" max="214" width="11.6640625" style="106"/>
    <col min="215" max="216" width="6.1640625" style="106" customWidth="1"/>
    <col min="217" max="217" width="11.6640625" style="106"/>
    <col min="218" max="219" width="6.1640625" style="106" customWidth="1"/>
    <col min="220" max="220" width="11.6640625" style="106"/>
    <col min="221" max="222" width="6.1640625" style="106" customWidth="1"/>
    <col min="223" max="223" width="11.6640625" style="106"/>
    <col min="224" max="225" width="6.1640625" style="106" customWidth="1"/>
    <col min="226" max="226" width="11.6640625" style="106"/>
    <col min="227" max="228" width="6.1640625" style="106" customWidth="1"/>
    <col min="229" max="229" width="11.6640625" style="106"/>
    <col min="230" max="231" width="6.1640625" style="106" customWidth="1"/>
    <col min="232" max="16384" width="11.6640625" style="106"/>
  </cols>
  <sheetData>
    <row r="1" spans="1:5" x14ac:dyDescent="0.2">
      <c r="A1" s="113" t="s">
        <v>1111</v>
      </c>
    </row>
    <row r="2" spans="1:5" ht="38.5" customHeight="1" x14ac:dyDescent="0.2">
      <c r="A2" s="385" t="s">
        <v>5651</v>
      </c>
      <c r="B2" s="386"/>
      <c r="C2" s="386"/>
      <c r="D2" s="386"/>
      <c r="E2" s="387"/>
    </row>
    <row r="3" spans="1:5" ht="44" customHeight="1" x14ac:dyDescent="0.2">
      <c r="A3" s="1646" t="s">
        <v>5652</v>
      </c>
      <c r="B3" s="1647" t="s">
        <v>5653</v>
      </c>
      <c r="C3" s="1648"/>
      <c r="D3" s="1647" t="s">
        <v>5654</v>
      </c>
      <c r="E3" s="1648"/>
    </row>
    <row r="4" spans="1:5" x14ac:dyDescent="0.2">
      <c r="A4" s="164" t="s">
        <v>5655</v>
      </c>
      <c r="B4" s="131">
        <v>264066</v>
      </c>
      <c r="C4" s="307">
        <v>31</v>
      </c>
      <c r="D4" s="131">
        <v>144000</v>
      </c>
      <c r="E4" s="307"/>
    </row>
    <row r="5" spans="1:5" x14ac:dyDescent="0.2">
      <c r="A5" s="164" t="s">
        <v>5656</v>
      </c>
      <c r="B5" s="131">
        <v>76705</v>
      </c>
      <c r="C5" s="307">
        <v>76</v>
      </c>
      <c r="D5" s="131">
        <v>48000</v>
      </c>
      <c r="E5" s="307"/>
    </row>
    <row r="6" spans="1:5" x14ac:dyDescent="0.2">
      <c r="A6" s="164" t="s">
        <v>5657</v>
      </c>
      <c r="B6" s="131">
        <v>18078</v>
      </c>
      <c r="C6" s="307">
        <v>95</v>
      </c>
      <c r="D6" s="131">
        <v>18000</v>
      </c>
      <c r="E6" s="307"/>
    </row>
    <row r="7" spans="1:5" x14ac:dyDescent="0.2">
      <c r="A7" s="164" t="s">
        <v>2783</v>
      </c>
      <c r="B7" s="131">
        <v>5447</v>
      </c>
      <c r="C7" s="307">
        <v>50</v>
      </c>
      <c r="D7" s="131">
        <v>5447</v>
      </c>
      <c r="E7" s="307">
        <v>50</v>
      </c>
    </row>
    <row r="8" spans="1:5" x14ac:dyDescent="0.2">
      <c r="A8" s="164" t="s">
        <v>5658</v>
      </c>
      <c r="B8" s="131">
        <v>4214</v>
      </c>
      <c r="C8" s="307">
        <v>74</v>
      </c>
      <c r="D8" s="131">
        <v>4200</v>
      </c>
      <c r="E8" s="307"/>
    </row>
    <row r="9" spans="1:5" x14ac:dyDescent="0.2">
      <c r="A9" s="164" t="s">
        <v>5659</v>
      </c>
      <c r="B9" s="131">
        <v>90467</v>
      </c>
      <c r="C9" s="307">
        <v>74</v>
      </c>
      <c r="D9" s="131">
        <v>72000</v>
      </c>
      <c r="E9" s="307"/>
    </row>
    <row r="10" spans="1:5" x14ac:dyDescent="0.2">
      <c r="A10" s="164" t="s">
        <v>5660</v>
      </c>
      <c r="B10" s="131">
        <v>38836</v>
      </c>
      <c r="C10" s="307">
        <v>89</v>
      </c>
      <c r="D10" s="131">
        <v>37580</v>
      </c>
      <c r="E10" s="307"/>
    </row>
    <row r="11" spans="1:5" x14ac:dyDescent="0.2">
      <c r="A11" s="164" t="s">
        <v>5661</v>
      </c>
      <c r="B11" s="131">
        <v>790</v>
      </c>
      <c r="C11" s="307"/>
      <c r="D11" s="131">
        <v>790</v>
      </c>
      <c r="E11" s="307"/>
    </row>
    <row r="12" spans="1:5" x14ac:dyDescent="0.2">
      <c r="A12" s="164" t="s">
        <v>5662</v>
      </c>
      <c r="B12" s="131">
        <v>10</v>
      </c>
      <c r="C12" s="307"/>
      <c r="D12" s="131">
        <v>10</v>
      </c>
      <c r="E12" s="307"/>
    </row>
    <row r="13" spans="1:5" x14ac:dyDescent="0.2">
      <c r="A13" s="164" t="s">
        <v>5663</v>
      </c>
      <c r="B13" s="131">
        <v>19735</v>
      </c>
      <c r="C13" s="307">
        <v>5</v>
      </c>
      <c r="D13" s="131">
        <v>15000</v>
      </c>
      <c r="E13" s="307"/>
    </row>
    <row r="14" spans="1:5" x14ac:dyDescent="0.2">
      <c r="A14" s="164" t="s">
        <v>5664</v>
      </c>
      <c r="B14" s="131">
        <v>59820</v>
      </c>
      <c r="C14" s="307"/>
      <c r="D14" s="131">
        <v>59820</v>
      </c>
      <c r="E14" s="307"/>
    </row>
    <row r="15" spans="1:5" x14ac:dyDescent="0.2">
      <c r="A15" s="164" t="s">
        <v>5665</v>
      </c>
      <c r="B15" s="131">
        <v>15000</v>
      </c>
      <c r="C15" s="307"/>
      <c r="D15" s="131">
        <v>15000</v>
      </c>
      <c r="E15" s="307"/>
    </row>
    <row r="16" spans="1:5" x14ac:dyDescent="0.2">
      <c r="A16" s="164" t="s">
        <v>5666</v>
      </c>
      <c r="B16" s="131">
        <v>21200</v>
      </c>
      <c r="C16" s="307"/>
      <c r="D16" s="131">
        <v>21200</v>
      </c>
      <c r="E16" s="307"/>
    </row>
    <row r="17" spans="1:5" x14ac:dyDescent="0.2">
      <c r="A17" s="164" t="s">
        <v>5667</v>
      </c>
      <c r="B17" s="131">
        <v>94500</v>
      </c>
      <c r="C17" s="307"/>
      <c r="D17" s="131">
        <v>94500</v>
      </c>
      <c r="E17" s="307"/>
    </row>
    <row r="18" spans="1:5" x14ac:dyDescent="0.2">
      <c r="A18" s="164" t="s">
        <v>5668</v>
      </c>
      <c r="B18" s="131">
        <v>6810</v>
      </c>
      <c r="C18" s="307"/>
      <c r="D18" s="131">
        <v>6810</v>
      </c>
      <c r="E18" s="307"/>
    </row>
    <row r="19" spans="1:5" x14ac:dyDescent="0.2">
      <c r="A19" s="164" t="s">
        <v>5669</v>
      </c>
      <c r="B19" s="131">
        <v>132770</v>
      </c>
      <c r="C19" s="307"/>
      <c r="D19" s="131">
        <v>132770</v>
      </c>
      <c r="E19" s="307"/>
    </row>
    <row r="20" spans="1:5" x14ac:dyDescent="0.2">
      <c r="A20" s="151" t="s">
        <v>5670</v>
      </c>
      <c r="B20" s="240">
        <v>848452</v>
      </c>
      <c r="C20" s="513">
        <v>94</v>
      </c>
      <c r="D20" s="240">
        <v>675127</v>
      </c>
      <c r="E20" s="513">
        <v>50</v>
      </c>
    </row>
    <row r="21" spans="1:5" x14ac:dyDescent="0.2">
      <c r="B21" s="321">
        <f>SUM(B4:B19)</f>
        <v>848448</v>
      </c>
      <c r="C21" s="321">
        <f>SUM(C4:C19)</f>
        <v>494</v>
      </c>
      <c r="D21" s="321">
        <f>SUM(D4:D19)</f>
        <v>675127</v>
      </c>
      <c r="E21" s="321">
        <f>SUM(E4:E19)</f>
        <v>50</v>
      </c>
    </row>
    <row r="151" spans="2:231" x14ac:dyDescent="0.2">
      <c r="B151" s="143"/>
      <c r="C151" s="143"/>
      <c r="D151" s="143"/>
      <c r="E151" s="143"/>
      <c r="F151" s="143"/>
      <c r="G151" s="143"/>
      <c r="H151" s="143"/>
      <c r="I151" s="143"/>
      <c r="J151" s="143"/>
      <c r="K151" s="143"/>
      <c r="L151" s="143"/>
      <c r="M151" s="143"/>
      <c r="N151" s="143"/>
      <c r="O151" s="143"/>
      <c r="P151" s="143"/>
      <c r="Q151" s="143"/>
      <c r="R151" s="143"/>
      <c r="S151" s="143"/>
      <c r="T151" s="143"/>
      <c r="U151" s="143"/>
      <c r="V151" s="143"/>
      <c r="W151" s="143"/>
      <c r="X151" s="143"/>
      <c r="Y151" s="143"/>
      <c r="Z151" s="143"/>
      <c r="AA151" s="143"/>
      <c r="AB151" s="143"/>
      <c r="AC151" s="143"/>
      <c r="AD151" s="143"/>
      <c r="AE151" s="143"/>
      <c r="AF151" s="143"/>
      <c r="AG151" s="143"/>
      <c r="AH151" s="143"/>
      <c r="AI151" s="143"/>
      <c r="AJ151" s="143"/>
      <c r="AK151" s="143"/>
      <c r="AL151" s="143"/>
      <c r="AM151" s="143"/>
      <c r="AN151" s="143"/>
      <c r="AO151" s="143"/>
      <c r="AP151" s="143"/>
      <c r="AQ151" s="143"/>
      <c r="AR151" s="143"/>
      <c r="AS151" s="143"/>
      <c r="AT151" s="143"/>
      <c r="AU151" s="143"/>
      <c r="AV151" s="143"/>
      <c r="AW151" s="143"/>
      <c r="AX151" s="143"/>
      <c r="AY151" s="143"/>
      <c r="AZ151" s="143"/>
      <c r="BA151" s="143"/>
      <c r="BB151" s="143"/>
      <c r="BC151" s="143"/>
      <c r="BD151" s="143"/>
      <c r="BE151" s="143"/>
      <c r="BF151" s="143"/>
      <c r="BG151" s="143"/>
      <c r="BH151" s="143"/>
      <c r="BI151" s="143"/>
      <c r="BJ151" s="143"/>
      <c r="BK151" s="143"/>
      <c r="BL151" s="143"/>
      <c r="BM151" s="143"/>
      <c r="BN151" s="143"/>
      <c r="BO151" s="143"/>
      <c r="BP151" s="143"/>
      <c r="BQ151" s="143"/>
      <c r="BR151" s="143"/>
      <c r="BS151" s="143"/>
      <c r="BT151" s="143"/>
      <c r="BU151" s="143"/>
      <c r="BV151" s="143"/>
      <c r="BW151" s="143"/>
      <c r="BX151" s="143"/>
      <c r="BY151" s="143"/>
      <c r="BZ151" s="143"/>
      <c r="CA151" s="143"/>
      <c r="CB151" s="143"/>
      <c r="CC151" s="143"/>
      <c r="CD151" s="143"/>
      <c r="CE151" s="143"/>
      <c r="CF151" s="143"/>
      <c r="CG151" s="143"/>
      <c r="CH151" s="143"/>
      <c r="CI151" s="143"/>
      <c r="CJ151" s="143"/>
      <c r="CK151" s="143"/>
      <c r="CL151" s="143"/>
      <c r="CM151" s="143"/>
      <c r="CN151" s="143"/>
      <c r="CO151" s="143"/>
      <c r="CP151" s="143"/>
      <c r="CQ151" s="143"/>
      <c r="CR151" s="143"/>
      <c r="CS151" s="143"/>
      <c r="CT151" s="143"/>
      <c r="CU151" s="143"/>
      <c r="CV151" s="143"/>
      <c r="CW151" s="143"/>
      <c r="CX151" s="143"/>
      <c r="CY151" s="143"/>
      <c r="CZ151" s="143"/>
      <c r="DA151" s="143"/>
      <c r="DB151" s="143"/>
      <c r="DC151" s="143"/>
      <c r="DD151" s="143"/>
      <c r="DE151" s="143"/>
      <c r="DF151" s="143"/>
      <c r="DG151" s="143"/>
      <c r="DH151" s="143"/>
      <c r="DI151" s="143"/>
      <c r="DJ151" s="143"/>
      <c r="DK151" s="143"/>
      <c r="DL151" s="143"/>
      <c r="DM151" s="143"/>
      <c r="DN151" s="143"/>
      <c r="DO151" s="143"/>
      <c r="DP151" s="143"/>
      <c r="DQ151" s="143"/>
      <c r="DR151" s="143"/>
      <c r="DS151" s="143"/>
      <c r="DT151" s="143"/>
      <c r="DU151" s="143"/>
      <c r="DV151" s="143"/>
      <c r="DW151" s="143"/>
      <c r="DX151" s="143"/>
      <c r="DY151" s="143"/>
      <c r="DZ151" s="143"/>
      <c r="EA151" s="143"/>
      <c r="EB151" s="143"/>
      <c r="EC151" s="143"/>
      <c r="ED151" s="143"/>
      <c r="EE151" s="143"/>
      <c r="EF151" s="143"/>
      <c r="EG151" s="143"/>
      <c r="EH151" s="143"/>
      <c r="EI151" s="143"/>
      <c r="EJ151" s="143"/>
      <c r="EK151" s="143"/>
      <c r="EL151" s="143"/>
      <c r="EM151" s="143"/>
      <c r="EN151" s="143"/>
      <c r="EO151" s="143"/>
      <c r="EP151" s="143"/>
      <c r="EQ151" s="143"/>
      <c r="ER151" s="143"/>
      <c r="ES151" s="143"/>
      <c r="ET151" s="143"/>
      <c r="EU151" s="143"/>
      <c r="EV151" s="143"/>
      <c r="EW151" s="143"/>
      <c r="EX151" s="143"/>
      <c r="EY151" s="143"/>
      <c r="EZ151" s="143"/>
      <c r="FA151" s="143"/>
      <c r="FB151" s="143"/>
      <c r="FC151" s="143"/>
      <c r="FD151" s="143"/>
      <c r="FE151" s="143"/>
      <c r="FF151" s="143"/>
      <c r="FG151" s="143"/>
      <c r="FH151" s="143"/>
      <c r="FI151" s="143"/>
      <c r="FJ151" s="143"/>
      <c r="FK151" s="143"/>
      <c r="FL151" s="143"/>
      <c r="FM151" s="143"/>
      <c r="FN151" s="143"/>
      <c r="FO151" s="143"/>
      <c r="FP151" s="143"/>
      <c r="FQ151" s="143"/>
      <c r="FR151" s="143"/>
      <c r="FS151" s="143"/>
      <c r="FT151" s="143"/>
      <c r="FU151" s="143"/>
      <c r="FV151" s="143"/>
      <c r="FW151" s="143"/>
      <c r="FX151" s="143"/>
      <c r="FY151" s="143"/>
      <c r="FZ151" s="143"/>
      <c r="GA151" s="143"/>
      <c r="GB151" s="143"/>
      <c r="GC151" s="143"/>
      <c r="GD151" s="143"/>
      <c r="GE151" s="143"/>
      <c r="GF151" s="143"/>
      <c r="GG151" s="143"/>
      <c r="GH151" s="143"/>
      <c r="GI151" s="143"/>
      <c r="GJ151" s="143"/>
      <c r="GK151" s="143"/>
      <c r="GL151" s="143"/>
      <c r="GM151" s="143"/>
      <c r="GN151" s="143"/>
      <c r="GO151" s="143"/>
      <c r="GP151" s="143"/>
      <c r="GQ151" s="143"/>
      <c r="GR151" s="143"/>
      <c r="GS151" s="143"/>
      <c r="GT151" s="143"/>
      <c r="GU151" s="143"/>
      <c r="GV151" s="143"/>
      <c r="GW151" s="143"/>
      <c r="GX151" s="143"/>
      <c r="GY151" s="143"/>
      <c r="GZ151" s="143"/>
      <c r="HA151" s="143"/>
      <c r="HB151" s="143"/>
      <c r="HC151" s="143"/>
      <c r="HD151" s="143"/>
      <c r="HE151" s="143"/>
      <c r="HF151" s="143"/>
      <c r="HG151" s="143"/>
      <c r="HH151" s="143"/>
      <c r="HI151" s="143"/>
      <c r="HJ151" s="143"/>
      <c r="HK151" s="143"/>
      <c r="HL151" s="143"/>
      <c r="HM151" s="143"/>
      <c r="HN151" s="143"/>
      <c r="HO151" s="143"/>
      <c r="HP151" s="143"/>
      <c r="HQ151" s="143"/>
      <c r="HR151" s="143"/>
      <c r="HS151" s="143"/>
      <c r="HT151" s="143"/>
      <c r="HU151" s="143"/>
      <c r="HV151" s="143"/>
      <c r="HW151" s="143"/>
    </row>
    <row r="152" spans="2:231" x14ac:dyDescent="0.2">
      <c r="B152" s="143"/>
      <c r="C152" s="143"/>
      <c r="D152" s="143"/>
      <c r="E152" s="143"/>
      <c r="F152" s="143"/>
      <c r="G152" s="143"/>
      <c r="H152" s="143"/>
      <c r="I152" s="143"/>
      <c r="J152" s="143"/>
      <c r="K152" s="143"/>
      <c r="L152" s="143"/>
      <c r="M152" s="143"/>
      <c r="N152" s="143"/>
      <c r="O152" s="143"/>
      <c r="P152" s="143"/>
      <c r="Q152" s="143"/>
      <c r="R152" s="143"/>
      <c r="S152" s="143"/>
      <c r="T152" s="143"/>
      <c r="U152" s="143"/>
      <c r="V152" s="143"/>
      <c r="W152" s="143"/>
      <c r="X152" s="143"/>
      <c r="Y152" s="143"/>
      <c r="Z152" s="143"/>
      <c r="AA152" s="143"/>
      <c r="AB152" s="143"/>
      <c r="AC152" s="143"/>
      <c r="AD152" s="143"/>
      <c r="AE152" s="143"/>
      <c r="AF152" s="143"/>
      <c r="AG152" s="143"/>
      <c r="AH152" s="143"/>
      <c r="AI152" s="143"/>
      <c r="AJ152" s="143"/>
      <c r="AK152" s="143"/>
      <c r="AL152" s="143"/>
      <c r="AM152" s="143"/>
      <c r="AN152" s="143"/>
      <c r="AO152" s="143"/>
      <c r="AP152" s="143"/>
      <c r="AQ152" s="143"/>
      <c r="AR152" s="143"/>
      <c r="AS152" s="143"/>
      <c r="AT152" s="143"/>
      <c r="AU152" s="143"/>
      <c r="AV152" s="143"/>
      <c r="AW152" s="143"/>
      <c r="AX152" s="143"/>
      <c r="AY152" s="143"/>
      <c r="AZ152" s="143"/>
      <c r="BA152" s="143"/>
      <c r="BB152" s="143"/>
      <c r="BC152" s="143"/>
      <c r="BD152" s="143"/>
      <c r="BE152" s="143"/>
      <c r="BF152" s="143"/>
      <c r="BG152" s="143"/>
      <c r="BH152" s="143"/>
      <c r="BI152" s="143"/>
      <c r="BJ152" s="143"/>
      <c r="BK152" s="143"/>
      <c r="BL152" s="143"/>
      <c r="BM152" s="143"/>
      <c r="BN152" s="143"/>
      <c r="BO152" s="143"/>
      <c r="BP152" s="143"/>
      <c r="BQ152" s="143"/>
      <c r="BR152" s="143"/>
      <c r="BS152" s="143"/>
      <c r="BT152" s="143"/>
      <c r="BU152" s="143"/>
      <c r="BV152" s="143"/>
      <c r="BW152" s="143"/>
      <c r="BX152" s="143"/>
      <c r="BY152" s="143"/>
      <c r="BZ152" s="143"/>
      <c r="CA152" s="143"/>
      <c r="CB152" s="143"/>
      <c r="CC152" s="143"/>
      <c r="CD152" s="143"/>
      <c r="CE152" s="143"/>
      <c r="CF152" s="143"/>
      <c r="CG152" s="143"/>
      <c r="CH152" s="143"/>
      <c r="CI152" s="143"/>
      <c r="CJ152" s="143"/>
      <c r="CK152" s="143"/>
      <c r="CL152" s="143"/>
      <c r="CM152" s="143"/>
      <c r="CN152" s="143"/>
      <c r="CO152" s="143"/>
      <c r="CP152" s="143"/>
      <c r="CQ152" s="143"/>
      <c r="CR152" s="143"/>
      <c r="CS152" s="143"/>
      <c r="CT152" s="143"/>
      <c r="CU152" s="143"/>
      <c r="CV152" s="143"/>
      <c r="CW152" s="143"/>
      <c r="CX152" s="143"/>
      <c r="CY152" s="143"/>
      <c r="CZ152" s="143"/>
      <c r="DA152" s="143"/>
      <c r="DB152" s="143"/>
      <c r="DC152" s="143"/>
      <c r="DD152" s="143"/>
      <c r="DE152" s="143"/>
      <c r="DF152" s="143"/>
      <c r="DG152" s="143"/>
      <c r="DH152" s="143"/>
      <c r="DI152" s="143"/>
      <c r="DJ152" s="143"/>
      <c r="DK152" s="143"/>
      <c r="DL152" s="143"/>
      <c r="DM152" s="143"/>
      <c r="DN152" s="143"/>
      <c r="DO152" s="143"/>
      <c r="DP152" s="143"/>
      <c r="DQ152" s="143"/>
      <c r="DR152" s="143"/>
      <c r="DS152" s="143"/>
      <c r="DT152" s="143"/>
      <c r="DU152" s="143"/>
      <c r="DV152" s="143"/>
      <c r="DW152" s="143"/>
      <c r="DX152" s="143"/>
      <c r="DY152" s="143"/>
      <c r="DZ152" s="143"/>
      <c r="EA152" s="143"/>
      <c r="EB152" s="143"/>
      <c r="EC152" s="143"/>
      <c r="ED152" s="143"/>
      <c r="EE152" s="143"/>
      <c r="EF152" s="143"/>
      <c r="EG152" s="143"/>
      <c r="EH152" s="143"/>
      <c r="EI152" s="143"/>
      <c r="EJ152" s="143"/>
      <c r="EK152" s="143"/>
      <c r="EL152" s="143"/>
      <c r="EM152" s="143"/>
      <c r="EN152" s="143"/>
      <c r="EO152" s="143"/>
      <c r="EP152" s="143"/>
      <c r="EQ152" s="143"/>
      <c r="ER152" s="143"/>
      <c r="ES152" s="143"/>
      <c r="ET152" s="143"/>
      <c r="EU152" s="143"/>
      <c r="EV152" s="143"/>
      <c r="EW152" s="143"/>
      <c r="EX152" s="143"/>
      <c r="EY152" s="143"/>
      <c r="EZ152" s="143"/>
      <c r="FA152" s="143"/>
      <c r="FB152" s="143"/>
      <c r="FC152" s="143"/>
      <c r="FD152" s="143"/>
      <c r="FE152" s="143"/>
      <c r="FF152" s="143"/>
      <c r="FG152" s="143"/>
      <c r="FH152" s="143"/>
      <c r="FI152" s="143"/>
      <c r="FJ152" s="143"/>
      <c r="FK152" s="143"/>
      <c r="FL152" s="143"/>
      <c r="FM152" s="143"/>
      <c r="FN152" s="143"/>
      <c r="FO152" s="143"/>
      <c r="FP152" s="143"/>
      <c r="FQ152" s="143"/>
      <c r="FR152" s="143"/>
      <c r="FS152" s="143"/>
      <c r="FT152" s="143"/>
      <c r="FU152" s="143"/>
      <c r="FV152" s="143"/>
      <c r="FW152" s="143"/>
      <c r="FX152" s="143"/>
      <c r="FY152" s="143"/>
      <c r="FZ152" s="143"/>
      <c r="GA152" s="143"/>
      <c r="GB152" s="143"/>
      <c r="GC152" s="143"/>
      <c r="GD152" s="143"/>
      <c r="GE152" s="143"/>
      <c r="GF152" s="143"/>
      <c r="GG152" s="143"/>
      <c r="GH152" s="143"/>
      <c r="GI152" s="143"/>
      <c r="GJ152" s="143"/>
      <c r="GK152" s="143"/>
      <c r="GL152" s="143"/>
      <c r="GM152" s="143"/>
      <c r="GN152" s="143"/>
      <c r="GO152" s="143"/>
      <c r="GP152" s="143"/>
      <c r="GQ152" s="143"/>
      <c r="GR152" s="143"/>
      <c r="GS152" s="143"/>
      <c r="GT152" s="143"/>
      <c r="GU152" s="143"/>
      <c r="GV152" s="143"/>
      <c r="GW152" s="143"/>
      <c r="GX152" s="143"/>
      <c r="GY152" s="143"/>
      <c r="GZ152" s="143"/>
      <c r="HA152" s="143"/>
      <c r="HB152" s="143"/>
      <c r="HC152" s="143"/>
      <c r="HD152" s="143"/>
      <c r="HE152" s="143"/>
      <c r="HF152" s="143"/>
      <c r="HG152" s="143"/>
      <c r="HH152" s="143"/>
      <c r="HI152" s="143"/>
      <c r="HJ152" s="143"/>
      <c r="HK152" s="143"/>
      <c r="HL152" s="143"/>
      <c r="HM152" s="143"/>
      <c r="HN152" s="143"/>
      <c r="HO152" s="143"/>
      <c r="HP152" s="143"/>
      <c r="HQ152" s="143"/>
      <c r="HR152" s="143"/>
      <c r="HS152" s="143"/>
      <c r="HT152" s="143"/>
      <c r="HU152" s="143"/>
      <c r="HV152" s="143"/>
      <c r="HW152" s="143"/>
    </row>
    <row r="154" spans="2:231" x14ac:dyDescent="0.2">
      <c r="B154" s="143"/>
      <c r="C154" s="143"/>
      <c r="D154" s="143"/>
      <c r="E154" s="143"/>
      <c r="F154" s="143"/>
      <c r="G154" s="143"/>
      <c r="H154" s="143"/>
      <c r="I154" s="143"/>
      <c r="J154" s="143"/>
      <c r="K154" s="143"/>
      <c r="L154" s="143"/>
      <c r="M154" s="143"/>
      <c r="N154" s="143"/>
      <c r="O154" s="143"/>
      <c r="P154" s="143"/>
      <c r="Q154" s="143"/>
      <c r="R154" s="143"/>
      <c r="S154" s="143"/>
      <c r="T154" s="143"/>
      <c r="U154" s="143"/>
      <c r="V154" s="143"/>
      <c r="W154" s="143"/>
      <c r="X154" s="143"/>
      <c r="Y154" s="143"/>
      <c r="Z154" s="143"/>
      <c r="AA154" s="143"/>
      <c r="AB154" s="143"/>
      <c r="AC154" s="143"/>
      <c r="AD154" s="143"/>
      <c r="AE154" s="143"/>
      <c r="AF154" s="143"/>
      <c r="AG154" s="143"/>
      <c r="AH154" s="143"/>
      <c r="AI154" s="143"/>
      <c r="AJ154" s="143"/>
      <c r="AK154" s="143"/>
      <c r="AL154" s="143"/>
      <c r="AM154" s="143"/>
      <c r="AN154" s="143"/>
      <c r="AO154" s="143"/>
      <c r="AP154" s="143"/>
      <c r="AQ154" s="143"/>
      <c r="AR154" s="143"/>
      <c r="AS154" s="143"/>
      <c r="AT154" s="143"/>
      <c r="AU154" s="143"/>
      <c r="AV154" s="143"/>
      <c r="AW154" s="143"/>
      <c r="AX154" s="143"/>
      <c r="AY154" s="143"/>
      <c r="AZ154" s="143"/>
      <c r="BA154" s="143"/>
      <c r="BB154" s="143"/>
      <c r="BC154" s="143"/>
      <c r="BD154" s="143"/>
      <c r="BE154" s="143"/>
      <c r="BF154" s="143"/>
      <c r="BG154" s="143"/>
      <c r="BH154" s="143"/>
      <c r="BI154" s="143"/>
      <c r="BJ154" s="143"/>
      <c r="BK154" s="143"/>
      <c r="BL154" s="143"/>
      <c r="BM154" s="143"/>
      <c r="BN154" s="143"/>
      <c r="BO154" s="143"/>
      <c r="BP154" s="143"/>
      <c r="BQ154" s="143"/>
      <c r="BR154" s="143"/>
      <c r="BS154" s="143"/>
      <c r="BT154" s="143"/>
      <c r="BU154" s="143"/>
      <c r="BV154" s="143"/>
      <c r="BW154" s="143"/>
      <c r="BX154" s="143"/>
      <c r="BY154" s="143"/>
      <c r="BZ154" s="143"/>
      <c r="CA154" s="143"/>
      <c r="CB154" s="143"/>
      <c r="CC154" s="143"/>
      <c r="CD154" s="143"/>
      <c r="CE154" s="143"/>
      <c r="CF154" s="143"/>
      <c r="CG154" s="143"/>
      <c r="CH154" s="143"/>
      <c r="CI154" s="143"/>
      <c r="CJ154" s="143"/>
      <c r="CK154" s="143"/>
      <c r="CL154" s="143"/>
      <c r="CM154" s="143"/>
      <c r="CN154" s="143"/>
      <c r="CO154" s="143"/>
      <c r="CP154" s="143"/>
      <c r="CQ154" s="143"/>
      <c r="CR154" s="143"/>
      <c r="CS154" s="143"/>
      <c r="CT154" s="143"/>
      <c r="CU154" s="143"/>
      <c r="CV154" s="143"/>
      <c r="CW154" s="143"/>
      <c r="CX154" s="143"/>
      <c r="CY154" s="143"/>
      <c r="CZ154" s="143"/>
      <c r="DA154" s="143"/>
      <c r="DB154" s="143"/>
      <c r="DC154" s="143"/>
      <c r="DD154" s="143"/>
      <c r="DE154" s="143"/>
      <c r="DF154" s="143"/>
      <c r="DG154" s="143"/>
      <c r="DH154" s="143"/>
      <c r="DI154" s="143"/>
      <c r="DJ154" s="143"/>
      <c r="DK154" s="143"/>
      <c r="DL154" s="143"/>
      <c r="DM154" s="143"/>
      <c r="DN154" s="143"/>
      <c r="DO154" s="143"/>
      <c r="DP154" s="143"/>
      <c r="DQ154" s="143"/>
      <c r="DR154" s="143"/>
      <c r="DS154" s="143"/>
      <c r="DT154" s="143"/>
      <c r="DU154" s="143"/>
      <c r="DV154" s="143"/>
      <c r="DW154" s="143"/>
      <c r="DX154" s="143"/>
      <c r="DY154" s="143"/>
      <c r="DZ154" s="143"/>
      <c r="EA154" s="143"/>
      <c r="EB154" s="143"/>
      <c r="EC154" s="143"/>
      <c r="ED154" s="143"/>
      <c r="EE154" s="143"/>
      <c r="EF154" s="143"/>
      <c r="EG154" s="143"/>
      <c r="EH154" s="143"/>
      <c r="EI154" s="143"/>
      <c r="EJ154" s="143"/>
      <c r="EK154" s="143"/>
      <c r="EL154" s="143"/>
      <c r="EM154" s="143"/>
      <c r="EN154" s="143"/>
      <c r="EO154" s="143"/>
      <c r="EP154" s="143"/>
      <c r="EQ154" s="143"/>
      <c r="ER154" s="143"/>
      <c r="ES154" s="143"/>
      <c r="ET154" s="143"/>
      <c r="EU154" s="143"/>
      <c r="EV154" s="143"/>
      <c r="EW154" s="143"/>
      <c r="EX154" s="143"/>
      <c r="EY154" s="143"/>
      <c r="EZ154" s="143"/>
      <c r="FA154" s="143"/>
      <c r="FB154" s="143"/>
      <c r="FC154" s="143"/>
      <c r="FD154" s="143"/>
      <c r="FE154" s="143"/>
      <c r="FF154" s="143"/>
      <c r="FG154" s="143"/>
      <c r="FH154" s="143"/>
      <c r="FI154" s="143"/>
      <c r="FJ154" s="143"/>
      <c r="FK154" s="143"/>
      <c r="FL154" s="143"/>
      <c r="FM154" s="143"/>
      <c r="FN154" s="143"/>
      <c r="FO154" s="143"/>
      <c r="FP154" s="143"/>
      <c r="FQ154" s="143"/>
      <c r="FR154" s="143"/>
      <c r="FS154" s="143"/>
      <c r="FT154" s="143"/>
      <c r="FU154" s="143"/>
      <c r="FV154" s="143"/>
      <c r="FW154" s="143"/>
      <c r="FX154" s="143"/>
      <c r="FY154" s="143"/>
      <c r="FZ154" s="143"/>
      <c r="GA154" s="143"/>
      <c r="GB154" s="143"/>
      <c r="GC154" s="143"/>
      <c r="GD154" s="143"/>
      <c r="GE154" s="143"/>
      <c r="GF154" s="143"/>
      <c r="GG154" s="143"/>
      <c r="GH154" s="143"/>
      <c r="GI154" s="143"/>
      <c r="GJ154" s="143"/>
      <c r="GK154" s="143"/>
      <c r="GL154" s="143"/>
      <c r="GM154" s="143"/>
      <c r="GN154" s="143"/>
      <c r="GO154" s="143"/>
      <c r="GP154" s="143"/>
      <c r="GQ154" s="143"/>
      <c r="GR154" s="143"/>
      <c r="GS154" s="143"/>
      <c r="GT154" s="143"/>
      <c r="GU154" s="143"/>
      <c r="GV154" s="143"/>
      <c r="GW154" s="143"/>
      <c r="GX154" s="143"/>
      <c r="GY154" s="143"/>
      <c r="GZ154" s="143"/>
      <c r="HA154" s="143"/>
      <c r="HB154" s="143"/>
      <c r="HC154" s="143"/>
      <c r="HD154" s="143"/>
      <c r="HE154" s="143"/>
      <c r="HF154" s="143"/>
      <c r="HG154" s="143"/>
      <c r="HH154" s="143"/>
      <c r="HI154" s="143"/>
      <c r="HJ154" s="143"/>
      <c r="HK154" s="143"/>
      <c r="HL154" s="143"/>
      <c r="HM154" s="143"/>
      <c r="HN154" s="143"/>
      <c r="HO154" s="143"/>
      <c r="HP154" s="143"/>
      <c r="HQ154" s="143"/>
      <c r="HR154" s="143"/>
      <c r="HS154" s="143"/>
      <c r="HT154" s="143"/>
      <c r="HU154" s="143"/>
      <c r="HV154" s="143"/>
      <c r="HW154" s="143"/>
    </row>
    <row r="156" spans="2:231" x14ac:dyDescent="0.2">
      <c r="B156" s="143"/>
      <c r="C156" s="143"/>
      <c r="D156" s="143"/>
      <c r="E156" s="143"/>
      <c r="F156" s="143"/>
      <c r="G156" s="143"/>
      <c r="H156" s="143"/>
      <c r="I156" s="143"/>
      <c r="J156" s="143"/>
      <c r="K156" s="143"/>
      <c r="L156" s="143"/>
      <c r="M156" s="143"/>
      <c r="N156" s="143"/>
      <c r="O156" s="143"/>
      <c r="P156" s="143"/>
      <c r="Q156" s="143"/>
      <c r="R156" s="143"/>
      <c r="S156" s="143"/>
      <c r="T156" s="143"/>
      <c r="U156" s="143"/>
      <c r="V156" s="143"/>
      <c r="W156" s="143"/>
      <c r="X156" s="143"/>
      <c r="Y156" s="143"/>
      <c r="Z156" s="143"/>
      <c r="AA156" s="143"/>
      <c r="AB156" s="143"/>
      <c r="AC156" s="143"/>
      <c r="AD156" s="143"/>
      <c r="AE156" s="143"/>
      <c r="AF156" s="143"/>
      <c r="AG156" s="143"/>
      <c r="AH156" s="143"/>
      <c r="AI156" s="143"/>
      <c r="AJ156" s="143"/>
      <c r="AK156" s="143"/>
      <c r="AL156" s="143"/>
      <c r="AM156" s="143"/>
      <c r="AN156" s="143"/>
      <c r="AO156" s="143"/>
      <c r="AP156" s="143"/>
      <c r="AQ156" s="143"/>
      <c r="AR156" s="143"/>
      <c r="AS156" s="143"/>
      <c r="AT156" s="143"/>
      <c r="AU156" s="143"/>
      <c r="AV156" s="143"/>
      <c r="AW156" s="143"/>
      <c r="AX156" s="143"/>
      <c r="AY156" s="143"/>
      <c r="AZ156" s="143"/>
      <c r="BA156" s="143"/>
      <c r="BB156" s="143"/>
      <c r="BC156" s="143"/>
      <c r="BD156" s="143"/>
      <c r="BE156" s="143"/>
      <c r="BF156" s="143"/>
      <c r="BG156" s="143"/>
      <c r="BH156" s="143"/>
      <c r="BI156" s="143"/>
      <c r="BJ156" s="143"/>
      <c r="BK156" s="143"/>
      <c r="BL156" s="143"/>
      <c r="BM156" s="143"/>
      <c r="BN156" s="143"/>
      <c r="BO156" s="143"/>
      <c r="BP156" s="143"/>
      <c r="BQ156" s="143"/>
      <c r="BR156" s="143"/>
      <c r="BS156" s="143"/>
      <c r="BT156" s="143"/>
      <c r="BU156" s="143"/>
      <c r="BV156" s="143"/>
      <c r="BW156" s="143"/>
      <c r="BX156" s="143"/>
      <c r="BY156" s="143"/>
      <c r="BZ156" s="143"/>
      <c r="CA156" s="143"/>
      <c r="CB156" s="143"/>
      <c r="CC156" s="143"/>
      <c r="CD156" s="143"/>
      <c r="CE156" s="143"/>
      <c r="CF156" s="143"/>
      <c r="CG156" s="143"/>
      <c r="CH156" s="143"/>
      <c r="CI156" s="143"/>
      <c r="CJ156" s="143"/>
      <c r="CK156" s="143"/>
      <c r="CL156" s="143"/>
      <c r="CM156" s="143"/>
      <c r="CN156" s="143"/>
      <c r="CO156" s="143"/>
      <c r="CP156" s="143"/>
      <c r="CQ156" s="143"/>
      <c r="CR156" s="143"/>
      <c r="CS156" s="143"/>
      <c r="CT156" s="143"/>
      <c r="CU156" s="143"/>
      <c r="CV156" s="143"/>
      <c r="CW156" s="143"/>
      <c r="CX156" s="143"/>
      <c r="CY156" s="143"/>
      <c r="CZ156" s="143"/>
      <c r="DA156" s="143"/>
      <c r="DB156" s="143"/>
      <c r="DC156" s="143"/>
      <c r="DD156" s="143"/>
      <c r="DE156" s="143"/>
      <c r="DF156" s="143"/>
      <c r="DG156" s="143"/>
      <c r="DH156" s="143"/>
      <c r="DI156" s="143"/>
      <c r="DJ156" s="143"/>
      <c r="DK156" s="143"/>
      <c r="DL156" s="143"/>
      <c r="DM156" s="143"/>
      <c r="DN156" s="143"/>
      <c r="DO156" s="143"/>
      <c r="DP156" s="143"/>
      <c r="DQ156" s="143"/>
      <c r="DR156" s="143"/>
      <c r="DS156" s="143"/>
      <c r="DT156" s="143"/>
      <c r="DU156" s="143"/>
      <c r="DV156" s="143"/>
      <c r="DW156" s="143"/>
      <c r="DX156" s="143"/>
      <c r="DY156" s="143"/>
      <c r="DZ156" s="143"/>
      <c r="EA156" s="143"/>
      <c r="EB156" s="143"/>
      <c r="EC156" s="143"/>
      <c r="ED156" s="143"/>
      <c r="EE156" s="143"/>
      <c r="EF156" s="143"/>
      <c r="EG156" s="143"/>
      <c r="EH156" s="143"/>
      <c r="EI156" s="143"/>
      <c r="EJ156" s="143"/>
      <c r="EK156" s="143"/>
      <c r="EL156" s="143"/>
      <c r="EM156" s="143"/>
      <c r="EN156" s="143"/>
      <c r="EO156" s="143"/>
      <c r="EP156" s="143"/>
      <c r="EQ156" s="143"/>
      <c r="ER156" s="143"/>
      <c r="ES156" s="143"/>
      <c r="ET156" s="143"/>
      <c r="EU156" s="143"/>
      <c r="EV156" s="143"/>
      <c r="EW156" s="143"/>
      <c r="EX156" s="143"/>
      <c r="EY156" s="143"/>
      <c r="EZ156" s="143"/>
      <c r="FA156" s="143"/>
      <c r="FB156" s="143"/>
      <c r="FC156" s="143"/>
      <c r="FD156" s="143"/>
      <c r="FE156" s="143"/>
      <c r="FF156" s="143"/>
      <c r="FG156" s="143"/>
      <c r="FH156" s="143"/>
      <c r="FI156" s="143"/>
      <c r="FJ156" s="143"/>
      <c r="FK156" s="143"/>
      <c r="FL156" s="143"/>
      <c r="FM156" s="143"/>
      <c r="FN156" s="143"/>
      <c r="FO156" s="143"/>
      <c r="FP156" s="143"/>
      <c r="FQ156" s="143"/>
      <c r="FR156" s="143"/>
      <c r="FS156" s="143"/>
      <c r="FT156" s="143"/>
      <c r="FU156" s="143"/>
      <c r="FV156" s="143"/>
      <c r="FW156" s="143"/>
      <c r="FX156" s="143"/>
      <c r="FY156" s="143"/>
      <c r="FZ156" s="143"/>
      <c r="GA156" s="143"/>
      <c r="GB156" s="143"/>
      <c r="GC156" s="143"/>
      <c r="GD156" s="143"/>
      <c r="GE156" s="143"/>
      <c r="GF156" s="143"/>
      <c r="GG156" s="143"/>
      <c r="GH156" s="143"/>
      <c r="GI156" s="143"/>
      <c r="GJ156" s="143"/>
      <c r="GK156" s="143"/>
      <c r="GL156" s="143"/>
      <c r="GM156" s="143"/>
      <c r="GN156" s="143"/>
      <c r="GO156" s="143"/>
      <c r="GP156" s="143"/>
      <c r="GQ156" s="143"/>
      <c r="GR156" s="143"/>
      <c r="GS156" s="143"/>
      <c r="GT156" s="143"/>
      <c r="GU156" s="143"/>
      <c r="GV156" s="143"/>
      <c r="GW156" s="143"/>
      <c r="GX156" s="143"/>
      <c r="GY156" s="143"/>
      <c r="GZ156" s="143"/>
      <c r="HA156" s="143"/>
      <c r="HB156" s="143"/>
      <c r="HC156" s="143"/>
      <c r="HD156" s="143"/>
      <c r="HE156" s="143"/>
      <c r="HF156" s="143"/>
      <c r="HG156" s="143"/>
      <c r="HH156" s="143"/>
      <c r="HI156" s="143"/>
      <c r="HJ156" s="143"/>
      <c r="HK156" s="143"/>
      <c r="HL156" s="143"/>
      <c r="HM156" s="143"/>
      <c r="HN156" s="143"/>
      <c r="HO156" s="143"/>
      <c r="HP156" s="143"/>
      <c r="HQ156" s="143"/>
      <c r="HR156" s="143"/>
      <c r="HS156" s="143"/>
      <c r="HT156" s="143"/>
      <c r="HU156" s="143"/>
      <c r="HV156" s="143"/>
      <c r="HW156" s="143"/>
    </row>
    <row r="158" spans="2:231" x14ac:dyDescent="0.2">
      <c r="B158" s="143"/>
      <c r="C158" s="143"/>
      <c r="D158" s="143"/>
      <c r="E158" s="143"/>
      <c r="F158" s="143"/>
      <c r="G158" s="143"/>
      <c r="H158" s="143"/>
      <c r="I158" s="143"/>
      <c r="J158" s="143"/>
      <c r="K158" s="143"/>
      <c r="L158" s="143"/>
      <c r="M158" s="143"/>
      <c r="N158" s="143"/>
      <c r="O158" s="143"/>
      <c r="P158" s="143"/>
      <c r="Q158" s="143"/>
      <c r="R158" s="143"/>
      <c r="S158" s="143"/>
      <c r="T158" s="143"/>
      <c r="U158" s="143"/>
      <c r="V158" s="143"/>
      <c r="W158" s="143"/>
      <c r="X158" s="143"/>
      <c r="Y158" s="143"/>
      <c r="Z158" s="143"/>
      <c r="AA158" s="143"/>
      <c r="AB158" s="143"/>
      <c r="AC158" s="143"/>
      <c r="AD158" s="143"/>
      <c r="AE158" s="143"/>
      <c r="AF158" s="143"/>
      <c r="AG158" s="143"/>
      <c r="AH158" s="143"/>
      <c r="AI158" s="143"/>
      <c r="AJ158" s="143"/>
      <c r="AK158" s="143"/>
      <c r="AL158" s="143"/>
      <c r="AM158" s="143"/>
      <c r="AN158" s="143"/>
      <c r="AO158" s="143"/>
      <c r="AP158" s="143"/>
      <c r="AQ158" s="143"/>
      <c r="AR158" s="143"/>
      <c r="AS158" s="143"/>
      <c r="AT158" s="143"/>
      <c r="AU158" s="143"/>
      <c r="AV158" s="143"/>
      <c r="AW158" s="143"/>
      <c r="AX158" s="143"/>
      <c r="AY158" s="143"/>
      <c r="AZ158" s="143"/>
      <c r="BA158" s="143"/>
      <c r="BB158" s="143"/>
      <c r="BC158" s="143"/>
      <c r="BD158" s="143"/>
      <c r="BE158" s="143"/>
      <c r="BF158" s="143"/>
      <c r="BG158" s="143"/>
      <c r="BH158" s="143"/>
      <c r="BI158" s="143"/>
      <c r="BJ158" s="143"/>
      <c r="BK158" s="143"/>
      <c r="BL158" s="143"/>
      <c r="BM158" s="143"/>
      <c r="BN158" s="143"/>
      <c r="BO158" s="143"/>
      <c r="BP158" s="143"/>
      <c r="BQ158" s="143"/>
      <c r="BR158" s="143"/>
      <c r="BS158" s="143"/>
      <c r="BT158" s="143"/>
      <c r="BU158" s="143"/>
      <c r="BV158" s="143"/>
      <c r="BW158" s="143"/>
      <c r="BX158" s="143"/>
      <c r="BY158" s="143"/>
      <c r="BZ158" s="143"/>
      <c r="CA158" s="143"/>
      <c r="CB158" s="143"/>
      <c r="CC158" s="143"/>
      <c r="CD158" s="143"/>
      <c r="CE158" s="143"/>
      <c r="CF158" s="143"/>
      <c r="CG158" s="143"/>
      <c r="CH158" s="143"/>
      <c r="CI158" s="143"/>
      <c r="CJ158" s="143"/>
      <c r="CK158" s="143"/>
      <c r="CL158" s="143"/>
      <c r="CM158" s="143"/>
      <c r="CN158" s="143"/>
      <c r="CO158" s="143"/>
      <c r="CP158" s="143"/>
      <c r="CQ158" s="143"/>
      <c r="CR158" s="143"/>
      <c r="CS158" s="143"/>
      <c r="CT158" s="143"/>
      <c r="CU158" s="143"/>
      <c r="CV158" s="143"/>
      <c r="CW158" s="143"/>
      <c r="CX158" s="143"/>
      <c r="CY158" s="143"/>
      <c r="CZ158" s="143"/>
      <c r="DA158" s="143"/>
      <c r="DB158" s="143"/>
      <c r="DC158" s="143"/>
      <c r="DD158" s="143"/>
      <c r="DE158" s="143"/>
      <c r="DF158" s="143"/>
      <c r="DG158" s="143"/>
      <c r="DH158" s="143"/>
      <c r="DI158" s="143"/>
      <c r="DJ158" s="143"/>
      <c r="DK158" s="143"/>
      <c r="DL158" s="143"/>
      <c r="DM158" s="143"/>
      <c r="DN158" s="143"/>
      <c r="DO158" s="143"/>
      <c r="DP158" s="143"/>
      <c r="DQ158" s="143"/>
      <c r="DR158" s="143"/>
      <c r="DS158" s="143"/>
      <c r="DT158" s="143"/>
      <c r="DU158" s="143"/>
      <c r="DV158" s="143"/>
      <c r="DW158" s="143"/>
      <c r="DX158" s="143"/>
      <c r="DY158" s="143"/>
      <c r="DZ158" s="143"/>
      <c r="EA158" s="143"/>
      <c r="EB158" s="143"/>
      <c r="EC158" s="143"/>
      <c r="ED158" s="143"/>
      <c r="EE158" s="143"/>
      <c r="EF158" s="143"/>
      <c r="EG158" s="143"/>
      <c r="EH158" s="143"/>
      <c r="EI158" s="143"/>
      <c r="EJ158" s="143"/>
      <c r="EK158" s="143"/>
      <c r="EL158" s="143"/>
      <c r="EM158" s="143"/>
      <c r="EN158" s="143"/>
      <c r="EO158" s="143"/>
      <c r="EP158" s="143"/>
      <c r="EQ158" s="143"/>
      <c r="ER158" s="143"/>
      <c r="ES158" s="143"/>
      <c r="ET158" s="143"/>
      <c r="EU158" s="143"/>
      <c r="EV158" s="143"/>
      <c r="EW158" s="143"/>
      <c r="EX158" s="143"/>
      <c r="EY158" s="143"/>
      <c r="EZ158" s="143"/>
      <c r="FA158" s="143"/>
      <c r="FB158" s="143"/>
      <c r="FC158" s="143"/>
      <c r="FD158" s="143"/>
      <c r="FE158" s="143"/>
      <c r="FF158" s="143"/>
      <c r="FG158" s="143"/>
      <c r="FH158" s="143"/>
      <c r="FI158" s="143"/>
      <c r="FJ158" s="143"/>
      <c r="FK158" s="143"/>
      <c r="FL158" s="143"/>
      <c r="FM158" s="143"/>
      <c r="FN158" s="143"/>
      <c r="FO158" s="143"/>
      <c r="FP158" s="143"/>
      <c r="FQ158" s="143"/>
      <c r="FR158" s="143"/>
      <c r="FS158" s="143"/>
      <c r="FT158" s="143"/>
      <c r="FU158" s="143"/>
      <c r="FV158" s="143"/>
      <c r="FW158" s="143"/>
      <c r="FX158" s="143"/>
      <c r="FY158" s="143"/>
      <c r="FZ158" s="143"/>
      <c r="GA158" s="143"/>
      <c r="GB158" s="143"/>
      <c r="GC158" s="143"/>
      <c r="GD158" s="143"/>
      <c r="GE158" s="143"/>
      <c r="GF158" s="143"/>
      <c r="GG158" s="143"/>
      <c r="GH158" s="143"/>
      <c r="GI158" s="143"/>
      <c r="GJ158" s="143"/>
      <c r="GK158" s="143"/>
      <c r="GL158" s="143"/>
      <c r="GM158" s="143"/>
      <c r="GN158" s="143"/>
      <c r="GO158" s="143"/>
      <c r="GP158" s="143"/>
      <c r="GQ158" s="143"/>
      <c r="GR158" s="143"/>
      <c r="GS158" s="143"/>
      <c r="GT158" s="143"/>
      <c r="GU158" s="143"/>
      <c r="GV158" s="143"/>
      <c r="GW158" s="143"/>
      <c r="GX158" s="143"/>
      <c r="GY158" s="143"/>
      <c r="GZ158" s="143"/>
      <c r="HA158" s="143"/>
      <c r="HB158" s="143"/>
      <c r="HC158" s="143"/>
      <c r="HD158" s="143"/>
      <c r="HE158" s="143"/>
      <c r="HF158" s="143"/>
      <c r="HG158" s="143"/>
      <c r="HH158" s="143"/>
      <c r="HI158" s="143"/>
      <c r="HJ158" s="143"/>
      <c r="HK158" s="143"/>
      <c r="HL158" s="143"/>
      <c r="HM158" s="143"/>
      <c r="HN158" s="143"/>
      <c r="HO158" s="143"/>
      <c r="HP158" s="143"/>
      <c r="HQ158" s="143"/>
      <c r="HR158" s="143"/>
      <c r="HS158" s="143"/>
      <c r="HT158" s="143"/>
      <c r="HU158" s="143"/>
      <c r="HV158" s="143"/>
      <c r="HW158" s="143"/>
    </row>
    <row r="160" spans="2:231" x14ac:dyDescent="0.2">
      <c r="B160" s="143"/>
      <c r="C160" s="143"/>
      <c r="D160" s="143"/>
      <c r="E160" s="143"/>
      <c r="F160" s="143"/>
      <c r="G160" s="143"/>
      <c r="H160" s="143"/>
      <c r="I160" s="143"/>
      <c r="J160" s="143"/>
      <c r="K160" s="143"/>
      <c r="L160" s="143"/>
      <c r="M160" s="143"/>
      <c r="N160" s="143"/>
      <c r="O160" s="143"/>
      <c r="P160" s="143"/>
      <c r="Q160" s="143"/>
      <c r="R160" s="143"/>
      <c r="S160" s="143"/>
      <c r="T160" s="143"/>
      <c r="U160" s="143"/>
      <c r="V160" s="143"/>
      <c r="W160" s="143"/>
      <c r="X160" s="143"/>
      <c r="Y160" s="143"/>
      <c r="Z160" s="143"/>
      <c r="AA160" s="143"/>
      <c r="AB160" s="143"/>
      <c r="AC160" s="143"/>
      <c r="AD160" s="143"/>
      <c r="AE160" s="143"/>
      <c r="AF160" s="143"/>
      <c r="AG160" s="143"/>
      <c r="AH160" s="143"/>
      <c r="AI160" s="143"/>
      <c r="AJ160" s="143"/>
      <c r="AK160" s="143"/>
      <c r="AL160" s="143"/>
      <c r="AM160" s="143"/>
      <c r="AN160" s="143"/>
      <c r="AO160" s="143"/>
      <c r="AP160" s="143"/>
      <c r="AQ160" s="143"/>
      <c r="AR160" s="14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row>
  </sheetData>
  <mergeCells count="3">
    <mergeCell ref="A2:E2"/>
    <mergeCell ref="B3:C3"/>
    <mergeCell ref="D3:E3"/>
  </mergeCells>
  <pageMargins left="0.75" right="0.75" top="1" bottom="1" header="0" footer="0"/>
  <headerFooter alignWithMargins="0"/>
  <legacyDrawing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39"/>
  <sheetViews>
    <sheetView topLeftCell="A11" workbookViewId="0">
      <selection activeCell="B1" sqref="B1"/>
    </sheetView>
  </sheetViews>
  <sheetFormatPr baseColWidth="10" defaultRowHeight="15" x14ac:dyDescent="0.2"/>
  <cols>
    <col min="1" max="1" width="46" style="106" customWidth="1"/>
    <col min="2" max="16384" width="10.83203125" style="106"/>
  </cols>
  <sheetData>
    <row r="2" spans="1:5" ht="16" x14ac:dyDescent="0.2">
      <c r="A2" s="598" t="s">
        <v>5608</v>
      </c>
      <c r="B2" s="599"/>
      <c r="C2" s="600"/>
    </row>
    <row r="3" spans="1:5" x14ac:dyDescent="0.2">
      <c r="A3" s="117" t="s">
        <v>5671</v>
      </c>
      <c r="B3" s="118"/>
      <c r="C3" s="119"/>
    </row>
    <row r="4" spans="1:5" x14ac:dyDescent="0.2">
      <c r="A4" s="178" t="s">
        <v>5672</v>
      </c>
      <c r="B4" s="141">
        <v>12880773</v>
      </c>
      <c r="C4" s="395">
        <v>87</v>
      </c>
    </row>
    <row r="5" spans="1:5" x14ac:dyDescent="0.2">
      <c r="A5" s="178" t="s">
        <v>5611</v>
      </c>
      <c r="B5" s="141">
        <v>256911</v>
      </c>
      <c r="C5" s="395">
        <v>67</v>
      </c>
    </row>
    <row r="6" spans="1:5" x14ac:dyDescent="0.2">
      <c r="A6" s="178" t="s">
        <v>5612</v>
      </c>
      <c r="B6" s="141">
        <v>338304</v>
      </c>
      <c r="C6" s="395">
        <v>61</v>
      </c>
      <c r="D6" s="107">
        <f>SUM(B7:B11)+E6/100</f>
        <v>338304.61</v>
      </c>
      <c r="E6" s="107">
        <f>SUM(C7:C11)</f>
        <v>261</v>
      </c>
    </row>
    <row r="7" spans="1:5" x14ac:dyDescent="0.2">
      <c r="A7" s="178" t="s">
        <v>5613</v>
      </c>
      <c r="B7" s="1640">
        <v>244584</v>
      </c>
      <c r="C7" s="1641">
        <v>89</v>
      </c>
    </row>
    <row r="8" spans="1:5" x14ac:dyDescent="0.2">
      <c r="A8" s="178" t="s">
        <v>5614</v>
      </c>
      <c r="B8" s="1640">
        <v>75458</v>
      </c>
      <c r="C8" s="1641">
        <v>79</v>
      </c>
    </row>
    <row r="9" spans="1:5" x14ac:dyDescent="0.2">
      <c r="A9" s="178" t="s">
        <v>5615</v>
      </c>
      <c r="B9" s="1640">
        <v>392</v>
      </c>
      <c r="C9" s="1641">
        <v>80</v>
      </c>
    </row>
    <row r="10" spans="1:5" x14ac:dyDescent="0.2">
      <c r="A10" s="178" t="s">
        <v>5616</v>
      </c>
      <c r="B10" s="1640">
        <v>14658</v>
      </c>
      <c r="C10" s="1641">
        <v>13</v>
      </c>
    </row>
    <row r="11" spans="1:5" x14ac:dyDescent="0.2">
      <c r="A11" s="178" t="s">
        <v>5617</v>
      </c>
      <c r="B11" s="1640">
        <v>3210</v>
      </c>
      <c r="C11" s="1641"/>
    </row>
    <row r="12" spans="1:5" x14ac:dyDescent="0.2">
      <c r="A12" s="178" t="s">
        <v>5466</v>
      </c>
      <c r="B12" s="141">
        <v>12776</v>
      </c>
      <c r="C12" s="395">
        <v>99</v>
      </c>
    </row>
    <row r="13" spans="1:5" x14ac:dyDescent="0.2">
      <c r="A13" s="178" t="s">
        <v>5468</v>
      </c>
      <c r="B13" s="141">
        <v>10340</v>
      </c>
      <c r="C13" s="395"/>
    </row>
    <row r="14" spans="1:5" x14ac:dyDescent="0.2">
      <c r="A14" s="178" t="s">
        <v>5052</v>
      </c>
      <c r="B14" s="141">
        <v>765484</v>
      </c>
      <c r="C14" s="395">
        <v>6</v>
      </c>
    </row>
    <row r="15" spans="1:5" x14ac:dyDescent="0.2">
      <c r="A15" s="178" t="s">
        <v>1175</v>
      </c>
      <c r="B15" s="141">
        <v>192452</v>
      </c>
      <c r="C15" s="395">
        <v>94</v>
      </c>
    </row>
    <row r="16" spans="1:5" x14ac:dyDescent="0.2">
      <c r="A16" s="178" t="s">
        <v>3287</v>
      </c>
      <c r="B16" s="141">
        <v>463754</v>
      </c>
      <c r="C16" s="395">
        <v>5</v>
      </c>
    </row>
    <row r="17" spans="1:3" x14ac:dyDescent="0.2">
      <c r="A17" s="178" t="s">
        <v>5618</v>
      </c>
      <c r="B17" s="141">
        <v>146870</v>
      </c>
      <c r="C17" s="395">
        <v>54</v>
      </c>
    </row>
    <row r="18" spans="1:3" x14ac:dyDescent="0.2">
      <c r="A18" s="178" t="s">
        <v>5442</v>
      </c>
      <c r="B18" s="141">
        <v>179000</v>
      </c>
      <c r="C18" s="395"/>
    </row>
    <row r="19" spans="1:3" ht="30" x14ac:dyDescent="0.2">
      <c r="A19" s="178" t="s">
        <v>5619</v>
      </c>
      <c r="B19" s="141">
        <v>10041</v>
      </c>
      <c r="C19" s="395">
        <v>84</v>
      </c>
    </row>
    <row r="20" spans="1:3" x14ac:dyDescent="0.2">
      <c r="A20" s="178" t="s">
        <v>5620</v>
      </c>
      <c r="B20" s="141">
        <v>505</v>
      </c>
      <c r="C20" s="395">
        <v>60</v>
      </c>
    </row>
    <row r="21" spans="1:3" x14ac:dyDescent="0.2">
      <c r="A21" s="178" t="s">
        <v>5621</v>
      </c>
      <c r="B21" s="141">
        <v>906806</v>
      </c>
      <c r="C21" s="395">
        <v>58</v>
      </c>
    </row>
    <row r="22" spans="1:3" x14ac:dyDescent="0.2">
      <c r="A22" s="178" t="s">
        <v>5472</v>
      </c>
      <c r="B22" s="141">
        <v>271609</v>
      </c>
      <c r="C22" s="395">
        <v>35</v>
      </c>
    </row>
    <row r="23" spans="1:3" x14ac:dyDescent="0.2">
      <c r="A23" s="178" t="s">
        <v>5473</v>
      </c>
      <c r="B23" s="141">
        <v>0</v>
      </c>
      <c r="C23" s="395"/>
    </row>
    <row r="24" spans="1:3" x14ac:dyDescent="0.2">
      <c r="A24" s="178" t="s">
        <v>5562</v>
      </c>
      <c r="B24" s="141">
        <v>16000</v>
      </c>
      <c r="C24" s="395"/>
    </row>
    <row r="25" spans="1:3" x14ac:dyDescent="0.2">
      <c r="A25" s="178" t="s">
        <v>5429</v>
      </c>
      <c r="B25" s="141">
        <v>0</v>
      </c>
      <c r="C25" s="395"/>
    </row>
    <row r="26" spans="1:3" x14ac:dyDescent="0.2">
      <c r="A26" s="178" t="s">
        <v>5061</v>
      </c>
      <c r="B26" s="141">
        <v>18956</v>
      </c>
      <c r="C26" s="395">
        <v>16</v>
      </c>
    </row>
    <row r="27" spans="1:3" x14ac:dyDescent="0.2">
      <c r="A27" s="178" t="s">
        <v>5622</v>
      </c>
      <c r="B27" s="141">
        <v>475783</v>
      </c>
      <c r="C27" s="395">
        <v>89</v>
      </c>
    </row>
    <row r="28" spans="1:3" x14ac:dyDescent="0.2">
      <c r="A28" s="178" t="s">
        <v>5673</v>
      </c>
      <c r="B28" s="141">
        <v>29897</v>
      </c>
      <c r="C28" s="395">
        <v>20</v>
      </c>
    </row>
    <row r="29" spans="1:3" x14ac:dyDescent="0.2">
      <c r="A29" s="178" t="s">
        <v>5674</v>
      </c>
      <c r="B29" s="141">
        <v>36811</v>
      </c>
      <c r="C29" s="395">
        <v>41</v>
      </c>
    </row>
    <row r="30" spans="1:3" ht="30" x14ac:dyDescent="0.2">
      <c r="A30" s="178" t="s">
        <v>5625</v>
      </c>
      <c r="B30" s="141">
        <v>213495</v>
      </c>
      <c r="C30" s="395"/>
    </row>
    <row r="31" spans="1:3" x14ac:dyDescent="0.2">
      <c r="A31" s="178" t="s">
        <v>5626</v>
      </c>
      <c r="B31" s="141">
        <v>63349</v>
      </c>
      <c r="C31" s="395">
        <v>99</v>
      </c>
    </row>
    <row r="32" spans="1:3" x14ac:dyDescent="0.2">
      <c r="A32" s="178" t="s">
        <v>5675</v>
      </c>
      <c r="B32" s="141">
        <v>134</v>
      </c>
      <c r="C32" s="395">
        <v>37</v>
      </c>
    </row>
    <row r="33" spans="1:3" x14ac:dyDescent="0.2">
      <c r="A33" s="178" t="s">
        <v>5627</v>
      </c>
      <c r="B33" s="141">
        <v>16489</v>
      </c>
      <c r="C33" s="395">
        <v>34</v>
      </c>
    </row>
    <row r="34" spans="1:3" x14ac:dyDescent="0.2">
      <c r="A34" s="178" t="s">
        <v>5676</v>
      </c>
      <c r="B34" s="141">
        <v>4894</v>
      </c>
      <c r="C34" s="395">
        <v>88</v>
      </c>
    </row>
    <row r="35" spans="1:3" x14ac:dyDescent="0.2">
      <c r="A35" s="178" t="s">
        <v>5677</v>
      </c>
      <c r="B35" s="141">
        <v>6258</v>
      </c>
      <c r="C35" s="395">
        <v>53</v>
      </c>
    </row>
    <row r="36" spans="1:3" x14ac:dyDescent="0.2">
      <c r="A36" s="178" t="s">
        <v>5678</v>
      </c>
      <c r="B36" s="141">
        <v>60</v>
      </c>
      <c r="C36" s="395">
        <v>55</v>
      </c>
    </row>
    <row r="37" spans="1:3" ht="30" x14ac:dyDescent="0.2">
      <c r="A37" s="178" t="s">
        <v>5629</v>
      </c>
      <c r="B37" s="141">
        <v>68158</v>
      </c>
      <c r="C37" s="395">
        <v>16</v>
      </c>
    </row>
    <row r="38" spans="1:3" ht="16" thickBot="1" x14ac:dyDescent="0.25">
      <c r="A38" s="320" t="s">
        <v>1666</v>
      </c>
      <c r="B38" s="595">
        <v>17385921</v>
      </c>
      <c r="C38" s="596">
        <v>58</v>
      </c>
    </row>
    <row r="39" spans="1:3" x14ac:dyDescent="0.2">
      <c r="B39" s="393">
        <f>SUM(B4:B6)+SUM(B12:B37)+C39/100</f>
        <v>17385921.210000001</v>
      </c>
      <c r="C39" s="393">
        <f>C4+C5+C6+C12+C13+C14+C15+C16+C17+C19+C20+C21+C22+C24+C26+C27+C28+C29+C30+C31+C33+C34+C35+C36+C37</f>
        <v>1221</v>
      </c>
    </row>
  </sheetData>
  <mergeCells count="2">
    <mergeCell ref="A2:C2"/>
    <mergeCell ref="A3:C3"/>
  </mergeCells>
  <pageMargins left="0.75" right="0.75" top="1" bottom="1" header="0.5" footer="0.5"/>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U168"/>
  <sheetViews>
    <sheetView workbookViewId="0">
      <selection activeCell="B1" sqref="B1"/>
    </sheetView>
  </sheetViews>
  <sheetFormatPr baseColWidth="10" defaultColWidth="11.6640625" defaultRowHeight="15" x14ac:dyDescent="0.2"/>
  <cols>
    <col min="1" max="1" width="45.83203125" style="106" customWidth="1"/>
    <col min="2" max="2" width="11.6640625" style="106" hidden="1" customWidth="1"/>
    <col min="3" max="3" width="9.33203125" style="106" hidden="1" customWidth="1"/>
    <col min="4" max="4" width="11.6640625" style="106"/>
    <col min="5" max="5" width="9.1640625" style="106" hidden="1" customWidth="1"/>
    <col min="6" max="6" width="11.6640625" style="106" hidden="1" customWidth="1"/>
    <col min="7" max="7" width="9.6640625" style="106" hidden="1" customWidth="1"/>
    <col min="8" max="8" width="11.6640625" style="106" hidden="1" customWidth="1"/>
    <col min="9" max="9" width="9.83203125" style="106" hidden="1" customWidth="1"/>
    <col min="10" max="10" width="11.6640625" style="106"/>
    <col min="11" max="11" width="9.33203125" style="106" customWidth="1"/>
    <col min="12" max="12" width="11.6640625" style="106"/>
    <col min="13" max="13" width="10" style="106" customWidth="1"/>
    <col min="14" max="14" width="8.1640625" style="106" customWidth="1"/>
    <col min="15" max="15" width="9" style="106" customWidth="1"/>
    <col min="16" max="16" width="8.83203125" style="106" customWidth="1"/>
    <col min="17" max="17" width="10" style="106" customWidth="1"/>
    <col min="18" max="18" width="11.83203125" style="106" customWidth="1"/>
    <col min="19" max="19" width="8.1640625" style="106" customWidth="1"/>
    <col min="20" max="20" width="11.6640625" style="106"/>
    <col min="21" max="22" width="6.1640625" style="106" customWidth="1"/>
    <col min="23" max="23" width="11.6640625" style="106"/>
    <col min="24" max="25" width="6.1640625" style="106" customWidth="1"/>
    <col min="26" max="26" width="11.6640625" style="106"/>
    <col min="27" max="28" width="6.1640625" style="106" customWidth="1"/>
    <col min="29" max="29" width="11.6640625" style="106"/>
    <col min="30" max="31" width="6.1640625" style="106" customWidth="1"/>
    <col min="32" max="32" width="11.6640625" style="106"/>
    <col min="33" max="34" width="6.1640625" style="106" customWidth="1"/>
    <col min="35" max="35" width="11.6640625" style="106"/>
    <col min="36" max="37" width="6.1640625" style="106" customWidth="1"/>
    <col min="38" max="38" width="11.6640625" style="106"/>
    <col min="39" max="40" width="6.1640625" style="106" customWidth="1"/>
    <col min="41" max="41" width="11.6640625" style="106"/>
    <col min="42" max="43" width="6.1640625" style="106" customWidth="1"/>
    <col min="44" max="44" width="11.6640625" style="106"/>
    <col min="45" max="46" width="6.1640625" style="106" customWidth="1"/>
    <col min="47" max="47" width="11.6640625" style="106"/>
    <col min="48" max="49" width="6.1640625" style="106" customWidth="1"/>
    <col min="50" max="50" width="11.6640625" style="106"/>
    <col min="51" max="52" width="6.1640625" style="106" customWidth="1"/>
    <col min="53" max="53" width="11.6640625" style="106"/>
    <col min="54" max="55" width="6.1640625" style="106" customWidth="1"/>
    <col min="56" max="56" width="11.6640625" style="106"/>
    <col min="57" max="58" width="6.1640625" style="106" customWidth="1"/>
    <col min="59" max="59" width="11.6640625" style="106"/>
    <col min="60" max="61" width="6.1640625" style="106" customWidth="1"/>
    <col min="62" max="62" width="11.6640625" style="106"/>
    <col min="63" max="64" width="6.1640625" style="106" customWidth="1"/>
    <col min="65" max="65" width="11.6640625" style="106"/>
    <col min="66" max="67" width="6.1640625" style="106" customWidth="1"/>
    <col min="68" max="68" width="11.6640625" style="106"/>
    <col min="69" max="70" width="6.1640625" style="106" customWidth="1"/>
    <col min="71" max="71" width="11.6640625" style="106"/>
    <col min="72" max="73" width="6.1640625" style="106" customWidth="1"/>
    <col min="74" max="74" width="11.6640625" style="106"/>
    <col min="75" max="76" width="6.1640625" style="106" customWidth="1"/>
    <col min="77" max="77" width="11.6640625" style="106"/>
    <col min="78" max="79" width="6.1640625" style="106" customWidth="1"/>
    <col min="80" max="80" width="11.6640625" style="106"/>
    <col min="81" max="82" width="6.1640625" style="106" customWidth="1"/>
    <col min="83" max="83" width="11.6640625" style="106"/>
    <col min="84" max="85" width="6.1640625" style="106" customWidth="1"/>
    <col min="86" max="86" width="11.6640625" style="106"/>
    <col min="87" max="88" width="6.1640625" style="106" customWidth="1"/>
    <col min="89" max="89" width="11.6640625" style="106"/>
    <col min="90" max="91" width="6.1640625" style="106" customWidth="1"/>
    <col min="92" max="92" width="11.6640625" style="106"/>
    <col min="93" max="94" width="6.1640625" style="106" customWidth="1"/>
    <col min="95" max="95" width="11.6640625" style="106"/>
    <col min="96" max="97" width="6.1640625" style="106" customWidth="1"/>
    <col min="98" max="98" width="11.6640625" style="106"/>
    <col min="99" max="100" width="6.1640625" style="106" customWidth="1"/>
    <col min="101" max="101" width="11.6640625" style="106"/>
    <col min="102" max="103" width="6.1640625" style="106" customWidth="1"/>
    <col min="104" max="104" width="11.6640625" style="106"/>
    <col min="105" max="106" width="6.1640625" style="106" customWidth="1"/>
    <col min="107" max="107" width="11.6640625" style="106"/>
    <col min="108" max="109" width="6.1640625" style="106" customWidth="1"/>
    <col min="110" max="110" width="11.6640625" style="106"/>
    <col min="111" max="112" width="6.1640625" style="106" customWidth="1"/>
    <col min="113" max="113" width="11.6640625" style="106"/>
    <col min="114" max="115" width="6.1640625" style="106" customWidth="1"/>
    <col min="116" max="116" width="11.6640625" style="106"/>
    <col min="117" max="118" width="6.1640625" style="106" customWidth="1"/>
    <col min="119" max="119" width="11.6640625" style="106"/>
    <col min="120" max="121" width="6.1640625" style="106" customWidth="1"/>
    <col min="122" max="122" width="11.6640625" style="106"/>
    <col min="123" max="124" width="6.1640625" style="106" customWidth="1"/>
    <col min="125" max="125" width="11.6640625" style="106"/>
    <col min="126" max="127" width="6.1640625" style="106" customWidth="1"/>
    <col min="128" max="128" width="11.6640625" style="106"/>
    <col min="129" max="130" width="6.1640625" style="106" customWidth="1"/>
    <col min="131" max="131" width="11.6640625" style="106"/>
    <col min="132" max="133" width="6.1640625" style="106" customWidth="1"/>
    <col min="134" max="134" width="11.6640625" style="106"/>
    <col min="135" max="136" width="6.1640625" style="106" customWidth="1"/>
    <col min="137" max="137" width="11.6640625" style="106"/>
    <col min="138" max="139" width="6.1640625" style="106" customWidth="1"/>
    <col min="140" max="140" width="11.6640625" style="106"/>
    <col min="141" max="142" width="6.1640625" style="106" customWidth="1"/>
    <col min="143" max="143" width="11.6640625" style="106"/>
    <col min="144" max="145" width="6.1640625" style="106" customWidth="1"/>
    <col min="146" max="146" width="11.6640625" style="106"/>
    <col min="147" max="148" width="6.1640625" style="106" customWidth="1"/>
    <col min="149" max="149" width="11.6640625" style="106"/>
    <col min="150" max="151" width="6.1640625" style="106" customWidth="1"/>
    <col min="152" max="152" width="11.6640625" style="106"/>
    <col min="153" max="154" width="6.1640625" style="106" customWidth="1"/>
    <col min="155" max="155" width="11.6640625" style="106"/>
    <col min="156" max="157" width="6.1640625" style="106" customWidth="1"/>
    <col min="158" max="158" width="11.6640625" style="106"/>
    <col min="159" max="160" width="6.1640625" style="106" customWidth="1"/>
    <col min="161" max="161" width="11.6640625" style="106"/>
    <col min="162" max="163" width="6.1640625" style="106" customWidth="1"/>
    <col min="164" max="164" width="11.6640625" style="106"/>
    <col min="165" max="166" width="6.1640625" style="106" customWidth="1"/>
    <col min="167" max="167" width="11.6640625" style="106"/>
    <col min="168" max="169" width="6.1640625" style="106" customWidth="1"/>
    <col min="170" max="170" width="11.6640625" style="106"/>
    <col min="171" max="172" width="6.1640625" style="106" customWidth="1"/>
    <col min="173" max="173" width="11.6640625" style="106"/>
    <col min="174" max="175" width="6.1640625" style="106" customWidth="1"/>
    <col min="176" max="176" width="11.6640625" style="106"/>
    <col min="177" max="178" width="6.1640625" style="106" customWidth="1"/>
    <col min="179" max="179" width="11.6640625" style="106"/>
    <col min="180" max="181" width="6.1640625" style="106" customWidth="1"/>
    <col min="182" max="182" width="11.6640625" style="106"/>
    <col min="183" max="184" width="6.1640625" style="106" customWidth="1"/>
    <col min="185" max="185" width="11.6640625" style="106"/>
    <col min="186" max="187" width="6.1640625" style="106" customWidth="1"/>
    <col min="188" max="188" width="11.6640625" style="106"/>
    <col min="189" max="190" width="6.1640625" style="106" customWidth="1"/>
    <col min="191" max="191" width="11.6640625" style="106"/>
    <col min="192" max="193" width="6.1640625" style="106" customWidth="1"/>
    <col min="194" max="194" width="11.6640625" style="106"/>
    <col min="195" max="196" width="6.1640625" style="106" customWidth="1"/>
    <col min="197" max="197" width="11.6640625" style="106"/>
    <col min="198" max="199" width="6.1640625" style="106" customWidth="1"/>
    <col min="200" max="200" width="11.6640625" style="106"/>
    <col min="201" max="202" width="6.1640625" style="106" customWidth="1"/>
    <col min="203" max="203" width="11.6640625" style="106"/>
    <col min="204" max="205" width="6.1640625" style="106" customWidth="1"/>
    <col min="206" max="206" width="11.6640625" style="106"/>
    <col min="207" max="208" width="6.1640625" style="106" customWidth="1"/>
    <col min="209" max="209" width="11.6640625" style="106"/>
    <col min="210" max="211" width="6.1640625" style="106" customWidth="1"/>
    <col min="212" max="212" width="11.6640625" style="106"/>
    <col min="213" max="214" width="6.1640625" style="106" customWidth="1"/>
    <col min="215" max="215" width="11.6640625" style="106"/>
    <col min="216" max="217" width="6.1640625" style="106" customWidth="1"/>
    <col min="218" max="218" width="11.6640625" style="106"/>
    <col min="219" max="220" width="6.1640625" style="106" customWidth="1"/>
    <col min="221" max="221" width="11.6640625" style="106"/>
    <col min="222" max="223" width="6.1640625" style="106" customWidth="1"/>
    <col min="224" max="224" width="11.6640625" style="106"/>
    <col min="225" max="226" width="6.1640625" style="106" customWidth="1"/>
    <col min="227" max="227" width="11.6640625" style="106"/>
    <col min="228" max="229" width="6.1640625" style="106" customWidth="1"/>
    <col min="230" max="16384" width="11.6640625" style="106"/>
  </cols>
  <sheetData>
    <row r="1" spans="1:15" x14ac:dyDescent="0.2">
      <c r="A1" s="113" t="s">
        <v>1111</v>
      </c>
    </row>
    <row r="2" spans="1:15" ht="38" customHeight="1" x14ac:dyDescent="0.2">
      <c r="A2" s="598" t="s">
        <v>5679</v>
      </c>
      <c r="B2" s="599"/>
      <c r="C2" s="599"/>
      <c r="D2" s="599"/>
      <c r="E2" s="599"/>
      <c r="F2" s="599"/>
      <c r="G2" s="599"/>
      <c r="H2" s="599"/>
      <c r="I2" s="599"/>
      <c r="J2" s="599"/>
      <c r="K2" s="599"/>
      <c r="L2" s="599"/>
      <c r="M2" s="599"/>
      <c r="N2" s="599"/>
      <c r="O2" s="600"/>
    </row>
    <row r="3" spans="1:15" ht="27.5" customHeight="1" x14ac:dyDescent="0.25">
      <c r="A3" s="1649" t="s">
        <v>5680</v>
      </c>
      <c r="B3" s="1650"/>
      <c r="C3" s="1650"/>
      <c r="D3" s="1650"/>
      <c r="E3" s="1650"/>
      <c r="F3" s="1650"/>
      <c r="G3" s="1650"/>
      <c r="H3" s="1650"/>
      <c r="I3" s="1650"/>
      <c r="J3" s="1650"/>
      <c r="K3" s="1650"/>
      <c r="L3" s="1650"/>
      <c r="M3" s="1650"/>
      <c r="N3" s="1650"/>
      <c r="O3" s="1651"/>
    </row>
    <row r="4" spans="1:15" ht="60.5" customHeight="1" x14ac:dyDescent="0.2">
      <c r="A4" s="1652" t="s">
        <v>5254</v>
      </c>
      <c r="B4" s="252" t="s">
        <v>5681</v>
      </c>
      <c r="C4" s="254"/>
      <c r="D4" s="253" t="s">
        <v>5682</v>
      </c>
      <c r="E4" s="254"/>
      <c r="F4" s="252" t="s">
        <v>5683</v>
      </c>
      <c r="G4" s="253"/>
      <c r="H4" s="252" t="s">
        <v>5684</v>
      </c>
      <c r="I4" s="254"/>
      <c r="J4" s="253" t="s">
        <v>5685</v>
      </c>
      <c r="K4" s="254"/>
      <c r="L4" s="252" t="s">
        <v>5686</v>
      </c>
      <c r="M4" s="254"/>
      <c r="N4" s="252" t="s">
        <v>5687</v>
      </c>
      <c r="O4" s="254"/>
    </row>
    <row r="5" spans="1:15" x14ac:dyDescent="0.2">
      <c r="A5" s="164" t="s">
        <v>5688</v>
      </c>
      <c r="B5" s="131">
        <v>6250000</v>
      </c>
      <c r="C5" s="307"/>
      <c r="D5" s="145">
        <v>10065437</v>
      </c>
      <c r="E5" s="307">
        <v>21</v>
      </c>
      <c r="F5" s="131"/>
      <c r="G5" s="145"/>
      <c r="H5" s="131">
        <v>3815437</v>
      </c>
      <c r="I5" s="307">
        <v>21</v>
      </c>
      <c r="J5" s="145">
        <v>9322859</v>
      </c>
      <c r="K5" s="307">
        <v>77</v>
      </c>
      <c r="L5" s="131">
        <v>742577</v>
      </c>
      <c r="M5" s="307">
        <v>44</v>
      </c>
      <c r="O5" s="307"/>
    </row>
    <row r="6" spans="1:15" x14ac:dyDescent="0.2">
      <c r="A6" s="164" t="s">
        <v>5689</v>
      </c>
      <c r="B6" s="131">
        <v>125000</v>
      </c>
      <c r="C6" s="307"/>
      <c r="D6" s="145">
        <v>202080</v>
      </c>
      <c r="E6" s="307">
        <v>51</v>
      </c>
      <c r="F6" s="131"/>
      <c r="G6" s="145"/>
      <c r="H6" s="131">
        <v>77080</v>
      </c>
      <c r="I6" s="307">
        <v>51</v>
      </c>
      <c r="J6" s="145">
        <v>166955</v>
      </c>
      <c r="K6" s="307">
        <v>3</v>
      </c>
      <c r="L6" s="131">
        <v>35125</v>
      </c>
      <c r="M6" s="307">
        <v>48</v>
      </c>
      <c r="N6" s="131"/>
      <c r="O6" s="307"/>
    </row>
    <row r="7" spans="1:15" x14ac:dyDescent="0.2">
      <c r="A7" s="164" t="s">
        <v>5690</v>
      </c>
      <c r="B7" s="131">
        <v>145000</v>
      </c>
      <c r="C7" s="307"/>
      <c r="D7" s="145">
        <v>249687</v>
      </c>
      <c r="E7" s="307">
        <v>60</v>
      </c>
      <c r="F7" s="131"/>
      <c r="G7" s="145"/>
      <c r="H7" s="131">
        <v>104687</v>
      </c>
      <c r="I7" s="307">
        <v>60</v>
      </c>
      <c r="J7" s="145">
        <v>249067</v>
      </c>
      <c r="K7" s="307">
        <v>66</v>
      </c>
      <c r="L7" s="131">
        <v>619</v>
      </c>
      <c r="M7" s="307">
        <v>94</v>
      </c>
      <c r="N7" s="131"/>
      <c r="O7" s="307"/>
    </row>
    <row r="8" spans="1:15" x14ac:dyDescent="0.2">
      <c r="A8" s="164" t="s">
        <v>5466</v>
      </c>
      <c r="B8" s="131">
        <v>13800</v>
      </c>
      <c r="C8" s="307"/>
      <c r="D8" s="145">
        <v>34</v>
      </c>
      <c r="E8" s="307">
        <v>5</v>
      </c>
      <c r="F8" s="131">
        <v>13765</v>
      </c>
      <c r="G8" s="145">
        <v>95</v>
      </c>
      <c r="H8" s="131"/>
      <c r="I8" s="307"/>
      <c r="J8" s="145">
        <v>34</v>
      </c>
      <c r="K8" s="307">
        <v>5</v>
      </c>
      <c r="L8" s="131"/>
      <c r="M8" s="307"/>
      <c r="N8" s="131"/>
      <c r="O8" s="307"/>
    </row>
    <row r="9" spans="1:15" x14ac:dyDescent="0.2">
      <c r="A9" s="164" t="s">
        <v>5468</v>
      </c>
      <c r="B9" s="131">
        <v>5500</v>
      </c>
      <c r="C9" s="307"/>
      <c r="D9" s="145">
        <v>9510</v>
      </c>
      <c r="E9" s="307"/>
      <c r="F9" s="131"/>
      <c r="G9" s="145"/>
      <c r="H9" s="131">
        <v>4010</v>
      </c>
      <c r="I9" s="307"/>
      <c r="J9" s="145">
        <v>9510</v>
      </c>
      <c r="K9" s="307"/>
      <c r="L9" s="131"/>
      <c r="M9" s="307"/>
      <c r="N9" s="131"/>
      <c r="O9" s="307"/>
    </row>
    <row r="10" spans="1:15" x14ac:dyDescent="0.2">
      <c r="A10" s="164" t="s">
        <v>5052</v>
      </c>
      <c r="B10" s="131">
        <v>386800</v>
      </c>
      <c r="C10" s="307"/>
      <c r="D10" s="141">
        <v>611578</v>
      </c>
      <c r="E10" s="395">
        <v>17</v>
      </c>
      <c r="F10" s="140"/>
      <c r="G10" s="141"/>
      <c r="H10" s="140">
        <v>224778</v>
      </c>
      <c r="I10" s="395">
        <v>17</v>
      </c>
      <c r="J10" s="141">
        <v>611578</v>
      </c>
      <c r="K10" s="307">
        <v>17</v>
      </c>
      <c r="L10" s="131"/>
      <c r="M10" s="307"/>
      <c r="N10" s="131"/>
      <c r="O10" s="307"/>
    </row>
    <row r="11" spans="1:15" x14ac:dyDescent="0.2">
      <c r="A11" s="164" t="s">
        <v>1175</v>
      </c>
      <c r="B11" s="131">
        <v>102000</v>
      </c>
      <c r="C11" s="307"/>
      <c r="D11" s="141">
        <v>150513</v>
      </c>
      <c r="E11" s="395">
        <v>30</v>
      </c>
      <c r="F11" s="140"/>
      <c r="G11" s="141"/>
      <c r="H11" s="140">
        <v>48513</v>
      </c>
      <c r="I11" s="395">
        <v>30</v>
      </c>
      <c r="J11" s="141">
        <v>150513</v>
      </c>
      <c r="K11" s="307">
        <v>30</v>
      </c>
      <c r="L11" s="131"/>
      <c r="M11" s="307"/>
      <c r="N11" s="131"/>
      <c r="O11" s="307"/>
    </row>
    <row r="12" spans="1:15" x14ac:dyDescent="0.2">
      <c r="A12" s="164" t="s">
        <v>3287</v>
      </c>
      <c r="B12" s="131">
        <v>297000</v>
      </c>
      <c r="C12" s="307"/>
      <c r="D12" s="141">
        <v>464539</v>
      </c>
      <c r="E12" s="395">
        <v>18</v>
      </c>
      <c r="F12" s="140"/>
      <c r="G12" s="141"/>
      <c r="H12" s="140">
        <v>167539</v>
      </c>
      <c r="I12" s="395">
        <v>18</v>
      </c>
      <c r="J12" s="141">
        <v>464539</v>
      </c>
      <c r="K12" s="307">
        <v>18</v>
      </c>
      <c r="L12" s="131"/>
      <c r="M12" s="307"/>
      <c r="N12" s="131"/>
      <c r="O12" s="307"/>
    </row>
    <row r="13" spans="1:15" x14ac:dyDescent="0.2">
      <c r="A13" s="164" t="s">
        <v>1397</v>
      </c>
      <c r="B13" s="131">
        <v>96500</v>
      </c>
      <c r="C13" s="307"/>
      <c r="D13" s="141">
        <v>127921</v>
      </c>
      <c r="E13" s="395">
        <v>10</v>
      </c>
      <c r="F13" s="140"/>
      <c r="G13" s="141"/>
      <c r="H13" s="140">
        <v>31421</v>
      </c>
      <c r="I13" s="395">
        <v>10</v>
      </c>
      <c r="J13" s="141">
        <v>127921</v>
      </c>
      <c r="K13" s="307">
        <v>10</v>
      </c>
      <c r="L13" s="131"/>
      <c r="M13" s="307"/>
      <c r="N13" s="131"/>
      <c r="O13" s="307"/>
    </row>
    <row r="14" spans="1:15" x14ac:dyDescent="0.2">
      <c r="A14" s="164" t="s">
        <v>5442</v>
      </c>
      <c r="B14" s="131">
        <v>82000</v>
      </c>
      <c r="C14" s="307"/>
      <c r="D14" s="141"/>
      <c r="E14" s="395"/>
      <c r="F14" s="140">
        <v>82000</v>
      </c>
      <c r="G14" s="141"/>
      <c r="H14" s="140"/>
      <c r="I14" s="395"/>
      <c r="J14" s="141"/>
      <c r="K14" s="307"/>
      <c r="L14" s="131"/>
      <c r="M14" s="307"/>
      <c r="N14" s="131"/>
      <c r="O14" s="307"/>
    </row>
    <row r="15" spans="1:15" x14ac:dyDescent="0.2">
      <c r="A15" s="164" t="s">
        <v>1808</v>
      </c>
      <c r="B15" s="131">
        <v>20000</v>
      </c>
      <c r="C15" s="307"/>
      <c r="D15" s="141">
        <v>15877</v>
      </c>
      <c r="E15" s="395">
        <v>29</v>
      </c>
      <c r="F15" s="140">
        <v>4122</v>
      </c>
      <c r="G15" s="141">
        <v>71</v>
      </c>
      <c r="H15" s="140"/>
      <c r="I15" s="395"/>
      <c r="J15" s="141">
        <v>15877</v>
      </c>
      <c r="K15" s="307">
        <v>29</v>
      </c>
      <c r="L15" s="131"/>
      <c r="M15" s="307"/>
      <c r="N15" s="131"/>
      <c r="O15" s="307"/>
    </row>
    <row r="16" spans="1:15" x14ac:dyDescent="0.2">
      <c r="A16" s="164" t="s">
        <v>5070</v>
      </c>
      <c r="B16" s="131">
        <v>300</v>
      </c>
      <c r="C16" s="307"/>
      <c r="D16" s="141">
        <v>495</v>
      </c>
      <c r="E16" s="395">
        <v>60</v>
      </c>
      <c r="F16" s="140"/>
      <c r="G16" s="141"/>
      <c r="H16" s="140">
        <v>195</v>
      </c>
      <c r="I16" s="395">
        <v>60</v>
      </c>
      <c r="J16" s="141">
        <v>495</v>
      </c>
      <c r="K16" s="307">
        <v>60</v>
      </c>
      <c r="L16" s="131"/>
      <c r="M16" s="307"/>
      <c r="N16" s="131"/>
      <c r="O16" s="307"/>
    </row>
    <row r="17" spans="1:15" x14ac:dyDescent="0.2">
      <c r="A17" s="164" t="s">
        <v>5471</v>
      </c>
      <c r="B17" s="131">
        <v>746000</v>
      </c>
      <c r="C17" s="307"/>
      <c r="D17" s="141">
        <v>867877</v>
      </c>
      <c r="E17" s="395">
        <v>75</v>
      </c>
      <c r="F17" s="140"/>
      <c r="G17" s="141"/>
      <c r="H17" s="140">
        <v>121877</v>
      </c>
      <c r="I17" s="395">
        <v>75</v>
      </c>
      <c r="J17" s="141">
        <v>867877</v>
      </c>
      <c r="K17" s="307">
        <v>75</v>
      </c>
      <c r="L17" s="131"/>
      <c r="M17" s="307"/>
      <c r="N17" s="131"/>
      <c r="O17" s="307"/>
    </row>
    <row r="18" spans="1:15" x14ac:dyDescent="0.2">
      <c r="A18" s="164" t="s">
        <v>5472</v>
      </c>
      <c r="B18" s="131">
        <v>414200</v>
      </c>
      <c r="C18" s="307"/>
      <c r="D18" s="141">
        <v>114382</v>
      </c>
      <c r="E18" s="395">
        <v>67</v>
      </c>
      <c r="F18" s="140">
        <v>299817</v>
      </c>
      <c r="G18" s="141">
        <v>33</v>
      </c>
      <c r="H18" s="140"/>
      <c r="I18" s="395"/>
      <c r="J18" s="141">
        <v>114382</v>
      </c>
      <c r="K18" s="307">
        <v>67</v>
      </c>
      <c r="L18" s="131"/>
      <c r="M18" s="307"/>
      <c r="N18" s="131"/>
      <c r="O18" s="307"/>
    </row>
    <row r="19" spans="1:15" x14ac:dyDescent="0.2">
      <c r="A19" s="164" t="s">
        <v>5064</v>
      </c>
      <c r="B19" s="131">
        <v>6600</v>
      </c>
      <c r="C19" s="307"/>
      <c r="D19" s="141">
        <v>1770</v>
      </c>
      <c r="E19" s="395">
        <v>76</v>
      </c>
      <c r="F19" s="140">
        <v>4829</v>
      </c>
      <c r="G19" s="141">
        <v>24</v>
      </c>
      <c r="H19" s="140"/>
      <c r="I19" s="395"/>
      <c r="J19" s="141">
        <v>1770</v>
      </c>
      <c r="K19" s="307">
        <v>76</v>
      </c>
      <c r="L19" s="131"/>
      <c r="M19" s="307"/>
      <c r="N19" s="131"/>
      <c r="O19" s="307"/>
    </row>
    <row r="20" spans="1:15" x14ac:dyDescent="0.2">
      <c r="A20" s="164" t="s">
        <v>5473</v>
      </c>
      <c r="B20" s="131">
        <v>200000</v>
      </c>
      <c r="C20" s="307"/>
      <c r="D20" s="141"/>
      <c r="E20" s="395"/>
      <c r="F20" s="140">
        <v>200000</v>
      </c>
      <c r="G20" s="141"/>
      <c r="H20" s="140"/>
      <c r="I20" s="395"/>
      <c r="J20" s="141"/>
      <c r="K20" s="307"/>
      <c r="L20" s="131"/>
      <c r="M20" s="307"/>
      <c r="N20" s="131"/>
      <c r="O20" s="307"/>
    </row>
    <row r="21" spans="1:15" x14ac:dyDescent="0.2">
      <c r="A21" s="164" t="s">
        <v>5474</v>
      </c>
      <c r="B21" s="131">
        <v>26000</v>
      </c>
      <c r="C21" s="307"/>
      <c r="D21" s="141">
        <v>8000</v>
      </c>
      <c r="E21" s="395"/>
      <c r="F21" s="140">
        <v>18000</v>
      </c>
      <c r="G21" s="141"/>
      <c r="H21" s="140"/>
      <c r="I21" s="395"/>
      <c r="J21" s="141">
        <v>8000</v>
      </c>
      <c r="K21" s="307"/>
      <c r="L21" s="131"/>
      <c r="M21" s="307"/>
      <c r="N21" s="131"/>
      <c r="O21" s="307"/>
    </row>
    <row r="22" spans="1:15" x14ac:dyDescent="0.2">
      <c r="A22" s="164" t="s">
        <v>5061</v>
      </c>
      <c r="B22" s="131">
        <v>10200</v>
      </c>
      <c r="C22" s="307"/>
      <c r="D22" s="141">
        <v>23340</v>
      </c>
      <c r="E22" s="395">
        <v>28</v>
      </c>
      <c r="F22" s="140"/>
      <c r="G22" s="141"/>
      <c r="H22" s="140">
        <v>13140</v>
      </c>
      <c r="I22" s="395">
        <v>28</v>
      </c>
      <c r="J22" s="141">
        <v>23340</v>
      </c>
      <c r="K22" s="307">
        <v>28</v>
      </c>
      <c r="L22" s="131"/>
      <c r="M22" s="307"/>
      <c r="N22" s="131"/>
      <c r="O22" s="307"/>
    </row>
    <row r="23" spans="1:15" x14ac:dyDescent="0.2">
      <c r="A23" s="164" t="s">
        <v>5172</v>
      </c>
      <c r="B23" s="131">
        <v>464500</v>
      </c>
      <c r="C23" s="307"/>
      <c r="D23" s="141">
        <v>388141</v>
      </c>
      <c r="E23" s="395">
        <v>74</v>
      </c>
      <c r="F23" s="140">
        <v>76358</v>
      </c>
      <c r="G23" s="141">
        <v>26</v>
      </c>
      <c r="H23" s="140"/>
      <c r="I23" s="395"/>
      <c r="J23" s="141">
        <v>387635</v>
      </c>
      <c r="K23" s="307">
        <v>20</v>
      </c>
      <c r="L23" s="131">
        <v>506</v>
      </c>
      <c r="M23" s="307">
        <v>54</v>
      </c>
      <c r="N23" s="131"/>
      <c r="O23" s="307"/>
    </row>
    <row r="24" spans="1:15" x14ac:dyDescent="0.2">
      <c r="A24" s="164" t="s">
        <v>5623</v>
      </c>
      <c r="B24" s="131">
        <v>25500</v>
      </c>
      <c r="C24" s="307"/>
      <c r="D24" s="141">
        <v>36132</v>
      </c>
      <c r="E24" s="395">
        <v>43</v>
      </c>
      <c r="F24" s="140"/>
      <c r="G24" s="141"/>
      <c r="H24" s="140">
        <v>10632</v>
      </c>
      <c r="I24" s="395">
        <v>43</v>
      </c>
      <c r="J24" s="141">
        <v>36132</v>
      </c>
      <c r="K24" s="307">
        <v>43</v>
      </c>
      <c r="L24" s="131"/>
      <c r="M24" s="307"/>
      <c r="N24" s="131"/>
      <c r="O24" s="307"/>
    </row>
    <row r="25" spans="1:15" x14ac:dyDescent="0.2">
      <c r="A25" s="164" t="s">
        <v>5624</v>
      </c>
      <c r="B25" s="131">
        <v>8000</v>
      </c>
      <c r="C25" s="307"/>
      <c r="D25" s="141">
        <v>38467</v>
      </c>
      <c r="E25" s="395">
        <v>81</v>
      </c>
      <c r="F25" s="140"/>
      <c r="G25" s="141"/>
      <c r="H25" s="140">
        <v>30467</v>
      </c>
      <c r="I25" s="395">
        <v>81</v>
      </c>
      <c r="J25" s="141">
        <v>38467</v>
      </c>
      <c r="K25" s="307">
        <v>81</v>
      </c>
      <c r="L25" s="131"/>
      <c r="M25" s="307"/>
      <c r="N25" s="131"/>
      <c r="O25" s="307"/>
    </row>
    <row r="26" spans="1:15" x14ac:dyDescent="0.2">
      <c r="A26" s="164" t="s">
        <v>2763</v>
      </c>
      <c r="B26" s="131">
        <v>130600</v>
      </c>
      <c r="C26" s="307"/>
      <c r="D26" s="141">
        <v>161340</v>
      </c>
      <c r="E26" s="395">
        <v>50</v>
      </c>
      <c r="F26" s="140"/>
      <c r="G26" s="141"/>
      <c r="H26" s="140">
        <v>30740</v>
      </c>
      <c r="I26" s="395">
        <v>50</v>
      </c>
      <c r="J26" s="141">
        <v>158003</v>
      </c>
      <c r="K26" s="307">
        <v>13</v>
      </c>
      <c r="L26" s="131">
        <v>3337</v>
      </c>
      <c r="M26" s="307">
        <v>37</v>
      </c>
      <c r="N26" s="131"/>
      <c r="O26" s="307"/>
    </row>
    <row r="27" spans="1:15" x14ac:dyDescent="0.2">
      <c r="A27" s="164" t="s">
        <v>5691</v>
      </c>
      <c r="B27" s="131">
        <v>15000</v>
      </c>
      <c r="C27" s="307"/>
      <c r="D27" s="141">
        <v>176941</v>
      </c>
      <c r="E27" s="395">
        <v>4</v>
      </c>
      <c r="F27" s="140"/>
      <c r="G27" s="141"/>
      <c r="H27" s="140">
        <v>161941</v>
      </c>
      <c r="I27" s="395">
        <v>4</v>
      </c>
      <c r="J27" s="141">
        <v>176291</v>
      </c>
      <c r="K27" s="307">
        <v>99</v>
      </c>
      <c r="L27" s="131"/>
      <c r="M27" s="307"/>
      <c r="N27" s="131">
        <v>649</v>
      </c>
      <c r="O27" s="307">
        <v>5</v>
      </c>
    </row>
    <row r="28" spans="1:15" x14ac:dyDescent="0.2">
      <c r="A28" s="164" t="s">
        <v>5569</v>
      </c>
      <c r="B28" s="131">
        <v>38000</v>
      </c>
      <c r="C28" s="307"/>
      <c r="D28" s="141">
        <v>31696</v>
      </c>
      <c r="E28" s="395">
        <v>97</v>
      </c>
      <c r="F28" s="140">
        <v>6303</v>
      </c>
      <c r="G28" s="141">
        <v>3</v>
      </c>
      <c r="H28" s="140"/>
      <c r="I28" s="395"/>
      <c r="J28" s="141">
        <v>31696</v>
      </c>
      <c r="K28" s="307">
        <v>97</v>
      </c>
      <c r="L28" s="131"/>
      <c r="M28" s="307"/>
      <c r="N28" s="131"/>
      <c r="O28" s="307"/>
    </row>
    <row r="29" spans="1:15" x14ac:dyDescent="0.2">
      <c r="A29" s="164" t="s">
        <v>5568</v>
      </c>
      <c r="B29" s="131">
        <v>19000</v>
      </c>
      <c r="C29" s="307"/>
      <c r="D29" s="141">
        <v>6740</v>
      </c>
      <c r="E29" s="395">
        <v>22</v>
      </c>
      <c r="F29" s="140">
        <v>12259</v>
      </c>
      <c r="G29" s="141">
        <v>78</v>
      </c>
      <c r="H29" s="140"/>
      <c r="I29" s="395"/>
      <c r="J29" s="141">
        <v>6740</v>
      </c>
      <c r="K29" s="307">
        <v>22</v>
      </c>
      <c r="L29" s="131"/>
      <c r="M29" s="307"/>
      <c r="N29" s="131"/>
      <c r="O29" s="307"/>
    </row>
    <row r="30" spans="1:15" x14ac:dyDescent="0.2">
      <c r="A30" s="164" t="s">
        <v>5479</v>
      </c>
      <c r="B30" s="131">
        <v>89000</v>
      </c>
      <c r="C30" s="307"/>
      <c r="D30" s="141">
        <v>3000</v>
      </c>
      <c r="E30" s="395"/>
      <c r="F30" s="140">
        <v>86000</v>
      </c>
      <c r="G30" s="141"/>
      <c r="H30" s="140"/>
      <c r="I30" s="395"/>
      <c r="J30" s="141">
        <v>3000</v>
      </c>
      <c r="K30" s="307"/>
      <c r="L30" s="131"/>
      <c r="M30" s="307"/>
      <c r="N30" s="131"/>
      <c r="O30" s="307"/>
    </row>
    <row r="31" spans="1:15" x14ac:dyDescent="0.2">
      <c r="A31" s="164" t="s">
        <v>5692</v>
      </c>
      <c r="B31" s="140">
        <v>63000</v>
      </c>
      <c r="C31" s="307"/>
      <c r="D31" s="144">
        <v>237068</v>
      </c>
      <c r="E31" s="307">
        <v>82</v>
      </c>
      <c r="F31" s="131"/>
      <c r="G31" s="145"/>
      <c r="H31" s="131">
        <v>174068</v>
      </c>
      <c r="I31" s="307">
        <v>82</v>
      </c>
      <c r="J31" s="145">
        <v>237068</v>
      </c>
      <c r="K31" s="307">
        <v>82</v>
      </c>
      <c r="L31" s="131"/>
      <c r="M31" s="307"/>
      <c r="N31" s="131"/>
      <c r="O31" s="307"/>
    </row>
    <row r="32" spans="1:15" x14ac:dyDescent="0.2">
      <c r="A32" s="273" t="s">
        <v>4843</v>
      </c>
      <c r="B32" s="240">
        <v>9779500</v>
      </c>
      <c r="C32" s="513"/>
      <c r="D32" s="318">
        <v>13992575</v>
      </c>
      <c r="E32" s="513"/>
      <c r="F32" s="240">
        <v>803456</v>
      </c>
      <c r="G32" s="318">
        <v>30</v>
      </c>
      <c r="H32" s="240">
        <v>5016531</v>
      </c>
      <c r="I32" s="513">
        <v>30</v>
      </c>
      <c r="J32" s="318">
        <v>13209759</v>
      </c>
      <c r="K32" s="513">
        <v>18</v>
      </c>
      <c r="L32" s="240">
        <v>782166</v>
      </c>
      <c r="M32" s="513">
        <v>77</v>
      </c>
      <c r="N32" s="240">
        <v>649</v>
      </c>
      <c r="O32" s="513">
        <v>5</v>
      </c>
    </row>
    <row r="33" spans="1:15" x14ac:dyDescent="0.2">
      <c r="B33" s="321">
        <f>SUM(B5:B31)</f>
        <v>9779500</v>
      </c>
      <c r="C33" s="321">
        <f>SUM(C5:C31)</f>
        <v>0</v>
      </c>
      <c r="D33" s="477">
        <f t="shared" ref="D33:O33" si="0">SUM(D5:D31)</f>
        <v>13992565</v>
      </c>
      <c r="E33" s="477">
        <f t="shared" si="0"/>
        <v>1000</v>
      </c>
      <c r="F33" s="825">
        <f>SUM(F5:F31)</f>
        <v>803453</v>
      </c>
      <c r="G33" s="825">
        <f t="shared" si="0"/>
        <v>330</v>
      </c>
      <c r="H33" s="825">
        <f t="shared" si="0"/>
        <v>5016525</v>
      </c>
      <c r="I33" s="825">
        <f t="shared" si="0"/>
        <v>630</v>
      </c>
      <c r="J33" s="825">
        <f t="shared" si="0"/>
        <v>13209749</v>
      </c>
      <c r="K33" s="825">
        <f t="shared" si="0"/>
        <v>1018</v>
      </c>
      <c r="L33" s="825">
        <f t="shared" si="0"/>
        <v>782164</v>
      </c>
      <c r="M33" s="825">
        <f t="shared" si="0"/>
        <v>277</v>
      </c>
      <c r="N33" s="825">
        <f t="shared" si="0"/>
        <v>649</v>
      </c>
      <c r="O33" s="825">
        <f t="shared" si="0"/>
        <v>5</v>
      </c>
    </row>
    <row r="36" spans="1:15" x14ac:dyDescent="0.2">
      <c r="A36" s="113" t="s">
        <v>5693</v>
      </c>
    </row>
    <row r="37" spans="1:15" ht="28.25" customHeight="1" x14ac:dyDescent="0.2">
      <c r="A37" s="1653" t="s">
        <v>5694</v>
      </c>
      <c r="B37" s="1654"/>
      <c r="C37" s="1654"/>
      <c r="D37" s="1654"/>
      <c r="E37" s="1654"/>
      <c r="F37" s="1654"/>
      <c r="G37" s="1654"/>
      <c r="H37" s="1654"/>
      <c r="I37" s="1654"/>
      <c r="J37" s="1654"/>
      <c r="K37" s="1654"/>
      <c r="L37" s="1654"/>
      <c r="M37" s="1654"/>
      <c r="N37" s="1655"/>
    </row>
    <row r="38" spans="1:15" ht="58.25" customHeight="1" x14ac:dyDescent="0.2">
      <c r="A38" s="1646" t="s">
        <v>5695</v>
      </c>
      <c r="B38" s="252" t="s">
        <v>5696</v>
      </c>
      <c r="C38" s="254"/>
      <c r="D38" s="252" t="s">
        <v>5697</v>
      </c>
      <c r="E38" s="253"/>
      <c r="F38" s="252" t="s">
        <v>5698</v>
      </c>
      <c r="G38" s="254"/>
      <c r="H38" s="253" t="s">
        <v>3892</v>
      </c>
      <c r="I38" s="254"/>
      <c r="J38" s="252" t="s">
        <v>5699</v>
      </c>
      <c r="K38" s="254"/>
      <c r="L38" s="252" t="s">
        <v>5700</v>
      </c>
      <c r="M38" s="253"/>
      <c r="N38" s="254"/>
    </row>
    <row r="39" spans="1:15" x14ac:dyDescent="0.2">
      <c r="A39" s="164" t="s">
        <v>5701</v>
      </c>
      <c r="B39" s="131">
        <v>1860337</v>
      </c>
      <c r="C39" s="307">
        <v>32</v>
      </c>
      <c r="D39" s="131">
        <v>1364659</v>
      </c>
      <c r="E39" s="145">
        <v>49</v>
      </c>
      <c r="F39" s="131">
        <v>1583365</v>
      </c>
      <c r="G39" s="307">
        <v>42</v>
      </c>
      <c r="H39" s="145"/>
      <c r="I39" s="307"/>
      <c r="J39" s="131">
        <v>218705</v>
      </c>
      <c r="K39" s="307">
        <v>93</v>
      </c>
      <c r="L39" s="145">
        <v>276971</v>
      </c>
      <c r="M39" s="145">
        <v>90</v>
      </c>
      <c r="N39" s="185"/>
    </row>
    <row r="40" spans="1:15" x14ac:dyDescent="0.2">
      <c r="A40" s="164" t="s">
        <v>5702</v>
      </c>
      <c r="B40" s="131">
        <v>89493</v>
      </c>
      <c r="C40" s="307">
        <v>30</v>
      </c>
      <c r="D40" s="131">
        <v>84719</v>
      </c>
      <c r="E40" s="145"/>
      <c r="F40" s="131">
        <v>84802</v>
      </c>
      <c r="G40" s="307">
        <v>22</v>
      </c>
      <c r="H40" s="145"/>
      <c r="I40" s="307"/>
      <c r="J40" s="131">
        <v>83</v>
      </c>
      <c r="K40" s="307">
        <v>22</v>
      </c>
      <c r="L40" s="145">
        <v>4691</v>
      </c>
      <c r="M40" s="145">
        <v>8</v>
      </c>
      <c r="N40" s="185"/>
    </row>
    <row r="41" spans="1:15" x14ac:dyDescent="0.2">
      <c r="A41" s="164" t="s">
        <v>5703</v>
      </c>
      <c r="B41" s="131">
        <v>1507696</v>
      </c>
      <c r="C41" s="307">
        <v>96</v>
      </c>
      <c r="D41" s="131">
        <v>547429</v>
      </c>
      <c r="E41" s="145">
        <v>65</v>
      </c>
      <c r="F41" s="131">
        <v>1772287</v>
      </c>
      <c r="G41" s="307">
        <v>10</v>
      </c>
      <c r="H41" s="145"/>
      <c r="I41" s="307"/>
      <c r="J41" s="131">
        <v>1224857</v>
      </c>
      <c r="K41" s="307">
        <v>45</v>
      </c>
      <c r="L41" s="145">
        <v>264590</v>
      </c>
      <c r="M41" s="145">
        <v>14</v>
      </c>
      <c r="N41" s="185" t="s">
        <v>2870</v>
      </c>
    </row>
    <row r="42" spans="1:15" x14ac:dyDescent="0.2">
      <c r="A42" s="164" t="s">
        <v>1829</v>
      </c>
      <c r="B42" s="131">
        <v>1010354</v>
      </c>
      <c r="C42" s="307">
        <v>5</v>
      </c>
      <c r="D42" s="131">
        <v>911481</v>
      </c>
      <c r="E42" s="145">
        <v>25</v>
      </c>
      <c r="F42" s="131">
        <v>963261</v>
      </c>
      <c r="G42" s="307">
        <v>28</v>
      </c>
      <c r="H42" s="145"/>
      <c r="I42" s="307"/>
      <c r="J42" s="131">
        <v>51780</v>
      </c>
      <c r="K42" s="307">
        <v>3</v>
      </c>
      <c r="L42" s="145">
        <v>47092</v>
      </c>
      <c r="M42" s="145">
        <v>77</v>
      </c>
      <c r="N42" s="185"/>
    </row>
    <row r="43" spans="1:15" x14ac:dyDescent="0.2">
      <c r="A43" s="164" t="s">
        <v>5704</v>
      </c>
      <c r="B43" s="131">
        <v>413955</v>
      </c>
      <c r="C43" s="307">
        <v>33</v>
      </c>
      <c r="D43" s="131">
        <v>324629</v>
      </c>
      <c r="E43" s="145">
        <v>81</v>
      </c>
      <c r="F43" s="131">
        <v>314195</v>
      </c>
      <c r="G43" s="307">
        <v>29</v>
      </c>
      <c r="H43" s="145">
        <v>10434</v>
      </c>
      <c r="I43" s="307">
        <v>52</v>
      </c>
      <c r="J43" s="131"/>
      <c r="K43" s="307"/>
      <c r="L43" s="145">
        <v>99760</v>
      </c>
      <c r="M43" s="145">
        <v>4</v>
      </c>
      <c r="N43" s="185"/>
    </row>
    <row r="44" spans="1:15" x14ac:dyDescent="0.2">
      <c r="A44" s="164" t="s">
        <v>5705</v>
      </c>
      <c r="B44" s="131">
        <v>1312185</v>
      </c>
      <c r="C44" s="307">
        <v>56</v>
      </c>
      <c r="D44" s="131">
        <v>960791</v>
      </c>
      <c r="E44" s="145">
        <v>49</v>
      </c>
      <c r="F44" s="131">
        <v>1039621</v>
      </c>
      <c r="G44" s="307">
        <v>64</v>
      </c>
      <c r="H44" s="145"/>
      <c r="I44" s="307"/>
      <c r="J44" s="131">
        <v>78830</v>
      </c>
      <c r="K44" s="307">
        <v>15</v>
      </c>
      <c r="L44" s="145">
        <v>272563</v>
      </c>
      <c r="M44" s="145">
        <v>92</v>
      </c>
      <c r="N44" s="185"/>
    </row>
    <row r="45" spans="1:15" x14ac:dyDescent="0.2">
      <c r="A45" s="164" t="s">
        <v>1830</v>
      </c>
      <c r="B45" s="131">
        <v>6330391</v>
      </c>
      <c r="C45" s="307">
        <v>5</v>
      </c>
      <c r="D45" s="131">
        <v>2288261</v>
      </c>
      <c r="E45" s="145">
        <v>14</v>
      </c>
      <c r="F45" s="131">
        <v>2589095</v>
      </c>
      <c r="G45" s="307"/>
      <c r="H45" s="145"/>
      <c r="I45" s="307"/>
      <c r="J45" s="131">
        <v>300833</v>
      </c>
      <c r="K45" s="307">
        <v>86</v>
      </c>
      <c r="L45" s="145">
        <v>3741296</v>
      </c>
      <c r="M45" s="145">
        <v>5</v>
      </c>
      <c r="N45" s="185"/>
    </row>
    <row r="46" spans="1:15" x14ac:dyDescent="0.2">
      <c r="A46" s="164" t="s">
        <v>5706</v>
      </c>
      <c r="B46" s="131">
        <v>649478</v>
      </c>
      <c r="C46" s="307">
        <v>97</v>
      </c>
      <c r="D46" s="131">
        <v>573045</v>
      </c>
      <c r="E46" s="145">
        <v>65</v>
      </c>
      <c r="F46" s="131">
        <v>577197</v>
      </c>
      <c r="G46" s="307">
        <v>33</v>
      </c>
      <c r="H46" s="145"/>
      <c r="I46" s="307"/>
      <c r="J46" s="131">
        <v>4151</v>
      </c>
      <c r="K46" s="307">
        <v>68</v>
      </c>
      <c r="L46" s="145">
        <v>72281</v>
      </c>
      <c r="M46" s="145">
        <v>64</v>
      </c>
      <c r="N46" s="185"/>
    </row>
    <row r="47" spans="1:15" x14ac:dyDescent="0.2">
      <c r="A47" s="164" t="s">
        <v>5707</v>
      </c>
      <c r="B47" s="131">
        <v>550196</v>
      </c>
      <c r="C47" s="307">
        <v>61</v>
      </c>
      <c r="D47" s="131">
        <v>323878</v>
      </c>
      <c r="E47" s="145">
        <v>5</v>
      </c>
      <c r="F47" s="131">
        <v>384999</v>
      </c>
      <c r="G47" s="307">
        <v>59</v>
      </c>
      <c r="H47" s="145"/>
      <c r="I47" s="307"/>
      <c r="J47" s="131">
        <v>61121</v>
      </c>
      <c r="K47" s="307">
        <v>54</v>
      </c>
      <c r="L47" s="145">
        <v>165197</v>
      </c>
      <c r="M47" s="145">
        <v>2</v>
      </c>
      <c r="N47" s="185"/>
    </row>
    <row r="48" spans="1:15" x14ac:dyDescent="0.2">
      <c r="A48" s="164" t="s">
        <v>5708</v>
      </c>
      <c r="B48" s="131">
        <v>4110738</v>
      </c>
      <c r="C48" s="307">
        <v>65</v>
      </c>
      <c r="D48" s="131">
        <v>3108383</v>
      </c>
      <c r="E48" s="145">
        <v>85</v>
      </c>
      <c r="F48" s="131">
        <v>3187360</v>
      </c>
      <c r="G48" s="307">
        <v>57</v>
      </c>
      <c r="H48" s="145"/>
      <c r="I48" s="307"/>
      <c r="J48" s="131">
        <v>78976</v>
      </c>
      <c r="K48" s="307">
        <v>72</v>
      </c>
      <c r="L48" s="145">
        <v>923378</v>
      </c>
      <c r="M48" s="145">
        <v>8</v>
      </c>
      <c r="N48" s="185"/>
    </row>
    <row r="49" spans="1:14" x14ac:dyDescent="0.2">
      <c r="A49" s="164" t="s">
        <v>5709</v>
      </c>
      <c r="B49" s="131">
        <v>240529</v>
      </c>
      <c r="C49" s="307">
        <v>5</v>
      </c>
      <c r="D49" s="131">
        <v>273111</v>
      </c>
      <c r="E49" s="145">
        <v>14</v>
      </c>
      <c r="F49" s="131">
        <v>278817</v>
      </c>
      <c r="G49" s="307">
        <v>87</v>
      </c>
      <c r="H49" s="145"/>
      <c r="I49" s="307"/>
      <c r="J49" s="131">
        <v>5706</v>
      </c>
      <c r="K49" s="307">
        <v>73</v>
      </c>
      <c r="L49" s="145">
        <v>38288</v>
      </c>
      <c r="M49" s="145">
        <v>82</v>
      </c>
      <c r="N49" s="185" t="s">
        <v>2870</v>
      </c>
    </row>
    <row r="50" spans="1:14" x14ac:dyDescent="0.2">
      <c r="A50" s="164" t="s">
        <v>5710</v>
      </c>
      <c r="B50" s="131">
        <v>400793</v>
      </c>
      <c r="C50" s="307">
        <v>85</v>
      </c>
      <c r="D50" s="131">
        <v>371687</v>
      </c>
      <c r="E50" s="145">
        <v>15</v>
      </c>
      <c r="F50" s="131">
        <v>384890</v>
      </c>
      <c r="G50" s="307">
        <v>97</v>
      </c>
      <c r="H50" s="145"/>
      <c r="I50" s="307"/>
      <c r="J50" s="131">
        <v>13203</v>
      </c>
      <c r="K50" s="307">
        <v>82</v>
      </c>
      <c r="L50" s="145">
        <v>15902</v>
      </c>
      <c r="M50" s="145">
        <v>88</v>
      </c>
      <c r="N50" s="185"/>
    </row>
    <row r="51" spans="1:14" ht="16" thickBot="1" x14ac:dyDescent="0.25">
      <c r="A51" s="164" t="s">
        <v>5711</v>
      </c>
      <c r="B51" s="530">
        <v>1468288</v>
      </c>
      <c r="C51" s="444">
        <v>35</v>
      </c>
      <c r="D51" s="530">
        <v>1006687</v>
      </c>
      <c r="E51" s="187">
        <v>49</v>
      </c>
      <c r="F51" s="530">
        <v>1045472</v>
      </c>
      <c r="G51" s="444">
        <v>29</v>
      </c>
      <c r="H51" s="187"/>
      <c r="I51" s="444"/>
      <c r="J51" s="530">
        <v>38784</v>
      </c>
      <c r="K51" s="444">
        <v>80</v>
      </c>
      <c r="L51" s="187">
        <v>422816</v>
      </c>
      <c r="M51" s="187">
        <v>6</v>
      </c>
      <c r="N51" s="193"/>
    </row>
    <row r="52" spans="1:14" x14ac:dyDescent="0.2">
      <c r="A52" s="382"/>
      <c r="B52" s="131">
        <v>19944439</v>
      </c>
      <c r="C52" s="307">
        <v>5</v>
      </c>
      <c r="D52" s="131">
        <v>12138765</v>
      </c>
      <c r="E52" s="145">
        <v>16</v>
      </c>
      <c r="F52" s="131">
        <v>14205366</v>
      </c>
      <c r="G52" s="307">
        <v>57</v>
      </c>
      <c r="H52" s="145">
        <v>10434</v>
      </c>
      <c r="I52" s="307">
        <v>52</v>
      </c>
      <c r="J52" s="131">
        <v>2077035</v>
      </c>
      <c r="K52" s="307">
        <v>93</v>
      </c>
      <c r="L52" s="145">
        <v>6041951</v>
      </c>
      <c r="M52" s="145">
        <v>44</v>
      </c>
      <c r="N52" s="185"/>
    </row>
    <row r="53" spans="1:14" x14ac:dyDescent="0.2">
      <c r="A53" s="382"/>
      <c r="B53" s="137">
        <f>SUM(B39:B51)</f>
        <v>19944433</v>
      </c>
      <c r="C53" s="137">
        <f>SUM(C39:C51)</f>
        <v>605</v>
      </c>
      <c r="D53" s="137">
        <f t="shared" ref="D53:K53" si="1">SUM(D39:D51)</f>
        <v>12138760</v>
      </c>
      <c r="E53" s="137">
        <f t="shared" si="1"/>
        <v>516</v>
      </c>
      <c r="F53" s="137">
        <f t="shared" si="1"/>
        <v>14205361</v>
      </c>
      <c r="G53" s="137">
        <f t="shared" si="1"/>
        <v>557</v>
      </c>
      <c r="H53" s="137">
        <f t="shared" si="1"/>
        <v>10434</v>
      </c>
      <c r="I53" s="137">
        <f t="shared" si="1"/>
        <v>52</v>
      </c>
      <c r="J53" s="137">
        <f t="shared" si="1"/>
        <v>2077029</v>
      </c>
      <c r="K53" s="137">
        <f t="shared" si="1"/>
        <v>693</v>
      </c>
      <c r="L53" s="145">
        <v>302878</v>
      </c>
      <c r="M53" s="145">
        <v>96</v>
      </c>
      <c r="N53" s="185"/>
    </row>
    <row r="54" spans="1:14" x14ac:dyDescent="0.2">
      <c r="A54" s="213"/>
      <c r="B54" s="230"/>
      <c r="C54" s="364"/>
      <c r="D54" s="230"/>
      <c r="E54" s="309"/>
      <c r="F54" s="230"/>
      <c r="G54" s="364"/>
      <c r="H54" s="309"/>
      <c r="I54" s="364"/>
      <c r="J54" s="230"/>
      <c r="K54" s="364"/>
      <c r="L54" s="309">
        <v>5739072</v>
      </c>
      <c r="M54" s="309">
        <v>48</v>
      </c>
      <c r="N54" s="195"/>
    </row>
    <row r="55" spans="1:14" x14ac:dyDescent="0.2">
      <c r="A55" s="1656"/>
      <c r="B55" s="354"/>
      <c r="C55" s="354"/>
      <c r="D55" s="354"/>
      <c r="E55" s="354"/>
      <c r="F55" s="354"/>
      <c r="G55" s="354"/>
      <c r="H55" s="354"/>
      <c r="I55" s="354"/>
      <c r="J55" s="354"/>
      <c r="K55" s="354"/>
      <c r="L55" s="918">
        <f>SUM(L39:L51)</f>
        <v>6344825</v>
      </c>
      <c r="M55" s="918">
        <f>SUM(M39:M51)</f>
        <v>540</v>
      </c>
      <c r="N55" s="209"/>
    </row>
    <row r="56" spans="1:14" x14ac:dyDescent="0.2">
      <c r="A56" s="1656"/>
      <c r="B56" s="495"/>
      <c r="C56" s="495"/>
      <c r="D56" s="495"/>
      <c r="E56" s="495"/>
      <c r="F56" s="495"/>
      <c r="G56" s="495"/>
      <c r="H56" s="495"/>
      <c r="I56" s="495"/>
      <c r="J56" s="495"/>
      <c r="K56" s="495"/>
      <c r="L56" s="152">
        <f>L41+L49</f>
        <v>302878</v>
      </c>
      <c r="M56" s="152">
        <f>M41+M49</f>
        <v>96</v>
      </c>
      <c r="N56" s="278"/>
    </row>
    <row r="57" spans="1:14" x14ac:dyDescent="0.2">
      <c r="A57" s="1656"/>
      <c r="B57" s="356"/>
      <c r="C57" s="356"/>
      <c r="D57" s="356"/>
      <c r="E57" s="356"/>
      <c r="F57" s="356"/>
      <c r="G57" s="356"/>
      <c r="H57" s="356"/>
      <c r="I57" s="356"/>
      <c r="J57" s="356"/>
      <c r="K57" s="356"/>
      <c r="L57" s="918">
        <f>L55-L56</f>
        <v>6041947</v>
      </c>
      <c r="M57" s="918">
        <f>M55-M56</f>
        <v>444</v>
      </c>
      <c r="N57" s="215"/>
    </row>
    <row r="58" spans="1:14" x14ac:dyDescent="0.2">
      <c r="A58" s="1657" t="s">
        <v>5712</v>
      </c>
      <c r="B58" s="1658"/>
      <c r="C58" s="1658"/>
      <c r="D58" s="1658"/>
      <c r="E58" s="1658"/>
      <c r="F58" s="1658"/>
      <c r="G58" s="1658"/>
      <c r="H58" s="1658"/>
      <c r="I58" s="1658"/>
      <c r="J58" s="1658"/>
      <c r="K58" s="1658"/>
      <c r="L58" s="1658"/>
      <c r="M58" s="1658"/>
      <c r="N58" s="1659"/>
    </row>
    <row r="62" spans="1:14" x14ac:dyDescent="0.2">
      <c r="A62" s="113" t="s">
        <v>3840</v>
      </c>
    </row>
    <row r="63" spans="1:14" ht="31.25" customHeight="1" x14ac:dyDescent="0.2">
      <c r="A63" s="1653" t="s">
        <v>5713</v>
      </c>
      <c r="B63" s="1654"/>
      <c r="C63" s="1654"/>
      <c r="D63" s="1654"/>
      <c r="E63" s="1654"/>
      <c r="F63" s="1654"/>
      <c r="G63" s="1654"/>
      <c r="H63" s="1654"/>
      <c r="I63" s="1654"/>
      <c r="J63" s="1654"/>
      <c r="K63" s="1655"/>
    </row>
    <row r="64" spans="1:14" ht="38" customHeight="1" x14ac:dyDescent="0.2">
      <c r="A64" s="211"/>
      <c r="B64" s="252" t="s">
        <v>5714</v>
      </c>
      <c r="C64" s="254"/>
      <c r="D64" s="252" t="s">
        <v>5715</v>
      </c>
      <c r="E64" s="254"/>
      <c r="F64" s="252" t="s">
        <v>5716</v>
      </c>
      <c r="G64" s="254"/>
      <c r="H64" s="252" t="s">
        <v>5717</v>
      </c>
      <c r="I64" s="254"/>
      <c r="J64" s="252" t="s">
        <v>5718</v>
      </c>
      <c r="K64" s="254"/>
    </row>
    <row r="65" spans="1:11" ht="15.5" customHeight="1" x14ac:dyDescent="0.2">
      <c r="A65" s="178" t="s">
        <v>5719</v>
      </c>
      <c r="B65" s="131"/>
      <c r="C65" s="307"/>
      <c r="D65" s="131">
        <v>10164939</v>
      </c>
      <c r="E65" s="307">
        <v>5</v>
      </c>
      <c r="F65" s="131"/>
      <c r="G65" s="307"/>
      <c r="H65" s="131"/>
      <c r="I65" s="307"/>
      <c r="J65" s="131"/>
      <c r="K65" s="307"/>
    </row>
    <row r="66" spans="1:11" ht="30" x14ac:dyDescent="0.2">
      <c r="A66" s="178" t="s">
        <v>5720</v>
      </c>
      <c r="B66" s="131"/>
      <c r="C66" s="307"/>
      <c r="D66" s="131"/>
      <c r="E66" s="307"/>
      <c r="F66" s="131">
        <v>1853809</v>
      </c>
      <c r="G66" s="307">
        <v>84</v>
      </c>
      <c r="H66" s="131"/>
      <c r="I66" s="307"/>
      <c r="J66" s="131"/>
      <c r="K66" s="307"/>
    </row>
    <row r="67" spans="1:11" x14ac:dyDescent="0.2">
      <c r="A67" s="178" t="s">
        <v>5721</v>
      </c>
      <c r="B67" s="131"/>
      <c r="C67" s="307"/>
      <c r="D67" s="131"/>
      <c r="E67" s="307"/>
      <c r="F67" s="131"/>
      <c r="G67" s="307"/>
      <c r="H67" s="131">
        <v>995607</v>
      </c>
      <c r="I67" s="307">
        <v>39</v>
      </c>
      <c r="J67" s="131"/>
      <c r="K67" s="307"/>
    </row>
    <row r="68" spans="1:11" ht="30" x14ac:dyDescent="0.2">
      <c r="A68" s="178" t="s">
        <v>5722</v>
      </c>
      <c r="B68" s="131"/>
      <c r="C68" s="307"/>
      <c r="D68" s="131"/>
      <c r="E68" s="307"/>
      <c r="F68" s="131"/>
      <c r="G68" s="307"/>
      <c r="H68" s="131">
        <v>223226</v>
      </c>
      <c r="I68" s="307">
        <v>9</v>
      </c>
      <c r="J68" s="131"/>
      <c r="K68" s="307"/>
    </row>
    <row r="69" spans="1:11" x14ac:dyDescent="0.2">
      <c r="A69" s="320"/>
      <c r="B69" s="230"/>
      <c r="C69" s="364"/>
      <c r="D69" s="230"/>
      <c r="E69" s="364"/>
      <c r="F69" s="230"/>
      <c r="G69" s="364"/>
      <c r="H69" s="230"/>
      <c r="I69" s="364"/>
      <c r="J69" s="230">
        <v>688304</v>
      </c>
      <c r="K69" s="364">
        <v>22</v>
      </c>
    </row>
    <row r="70" spans="1:11" ht="25.25" customHeight="1" x14ac:dyDescent="0.2">
      <c r="A70" s="1660" t="s">
        <v>5723</v>
      </c>
      <c r="B70" s="1661"/>
      <c r="C70" s="1661"/>
      <c r="D70" s="1661"/>
      <c r="E70" s="1661"/>
      <c r="F70" s="1661"/>
      <c r="G70" s="1661"/>
      <c r="H70" s="1661"/>
      <c r="I70" s="1661"/>
      <c r="J70" s="1661"/>
      <c r="K70" s="1662"/>
    </row>
    <row r="71" spans="1:11" x14ac:dyDescent="0.2">
      <c r="A71" s="1663" t="s">
        <v>5724</v>
      </c>
      <c r="B71" s="470"/>
      <c r="C71" s="470"/>
      <c r="D71" s="470"/>
      <c r="E71" s="470"/>
      <c r="F71" s="470"/>
      <c r="G71" s="470"/>
      <c r="H71" s="145"/>
      <c r="I71" s="145"/>
      <c r="J71" s="145">
        <v>15032171</v>
      </c>
      <c r="K71" s="307">
        <v>49</v>
      </c>
    </row>
    <row r="72" spans="1:11" ht="15.5" customHeight="1" thickBot="1" x14ac:dyDescent="0.25">
      <c r="A72" s="1663" t="s">
        <v>5725</v>
      </c>
      <c r="B72" s="470"/>
      <c r="C72" s="470"/>
      <c r="D72" s="470"/>
      <c r="E72" s="470"/>
      <c r="F72" s="470"/>
      <c r="G72" s="470"/>
      <c r="H72" s="145"/>
      <c r="I72" s="145"/>
      <c r="J72" s="187">
        <v>13209759</v>
      </c>
      <c r="K72" s="444">
        <v>18</v>
      </c>
    </row>
    <row r="73" spans="1:11" x14ac:dyDescent="0.2">
      <c r="A73" s="1663" t="s">
        <v>5726</v>
      </c>
      <c r="B73" s="470"/>
      <c r="C73" s="470"/>
      <c r="D73" s="470"/>
      <c r="E73" s="470"/>
      <c r="F73" s="470"/>
      <c r="G73" s="470"/>
      <c r="H73" s="145"/>
      <c r="I73" s="145"/>
      <c r="J73" s="145">
        <v>1822412</v>
      </c>
      <c r="K73" s="307">
        <v>31</v>
      </c>
    </row>
    <row r="74" spans="1:11" x14ac:dyDescent="0.2">
      <c r="A74" s="1664"/>
      <c r="B74" s="1665"/>
      <c r="C74" s="1665"/>
      <c r="D74" s="1665"/>
      <c r="E74" s="1665"/>
      <c r="F74" s="1665"/>
      <c r="G74" s="1665"/>
      <c r="H74" s="145"/>
      <c r="I74" s="145"/>
      <c r="J74" s="138">
        <f>J71-J72</f>
        <v>1822412</v>
      </c>
      <c r="K74" s="138">
        <f>K71-K72</f>
        <v>31</v>
      </c>
    </row>
    <row r="75" spans="1:11" x14ac:dyDescent="0.2">
      <c r="A75" s="1663" t="s">
        <v>5727</v>
      </c>
      <c r="B75" s="470"/>
      <c r="C75" s="470"/>
      <c r="D75" s="470"/>
      <c r="E75" s="470"/>
      <c r="F75" s="470"/>
      <c r="G75" s="470"/>
      <c r="H75" s="145">
        <v>14859985</v>
      </c>
      <c r="I75" s="145">
        <v>79</v>
      </c>
      <c r="J75" s="145"/>
      <c r="K75" s="307"/>
    </row>
    <row r="76" spans="1:11" ht="16" thickBot="1" x14ac:dyDescent="0.25">
      <c r="A76" s="1663" t="s">
        <v>5728</v>
      </c>
      <c r="B76" s="470"/>
      <c r="C76" s="470"/>
      <c r="D76" s="470"/>
      <c r="E76" s="470"/>
      <c r="F76" s="470"/>
      <c r="G76" s="470"/>
      <c r="H76" s="187">
        <v>14205366</v>
      </c>
      <c r="I76" s="187">
        <v>57</v>
      </c>
      <c r="J76" s="145"/>
      <c r="K76" s="307"/>
    </row>
    <row r="77" spans="1:11" ht="16" thickBot="1" x14ac:dyDescent="0.25">
      <c r="A77" s="1663" t="s">
        <v>5729</v>
      </c>
      <c r="B77" s="470"/>
      <c r="C77" s="470"/>
      <c r="D77" s="470"/>
      <c r="E77" s="470"/>
      <c r="F77" s="470"/>
      <c r="G77" s="470"/>
      <c r="H77" s="145">
        <v>654619</v>
      </c>
      <c r="I77" s="145">
        <v>22</v>
      </c>
      <c r="J77" s="187">
        <v>654619</v>
      </c>
      <c r="K77" s="444">
        <v>22</v>
      </c>
    </row>
    <row r="78" spans="1:11" x14ac:dyDescent="0.2">
      <c r="A78" s="1664"/>
      <c r="B78" s="1665"/>
      <c r="C78" s="1665"/>
      <c r="D78" s="1665"/>
      <c r="E78" s="1665"/>
      <c r="F78" s="1665"/>
      <c r="G78" s="1665"/>
      <c r="H78" s="138">
        <f>H75-H76</f>
        <v>654619</v>
      </c>
      <c r="I78" s="138">
        <f>I75-I76</f>
        <v>22</v>
      </c>
      <c r="J78" s="145"/>
      <c r="K78" s="307"/>
    </row>
    <row r="79" spans="1:11" x14ac:dyDescent="0.2">
      <c r="A79" s="1663" t="s">
        <v>5730</v>
      </c>
      <c r="B79" s="470"/>
      <c r="C79" s="470"/>
      <c r="D79" s="470"/>
      <c r="E79" s="470"/>
      <c r="F79" s="470"/>
      <c r="G79" s="470"/>
      <c r="H79" s="145"/>
      <c r="I79" s="145"/>
      <c r="J79" s="145">
        <v>1167793</v>
      </c>
      <c r="K79" s="307">
        <v>9</v>
      </c>
    </row>
    <row r="80" spans="1:11" x14ac:dyDescent="0.2">
      <c r="A80" s="1664"/>
      <c r="B80" s="1665"/>
      <c r="C80" s="1665"/>
      <c r="D80" s="1665"/>
      <c r="E80" s="1665"/>
      <c r="F80" s="1665"/>
      <c r="G80" s="1665"/>
      <c r="H80" s="145"/>
      <c r="I80" s="145"/>
      <c r="J80" s="138">
        <f>J74-H78</f>
        <v>1167793</v>
      </c>
      <c r="K80" s="138">
        <f>K74-I78</f>
        <v>9</v>
      </c>
    </row>
    <row r="81" spans="1:19" ht="16" thickBot="1" x14ac:dyDescent="0.25">
      <c r="A81" s="1663" t="s">
        <v>5731</v>
      </c>
      <c r="B81" s="470"/>
      <c r="C81" s="470"/>
      <c r="D81" s="470"/>
      <c r="E81" s="470"/>
      <c r="F81" s="470"/>
      <c r="G81" s="470"/>
      <c r="H81" s="145"/>
      <c r="I81" s="145"/>
      <c r="J81" s="187">
        <v>688304</v>
      </c>
      <c r="K81" s="444">
        <v>22</v>
      </c>
    </row>
    <row r="82" spans="1:19" ht="26.5" customHeight="1" x14ac:dyDescent="0.2">
      <c r="A82" s="1666" t="s">
        <v>5732</v>
      </c>
      <c r="B82" s="1667"/>
      <c r="C82" s="1667"/>
      <c r="D82" s="1667"/>
      <c r="E82" s="1667"/>
      <c r="F82" s="1667"/>
      <c r="G82" s="1667"/>
      <c r="H82" s="309"/>
      <c r="I82" s="309"/>
      <c r="J82" s="309">
        <v>1853097</v>
      </c>
      <c r="K82" s="364">
        <v>31</v>
      </c>
    </row>
    <row r="83" spans="1:19" x14ac:dyDescent="0.2">
      <c r="A83" s="470"/>
      <c r="B83" s="470"/>
      <c r="C83" s="470"/>
      <c r="D83" s="470"/>
      <c r="E83" s="470"/>
      <c r="F83" s="470"/>
      <c r="G83" s="470"/>
      <c r="H83" s="107"/>
      <c r="I83" s="107"/>
      <c r="J83" s="477">
        <f>SUM(J80+J81)</f>
        <v>1856097</v>
      </c>
      <c r="K83" s="477">
        <f>SUM(K80+K81)</f>
        <v>31</v>
      </c>
    </row>
    <row r="84" spans="1:19" x14ac:dyDescent="0.2">
      <c r="H84" s="107"/>
      <c r="I84" s="107"/>
      <c r="J84" s="107"/>
      <c r="K84" s="107"/>
    </row>
    <row r="85" spans="1:19" x14ac:dyDescent="0.2">
      <c r="H85" s="107"/>
      <c r="I85" s="107"/>
      <c r="J85" s="107"/>
      <c r="K85" s="107"/>
    </row>
    <row r="86" spans="1:19" x14ac:dyDescent="0.2">
      <c r="A86" s="113" t="s">
        <v>3655</v>
      </c>
    </row>
    <row r="87" spans="1:19" ht="33.5" customHeight="1" x14ac:dyDescent="0.2">
      <c r="A87" s="598" t="s">
        <v>5733</v>
      </c>
      <c r="B87" s="599"/>
      <c r="C87" s="599"/>
      <c r="D87" s="599"/>
      <c r="E87" s="599"/>
      <c r="F87" s="599"/>
      <c r="G87" s="599"/>
      <c r="H87" s="599"/>
      <c r="I87" s="599"/>
      <c r="J87" s="599"/>
      <c r="K87" s="599"/>
      <c r="L87" s="599"/>
      <c r="M87" s="599"/>
      <c r="N87" s="599"/>
      <c r="O87" s="599"/>
      <c r="P87" s="599"/>
      <c r="Q87" s="600"/>
    </row>
    <row r="88" spans="1:19" ht="28.25" customHeight="1" x14ac:dyDescent="0.2">
      <c r="A88" s="398" t="s">
        <v>5734</v>
      </c>
      <c r="B88" s="127" t="s">
        <v>5735</v>
      </c>
      <c r="C88" s="129"/>
      <c r="D88" s="128" t="s">
        <v>5736</v>
      </c>
      <c r="E88" s="128"/>
      <c r="F88" s="127" t="s">
        <v>5737</v>
      </c>
      <c r="G88" s="128"/>
      <c r="H88" s="127" t="s">
        <v>5738</v>
      </c>
      <c r="I88" s="129"/>
      <c r="J88" s="128" t="s">
        <v>5739</v>
      </c>
      <c r="K88" s="129"/>
      <c r="L88" s="128" t="s">
        <v>5740</v>
      </c>
      <c r="M88" s="128"/>
      <c r="N88" s="127" t="s">
        <v>5741</v>
      </c>
      <c r="O88" s="129"/>
      <c r="P88" s="1668" t="s">
        <v>1357</v>
      </c>
      <c r="Q88" s="1669"/>
    </row>
    <row r="89" spans="1:19" x14ac:dyDescent="0.2">
      <c r="A89" s="400"/>
      <c r="B89" s="1670" t="s">
        <v>5293</v>
      </c>
      <c r="C89" s="1671" t="s">
        <v>5742</v>
      </c>
      <c r="D89" s="1670" t="s">
        <v>5293</v>
      </c>
      <c r="E89" s="1671" t="s">
        <v>5742</v>
      </c>
      <c r="F89" s="1670" t="s">
        <v>5293</v>
      </c>
      <c r="G89" s="1671" t="s">
        <v>5742</v>
      </c>
      <c r="H89" s="1670" t="s">
        <v>5293</v>
      </c>
      <c r="I89" s="1671" t="s">
        <v>5742</v>
      </c>
      <c r="J89" s="1670" t="s">
        <v>5293</v>
      </c>
      <c r="K89" s="1671" t="s">
        <v>5742</v>
      </c>
      <c r="L89" s="1670" t="s">
        <v>5293</v>
      </c>
      <c r="M89" s="1671" t="s">
        <v>5742</v>
      </c>
      <c r="N89" s="1670" t="s">
        <v>5293</v>
      </c>
      <c r="O89" s="1671" t="s">
        <v>5742</v>
      </c>
      <c r="P89" s="1670" t="s">
        <v>5293</v>
      </c>
      <c r="Q89" s="1671" t="s">
        <v>5742</v>
      </c>
    </row>
    <row r="90" spans="1:19" x14ac:dyDescent="0.2">
      <c r="A90" s="135" t="s">
        <v>1368</v>
      </c>
      <c r="B90" s="533">
        <v>371</v>
      </c>
      <c r="C90" s="307">
        <v>8848</v>
      </c>
      <c r="D90" s="533">
        <v>17</v>
      </c>
      <c r="E90" s="307">
        <v>898</v>
      </c>
      <c r="F90" s="533">
        <v>80</v>
      </c>
      <c r="G90" s="307">
        <v>2961</v>
      </c>
      <c r="H90" s="533">
        <v>25</v>
      </c>
      <c r="I90" s="307">
        <v>238</v>
      </c>
      <c r="J90" s="533">
        <v>23</v>
      </c>
      <c r="K90" s="307">
        <v>1548</v>
      </c>
      <c r="L90" s="533">
        <v>106</v>
      </c>
      <c r="M90" s="307">
        <v>3154</v>
      </c>
      <c r="N90" s="533">
        <v>3</v>
      </c>
      <c r="O90" s="307">
        <v>18</v>
      </c>
      <c r="P90" s="533">
        <v>625</v>
      </c>
      <c r="Q90" s="307">
        <v>17665</v>
      </c>
      <c r="R90" s="321">
        <f>B90+D90+F90+H90+J90+L90+N90</f>
        <v>625</v>
      </c>
      <c r="S90" s="321">
        <f>C90+E90+G90+I90+K90+M90+O90</f>
        <v>17665</v>
      </c>
    </row>
    <row r="91" spans="1:19" x14ac:dyDescent="0.2">
      <c r="A91" s="135" t="s">
        <v>3668</v>
      </c>
      <c r="B91" s="533">
        <v>3</v>
      </c>
      <c r="C91" s="307">
        <v>99</v>
      </c>
      <c r="D91" s="533"/>
      <c r="E91" s="307"/>
      <c r="F91" s="533">
        <v>2</v>
      </c>
      <c r="G91" s="307">
        <v>46</v>
      </c>
      <c r="H91" s="533"/>
      <c r="I91" s="307"/>
      <c r="J91" s="533">
        <v>2</v>
      </c>
      <c r="K91" s="307">
        <v>26</v>
      </c>
      <c r="L91" s="533">
        <v>1</v>
      </c>
      <c r="M91" s="307">
        <v>100</v>
      </c>
      <c r="N91" s="533"/>
      <c r="O91" s="307"/>
      <c r="P91" s="533">
        <v>8</v>
      </c>
      <c r="Q91" s="307">
        <v>271</v>
      </c>
      <c r="R91" s="321">
        <f t="shared" ref="R91:S106" si="2">B91+D91+F91+H91+J91+L91+N91</f>
        <v>8</v>
      </c>
      <c r="S91" s="321">
        <f t="shared" si="2"/>
        <v>271</v>
      </c>
    </row>
    <row r="92" spans="1:19" x14ac:dyDescent="0.2">
      <c r="A92" s="135" t="s">
        <v>5743</v>
      </c>
      <c r="B92" s="533">
        <v>5</v>
      </c>
      <c r="C92" s="307">
        <v>150</v>
      </c>
      <c r="D92" s="533"/>
      <c r="E92" s="307"/>
      <c r="F92" s="533"/>
      <c r="G92" s="307"/>
      <c r="H92" s="533"/>
      <c r="I92" s="307"/>
      <c r="J92" s="533">
        <v>2</v>
      </c>
      <c r="K92" s="307">
        <v>70</v>
      </c>
      <c r="L92" s="533">
        <v>2</v>
      </c>
      <c r="M92" s="307">
        <v>20</v>
      </c>
      <c r="N92" s="533"/>
      <c r="O92" s="307"/>
      <c r="P92" s="533">
        <v>9</v>
      </c>
      <c r="Q92" s="307">
        <v>240</v>
      </c>
      <c r="R92" s="321">
        <f t="shared" si="2"/>
        <v>9</v>
      </c>
      <c r="S92" s="321">
        <f t="shared" si="2"/>
        <v>240</v>
      </c>
    </row>
    <row r="93" spans="1:19" x14ac:dyDescent="0.2">
      <c r="A93" s="135" t="s">
        <v>5744</v>
      </c>
      <c r="B93" s="533">
        <v>25</v>
      </c>
      <c r="C93" s="307">
        <v>542</v>
      </c>
      <c r="D93" s="533"/>
      <c r="E93" s="307"/>
      <c r="F93" s="533">
        <v>1</v>
      </c>
      <c r="G93" s="307">
        <v>28</v>
      </c>
      <c r="H93" s="533">
        <v>13</v>
      </c>
      <c r="I93" s="307">
        <v>84</v>
      </c>
      <c r="J93" s="533">
        <v>2</v>
      </c>
      <c r="K93" s="307">
        <v>65</v>
      </c>
      <c r="L93" s="533">
        <v>16</v>
      </c>
      <c r="M93" s="307">
        <v>405</v>
      </c>
      <c r="N93" s="533">
        <v>1</v>
      </c>
      <c r="O93" s="307">
        <v>12</v>
      </c>
      <c r="P93" s="533">
        <v>58</v>
      </c>
      <c r="Q93" s="307">
        <v>1136</v>
      </c>
      <c r="R93" s="321">
        <f t="shared" si="2"/>
        <v>58</v>
      </c>
      <c r="S93" s="321">
        <f t="shared" si="2"/>
        <v>1136</v>
      </c>
    </row>
    <row r="94" spans="1:19" x14ac:dyDescent="0.2">
      <c r="A94" s="135" t="s">
        <v>4033</v>
      </c>
      <c r="B94" s="533">
        <v>13</v>
      </c>
      <c r="C94" s="307">
        <v>361</v>
      </c>
      <c r="D94" s="533"/>
      <c r="E94" s="307"/>
      <c r="F94" s="533"/>
      <c r="G94" s="307"/>
      <c r="H94" s="533"/>
      <c r="I94" s="307"/>
      <c r="J94" s="533">
        <v>2</v>
      </c>
      <c r="K94" s="307">
        <v>35</v>
      </c>
      <c r="L94" s="533">
        <v>2</v>
      </c>
      <c r="M94" s="533">
        <v>106</v>
      </c>
      <c r="N94" s="533">
        <v>1</v>
      </c>
      <c r="O94" s="307">
        <v>12</v>
      </c>
      <c r="P94" s="533">
        <v>18</v>
      </c>
      <c r="Q94" s="307">
        <v>514</v>
      </c>
      <c r="R94" s="321">
        <f t="shared" si="2"/>
        <v>18</v>
      </c>
      <c r="S94" s="321">
        <f t="shared" si="2"/>
        <v>514</v>
      </c>
    </row>
    <row r="95" spans="1:19" x14ac:dyDescent="0.2">
      <c r="A95" s="135" t="s">
        <v>1519</v>
      </c>
      <c r="B95" s="533">
        <v>2</v>
      </c>
      <c r="C95" s="307">
        <v>60</v>
      </c>
      <c r="D95" s="533"/>
      <c r="E95" s="307"/>
      <c r="F95" s="533"/>
      <c r="G95" s="307"/>
      <c r="H95" s="533">
        <v>2</v>
      </c>
      <c r="I95" s="307">
        <v>27</v>
      </c>
      <c r="J95" s="533"/>
      <c r="K95" s="307"/>
      <c r="L95" s="533">
        <v>1</v>
      </c>
      <c r="M95" s="533">
        <v>100</v>
      </c>
      <c r="N95" s="533"/>
      <c r="O95" s="307"/>
      <c r="P95" s="533">
        <v>5</v>
      </c>
      <c r="Q95" s="307">
        <v>187</v>
      </c>
      <c r="R95" s="321">
        <f t="shared" si="2"/>
        <v>5</v>
      </c>
      <c r="S95" s="321">
        <f t="shared" si="2"/>
        <v>187</v>
      </c>
    </row>
    <row r="96" spans="1:19" x14ac:dyDescent="0.2">
      <c r="A96" s="135" t="s">
        <v>5745</v>
      </c>
      <c r="B96" s="533">
        <v>2</v>
      </c>
      <c r="C96" s="307">
        <v>45</v>
      </c>
      <c r="D96" s="533">
        <v>1</v>
      </c>
      <c r="E96" s="307">
        <v>50</v>
      </c>
      <c r="F96" s="533"/>
      <c r="G96" s="307"/>
      <c r="H96" s="533"/>
      <c r="I96" s="307"/>
      <c r="J96" s="533">
        <v>1</v>
      </c>
      <c r="K96" s="307">
        <v>45</v>
      </c>
      <c r="L96" s="533">
        <v>1</v>
      </c>
      <c r="M96" s="533">
        <v>10</v>
      </c>
      <c r="N96" s="533"/>
      <c r="O96" s="307"/>
      <c r="P96" s="533">
        <v>5</v>
      </c>
      <c r="Q96" s="307">
        <v>150</v>
      </c>
      <c r="R96" s="321">
        <f t="shared" si="2"/>
        <v>5</v>
      </c>
      <c r="S96" s="321">
        <f t="shared" si="2"/>
        <v>150</v>
      </c>
    </row>
    <row r="97" spans="1:19" x14ac:dyDescent="0.2">
      <c r="A97" s="135" t="s">
        <v>5746</v>
      </c>
      <c r="B97" s="533">
        <v>3</v>
      </c>
      <c r="C97" s="307">
        <v>90</v>
      </c>
      <c r="D97" s="533"/>
      <c r="E97" s="307"/>
      <c r="F97" s="533">
        <v>2</v>
      </c>
      <c r="G97" s="307">
        <v>46</v>
      </c>
      <c r="H97" s="533"/>
      <c r="I97" s="307"/>
      <c r="J97" s="533"/>
      <c r="K97" s="307"/>
      <c r="L97" s="533">
        <v>5</v>
      </c>
      <c r="M97" s="533">
        <v>68</v>
      </c>
      <c r="N97" s="533"/>
      <c r="O97" s="307"/>
      <c r="P97" s="533">
        <v>10</v>
      </c>
      <c r="Q97" s="307">
        <v>204</v>
      </c>
      <c r="R97" s="321">
        <f t="shared" si="2"/>
        <v>10</v>
      </c>
      <c r="S97" s="321">
        <f t="shared" si="2"/>
        <v>204</v>
      </c>
    </row>
    <row r="98" spans="1:19" x14ac:dyDescent="0.2">
      <c r="A98" s="135" t="s">
        <v>5747</v>
      </c>
      <c r="B98" s="533">
        <v>28</v>
      </c>
      <c r="C98" s="307">
        <v>885</v>
      </c>
      <c r="D98" s="533"/>
      <c r="E98" s="307"/>
      <c r="F98" s="533"/>
      <c r="G98" s="307"/>
      <c r="H98" s="533"/>
      <c r="I98" s="307"/>
      <c r="J98" s="533">
        <v>8</v>
      </c>
      <c r="K98" s="307">
        <v>486</v>
      </c>
      <c r="L98" s="533">
        <v>2</v>
      </c>
      <c r="M98" s="533">
        <v>47</v>
      </c>
      <c r="N98" s="533"/>
      <c r="O98" s="307"/>
      <c r="P98" s="533">
        <v>38</v>
      </c>
      <c r="Q98" s="307">
        <v>1418</v>
      </c>
      <c r="R98" s="321">
        <f t="shared" si="2"/>
        <v>38</v>
      </c>
      <c r="S98" s="321">
        <f t="shared" si="2"/>
        <v>1418</v>
      </c>
    </row>
    <row r="99" spans="1:19" x14ac:dyDescent="0.2">
      <c r="A99" s="135" t="s">
        <v>5748</v>
      </c>
      <c r="B99" s="533">
        <v>5</v>
      </c>
      <c r="C99" s="307">
        <v>135</v>
      </c>
      <c r="D99" s="533"/>
      <c r="E99" s="307"/>
      <c r="F99" s="533"/>
      <c r="G99" s="307"/>
      <c r="H99" s="533"/>
      <c r="I99" s="307"/>
      <c r="J99" s="533"/>
      <c r="K99" s="307"/>
      <c r="L99" s="533"/>
      <c r="M99" s="533"/>
      <c r="N99" s="533"/>
      <c r="O99" s="307"/>
      <c r="P99" s="533">
        <v>5</v>
      </c>
      <c r="Q99" s="307">
        <v>135</v>
      </c>
      <c r="R99" s="321">
        <f t="shared" si="2"/>
        <v>5</v>
      </c>
      <c r="S99" s="321">
        <f t="shared" si="2"/>
        <v>135</v>
      </c>
    </row>
    <row r="100" spans="1:19" x14ac:dyDescent="0.2">
      <c r="A100" s="135" t="s">
        <v>5749</v>
      </c>
      <c r="B100" s="533">
        <v>13</v>
      </c>
      <c r="C100" s="307">
        <v>255</v>
      </c>
      <c r="D100" s="533">
        <v>66</v>
      </c>
      <c r="E100" s="307">
        <v>1188</v>
      </c>
      <c r="F100" s="533"/>
      <c r="G100" s="307"/>
      <c r="H100" s="533">
        <v>2</v>
      </c>
      <c r="I100" s="307">
        <v>16</v>
      </c>
      <c r="J100" s="533">
        <v>2</v>
      </c>
      <c r="K100" s="307">
        <v>130</v>
      </c>
      <c r="L100" s="533">
        <v>7</v>
      </c>
      <c r="M100" s="533">
        <v>195</v>
      </c>
      <c r="N100" s="533">
        <v>1</v>
      </c>
      <c r="O100" s="307">
        <v>12</v>
      </c>
      <c r="P100" s="533">
        <v>91</v>
      </c>
      <c r="Q100" s="307">
        <v>1796</v>
      </c>
      <c r="R100" s="321">
        <f t="shared" si="2"/>
        <v>91</v>
      </c>
      <c r="S100" s="321">
        <f t="shared" si="2"/>
        <v>1796</v>
      </c>
    </row>
    <row r="101" spans="1:19" x14ac:dyDescent="0.2">
      <c r="A101" s="135" t="s">
        <v>5750</v>
      </c>
      <c r="B101" s="533">
        <v>19</v>
      </c>
      <c r="C101" s="307">
        <v>536</v>
      </c>
      <c r="D101" s="533">
        <v>3</v>
      </c>
      <c r="E101" s="307">
        <v>108</v>
      </c>
      <c r="F101" s="533">
        <v>1</v>
      </c>
      <c r="G101" s="307">
        <v>17</v>
      </c>
      <c r="H101" s="533">
        <v>7</v>
      </c>
      <c r="I101" s="307">
        <v>84</v>
      </c>
      <c r="J101" s="533">
        <v>1</v>
      </c>
      <c r="K101" s="307">
        <v>11</v>
      </c>
      <c r="L101" s="533">
        <v>9</v>
      </c>
      <c r="M101" s="307">
        <v>205</v>
      </c>
      <c r="N101" s="533"/>
      <c r="O101" s="307"/>
      <c r="P101" s="533">
        <v>40</v>
      </c>
      <c r="Q101" s="307">
        <v>961</v>
      </c>
      <c r="R101" s="321">
        <f t="shared" si="2"/>
        <v>40</v>
      </c>
      <c r="S101" s="321">
        <f t="shared" si="2"/>
        <v>961</v>
      </c>
    </row>
    <row r="102" spans="1:19" x14ac:dyDescent="0.2">
      <c r="A102" s="135" t="s">
        <v>4034</v>
      </c>
      <c r="B102" s="533">
        <v>7</v>
      </c>
      <c r="C102" s="307">
        <v>260</v>
      </c>
      <c r="D102" s="533"/>
      <c r="E102" s="307"/>
      <c r="F102" s="533"/>
      <c r="G102" s="307"/>
      <c r="H102" s="533"/>
      <c r="I102" s="307"/>
      <c r="J102" s="533">
        <v>1</v>
      </c>
      <c r="K102" s="307">
        <v>200</v>
      </c>
      <c r="L102" s="533">
        <v>1</v>
      </c>
      <c r="M102" s="307">
        <v>20</v>
      </c>
      <c r="N102" s="533"/>
      <c r="O102" s="307"/>
      <c r="P102" s="533">
        <v>9</v>
      </c>
      <c r="Q102" s="307">
        <v>480</v>
      </c>
      <c r="R102" s="321">
        <f t="shared" si="2"/>
        <v>9</v>
      </c>
      <c r="S102" s="321">
        <f t="shared" si="2"/>
        <v>480</v>
      </c>
    </row>
    <row r="103" spans="1:19" x14ac:dyDescent="0.2">
      <c r="A103" s="135" t="s">
        <v>5751</v>
      </c>
      <c r="B103" s="533">
        <v>11</v>
      </c>
      <c r="C103" s="307">
        <v>196</v>
      </c>
      <c r="D103" s="533"/>
      <c r="E103" s="307"/>
      <c r="F103" s="533"/>
      <c r="G103" s="307"/>
      <c r="H103" s="533">
        <v>3</v>
      </c>
      <c r="I103" s="307">
        <v>21</v>
      </c>
      <c r="J103" s="533">
        <v>4</v>
      </c>
      <c r="K103" s="307">
        <v>132</v>
      </c>
      <c r="L103" s="533">
        <v>6</v>
      </c>
      <c r="M103" s="307">
        <v>205</v>
      </c>
      <c r="N103" s="533">
        <v>1</v>
      </c>
      <c r="O103" s="307">
        <v>10</v>
      </c>
      <c r="P103" s="533">
        <v>25</v>
      </c>
      <c r="Q103" s="307">
        <v>564</v>
      </c>
      <c r="R103" s="321">
        <f t="shared" si="2"/>
        <v>25</v>
      </c>
      <c r="S103" s="321">
        <f t="shared" si="2"/>
        <v>564</v>
      </c>
    </row>
    <row r="104" spans="1:19" x14ac:dyDescent="0.2">
      <c r="A104" s="135" t="s">
        <v>5752</v>
      </c>
      <c r="B104" s="533"/>
      <c r="C104" s="307"/>
      <c r="D104" s="533"/>
      <c r="E104" s="307"/>
      <c r="F104" s="533">
        <v>1</v>
      </c>
      <c r="G104" s="307">
        <v>75</v>
      </c>
      <c r="H104" s="533"/>
      <c r="I104" s="307"/>
      <c r="J104" s="533"/>
      <c r="K104" s="307"/>
      <c r="L104" s="533"/>
      <c r="M104" s="307"/>
      <c r="N104" s="533">
        <v>1</v>
      </c>
      <c r="O104" s="307">
        <v>20</v>
      </c>
      <c r="P104" s="533">
        <v>2</v>
      </c>
      <c r="Q104" s="307">
        <v>95</v>
      </c>
      <c r="R104" s="321">
        <f t="shared" si="2"/>
        <v>2</v>
      </c>
      <c r="S104" s="321">
        <f t="shared" si="2"/>
        <v>95</v>
      </c>
    </row>
    <row r="105" spans="1:19" x14ac:dyDescent="0.2">
      <c r="A105" s="135" t="s">
        <v>5753</v>
      </c>
      <c r="B105" s="533">
        <v>1</v>
      </c>
      <c r="C105" s="307">
        <v>200</v>
      </c>
      <c r="D105" s="533"/>
      <c r="E105" s="307"/>
      <c r="F105" s="533"/>
      <c r="G105" s="307"/>
      <c r="H105" s="533"/>
      <c r="I105" s="307"/>
      <c r="J105" s="533">
        <v>1</v>
      </c>
      <c r="K105" s="307">
        <v>200</v>
      </c>
      <c r="L105" s="533">
        <v>1</v>
      </c>
      <c r="M105" s="307">
        <v>100</v>
      </c>
      <c r="N105" s="533"/>
      <c r="O105" s="307"/>
      <c r="P105" s="533">
        <v>3</v>
      </c>
      <c r="Q105" s="307">
        <v>500</v>
      </c>
      <c r="R105" s="321">
        <f t="shared" si="2"/>
        <v>3</v>
      </c>
      <c r="S105" s="321">
        <f t="shared" si="2"/>
        <v>500</v>
      </c>
    </row>
    <row r="106" spans="1:19" ht="21" customHeight="1" x14ac:dyDescent="0.2">
      <c r="A106" s="1672" t="s">
        <v>1341</v>
      </c>
      <c r="B106" s="808">
        <v>508</v>
      </c>
      <c r="C106" s="513">
        <v>12662</v>
      </c>
      <c r="D106" s="808">
        <v>87</v>
      </c>
      <c r="E106" s="513">
        <v>2244</v>
      </c>
      <c r="F106" s="808">
        <v>87</v>
      </c>
      <c r="G106" s="513">
        <v>3173</v>
      </c>
      <c r="H106" s="808">
        <v>52</v>
      </c>
      <c r="I106" s="513">
        <v>470</v>
      </c>
      <c r="J106" s="808">
        <v>49</v>
      </c>
      <c r="K106" s="513">
        <v>2948</v>
      </c>
      <c r="L106" s="808">
        <v>160</v>
      </c>
      <c r="M106" s="513">
        <v>4735</v>
      </c>
      <c r="N106" s="808">
        <v>8</v>
      </c>
      <c r="O106" s="513">
        <v>84</v>
      </c>
      <c r="P106" s="808">
        <v>951</v>
      </c>
      <c r="Q106" s="513">
        <v>26316</v>
      </c>
      <c r="R106" s="321">
        <f t="shared" si="2"/>
        <v>951</v>
      </c>
      <c r="S106" s="321">
        <f t="shared" si="2"/>
        <v>26316</v>
      </c>
    </row>
    <row r="107" spans="1:19" ht="21" customHeight="1" x14ac:dyDescent="0.2">
      <c r="A107" s="854"/>
      <c r="B107" s="138">
        <f>SUM(B90:B105)</f>
        <v>508</v>
      </c>
      <c r="C107" s="138">
        <f>SUM(C90:C105)</f>
        <v>12662</v>
      </c>
      <c r="D107" s="138">
        <f t="shared" ref="D107:Q107" si="3">SUM(D90:D105)</f>
        <v>87</v>
      </c>
      <c r="E107" s="138">
        <f t="shared" si="3"/>
        <v>2244</v>
      </c>
      <c r="F107" s="138">
        <f t="shared" si="3"/>
        <v>87</v>
      </c>
      <c r="G107" s="138">
        <f t="shared" si="3"/>
        <v>3173</v>
      </c>
      <c r="H107" s="138">
        <f t="shared" si="3"/>
        <v>52</v>
      </c>
      <c r="I107" s="138">
        <f t="shared" si="3"/>
        <v>470</v>
      </c>
      <c r="J107" s="138">
        <f t="shared" si="3"/>
        <v>49</v>
      </c>
      <c r="K107" s="138">
        <f t="shared" si="3"/>
        <v>2948</v>
      </c>
      <c r="L107" s="138">
        <f t="shared" si="3"/>
        <v>160</v>
      </c>
      <c r="M107" s="138">
        <f>SUM(M90:M106)</f>
        <v>9470</v>
      </c>
      <c r="N107" s="138">
        <f t="shared" si="3"/>
        <v>8</v>
      </c>
      <c r="O107" s="138">
        <f t="shared" si="3"/>
        <v>84</v>
      </c>
      <c r="P107" s="138">
        <f t="shared" si="3"/>
        <v>951</v>
      </c>
      <c r="Q107" s="138">
        <f t="shared" si="3"/>
        <v>26316</v>
      </c>
    </row>
    <row r="108" spans="1:19" ht="16.25" customHeight="1" x14ac:dyDescent="0.2">
      <c r="A108" s="305" t="s">
        <v>5754</v>
      </c>
      <c r="B108" s="306"/>
      <c r="C108" s="306"/>
      <c r="D108" s="306"/>
      <c r="E108" s="306"/>
      <c r="F108" s="306"/>
      <c r="G108" s="306"/>
      <c r="H108" s="306"/>
      <c r="I108" s="306"/>
      <c r="J108" s="306"/>
      <c r="K108" s="306"/>
      <c r="L108" s="306"/>
      <c r="M108" s="306"/>
      <c r="N108" s="306"/>
      <c r="O108" s="306"/>
      <c r="P108" s="306"/>
      <c r="Q108" s="1616"/>
    </row>
    <row r="109" spans="1:19" ht="30" customHeight="1" x14ac:dyDescent="0.2">
      <c r="A109" s="1618" t="s">
        <v>5755</v>
      </c>
      <c r="B109" s="1628"/>
      <c r="C109" s="1628"/>
      <c r="D109" s="1628"/>
      <c r="E109" s="1628"/>
      <c r="F109" s="1628"/>
      <c r="G109" s="1628"/>
      <c r="H109" s="1628"/>
      <c r="I109" s="1628"/>
      <c r="J109" s="1628"/>
      <c r="K109" s="1628"/>
      <c r="L109" s="1628"/>
      <c r="M109" s="1628"/>
      <c r="N109" s="1628"/>
      <c r="O109" s="1628"/>
      <c r="P109" s="1628"/>
      <c r="Q109" s="1619"/>
    </row>
    <row r="159" spans="2:229" x14ac:dyDescent="0.2">
      <c r="B159" s="143"/>
      <c r="C159" s="143"/>
      <c r="D159" s="143"/>
      <c r="E159" s="143"/>
      <c r="F159" s="143"/>
      <c r="G159" s="143"/>
      <c r="H159" s="143"/>
      <c r="I159" s="143"/>
      <c r="J159" s="143"/>
      <c r="K159" s="143"/>
      <c r="L159" s="143"/>
      <c r="M159" s="143"/>
      <c r="N159" s="143"/>
      <c r="O159" s="143"/>
      <c r="P159" s="143"/>
      <c r="Q159" s="143"/>
      <c r="R159" s="143"/>
      <c r="S159" s="143"/>
      <c r="T159" s="143"/>
      <c r="U159" s="143"/>
      <c r="V159" s="143"/>
      <c r="W159" s="143"/>
      <c r="X159" s="143"/>
      <c r="Y159" s="143"/>
      <c r="Z159" s="143"/>
      <c r="AA159" s="143"/>
      <c r="AB159" s="143"/>
      <c r="AC159" s="143"/>
      <c r="AD159" s="143"/>
      <c r="AE159" s="143"/>
      <c r="AF159" s="143"/>
      <c r="AG159" s="143"/>
      <c r="AH159" s="143"/>
      <c r="AI159" s="143"/>
      <c r="AJ159" s="143"/>
      <c r="AK159" s="143"/>
      <c r="AL159" s="143"/>
      <c r="AM159" s="143"/>
      <c r="AN159" s="143"/>
      <c r="AO159" s="143"/>
      <c r="AP159" s="143"/>
      <c r="AQ159" s="143"/>
      <c r="AR159" s="143"/>
      <c r="AS159" s="143"/>
      <c r="AT159" s="143"/>
      <c r="AU159" s="143"/>
      <c r="AV159" s="143"/>
      <c r="AW159" s="143"/>
      <c r="AX159" s="143"/>
      <c r="AY159" s="143"/>
      <c r="AZ159" s="143"/>
      <c r="BA159" s="143"/>
      <c r="BB159" s="143"/>
      <c r="BC159" s="143"/>
      <c r="BD159" s="143"/>
      <c r="BE159" s="143"/>
      <c r="BF159" s="143"/>
      <c r="BG159" s="143"/>
      <c r="BH159" s="143"/>
      <c r="BI159" s="143"/>
      <c r="BJ159" s="143"/>
      <c r="BK159" s="143"/>
      <c r="BL159" s="143"/>
      <c r="BM159" s="143"/>
      <c r="BN159" s="143"/>
      <c r="BO159" s="143"/>
      <c r="BP159" s="143"/>
      <c r="BQ159" s="143"/>
      <c r="BR159" s="143"/>
      <c r="BS159" s="143"/>
      <c r="BT159" s="143"/>
      <c r="BU159" s="143"/>
      <c r="BV159" s="143"/>
      <c r="BW159" s="143"/>
      <c r="BX159" s="143"/>
      <c r="BY159" s="143"/>
      <c r="BZ159" s="143"/>
      <c r="CA159" s="143"/>
      <c r="CB159" s="143"/>
      <c r="CC159" s="143"/>
      <c r="CD159" s="143"/>
      <c r="CE159" s="143"/>
      <c r="CF159" s="143"/>
      <c r="CG159" s="143"/>
      <c r="CH159" s="143"/>
      <c r="CI159" s="143"/>
      <c r="CJ159" s="143"/>
      <c r="CK159" s="143"/>
      <c r="CL159" s="143"/>
      <c r="CM159" s="143"/>
      <c r="CN159" s="143"/>
      <c r="CO159" s="143"/>
      <c r="CP159" s="143"/>
      <c r="CQ159" s="143"/>
      <c r="CR159" s="143"/>
      <c r="CS159" s="143"/>
      <c r="CT159" s="143"/>
      <c r="CU159" s="143"/>
      <c r="CV159" s="143"/>
      <c r="CW159" s="143"/>
      <c r="CX159" s="143"/>
      <c r="CY159" s="143"/>
      <c r="CZ159" s="143"/>
      <c r="DA159" s="143"/>
      <c r="DB159" s="143"/>
      <c r="DC159" s="143"/>
      <c r="DD159" s="143"/>
      <c r="DE159" s="143"/>
      <c r="DF159" s="143"/>
      <c r="DG159" s="143"/>
      <c r="DH159" s="143"/>
      <c r="DI159" s="143"/>
      <c r="DJ159" s="143"/>
      <c r="DK159" s="143"/>
      <c r="DL159" s="143"/>
      <c r="DM159" s="143"/>
      <c r="DN159" s="143"/>
      <c r="DO159" s="143"/>
      <c r="DP159" s="143"/>
      <c r="DQ159" s="143"/>
      <c r="DR159" s="143"/>
      <c r="DS159" s="143"/>
      <c r="DT159" s="143"/>
      <c r="DU159" s="143"/>
      <c r="DV159" s="143"/>
      <c r="DW159" s="143"/>
      <c r="DX159" s="143"/>
      <c r="DY159" s="143"/>
      <c r="DZ159" s="143"/>
      <c r="EA159" s="143"/>
      <c r="EB159" s="143"/>
      <c r="EC159" s="143"/>
      <c r="ED159" s="143"/>
      <c r="EE159" s="143"/>
      <c r="EF159" s="143"/>
      <c r="EG159" s="143"/>
      <c r="EH159" s="143"/>
      <c r="EI159" s="143"/>
      <c r="EJ159" s="143"/>
      <c r="EK159" s="143"/>
      <c r="EL159" s="143"/>
      <c r="EM159" s="143"/>
      <c r="EN159" s="143"/>
      <c r="EO159" s="143"/>
      <c r="EP159" s="143"/>
      <c r="EQ159" s="143"/>
      <c r="ER159" s="143"/>
      <c r="ES159" s="143"/>
      <c r="ET159" s="143"/>
      <c r="EU159" s="143"/>
      <c r="EV159" s="143"/>
      <c r="EW159" s="143"/>
      <c r="EX159" s="143"/>
      <c r="EY159" s="143"/>
      <c r="EZ159" s="143"/>
      <c r="FA159" s="143"/>
      <c r="FB159" s="143"/>
      <c r="FC159" s="143"/>
      <c r="FD159" s="143"/>
      <c r="FE159" s="143"/>
      <c r="FF159" s="143"/>
      <c r="FG159" s="143"/>
      <c r="FH159" s="143"/>
      <c r="FI159" s="143"/>
      <c r="FJ159" s="143"/>
      <c r="FK159" s="143"/>
      <c r="FL159" s="143"/>
      <c r="FM159" s="143"/>
      <c r="FN159" s="143"/>
      <c r="FO159" s="143"/>
      <c r="FP159" s="143"/>
      <c r="FQ159" s="143"/>
      <c r="FR159" s="143"/>
      <c r="FS159" s="143"/>
      <c r="FT159" s="143"/>
      <c r="FU159" s="143"/>
      <c r="FV159" s="143"/>
      <c r="FW159" s="143"/>
      <c r="FX159" s="143"/>
      <c r="FY159" s="143"/>
      <c r="FZ159" s="143"/>
      <c r="GA159" s="143"/>
      <c r="GB159" s="143"/>
      <c r="GC159" s="143"/>
      <c r="GD159" s="143"/>
      <c r="GE159" s="143"/>
      <c r="GF159" s="143"/>
      <c r="GG159" s="143"/>
      <c r="GH159" s="143"/>
      <c r="GI159" s="143"/>
      <c r="GJ159" s="143"/>
      <c r="GK159" s="143"/>
      <c r="GL159" s="143"/>
      <c r="GM159" s="143"/>
      <c r="GN159" s="143"/>
      <c r="GO159" s="143"/>
      <c r="GP159" s="143"/>
      <c r="GQ159" s="143"/>
      <c r="GR159" s="143"/>
      <c r="GS159" s="143"/>
      <c r="GT159" s="143"/>
      <c r="GU159" s="143"/>
      <c r="GV159" s="143"/>
      <c r="GW159" s="143"/>
      <c r="GX159" s="143"/>
      <c r="GY159" s="143"/>
      <c r="GZ159" s="143"/>
      <c r="HA159" s="143"/>
      <c r="HB159" s="143"/>
      <c r="HC159" s="143"/>
      <c r="HD159" s="143"/>
      <c r="HE159" s="143"/>
      <c r="HF159" s="143"/>
      <c r="HG159" s="143"/>
      <c r="HH159" s="143"/>
      <c r="HI159" s="143"/>
      <c r="HJ159" s="143"/>
      <c r="HK159" s="143"/>
      <c r="HL159" s="143"/>
      <c r="HM159" s="143"/>
      <c r="HN159" s="143"/>
      <c r="HO159" s="143"/>
      <c r="HP159" s="143"/>
      <c r="HQ159" s="143"/>
      <c r="HR159" s="143"/>
      <c r="HS159" s="143"/>
      <c r="HT159" s="143"/>
      <c r="HU159" s="143"/>
    </row>
    <row r="160" spans="2:229" x14ac:dyDescent="0.2">
      <c r="B160" s="143"/>
      <c r="C160" s="143"/>
      <c r="D160" s="143"/>
      <c r="E160" s="143"/>
      <c r="F160" s="143"/>
      <c r="G160" s="143"/>
      <c r="H160" s="143"/>
      <c r="I160" s="143"/>
      <c r="J160" s="143"/>
      <c r="K160" s="143"/>
      <c r="L160" s="143"/>
      <c r="M160" s="143"/>
      <c r="N160" s="143"/>
      <c r="O160" s="143"/>
      <c r="P160" s="143"/>
      <c r="Q160" s="143"/>
      <c r="R160" s="143"/>
      <c r="S160" s="143"/>
      <c r="T160" s="143"/>
      <c r="U160" s="143"/>
      <c r="V160" s="143"/>
      <c r="W160" s="143"/>
      <c r="X160" s="143"/>
      <c r="Y160" s="143"/>
      <c r="Z160" s="143"/>
      <c r="AA160" s="143"/>
      <c r="AB160" s="143"/>
      <c r="AC160" s="143"/>
      <c r="AD160" s="143"/>
      <c r="AE160" s="143"/>
      <c r="AF160" s="143"/>
      <c r="AG160" s="143"/>
      <c r="AH160" s="143"/>
      <c r="AI160" s="143"/>
      <c r="AJ160" s="143"/>
      <c r="AK160" s="143"/>
      <c r="AL160" s="143"/>
      <c r="AM160" s="143"/>
      <c r="AN160" s="143"/>
      <c r="AO160" s="143"/>
      <c r="AP160" s="143"/>
      <c r="AQ160" s="143"/>
      <c r="AR160" s="14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row>
    <row r="162" spans="2:229" x14ac:dyDescent="0.2">
      <c r="B162" s="143"/>
      <c r="C162" s="143"/>
      <c r="D162" s="143"/>
      <c r="E162" s="143"/>
      <c r="F162" s="143"/>
      <c r="G162" s="143"/>
      <c r="H162" s="143"/>
      <c r="I162" s="143"/>
      <c r="J162" s="143"/>
      <c r="K162" s="143"/>
      <c r="L162" s="143"/>
      <c r="M162" s="143"/>
      <c r="N162" s="143"/>
      <c r="O162" s="143"/>
      <c r="P162" s="143"/>
      <c r="Q162" s="143"/>
      <c r="R162" s="143"/>
      <c r="S162" s="143"/>
      <c r="T162" s="143"/>
      <c r="U162" s="143"/>
      <c r="V162" s="143"/>
      <c r="W162" s="143"/>
      <c r="X162" s="143"/>
      <c r="Y162" s="143"/>
      <c r="Z162" s="143"/>
      <c r="AA162" s="143"/>
      <c r="AB162" s="143"/>
      <c r="AC162" s="143"/>
      <c r="AD162" s="143"/>
      <c r="AE162" s="143"/>
      <c r="AF162" s="143"/>
      <c r="AG162" s="143"/>
      <c r="AH162" s="143"/>
      <c r="AI162" s="143"/>
      <c r="AJ162" s="143"/>
      <c r="AK162" s="143"/>
      <c r="AL162" s="143"/>
      <c r="AM162" s="143"/>
      <c r="AN162" s="143"/>
      <c r="AO162" s="143"/>
      <c r="AP162" s="143"/>
      <c r="AQ162" s="143"/>
      <c r="AR162" s="143"/>
      <c r="AS162" s="143"/>
      <c r="AT162" s="143"/>
      <c r="AU162" s="143"/>
      <c r="AV162" s="143"/>
      <c r="AW162" s="143"/>
      <c r="AX162" s="143"/>
      <c r="AY162" s="143"/>
      <c r="AZ162" s="143"/>
      <c r="BA162" s="143"/>
      <c r="BB162" s="143"/>
      <c r="BC162" s="143"/>
      <c r="BD162" s="143"/>
      <c r="BE162" s="143"/>
      <c r="BF162" s="143"/>
      <c r="BG162" s="143"/>
      <c r="BH162" s="143"/>
      <c r="BI162" s="143"/>
      <c r="BJ162" s="143"/>
      <c r="BK162" s="143"/>
      <c r="BL162" s="143"/>
      <c r="BM162" s="143"/>
      <c r="BN162" s="143"/>
      <c r="BO162" s="143"/>
      <c r="BP162" s="143"/>
      <c r="BQ162" s="143"/>
      <c r="BR162" s="143"/>
      <c r="BS162" s="143"/>
      <c r="BT162" s="143"/>
      <c r="BU162" s="143"/>
      <c r="BV162" s="143"/>
      <c r="BW162" s="143"/>
      <c r="BX162" s="143"/>
      <c r="BY162" s="143"/>
      <c r="BZ162" s="143"/>
      <c r="CA162" s="143"/>
      <c r="CB162" s="143"/>
      <c r="CC162" s="143"/>
      <c r="CD162" s="143"/>
      <c r="CE162" s="143"/>
      <c r="CF162" s="143"/>
      <c r="CG162" s="143"/>
      <c r="CH162" s="143"/>
      <c r="CI162" s="143"/>
      <c r="CJ162" s="143"/>
      <c r="CK162" s="143"/>
      <c r="CL162" s="143"/>
      <c r="CM162" s="143"/>
      <c r="CN162" s="143"/>
      <c r="CO162" s="143"/>
      <c r="CP162" s="143"/>
      <c r="CQ162" s="143"/>
      <c r="CR162" s="143"/>
      <c r="CS162" s="143"/>
      <c r="CT162" s="143"/>
      <c r="CU162" s="143"/>
      <c r="CV162" s="143"/>
      <c r="CW162" s="143"/>
      <c r="CX162" s="143"/>
      <c r="CY162" s="143"/>
      <c r="CZ162" s="143"/>
      <c r="DA162" s="143"/>
      <c r="DB162" s="143"/>
      <c r="DC162" s="143"/>
      <c r="DD162" s="143"/>
      <c r="DE162" s="143"/>
      <c r="DF162" s="143"/>
      <c r="DG162" s="143"/>
      <c r="DH162" s="143"/>
      <c r="DI162" s="143"/>
      <c r="DJ162" s="143"/>
      <c r="DK162" s="143"/>
      <c r="DL162" s="143"/>
      <c r="DM162" s="143"/>
      <c r="DN162" s="143"/>
      <c r="DO162" s="143"/>
      <c r="DP162" s="143"/>
      <c r="DQ162" s="143"/>
      <c r="DR162" s="143"/>
      <c r="DS162" s="143"/>
      <c r="DT162" s="143"/>
      <c r="DU162" s="143"/>
      <c r="DV162" s="143"/>
      <c r="DW162" s="143"/>
      <c r="DX162" s="143"/>
      <c r="DY162" s="143"/>
      <c r="DZ162" s="143"/>
      <c r="EA162" s="143"/>
      <c r="EB162" s="143"/>
      <c r="EC162" s="143"/>
      <c r="ED162" s="143"/>
      <c r="EE162" s="143"/>
      <c r="EF162" s="143"/>
      <c r="EG162" s="143"/>
      <c r="EH162" s="143"/>
      <c r="EI162" s="143"/>
      <c r="EJ162" s="143"/>
      <c r="EK162" s="143"/>
      <c r="EL162" s="143"/>
      <c r="EM162" s="143"/>
      <c r="EN162" s="143"/>
      <c r="EO162" s="143"/>
      <c r="EP162" s="143"/>
      <c r="EQ162" s="143"/>
      <c r="ER162" s="143"/>
      <c r="ES162" s="143"/>
      <c r="ET162" s="143"/>
      <c r="EU162" s="143"/>
      <c r="EV162" s="143"/>
      <c r="EW162" s="143"/>
      <c r="EX162" s="143"/>
      <c r="EY162" s="143"/>
      <c r="EZ162" s="143"/>
      <c r="FA162" s="143"/>
      <c r="FB162" s="143"/>
      <c r="FC162" s="143"/>
      <c r="FD162" s="143"/>
      <c r="FE162" s="143"/>
      <c r="FF162" s="143"/>
      <c r="FG162" s="143"/>
      <c r="FH162" s="143"/>
      <c r="FI162" s="143"/>
      <c r="FJ162" s="143"/>
      <c r="FK162" s="143"/>
      <c r="FL162" s="143"/>
      <c r="FM162" s="143"/>
      <c r="FN162" s="143"/>
      <c r="FO162" s="143"/>
      <c r="FP162" s="143"/>
      <c r="FQ162" s="143"/>
      <c r="FR162" s="143"/>
      <c r="FS162" s="143"/>
      <c r="FT162" s="143"/>
      <c r="FU162" s="143"/>
      <c r="FV162" s="143"/>
      <c r="FW162" s="143"/>
      <c r="FX162" s="143"/>
      <c r="FY162" s="143"/>
      <c r="FZ162" s="143"/>
      <c r="GA162" s="143"/>
      <c r="GB162" s="143"/>
      <c r="GC162" s="143"/>
      <c r="GD162" s="143"/>
      <c r="GE162" s="143"/>
      <c r="GF162" s="143"/>
      <c r="GG162" s="143"/>
      <c r="GH162" s="143"/>
      <c r="GI162" s="143"/>
      <c r="GJ162" s="143"/>
      <c r="GK162" s="143"/>
      <c r="GL162" s="143"/>
      <c r="GM162" s="143"/>
      <c r="GN162" s="143"/>
      <c r="GO162" s="143"/>
      <c r="GP162" s="143"/>
      <c r="GQ162" s="143"/>
      <c r="GR162" s="143"/>
      <c r="GS162" s="143"/>
      <c r="GT162" s="143"/>
      <c r="GU162" s="143"/>
      <c r="GV162" s="143"/>
      <c r="GW162" s="143"/>
      <c r="GX162" s="143"/>
      <c r="GY162" s="143"/>
      <c r="GZ162" s="143"/>
      <c r="HA162" s="143"/>
      <c r="HB162" s="143"/>
      <c r="HC162" s="143"/>
      <c r="HD162" s="143"/>
      <c r="HE162" s="143"/>
      <c r="HF162" s="143"/>
      <c r="HG162" s="143"/>
      <c r="HH162" s="143"/>
      <c r="HI162" s="143"/>
      <c r="HJ162" s="143"/>
      <c r="HK162" s="143"/>
      <c r="HL162" s="143"/>
      <c r="HM162" s="143"/>
      <c r="HN162" s="143"/>
      <c r="HO162" s="143"/>
      <c r="HP162" s="143"/>
      <c r="HQ162" s="143"/>
      <c r="HR162" s="143"/>
      <c r="HS162" s="143"/>
      <c r="HT162" s="143"/>
      <c r="HU162" s="143"/>
    </row>
    <row r="164" spans="2:229" x14ac:dyDescent="0.2">
      <c r="B164" s="143"/>
      <c r="C164" s="143"/>
      <c r="D164" s="143"/>
      <c r="E164" s="143"/>
      <c r="F164" s="143"/>
      <c r="G164" s="143"/>
      <c r="H164" s="143"/>
      <c r="I164" s="143"/>
      <c r="J164" s="143"/>
      <c r="K164" s="143"/>
      <c r="L164" s="143"/>
      <c r="M164" s="143"/>
      <c r="N164" s="143"/>
      <c r="O164" s="143"/>
      <c r="P164" s="143"/>
      <c r="Q164" s="143"/>
      <c r="R164" s="143"/>
      <c r="S164" s="143"/>
      <c r="T164" s="143"/>
      <c r="U164" s="143"/>
      <c r="V164" s="143"/>
      <c r="W164" s="143"/>
      <c r="X164" s="143"/>
      <c r="Y164" s="143"/>
      <c r="Z164" s="143"/>
      <c r="AA164" s="143"/>
      <c r="AB164" s="143"/>
      <c r="AC164" s="143"/>
      <c r="AD164" s="143"/>
      <c r="AE164" s="143"/>
      <c r="AF164" s="143"/>
      <c r="AG164" s="143"/>
      <c r="AH164" s="143"/>
      <c r="AI164" s="143"/>
      <c r="AJ164" s="143"/>
      <c r="AK164" s="143"/>
      <c r="AL164" s="143"/>
      <c r="AM164" s="143"/>
      <c r="AN164" s="143"/>
      <c r="AO164" s="143"/>
      <c r="AP164" s="143"/>
      <c r="AQ164" s="143"/>
      <c r="AR164" s="143"/>
      <c r="AS164" s="143"/>
      <c r="AT164" s="143"/>
      <c r="AU164" s="143"/>
      <c r="AV164" s="143"/>
      <c r="AW164" s="143"/>
      <c r="AX164" s="143"/>
      <c r="AY164" s="143"/>
      <c r="AZ164" s="143"/>
      <c r="BA164" s="143"/>
      <c r="BB164" s="143"/>
      <c r="BC164" s="143"/>
      <c r="BD164" s="143"/>
      <c r="BE164" s="143"/>
      <c r="BF164" s="143"/>
      <c r="BG164" s="143"/>
      <c r="BH164" s="143"/>
      <c r="BI164" s="143"/>
      <c r="BJ164" s="143"/>
      <c r="BK164" s="143"/>
      <c r="BL164" s="143"/>
      <c r="BM164" s="143"/>
      <c r="BN164" s="143"/>
      <c r="BO164" s="143"/>
      <c r="BP164" s="143"/>
      <c r="BQ164" s="143"/>
      <c r="BR164" s="143"/>
      <c r="BS164" s="143"/>
      <c r="BT164" s="143"/>
      <c r="BU164" s="143"/>
      <c r="BV164" s="143"/>
      <c r="BW164" s="143"/>
      <c r="BX164" s="143"/>
      <c r="BY164" s="143"/>
      <c r="BZ164" s="143"/>
      <c r="CA164" s="143"/>
      <c r="CB164" s="143"/>
      <c r="CC164" s="143"/>
      <c r="CD164" s="143"/>
      <c r="CE164" s="143"/>
      <c r="CF164" s="143"/>
      <c r="CG164" s="143"/>
      <c r="CH164" s="143"/>
      <c r="CI164" s="143"/>
      <c r="CJ164" s="143"/>
      <c r="CK164" s="143"/>
      <c r="CL164" s="143"/>
      <c r="CM164" s="143"/>
      <c r="CN164" s="143"/>
      <c r="CO164" s="143"/>
      <c r="CP164" s="143"/>
      <c r="CQ164" s="143"/>
      <c r="CR164" s="143"/>
      <c r="CS164" s="143"/>
      <c r="CT164" s="143"/>
      <c r="CU164" s="143"/>
      <c r="CV164" s="143"/>
      <c r="CW164" s="143"/>
      <c r="CX164" s="143"/>
      <c r="CY164" s="143"/>
      <c r="CZ164" s="143"/>
      <c r="DA164" s="143"/>
      <c r="DB164" s="143"/>
      <c r="DC164" s="143"/>
      <c r="DD164" s="143"/>
      <c r="DE164" s="143"/>
      <c r="DF164" s="143"/>
      <c r="DG164" s="143"/>
      <c r="DH164" s="143"/>
      <c r="DI164" s="143"/>
      <c r="DJ164" s="143"/>
      <c r="DK164" s="143"/>
      <c r="DL164" s="143"/>
      <c r="DM164" s="143"/>
      <c r="DN164" s="143"/>
      <c r="DO164" s="143"/>
      <c r="DP164" s="143"/>
      <c r="DQ164" s="143"/>
      <c r="DR164" s="143"/>
      <c r="DS164" s="143"/>
      <c r="DT164" s="143"/>
      <c r="DU164" s="143"/>
      <c r="DV164" s="143"/>
      <c r="DW164" s="143"/>
      <c r="DX164" s="143"/>
      <c r="DY164" s="143"/>
      <c r="DZ164" s="143"/>
      <c r="EA164" s="143"/>
      <c r="EB164" s="143"/>
      <c r="EC164" s="143"/>
      <c r="ED164" s="143"/>
      <c r="EE164" s="143"/>
      <c r="EF164" s="143"/>
      <c r="EG164" s="143"/>
      <c r="EH164" s="143"/>
      <c r="EI164" s="143"/>
      <c r="EJ164" s="143"/>
      <c r="EK164" s="143"/>
      <c r="EL164" s="143"/>
      <c r="EM164" s="143"/>
      <c r="EN164" s="143"/>
      <c r="EO164" s="143"/>
      <c r="EP164" s="143"/>
      <c r="EQ164" s="143"/>
      <c r="ER164" s="143"/>
      <c r="ES164" s="143"/>
      <c r="ET164" s="143"/>
      <c r="EU164" s="143"/>
      <c r="EV164" s="143"/>
      <c r="EW164" s="143"/>
      <c r="EX164" s="143"/>
      <c r="EY164" s="143"/>
      <c r="EZ164" s="143"/>
      <c r="FA164" s="143"/>
      <c r="FB164" s="143"/>
      <c r="FC164" s="143"/>
      <c r="FD164" s="143"/>
      <c r="FE164" s="143"/>
      <c r="FF164" s="143"/>
      <c r="FG164" s="143"/>
      <c r="FH164" s="143"/>
      <c r="FI164" s="143"/>
      <c r="FJ164" s="143"/>
      <c r="FK164" s="143"/>
      <c r="FL164" s="143"/>
      <c r="FM164" s="143"/>
      <c r="FN164" s="143"/>
      <c r="FO164" s="143"/>
      <c r="FP164" s="143"/>
      <c r="FQ164" s="143"/>
      <c r="FR164" s="143"/>
      <c r="FS164" s="143"/>
      <c r="FT164" s="143"/>
      <c r="FU164" s="143"/>
      <c r="FV164" s="143"/>
      <c r="FW164" s="143"/>
      <c r="FX164" s="143"/>
      <c r="FY164" s="143"/>
      <c r="FZ164" s="143"/>
      <c r="GA164" s="143"/>
      <c r="GB164" s="143"/>
      <c r="GC164" s="143"/>
      <c r="GD164" s="143"/>
      <c r="GE164" s="143"/>
      <c r="GF164" s="143"/>
      <c r="GG164" s="143"/>
      <c r="GH164" s="143"/>
      <c r="GI164" s="143"/>
      <c r="GJ164" s="143"/>
      <c r="GK164" s="143"/>
      <c r="GL164" s="143"/>
      <c r="GM164" s="143"/>
      <c r="GN164" s="143"/>
      <c r="GO164" s="143"/>
      <c r="GP164" s="143"/>
      <c r="GQ164" s="143"/>
      <c r="GR164" s="143"/>
      <c r="GS164" s="143"/>
      <c r="GT164" s="143"/>
      <c r="GU164" s="143"/>
      <c r="GV164" s="143"/>
      <c r="GW164" s="143"/>
      <c r="GX164" s="143"/>
      <c r="GY164" s="143"/>
      <c r="GZ164" s="143"/>
      <c r="HA164" s="143"/>
      <c r="HB164" s="143"/>
      <c r="HC164" s="143"/>
      <c r="HD164" s="143"/>
      <c r="HE164" s="143"/>
      <c r="HF164" s="143"/>
      <c r="HG164" s="143"/>
      <c r="HH164" s="143"/>
      <c r="HI164" s="143"/>
      <c r="HJ164" s="143"/>
      <c r="HK164" s="143"/>
      <c r="HL164" s="143"/>
      <c r="HM164" s="143"/>
      <c r="HN164" s="143"/>
      <c r="HO164" s="143"/>
      <c r="HP164" s="143"/>
      <c r="HQ164" s="143"/>
      <c r="HR164" s="143"/>
      <c r="HS164" s="143"/>
      <c r="HT164" s="143"/>
      <c r="HU164" s="143"/>
    </row>
    <row r="166" spans="2:229" x14ac:dyDescent="0.2">
      <c r="B166" s="143"/>
      <c r="C166" s="143"/>
      <c r="D166" s="143"/>
      <c r="E166" s="143"/>
      <c r="F166" s="143"/>
      <c r="G166" s="143"/>
      <c r="H166" s="143"/>
      <c r="I166" s="143"/>
      <c r="J166" s="143"/>
      <c r="K166" s="143"/>
      <c r="L166" s="143"/>
      <c r="M166" s="143"/>
      <c r="N166" s="143"/>
      <c r="O166" s="143"/>
      <c r="P166" s="143"/>
      <c r="Q166" s="143"/>
      <c r="R166" s="143"/>
      <c r="S166" s="143"/>
      <c r="T166" s="143"/>
      <c r="U166" s="143"/>
      <c r="V166" s="143"/>
      <c r="W166" s="143"/>
      <c r="X166" s="143"/>
      <c r="Y166" s="143"/>
      <c r="Z166" s="143"/>
      <c r="AA166" s="143"/>
      <c r="AB166" s="143"/>
      <c r="AC166" s="143"/>
      <c r="AD166" s="143"/>
      <c r="AE166" s="143"/>
      <c r="AF166" s="143"/>
      <c r="AG166" s="143"/>
      <c r="AH166" s="143"/>
      <c r="AI166" s="143"/>
      <c r="AJ166" s="143"/>
      <c r="AK166" s="143"/>
      <c r="AL166" s="143"/>
      <c r="AM166" s="143"/>
      <c r="AN166" s="143"/>
      <c r="AO166" s="143"/>
      <c r="AP166" s="143"/>
      <c r="AQ166" s="143"/>
      <c r="AR166" s="143"/>
      <c r="AS166" s="143"/>
      <c r="AT166" s="143"/>
      <c r="AU166" s="143"/>
      <c r="AV166" s="143"/>
      <c r="AW166" s="143"/>
      <c r="AX166" s="143"/>
      <c r="AY166" s="143"/>
      <c r="AZ166" s="143"/>
      <c r="BA166" s="143"/>
      <c r="BB166" s="143"/>
      <c r="BC166" s="143"/>
      <c r="BD166" s="143"/>
      <c r="BE166" s="143"/>
      <c r="BF166" s="143"/>
      <c r="BG166" s="143"/>
      <c r="BH166" s="143"/>
      <c r="BI166" s="143"/>
      <c r="BJ166" s="143"/>
      <c r="BK166" s="143"/>
      <c r="BL166" s="143"/>
      <c r="BM166" s="143"/>
      <c r="BN166" s="143"/>
      <c r="BO166" s="143"/>
      <c r="BP166" s="143"/>
      <c r="BQ166" s="143"/>
      <c r="BR166" s="143"/>
      <c r="BS166" s="143"/>
      <c r="BT166" s="143"/>
      <c r="BU166" s="143"/>
      <c r="BV166" s="143"/>
      <c r="BW166" s="143"/>
      <c r="BX166" s="143"/>
      <c r="BY166" s="143"/>
      <c r="BZ166" s="143"/>
      <c r="CA166" s="143"/>
      <c r="CB166" s="143"/>
      <c r="CC166" s="143"/>
      <c r="CD166" s="143"/>
      <c r="CE166" s="143"/>
      <c r="CF166" s="143"/>
      <c r="CG166" s="143"/>
      <c r="CH166" s="143"/>
      <c r="CI166" s="143"/>
      <c r="CJ166" s="143"/>
      <c r="CK166" s="143"/>
      <c r="CL166" s="143"/>
      <c r="CM166" s="143"/>
      <c r="CN166" s="143"/>
      <c r="CO166" s="143"/>
      <c r="CP166" s="143"/>
      <c r="CQ166" s="143"/>
      <c r="CR166" s="143"/>
      <c r="CS166" s="143"/>
      <c r="CT166" s="143"/>
      <c r="CU166" s="143"/>
      <c r="CV166" s="143"/>
      <c r="CW166" s="143"/>
      <c r="CX166" s="143"/>
      <c r="CY166" s="143"/>
      <c r="CZ166" s="143"/>
      <c r="DA166" s="143"/>
      <c r="DB166" s="143"/>
      <c r="DC166" s="143"/>
      <c r="DD166" s="143"/>
      <c r="DE166" s="143"/>
      <c r="DF166" s="143"/>
      <c r="DG166" s="143"/>
      <c r="DH166" s="143"/>
      <c r="DI166" s="143"/>
      <c r="DJ166" s="143"/>
      <c r="DK166" s="143"/>
      <c r="DL166" s="143"/>
      <c r="DM166" s="143"/>
      <c r="DN166" s="143"/>
      <c r="DO166" s="143"/>
      <c r="DP166" s="143"/>
      <c r="DQ166" s="143"/>
      <c r="DR166" s="143"/>
      <c r="DS166" s="143"/>
      <c r="DT166" s="143"/>
      <c r="DU166" s="143"/>
      <c r="DV166" s="143"/>
      <c r="DW166" s="143"/>
      <c r="DX166" s="143"/>
      <c r="DY166" s="143"/>
      <c r="DZ166" s="143"/>
      <c r="EA166" s="143"/>
      <c r="EB166" s="143"/>
      <c r="EC166" s="143"/>
      <c r="ED166" s="143"/>
      <c r="EE166" s="143"/>
      <c r="EF166" s="143"/>
      <c r="EG166" s="143"/>
      <c r="EH166" s="143"/>
      <c r="EI166" s="143"/>
      <c r="EJ166" s="143"/>
      <c r="EK166" s="143"/>
      <c r="EL166" s="143"/>
      <c r="EM166" s="143"/>
      <c r="EN166" s="143"/>
      <c r="EO166" s="143"/>
      <c r="EP166" s="143"/>
      <c r="EQ166" s="143"/>
      <c r="ER166" s="143"/>
      <c r="ES166" s="143"/>
      <c r="ET166" s="143"/>
      <c r="EU166" s="143"/>
      <c r="EV166" s="143"/>
      <c r="EW166" s="143"/>
      <c r="EX166" s="143"/>
      <c r="EY166" s="143"/>
      <c r="EZ166" s="143"/>
      <c r="FA166" s="143"/>
      <c r="FB166" s="143"/>
      <c r="FC166" s="143"/>
      <c r="FD166" s="143"/>
      <c r="FE166" s="143"/>
      <c r="FF166" s="143"/>
      <c r="FG166" s="143"/>
      <c r="FH166" s="143"/>
      <c r="FI166" s="143"/>
      <c r="FJ166" s="143"/>
      <c r="FK166" s="143"/>
      <c r="FL166" s="143"/>
      <c r="FM166" s="143"/>
      <c r="FN166" s="143"/>
      <c r="FO166" s="143"/>
      <c r="FP166" s="143"/>
      <c r="FQ166" s="143"/>
      <c r="FR166" s="143"/>
      <c r="FS166" s="143"/>
      <c r="FT166" s="143"/>
      <c r="FU166" s="143"/>
      <c r="FV166" s="143"/>
      <c r="FW166" s="143"/>
      <c r="FX166" s="143"/>
      <c r="FY166" s="143"/>
      <c r="FZ166" s="143"/>
      <c r="GA166" s="143"/>
      <c r="GB166" s="143"/>
      <c r="GC166" s="143"/>
      <c r="GD166" s="143"/>
      <c r="GE166" s="143"/>
      <c r="GF166" s="143"/>
      <c r="GG166" s="143"/>
      <c r="GH166" s="143"/>
      <c r="GI166" s="143"/>
      <c r="GJ166" s="143"/>
      <c r="GK166" s="143"/>
      <c r="GL166" s="143"/>
      <c r="GM166" s="143"/>
      <c r="GN166" s="143"/>
      <c r="GO166" s="143"/>
      <c r="GP166" s="143"/>
      <c r="GQ166" s="143"/>
      <c r="GR166" s="143"/>
      <c r="GS166" s="143"/>
      <c r="GT166" s="143"/>
      <c r="GU166" s="143"/>
      <c r="GV166" s="143"/>
      <c r="GW166" s="143"/>
      <c r="GX166" s="143"/>
      <c r="GY166" s="143"/>
      <c r="GZ166" s="143"/>
      <c r="HA166" s="143"/>
      <c r="HB166" s="143"/>
      <c r="HC166" s="143"/>
      <c r="HD166" s="143"/>
      <c r="HE166" s="143"/>
      <c r="HF166" s="143"/>
      <c r="HG166" s="143"/>
      <c r="HH166" s="143"/>
      <c r="HI166" s="143"/>
      <c r="HJ166" s="143"/>
      <c r="HK166" s="143"/>
      <c r="HL166" s="143"/>
      <c r="HM166" s="143"/>
      <c r="HN166" s="143"/>
      <c r="HO166" s="143"/>
      <c r="HP166" s="143"/>
      <c r="HQ166" s="143"/>
      <c r="HR166" s="143"/>
      <c r="HS166" s="143"/>
      <c r="HT166" s="143"/>
      <c r="HU166" s="143"/>
    </row>
    <row r="168" spans="2:229" x14ac:dyDescent="0.2">
      <c r="B168" s="143"/>
      <c r="C168" s="143"/>
      <c r="D168" s="143"/>
      <c r="E168" s="143"/>
      <c r="F168" s="143"/>
      <c r="G168" s="143"/>
      <c r="H168" s="143"/>
      <c r="I168" s="143"/>
      <c r="J168" s="143"/>
      <c r="K168" s="143"/>
      <c r="L168" s="143"/>
      <c r="M168" s="143"/>
      <c r="N168" s="143"/>
      <c r="O168" s="143"/>
      <c r="P168" s="143"/>
      <c r="Q168" s="143"/>
      <c r="R168" s="143"/>
      <c r="S168" s="143"/>
      <c r="T168" s="143"/>
      <c r="U168" s="143"/>
      <c r="V168" s="143"/>
      <c r="W168" s="143"/>
      <c r="X168" s="143"/>
      <c r="Y168" s="143"/>
      <c r="Z168" s="143"/>
      <c r="AA168" s="143"/>
      <c r="AB168" s="143"/>
      <c r="AC168" s="143"/>
      <c r="AD168" s="143"/>
      <c r="AE168" s="143"/>
      <c r="AF168" s="143"/>
      <c r="AG168" s="143"/>
      <c r="AH168" s="143"/>
      <c r="AI168" s="143"/>
      <c r="AJ168" s="143"/>
      <c r="AK168" s="143"/>
      <c r="AL168" s="143"/>
      <c r="AM168" s="143"/>
      <c r="AN168" s="143"/>
      <c r="AO168" s="143"/>
      <c r="AP168" s="143"/>
      <c r="AQ168" s="143"/>
      <c r="AR168" s="143"/>
      <c r="AS168" s="143"/>
      <c r="AT168" s="143"/>
      <c r="AU168" s="143"/>
      <c r="AV168" s="143"/>
      <c r="AW168" s="143"/>
      <c r="AX168" s="143"/>
      <c r="AY168" s="143"/>
      <c r="AZ168" s="143"/>
      <c r="BA168" s="143"/>
      <c r="BB168" s="143"/>
      <c r="BC168" s="143"/>
      <c r="BD168" s="143"/>
      <c r="BE168" s="143"/>
      <c r="BF168" s="143"/>
      <c r="BG168" s="143"/>
      <c r="BH168" s="143"/>
      <c r="BI168" s="143"/>
      <c r="BJ168" s="143"/>
      <c r="BK168" s="143"/>
      <c r="BL168" s="143"/>
      <c r="BM168" s="143"/>
      <c r="BN168" s="143"/>
      <c r="BO168" s="143"/>
      <c r="BP168" s="143"/>
      <c r="BQ168" s="143"/>
      <c r="BR168" s="143"/>
      <c r="BS168" s="143"/>
      <c r="BT168" s="143"/>
      <c r="BU168" s="143"/>
      <c r="BV168" s="143"/>
      <c r="BW168" s="143"/>
      <c r="BX168" s="143"/>
      <c r="BY168" s="143"/>
      <c r="BZ168" s="143"/>
      <c r="CA168" s="143"/>
      <c r="CB168" s="143"/>
      <c r="CC168" s="143"/>
      <c r="CD168" s="143"/>
      <c r="CE168" s="143"/>
      <c r="CF168" s="143"/>
      <c r="CG168" s="143"/>
      <c r="CH168" s="143"/>
      <c r="CI168" s="143"/>
      <c r="CJ168" s="143"/>
      <c r="CK168" s="143"/>
      <c r="CL168" s="143"/>
      <c r="CM168" s="143"/>
      <c r="CN168" s="143"/>
      <c r="CO168" s="143"/>
      <c r="CP168" s="143"/>
      <c r="CQ168" s="143"/>
      <c r="CR168" s="143"/>
      <c r="CS168" s="143"/>
      <c r="CT168" s="143"/>
      <c r="CU168" s="143"/>
      <c r="CV168" s="143"/>
      <c r="CW168" s="143"/>
      <c r="CX168" s="143"/>
      <c r="CY168" s="143"/>
      <c r="CZ168" s="143"/>
      <c r="DA168" s="143"/>
      <c r="DB168" s="143"/>
      <c r="DC168" s="143"/>
      <c r="DD168" s="143"/>
      <c r="DE168" s="143"/>
      <c r="DF168" s="143"/>
      <c r="DG168" s="143"/>
      <c r="DH168" s="143"/>
      <c r="DI168" s="143"/>
      <c r="DJ168" s="143"/>
      <c r="DK168" s="143"/>
      <c r="DL168" s="143"/>
      <c r="DM168" s="143"/>
      <c r="DN168" s="143"/>
      <c r="DO168" s="143"/>
      <c r="DP168" s="143"/>
      <c r="DQ168" s="143"/>
      <c r="DR168" s="143"/>
      <c r="DS168" s="143"/>
      <c r="DT168" s="143"/>
      <c r="DU168" s="143"/>
      <c r="DV168" s="143"/>
      <c r="DW168" s="143"/>
      <c r="DX168" s="143"/>
      <c r="DY168" s="143"/>
      <c r="DZ168" s="143"/>
      <c r="EA168" s="143"/>
      <c r="EB168" s="143"/>
      <c r="EC168" s="143"/>
      <c r="ED168" s="143"/>
      <c r="EE168" s="143"/>
      <c r="EF168" s="143"/>
      <c r="EG168" s="143"/>
      <c r="EH168" s="143"/>
      <c r="EI168" s="143"/>
      <c r="EJ168" s="143"/>
      <c r="EK168" s="143"/>
      <c r="EL168" s="143"/>
      <c r="EM168" s="143"/>
      <c r="EN168" s="143"/>
      <c r="EO168" s="143"/>
      <c r="EP168" s="143"/>
      <c r="EQ168" s="143"/>
      <c r="ER168" s="143"/>
      <c r="ES168" s="143"/>
      <c r="ET168" s="143"/>
      <c r="EU168" s="143"/>
      <c r="EV168" s="143"/>
      <c r="EW168" s="143"/>
      <c r="EX168" s="143"/>
      <c r="EY168" s="143"/>
      <c r="EZ168" s="143"/>
      <c r="FA168" s="143"/>
      <c r="FB168" s="143"/>
      <c r="FC168" s="143"/>
      <c r="FD168" s="143"/>
      <c r="FE168" s="143"/>
      <c r="FF168" s="143"/>
      <c r="FG168" s="143"/>
      <c r="FH168" s="143"/>
      <c r="FI168" s="143"/>
      <c r="FJ168" s="143"/>
      <c r="FK168" s="143"/>
      <c r="FL168" s="143"/>
      <c r="FM168" s="143"/>
      <c r="FN168" s="143"/>
      <c r="FO168" s="143"/>
      <c r="FP168" s="143"/>
      <c r="FQ168" s="143"/>
      <c r="FR168" s="143"/>
      <c r="FS168" s="143"/>
      <c r="FT168" s="143"/>
      <c r="FU168" s="143"/>
      <c r="FV168" s="143"/>
      <c r="FW168" s="143"/>
      <c r="FX168" s="143"/>
      <c r="FY168" s="143"/>
      <c r="FZ168" s="143"/>
      <c r="GA168" s="143"/>
      <c r="GB168" s="143"/>
      <c r="GC168" s="143"/>
      <c r="GD168" s="143"/>
      <c r="GE168" s="143"/>
      <c r="GF168" s="143"/>
      <c r="GG168" s="143"/>
      <c r="GH168" s="143"/>
      <c r="GI168" s="143"/>
      <c r="GJ168" s="143"/>
      <c r="GK168" s="143"/>
      <c r="GL168" s="143"/>
      <c r="GM168" s="143"/>
      <c r="GN168" s="143"/>
      <c r="GO168" s="143"/>
      <c r="GP168" s="143"/>
      <c r="GQ168" s="143"/>
      <c r="GR168" s="143"/>
      <c r="GS168" s="143"/>
      <c r="GT168" s="143"/>
      <c r="GU168" s="143"/>
      <c r="GV168" s="143"/>
      <c r="GW168" s="143"/>
      <c r="GX168" s="143"/>
      <c r="GY168" s="143"/>
      <c r="GZ168" s="143"/>
      <c r="HA168" s="143"/>
      <c r="HB168" s="143"/>
      <c r="HC168" s="143"/>
      <c r="HD168" s="143"/>
      <c r="HE168" s="143"/>
      <c r="HF168" s="143"/>
      <c r="HG168" s="143"/>
      <c r="HH168" s="143"/>
      <c r="HI168" s="143"/>
      <c r="HJ168" s="143"/>
      <c r="HK168" s="143"/>
      <c r="HL168" s="143"/>
      <c r="HM168" s="143"/>
      <c r="HN168" s="143"/>
      <c r="HO168" s="143"/>
      <c r="HP168" s="143"/>
      <c r="HQ168" s="143"/>
      <c r="HR168" s="143"/>
      <c r="HS168" s="143"/>
      <c r="HT168" s="143"/>
      <c r="HU168" s="143"/>
    </row>
  </sheetData>
  <mergeCells count="49">
    <mergeCell ref="L88:M88"/>
    <mergeCell ref="N88:O88"/>
    <mergeCell ref="P88:Q88"/>
    <mergeCell ref="A108:Q108"/>
    <mergeCell ref="A109:Q109"/>
    <mergeCell ref="A88:A89"/>
    <mergeCell ref="B88:C88"/>
    <mergeCell ref="D88:E88"/>
    <mergeCell ref="F88:G88"/>
    <mergeCell ref="H88:I88"/>
    <mergeCell ref="J88:K88"/>
    <mergeCell ref="A77:G77"/>
    <mergeCell ref="A79:G79"/>
    <mergeCell ref="A81:G81"/>
    <mergeCell ref="A82:G82"/>
    <mergeCell ref="A83:G83"/>
    <mergeCell ref="A87:Q87"/>
    <mergeCell ref="A70:K70"/>
    <mergeCell ref="A71:G71"/>
    <mergeCell ref="A72:G72"/>
    <mergeCell ref="A73:G73"/>
    <mergeCell ref="A75:G75"/>
    <mergeCell ref="A76:G76"/>
    <mergeCell ref="A52:A54"/>
    <mergeCell ref="B55:K57"/>
    <mergeCell ref="N55:N57"/>
    <mergeCell ref="A58:N58"/>
    <mergeCell ref="A63:K63"/>
    <mergeCell ref="B64:C64"/>
    <mergeCell ref="D64:E64"/>
    <mergeCell ref="F64:G64"/>
    <mergeCell ref="H64:I64"/>
    <mergeCell ref="J64:K64"/>
    <mergeCell ref="A37:N37"/>
    <mergeCell ref="B38:C38"/>
    <mergeCell ref="D38:E38"/>
    <mergeCell ref="F38:G38"/>
    <mergeCell ref="H38:I38"/>
    <mergeCell ref="J38:K38"/>
    <mergeCell ref="L38:N38"/>
    <mergeCell ref="A2:O2"/>
    <mergeCell ref="A3:O3"/>
    <mergeCell ref="B4:C4"/>
    <mergeCell ref="D4:E4"/>
    <mergeCell ref="F4:G4"/>
    <mergeCell ref="H4:I4"/>
    <mergeCell ref="J4:K4"/>
    <mergeCell ref="L4:M4"/>
    <mergeCell ref="N4:O4"/>
  </mergeCells>
  <pageMargins left="0.75" right="0.75" top="1" bottom="1" header="0" footer="0"/>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X167"/>
  <sheetViews>
    <sheetView workbookViewId="0">
      <selection activeCell="B1" sqref="B1"/>
    </sheetView>
  </sheetViews>
  <sheetFormatPr baseColWidth="10" defaultColWidth="11.6640625" defaultRowHeight="15" x14ac:dyDescent="0.2"/>
  <cols>
    <col min="1" max="1" width="31.83203125" style="106" customWidth="1"/>
    <col min="2" max="2" width="11.6640625" style="106"/>
    <col min="3" max="3" width="6.1640625" style="106" customWidth="1"/>
    <col min="4" max="4" width="11.6640625" style="106"/>
    <col min="5" max="5" width="6.1640625" style="106" customWidth="1"/>
    <col min="6" max="6" width="11.6640625" style="106"/>
    <col min="7" max="7" width="6.1640625" style="106" customWidth="1"/>
    <col min="8" max="8" width="11.6640625" style="106"/>
    <col min="9" max="9" width="6.1640625" style="106" customWidth="1"/>
    <col min="10" max="10" width="11.6640625" style="106"/>
    <col min="11" max="11" width="6.1640625" style="106" customWidth="1"/>
    <col min="12" max="12" width="11.6640625" style="106"/>
    <col min="13" max="13" width="6.1640625" style="106" customWidth="1"/>
    <col min="14" max="14" width="11.6640625" style="106"/>
    <col min="15" max="15" width="6.1640625" style="106" customWidth="1"/>
    <col min="16" max="16" width="11.6640625" style="106"/>
    <col min="17" max="17" width="6.1640625" style="106" customWidth="1"/>
    <col min="18" max="18" width="11.6640625" style="106"/>
    <col min="19" max="19" width="6.1640625" style="106" customWidth="1"/>
    <col min="20" max="20" width="11.6640625" style="106"/>
    <col min="21" max="21" width="6.1640625" style="106" customWidth="1"/>
    <col min="22" max="22" width="11.6640625" style="106"/>
    <col min="23" max="23" width="6.1640625" style="106" customWidth="1"/>
    <col min="24" max="24" width="11.6640625" style="106"/>
    <col min="25" max="25" width="6.1640625" style="106" customWidth="1"/>
    <col min="26" max="26" width="11.6640625" style="106"/>
    <col min="27" max="27" width="6.1640625" style="106" customWidth="1"/>
    <col min="28" max="28" width="11.6640625" style="106"/>
    <col min="29" max="29" width="6.1640625" style="106" customWidth="1"/>
    <col min="30" max="30" width="11.6640625" style="106"/>
    <col min="31" max="31" width="6.1640625" style="106" customWidth="1"/>
    <col min="32" max="32" width="11.6640625" style="106"/>
    <col min="33" max="33" width="6.1640625" style="106" customWidth="1"/>
    <col min="34" max="34" width="11.6640625" style="106"/>
    <col min="35" max="35" width="6.1640625" style="106" customWidth="1"/>
    <col min="36" max="36" width="11.6640625" style="106"/>
    <col min="37" max="37" width="6.1640625" style="106" customWidth="1"/>
    <col min="38" max="38" width="11.6640625" style="106"/>
    <col min="39" max="39" width="6.1640625" style="106" customWidth="1"/>
    <col min="40" max="40" width="11.6640625" style="106"/>
    <col min="41" max="41" width="6.1640625" style="106" customWidth="1"/>
    <col min="42" max="42" width="11.6640625" style="106"/>
    <col min="43" max="43" width="6.1640625" style="106" customWidth="1"/>
    <col min="44" max="44" width="11.6640625" style="106"/>
    <col min="45" max="45" width="6.1640625" style="106" customWidth="1"/>
    <col min="46" max="46" width="11.6640625" style="106"/>
    <col min="47" max="47" width="6.1640625" style="106" customWidth="1"/>
    <col min="48" max="48" width="11.6640625" style="106"/>
    <col min="49" max="49" width="6.1640625" style="106" customWidth="1"/>
    <col min="50" max="50" width="11.6640625" style="106"/>
    <col min="51" max="51" width="6.1640625" style="106" customWidth="1"/>
    <col min="52" max="52" width="11.6640625" style="106"/>
    <col min="53" max="53" width="6.1640625" style="106" customWidth="1"/>
    <col min="54" max="54" width="11.6640625" style="106"/>
    <col min="55" max="55" width="6.1640625" style="106" customWidth="1"/>
    <col min="56" max="56" width="11.6640625" style="106"/>
    <col min="57" max="57" width="6.1640625" style="106" customWidth="1"/>
    <col min="58" max="58" width="11.6640625" style="106"/>
    <col min="59" max="59" width="6.1640625" style="106" customWidth="1"/>
    <col min="60" max="60" width="11.6640625" style="106"/>
    <col min="61" max="61" width="6.1640625" style="106" customWidth="1"/>
    <col min="62" max="62" width="11.6640625" style="106"/>
    <col min="63" max="64" width="6.1640625" style="106" customWidth="1"/>
    <col min="65" max="65" width="11.6640625" style="106"/>
    <col min="66" max="67" width="6.1640625" style="106" customWidth="1"/>
    <col min="68" max="68" width="11.6640625" style="106"/>
    <col min="69" max="70" width="6.1640625" style="106" customWidth="1"/>
    <col min="71" max="71" width="11.6640625" style="106"/>
    <col min="72" max="73" width="6.1640625" style="106" customWidth="1"/>
    <col min="74" max="74" width="11.6640625" style="106"/>
    <col min="75" max="76" width="6.1640625" style="106" customWidth="1"/>
    <col min="77" max="77" width="11.6640625" style="106"/>
    <col min="78" max="79" width="6.1640625" style="106" customWidth="1"/>
    <col min="80" max="80" width="11.6640625" style="106"/>
    <col min="81" max="82" width="6.1640625" style="106" customWidth="1"/>
    <col min="83" max="83" width="11.6640625" style="106"/>
    <col min="84" max="85" width="6.1640625" style="106" customWidth="1"/>
    <col min="86" max="86" width="11.6640625" style="106"/>
    <col min="87" max="88" width="6.1640625" style="106" customWidth="1"/>
    <col min="89" max="89" width="11.6640625" style="106"/>
    <col min="90" max="91" width="6.1640625" style="106" customWidth="1"/>
    <col min="92" max="92" width="11.6640625" style="106"/>
    <col min="93" max="94" width="6.1640625" style="106" customWidth="1"/>
    <col min="95" max="95" width="11.6640625" style="106"/>
    <col min="96" max="97" width="6.1640625" style="106" customWidth="1"/>
    <col min="98" max="98" width="11.6640625" style="106"/>
    <col min="99" max="100" width="6.1640625" style="106" customWidth="1"/>
    <col min="101" max="101" width="11.6640625" style="106"/>
    <col min="102" max="103" width="6.1640625" style="106" customWidth="1"/>
    <col min="104" max="104" width="11.6640625" style="106"/>
    <col min="105" max="106" width="6.1640625" style="106" customWidth="1"/>
    <col min="107" max="107" width="11.6640625" style="106"/>
    <col min="108" max="109" width="6.1640625" style="106" customWidth="1"/>
    <col min="110" max="110" width="11.6640625" style="106"/>
    <col min="111" max="112" width="6.1640625" style="106" customWidth="1"/>
    <col min="113" max="113" width="11.6640625" style="106"/>
    <col min="114" max="115" width="6.1640625" style="106" customWidth="1"/>
    <col min="116" max="116" width="11.6640625" style="106"/>
    <col min="117" max="118" width="6.1640625" style="106" customWidth="1"/>
    <col min="119" max="119" width="11.6640625" style="106"/>
    <col min="120" max="121" width="6.1640625" style="106" customWidth="1"/>
    <col min="122" max="122" width="11.6640625" style="106"/>
    <col min="123" max="124" width="6.1640625" style="106" customWidth="1"/>
    <col min="125" max="125" width="11.6640625" style="106"/>
    <col min="126" max="127" width="6.1640625" style="106" customWidth="1"/>
    <col min="128" max="128" width="11.6640625" style="106"/>
    <col min="129" max="130" width="6.1640625" style="106" customWidth="1"/>
    <col min="131" max="131" width="11.6640625" style="106"/>
    <col min="132" max="133" width="6.1640625" style="106" customWidth="1"/>
    <col min="134" max="134" width="11.6640625" style="106"/>
    <col min="135" max="136" width="6.1640625" style="106" customWidth="1"/>
    <col min="137" max="137" width="11.6640625" style="106"/>
    <col min="138" max="139" width="6.1640625" style="106" customWidth="1"/>
    <col min="140" max="140" width="11.6640625" style="106"/>
    <col min="141" max="142" width="6.1640625" style="106" customWidth="1"/>
    <col min="143" max="143" width="11.6640625" style="106"/>
    <col min="144" max="145" width="6.1640625" style="106" customWidth="1"/>
    <col min="146" max="146" width="11.6640625" style="106"/>
    <col min="147" max="148" width="6.1640625" style="106" customWidth="1"/>
    <col min="149" max="149" width="11.6640625" style="106"/>
    <col min="150" max="151" width="6.1640625" style="106" customWidth="1"/>
    <col min="152" max="152" width="11.6640625" style="106"/>
    <col min="153" max="154" width="6.1640625" style="106" customWidth="1"/>
    <col min="155" max="155" width="11.6640625" style="106"/>
    <col min="156" max="157" width="6.1640625" style="106" customWidth="1"/>
    <col min="158" max="158" width="11.6640625" style="106"/>
    <col min="159" max="160" width="6.1640625" style="106" customWidth="1"/>
    <col min="161" max="161" width="11.6640625" style="106"/>
    <col min="162" max="163" width="6.1640625" style="106" customWidth="1"/>
    <col min="164" max="164" width="11.6640625" style="106"/>
    <col min="165" max="166" width="6.1640625" style="106" customWidth="1"/>
    <col min="167" max="167" width="11.6640625" style="106"/>
    <col min="168" max="169" width="6.1640625" style="106" customWidth="1"/>
    <col min="170" max="170" width="11.6640625" style="106"/>
    <col min="171" max="172" width="6.1640625" style="106" customWidth="1"/>
    <col min="173" max="173" width="11.6640625" style="106"/>
    <col min="174" max="175" width="6.1640625" style="106" customWidth="1"/>
    <col min="176" max="176" width="11.6640625" style="106"/>
    <col min="177" max="178" width="6.1640625" style="106" customWidth="1"/>
    <col min="179" max="179" width="11.6640625" style="106"/>
    <col min="180" max="181" width="6.1640625" style="106" customWidth="1"/>
    <col min="182" max="182" width="11.6640625" style="106"/>
    <col min="183" max="184" width="6.1640625" style="106" customWidth="1"/>
    <col min="185" max="185" width="11.6640625" style="106"/>
    <col min="186" max="187" width="6.1640625" style="106" customWidth="1"/>
    <col min="188" max="188" width="11.6640625" style="106"/>
    <col min="189" max="190" width="6.1640625" style="106" customWidth="1"/>
    <col min="191" max="191" width="11.6640625" style="106"/>
    <col min="192" max="193" width="6.1640625" style="106" customWidth="1"/>
    <col min="194" max="194" width="11.6640625" style="106"/>
    <col min="195" max="196" width="6.1640625" style="106" customWidth="1"/>
    <col min="197" max="197" width="11.6640625" style="106"/>
    <col min="198" max="199" width="6.1640625" style="106" customWidth="1"/>
    <col min="200" max="200" width="11.6640625" style="106"/>
    <col min="201" max="202" width="6.1640625" style="106" customWidth="1"/>
    <col min="203" max="203" width="11.6640625" style="106"/>
    <col min="204" max="205" width="6.1640625" style="106" customWidth="1"/>
    <col min="206" max="206" width="11.6640625" style="106"/>
    <col min="207" max="208" width="6.1640625" style="106" customWidth="1"/>
    <col min="209" max="209" width="11.6640625" style="106"/>
    <col min="210" max="211" width="6.1640625" style="106" customWidth="1"/>
    <col min="212" max="212" width="11.6640625" style="106"/>
    <col min="213" max="214" width="6.1640625" style="106" customWidth="1"/>
    <col min="215" max="215" width="11.6640625" style="106"/>
    <col min="216" max="217" width="6.1640625" style="106" customWidth="1"/>
    <col min="218" max="218" width="11.6640625" style="106"/>
    <col min="219" max="220" width="6.1640625" style="106" customWidth="1"/>
    <col min="221" max="221" width="11.6640625" style="106"/>
    <col min="222" max="223" width="6.1640625" style="106" customWidth="1"/>
    <col min="224" max="224" width="11.6640625" style="106"/>
    <col min="225" max="226" width="6.1640625" style="106" customWidth="1"/>
    <col min="227" max="227" width="11.6640625" style="106"/>
    <col min="228" max="229" width="6.1640625" style="106" customWidth="1"/>
    <col min="230" max="230" width="11.6640625" style="106"/>
    <col min="231" max="232" width="6.1640625" style="106" customWidth="1"/>
    <col min="233" max="16384" width="11.6640625" style="106"/>
  </cols>
  <sheetData>
    <row r="1" spans="1:5" x14ac:dyDescent="0.2">
      <c r="A1" s="113" t="s">
        <v>1111</v>
      </c>
    </row>
    <row r="2" spans="1:5" ht="23.5" customHeight="1" x14ac:dyDescent="0.25">
      <c r="A2" s="114" t="s">
        <v>5756</v>
      </c>
      <c r="B2" s="115"/>
      <c r="C2" s="115"/>
      <c r="D2" s="115"/>
      <c r="E2" s="116"/>
    </row>
    <row r="3" spans="1:5" ht="29" customHeight="1" x14ac:dyDescent="0.2">
      <c r="A3" s="1673" t="s">
        <v>1854</v>
      </c>
      <c r="B3" s="487" t="s">
        <v>5757</v>
      </c>
      <c r="C3" s="488"/>
      <c r="D3" s="770" t="s">
        <v>2506</v>
      </c>
      <c r="E3" s="488"/>
    </row>
    <row r="4" spans="1:5" x14ac:dyDescent="0.2">
      <c r="A4" s="164" t="s">
        <v>5758</v>
      </c>
      <c r="B4" s="131">
        <v>8850</v>
      </c>
      <c r="C4" s="307">
        <v>19</v>
      </c>
      <c r="D4" s="145">
        <v>6411</v>
      </c>
      <c r="E4" s="307">
        <v>25</v>
      </c>
    </row>
    <row r="5" spans="1:5" x14ac:dyDescent="0.2">
      <c r="A5" s="164" t="s">
        <v>3668</v>
      </c>
      <c r="B5" s="131">
        <v>7355437</v>
      </c>
      <c r="C5" s="307">
        <v>34</v>
      </c>
      <c r="D5" s="145">
        <v>79726</v>
      </c>
      <c r="E5" s="307">
        <v>25</v>
      </c>
    </row>
    <row r="6" spans="1:5" x14ac:dyDescent="0.2">
      <c r="A6" s="164" t="s">
        <v>1517</v>
      </c>
      <c r="B6" s="131">
        <v>1301784</v>
      </c>
      <c r="C6" s="307">
        <v>55</v>
      </c>
      <c r="D6" s="145">
        <v>42119</v>
      </c>
      <c r="E6" s="307">
        <v>87</v>
      </c>
    </row>
    <row r="7" spans="1:5" x14ac:dyDescent="0.2">
      <c r="A7" s="164" t="s">
        <v>4033</v>
      </c>
      <c r="B7" s="131">
        <v>3252232</v>
      </c>
      <c r="C7" s="307">
        <v>41</v>
      </c>
      <c r="D7" s="145">
        <v>111712</v>
      </c>
      <c r="E7" s="307">
        <v>94</v>
      </c>
    </row>
    <row r="8" spans="1:5" x14ac:dyDescent="0.2">
      <c r="A8" s="164" t="s">
        <v>1519</v>
      </c>
      <c r="B8" s="131">
        <v>436639</v>
      </c>
      <c r="C8" s="307">
        <v>32</v>
      </c>
      <c r="D8" s="145">
        <v>27436</v>
      </c>
      <c r="E8" s="307">
        <v>26</v>
      </c>
    </row>
    <row r="9" spans="1:5" x14ac:dyDescent="0.2">
      <c r="A9" s="164" t="s">
        <v>5759</v>
      </c>
      <c r="B9" s="131">
        <v>1777</v>
      </c>
      <c r="C9" s="307">
        <v>6</v>
      </c>
      <c r="D9" s="145">
        <v>5006</v>
      </c>
      <c r="E9" s="307">
        <v>36</v>
      </c>
    </row>
    <row r="10" spans="1:5" x14ac:dyDescent="0.2">
      <c r="A10" s="164" t="s">
        <v>4553</v>
      </c>
      <c r="B10" s="131">
        <v>523</v>
      </c>
      <c r="C10" s="307">
        <v>78</v>
      </c>
      <c r="D10" s="145">
        <v>4398</v>
      </c>
      <c r="E10" s="307">
        <v>23</v>
      </c>
    </row>
    <row r="11" spans="1:5" x14ac:dyDescent="0.2">
      <c r="A11" s="164" t="s">
        <v>4828</v>
      </c>
      <c r="B11" s="131">
        <v>7486</v>
      </c>
      <c r="C11" s="307">
        <v>70</v>
      </c>
      <c r="D11" s="145">
        <v>8020</v>
      </c>
      <c r="E11" s="307">
        <v>41</v>
      </c>
    </row>
    <row r="12" spans="1:5" x14ac:dyDescent="0.2">
      <c r="A12" s="164" t="s">
        <v>5105</v>
      </c>
      <c r="B12" s="131">
        <v>55139</v>
      </c>
      <c r="C12" s="307">
        <v>75</v>
      </c>
      <c r="D12" s="145">
        <v>33473</v>
      </c>
      <c r="E12" s="307">
        <v>12</v>
      </c>
    </row>
    <row r="13" spans="1:5" x14ac:dyDescent="0.2">
      <c r="A13" s="164" t="s">
        <v>5760</v>
      </c>
      <c r="B13" s="131">
        <v>24922</v>
      </c>
      <c r="C13" s="307">
        <v>34</v>
      </c>
      <c r="D13" s="145"/>
      <c r="E13" s="307"/>
    </row>
    <row r="14" spans="1:5" x14ac:dyDescent="0.2">
      <c r="A14" s="164" t="s">
        <v>4034</v>
      </c>
      <c r="B14" s="131">
        <v>244191</v>
      </c>
      <c r="C14" s="307">
        <v>41</v>
      </c>
      <c r="D14" s="145">
        <v>22765</v>
      </c>
      <c r="E14" s="307">
        <v>84</v>
      </c>
    </row>
    <row r="15" spans="1:5" x14ac:dyDescent="0.2">
      <c r="A15" s="164" t="s">
        <v>1527</v>
      </c>
      <c r="B15" s="131">
        <v>262780</v>
      </c>
      <c r="C15" s="307">
        <v>68</v>
      </c>
      <c r="D15" s="145">
        <v>27115</v>
      </c>
      <c r="E15" s="307">
        <v>5</v>
      </c>
    </row>
    <row r="16" spans="1:5" x14ac:dyDescent="0.2">
      <c r="A16" s="164" t="s">
        <v>5593</v>
      </c>
      <c r="B16" s="131">
        <v>598079</v>
      </c>
      <c r="C16" s="307">
        <v>2</v>
      </c>
      <c r="D16" s="145"/>
      <c r="E16" s="307"/>
    </row>
    <row r="17" spans="1:5" ht="16" thickBot="1" x14ac:dyDescent="0.25">
      <c r="A17" s="178" t="s">
        <v>5761</v>
      </c>
      <c r="B17" s="530">
        <v>1266</v>
      </c>
      <c r="C17" s="444">
        <v>68</v>
      </c>
      <c r="D17" s="187"/>
      <c r="E17" s="444"/>
    </row>
    <row r="18" spans="1:5" ht="16" thickBot="1" x14ac:dyDescent="0.25">
      <c r="A18" s="164"/>
      <c r="B18" s="743">
        <v>13550841</v>
      </c>
      <c r="C18" s="449">
        <v>23</v>
      </c>
      <c r="D18" s="448">
        <v>368185</v>
      </c>
      <c r="E18" s="449">
        <v>58</v>
      </c>
    </row>
    <row r="19" spans="1:5" ht="16" thickBot="1" x14ac:dyDescent="0.25">
      <c r="A19" s="164"/>
      <c r="B19" s="577">
        <f>SUM(B4:B17)+C19/100</f>
        <v>13551111.23</v>
      </c>
      <c r="C19" s="577">
        <f>SUM(C4:C17)</f>
        <v>623</v>
      </c>
      <c r="D19" s="584">
        <f>SUM(D4:D17)</f>
        <v>368181</v>
      </c>
      <c r="E19" s="584">
        <f>SUM(E4:E17)</f>
        <v>458</v>
      </c>
    </row>
    <row r="20" spans="1:5" ht="31" thickBot="1" x14ac:dyDescent="0.25">
      <c r="A20" s="178" t="s">
        <v>5762</v>
      </c>
      <c r="B20" s="187">
        <v>14608</v>
      </c>
      <c r="C20" s="145">
        <v>51</v>
      </c>
      <c r="D20" s="145"/>
      <c r="E20" s="307"/>
    </row>
    <row r="21" spans="1:5" ht="16" thickBot="1" x14ac:dyDescent="0.25">
      <c r="A21" s="178"/>
      <c r="B21" s="187">
        <v>13536232</v>
      </c>
      <c r="C21" s="145">
        <v>72</v>
      </c>
      <c r="D21" s="145"/>
      <c r="E21" s="307"/>
    </row>
    <row r="22" spans="1:5" ht="16" thickBot="1" x14ac:dyDescent="0.25">
      <c r="A22" s="178"/>
      <c r="B22" s="577">
        <f>B19-B20+C22/100</f>
        <v>13536508.950000001</v>
      </c>
      <c r="C22" s="577">
        <f>C19-C20</f>
        <v>572</v>
      </c>
      <c r="D22" s="187"/>
      <c r="E22" s="444"/>
    </row>
    <row r="23" spans="1:5" ht="29" customHeight="1" x14ac:dyDescent="0.2">
      <c r="A23" s="305" t="s">
        <v>5763</v>
      </c>
      <c r="B23" s="306"/>
      <c r="C23" s="306"/>
      <c r="D23" s="145">
        <v>3229</v>
      </c>
      <c r="E23" s="307">
        <v>30</v>
      </c>
    </row>
    <row r="24" spans="1:5" x14ac:dyDescent="0.2">
      <c r="A24" s="178" t="s">
        <v>5764</v>
      </c>
      <c r="B24" s="145"/>
      <c r="C24" s="145"/>
      <c r="D24" s="145">
        <v>3878</v>
      </c>
      <c r="E24" s="307">
        <v>45</v>
      </c>
    </row>
    <row r="25" spans="1:5" x14ac:dyDescent="0.2">
      <c r="A25" s="178" t="s">
        <v>5765</v>
      </c>
      <c r="B25" s="145"/>
      <c r="C25" s="145"/>
      <c r="D25" s="145">
        <v>533</v>
      </c>
      <c r="E25" s="307">
        <v>71</v>
      </c>
    </row>
    <row r="26" spans="1:5" ht="16" thickBot="1" x14ac:dyDescent="0.25">
      <c r="A26" s="1674" t="s">
        <v>5766</v>
      </c>
      <c r="B26" s="1675"/>
      <c r="C26" s="1675"/>
      <c r="D26" s="595">
        <v>7641</v>
      </c>
      <c r="E26" s="596">
        <v>46</v>
      </c>
    </row>
    <row r="27" spans="1:5" x14ac:dyDescent="0.2">
      <c r="A27" s="213"/>
      <c r="B27" s="214"/>
      <c r="C27" s="214"/>
      <c r="D27" s="152">
        <f>SUM(D23:D25)</f>
        <v>7640</v>
      </c>
      <c r="E27" s="152">
        <f>SUM(E23:E25)</f>
        <v>146</v>
      </c>
    </row>
    <row r="31" spans="1:5" x14ac:dyDescent="0.2">
      <c r="A31" s="113" t="s">
        <v>1171</v>
      </c>
    </row>
    <row r="32" spans="1:5" ht="21.5" customHeight="1" x14ac:dyDescent="0.2">
      <c r="A32" s="598" t="s">
        <v>5767</v>
      </c>
      <c r="B32" s="599"/>
      <c r="C32" s="599"/>
      <c r="D32" s="599"/>
      <c r="E32" s="600"/>
    </row>
    <row r="33" spans="1:9" ht="20.5" customHeight="1" x14ac:dyDescent="0.2">
      <c r="A33" s="1610"/>
      <c r="B33" s="207" t="s">
        <v>5768</v>
      </c>
      <c r="C33" s="208"/>
      <c r="D33" s="208"/>
      <c r="E33" s="209"/>
    </row>
    <row r="34" spans="1:9" ht="19.25" customHeight="1" x14ac:dyDescent="0.2">
      <c r="A34" s="1611"/>
      <c r="B34" s="212" t="s">
        <v>5769</v>
      </c>
      <c r="C34" s="210"/>
      <c r="D34" s="212" t="s">
        <v>5770</v>
      </c>
      <c r="E34" s="210"/>
    </row>
    <row r="35" spans="1:9" ht="21" customHeight="1" x14ac:dyDescent="0.2">
      <c r="A35" s="164" t="s">
        <v>5771</v>
      </c>
      <c r="B35" s="131">
        <v>27936570</v>
      </c>
      <c r="C35" s="307">
        <v>15</v>
      </c>
      <c r="D35" s="145">
        <v>42225776</v>
      </c>
      <c r="E35" s="307">
        <v>70</v>
      </c>
      <c r="F35" s="107"/>
      <c r="G35" s="107"/>
      <c r="H35" s="107"/>
      <c r="I35" s="107"/>
    </row>
    <row r="36" spans="1:9" ht="31" thickBot="1" x14ac:dyDescent="0.25">
      <c r="A36" s="178" t="s">
        <v>5772</v>
      </c>
      <c r="B36" s="131"/>
      <c r="C36" s="307"/>
      <c r="D36" s="187">
        <v>14289206</v>
      </c>
      <c r="E36" s="444">
        <v>55</v>
      </c>
    </row>
    <row r="37" spans="1:9" x14ac:dyDescent="0.2">
      <c r="A37" s="178"/>
      <c r="B37" s="131"/>
      <c r="C37" s="307"/>
      <c r="D37" s="138">
        <f>D35-B35</f>
        <v>14289206</v>
      </c>
      <c r="E37" s="138">
        <f>E35-C35</f>
        <v>55</v>
      </c>
    </row>
    <row r="38" spans="1:9" ht="20" customHeight="1" x14ac:dyDescent="0.2">
      <c r="A38" s="178" t="s">
        <v>5773</v>
      </c>
      <c r="B38" s="131">
        <v>2613257</v>
      </c>
      <c r="C38" s="307">
        <v>40</v>
      </c>
      <c r="D38" s="145">
        <v>1553748</v>
      </c>
      <c r="E38" s="307">
        <v>40</v>
      </c>
    </row>
    <row r="39" spans="1:9" ht="16" thickBot="1" x14ac:dyDescent="0.25">
      <c r="A39" s="178" t="s">
        <v>5774</v>
      </c>
      <c r="B39" s="131"/>
      <c r="C39" s="307"/>
      <c r="D39" s="187">
        <v>1059509</v>
      </c>
      <c r="E39" s="444"/>
    </row>
    <row r="40" spans="1:9" x14ac:dyDescent="0.2">
      <c r="A40" s="178"/>
      <c r="B40" s="131"/>
      <c r="C40" s="307"/>
      <c r="D40" s="138">
        <f>B38-D38</f>
        <v>1059509</v>
      </c>
      <c r="E40" s="138">
        <f>C38-E38</f>
        <v>0</v>
      </c>
    </row>
    <row r="41" spans="1:9" x14ac:dyDescent="0.2">
      <c r="A41" s="178" t="s">
        <v>5775</v>
      </c>
      <c r="B41" s="131">
        <v>25323312</v>
      </c>
      <c r="C41" s="307">
        <v>75</v>
      </c>
      <c r="D41" s="145">
        <v>40672028</v>
      </c>
      <c r="E41" s="307">
        <v>30</v>
      </c>
    </row>
    <row r="42" spans="1:9" ht="30" x14ac:dyDescent="0.2">
      <c r="A42" s="320" t="s">
        <v>5776</v>
      </c>
      <c r="B42" s="230"/>
      <c r="C42" s="364"/>
      <c r="D42" s="318">
        <v>15348715</v>
      </c>
      <c r="E42" s="513">
        <v>55</v>
      </c>
    </row>
    <row r="43" spans="1:9" x14ac:dyDescent="0.2">
      <c r="D43" s="321">
        <f>D41-B41</f>
        <v>15348716</v>
      </c>
      <c r="E43" s="321">
        <f>E41-C41</f>
        <v>-45</v>
      </c>
    </row>
    <row r="46" spans="1:9" x14ac:dyDescent="0.2">
      <c r="A46" s="113" t="s">
        <v>1853</v>
      </c>
    </row>
    <row r="47" spans="1:9" ht="30.5" customHeight="1" x14ac:dyDescent="0.2">
      <c r="A47" s="1676" t="s">
        <v>5777</v>
      </c>
      <c r="B47" s="1677"/>
      <c r="C47" s="1677"/>
      <c r="D47" s="1677"/>
      <c r="E47" s="1677"/>
      <c r="F47" s="1677"/>
      <c r="G47" s="1677"/>
      <c r="H47" s="1677"/>
      <c r="I47" s="1678"/>
    </row>
    <row r="48" spans="1:9" ht="42.5" customHeight="1" x14ac:dyDescent="0.2">
      <c r="A48" s="117" t="s">
        <v>5778</v>
      </c>
      <c r="B48" s="118"/>
      <c r="C48" s="118"/>
      <c r="D48" s="118"/>
      <c r="E48" s="118"/>
      <c r="F48" s="118"/>
      <c r="G48" s="118"/>
      <c r="H48" s="118"/>
      <c r="I48" s="119"/>
    </row>
    <row r="49" spans="1:9" ht="28.25" customHeight="1" x14ac:dyDescent="0.2">
      <c r="A49" s="273"/>
      <c r="B49" s="252" t="s">
        <v>5779</v>
      </c>
      <c r="C49" s="254"/>
      <c r="D49" s="252" t="s">
        <v>5780</v>
      </c>
      <c r="E49" s="254"/>
      <c r="F49" s="252" t="s">
        <v>1341</v>
      </c>
      <c r="G49" s="254"/>
      <c r="H49" s="252" t="s">
        <v>5781</v>
      </c>
      <c r="I49" s="254"/>
    </row>
    <row r="50" spans="1:9" x14ac:dyDescent="0.2">
      <c r="A50" s="164" t="s">
        <v>5782</v>
      </c>
      <c r="B50" s="131">
        <v>1622104</v>
      </c>
      <c r="C50" s="307"/>
      <c r="D50" s="131">
        <v>877755</v>
      </c>
      <c r="E50" s="307">
        <v>68</v>
      </c>
      <c r="F50" s="131">
        <v>2499859</v>
      </c>
      <c r="G50" s="307">
        <v>68</v>
      </c>
      <c r="H50" s="131">
        <v>43940449</v>
      </c>
      <c r="I50" s="307"/>
    </row>
    <row r="51" spans="1:9" x14ac:dyDescent="0.2">
      <c r="A51" s="164" t="s">
        <v>5783</v>
      </c>
      <c r="B51" s="131">
        <v>246996</v>
      </c>
      <c r="C51" s="307">
        <v>80</v>
      </c>
      <c r="D51" s="131">
        <v>187249</v>
      </c>
      <c r="E51" s="307"/>
      <c r="F51" s="131">
        <v>434245</v>
      </c>
      <c r="G51" s="307">
        <v>80</v>
      </c>
      <c r="H51" s="131">
        <v>7467221</v>
      </c>
      <c r="I51" s="307">
        <v>50</v>
      </c>
    </row>
    <row r="52" spans="1:9" x14ac:dyDescent="0.2">
      <c r="A52" s="164" t="s">
        <v>5784</v>
      </c>
      <c r="B52" s="131">
        <v>596500</v>
      </c>
      <c r="C52" s="307"/>
      <c r="D52" s="131">
        <v>340652</v>
      </c>
      <c r="E52" s="307">
        <v>20</v>
      </c>
      <c r="F52" s="131">
        <v>937152</v>
      </c>
      <c r="G52" s="307">
        <v>20</v>
      </c>
      <c r="H52" s="131"/>
      <c r="I52" s="307"/>
    </row>
    <row r="53" spans="1:9" x14ac:dyDescent="0.2">
      <c r="A53" s="164" t="s">
        <v>5785</v>
      </c>
      <c r="B53" s="131">
        <v>710325</v>
      </c>
      <c r="C53" s="307">
        <v>8</v>
      </c>
      <c r="D53" s="131">
        <v>202511</v>
      </c>
      <c r="E53" s="307">
        <v>14</v>
      </c>
      <c r="F53" s="131">
        <v>912836</v>
      </c>
      <c r="G53" s="307">
        <v>22</v>
      </c>
      <c r="H53" s="131">
        <v>30262061</v>
      </c>
      <c r="I53" s="307"/>
    </row>
    <row r="54" spans="1:9" x14ac:dyDescent="0.2">
      <c r="A54" s="164" t="s">
        <v>5786</v>
      </c>
      <c r="B54" s="131">
        <v>637205</v>
      </c>
      <c r="C54" s="307"/>
      <c r="D54" s="131">
        <v>282078</v>
      </c>
      <c r="E54" s="307">
        <v>34</v>
      </c>
      <c r="F54" s="131">
        <v>919283</v>
      </c>
      <c r="G54" s="307">
        <v>34</v>
      </c>
      <c r="H54" s="131"/>
      <c r="I54" s="307"/>
    </row>
    <row r="55" spans="1:9" x14ac:dyDescent="0.2">
      <c r="A55" s="164" t="s">
        <v>5787</v>
      </c>
      <c r="B55" s="131">
        <v>191650</v>
      </c>
      <c r="C55" s="307"/>
      <c r="D55" s="131">
        <v>78616</v>
      </c>
      <c r="E55" s="307">
        <v>24</v>
      </c>
      <c r="F55" s="131">
        <v>270266</v>
      </c>
      <c r="G55" s="307">
        <v>24</v>
      </c>
      <c r="H55" s="131">
        <v>6013130</v>
      </c>
      <c r="I55" s="307"/>
    </row>
    <row r="56" spans="1:9" x14ac:dyDescent="0.2">
      <c r="A56" s="164" t="s">
        <v>5788</v>
      </c>
      <c r="B56" s="131">
        <v>971688</v>
      </c>
      <c r="C56" s="307">
        <v>32</v>
      </c>
      <c r="D56" s="131">
        <v>876786</v>
      </c>
      <c r="E56" s="307">
        <v>84</v>
      </c>
      <c r="F56" s="131">
        <v>1848475</v>
      </c>
      <c r="G56" s="307">
        <v>16</v>
      </c>
      <c r="H56" s="131">
        <v>90000000</v>
      </c>
      <c r="I56" s="307"/>
    </row>
    <row r="57" spans="1:9" x14ac:dyDescent="0.2">
      <c r="A57" s="164" t="s">
        <v>5789</v>
      </c>
      <c r="B57" s="131">
        <v>160900</v>
      </c>
      <c r="C57" s="307"/>
      <c r="D57" s="131">
        <v>161700</v>
      </c>
      <c r="E57" s="307"/>
      <c r="F57" s="131">
        <v>322600</v>
      </c>
      <c r="G57" s="307"/>
      <c r="H57" s="131">
        <v>7215796</v>
      </c>
      <c r="I57" s="307"/>
    </row>
    <row r="58" spans="1:9" x14ac:dyDescent="0.2">
      <c r="A58" s="164" t="s">
        <v>5790</v>
      </c>
      <c r="B58" s="131">
        <v>298011</v>
      </c>
      <c r="C58" s="307">
        <v>80</v>
      </c>
      <c r="D58" s="131">
        <v>185230</v>
      </c>
      <c r="E58" s="307">
        <v>32</v>
      </c>
      <c r="F58" s="131">
        <v>483242</v>
      </c>
      <c r="G58" s="307">
        <v>12</v>
      </c>
      <c r="H58" s="131"/>
      <c r="I58" s="307"/>
    </row>
    <row r="59" spans="1:9" x14ac:dyDescent="0.2">
      <c r="A59" s="164" t="s">
        <v>5791</v>
      </c>
      <c r="B59" s="131">
        <v>840025</v>
      </c>
      <c r="C59" s="307">
        <v>5</v>
      </c>
      <c r="D59" s="131">
        <v>14061</v>
      </c>
      <c r="E59" s="307">
        <v>15</v>
      </c>
      <c r="F59" s="131">
        <v>854086</v>
      </c>
      <c r="G59" s="307">
        <v>20</v>
      </c>
      <c r="H59" s="131">
        <v>16145000</v>
      </c>
      <c r="I59" s="307"/>
    </row>
    <row r="60" spans="1:9" x14ac:dyDescent="0.2">
      <c r="A60" s="164" t="s">
        <v>5792</v>
      </c>
      <c r="B60" s="131">
        <v>311460</v>
      </c>
      <c r="C60" s="307">
        <v>20</v>
      </c>
      <c r="D60" s="131">
        <v>196756</v>
      </c>
      <c r="E60" s="307">
        <v>75</v>
      </c>
      <c r="F60" s="131">
        <v>508216</v>
      </c>
      <c r="G60" s="307">
        <v>95</v>
      </c>
      <c r="H60" s="131"/>
      <c r="I60" s="307"/>
    </row>
    <row r="61" spans="1:9" x14ac:dyDescent="0.2">
      <c r="A61" s="164" t="s">
        <v>5793</v>
      </c>
      <c r="B61" s="131">
        <v>490473</v>
      </c>
      <c r="C61" s="307"/>
      <c r="D61" s="131">
        <v>265904</v>
      </c>
      <c r="E61" s="307"/>
      <c r="F61" s="131">
        <v>756377</v>
      </c>
      <c r="G61" s="307"/>
      <c r="H61" s="131">
        <v>18500950</v>
      </c>
      <c r="I61" s="307"/>
    </row>
    <row r="62" spans="1:9" x14ac:dyDescent="0.2">
      <c r="A62" s="164" t="s">
        <v>5794</v>
      </c>
      <c r="B62" s="131">
        <v>471453</v>
      </c>
      <c r="C62" s="307"/>
      <c r="D62" s="131">
        <v>208597</v>
      </c>
      <c r="E62" s="307">
        <v>62</v>
      </c>
      <c r="F62" s="131">
        <v>680050</v>
      </c>
      <c r="G62" s="307">
        <v>62</v>
      </c>
      <c r="H62" s="131">
        <v>18250767</v>
      </c>
      <c r="I62" s="307">
        <v>61</v>
      </c>
    </row>
    <row r="63" spans="1:9" x14ac:dyDescent="0.2">
      <c r="A63" s="164" t="s">
        <v>5795</v>
      </c>
      <c r="B63" s="131">
        <v>555334</v>
      </c>
      <c r="C63" s="307"/>
      <c r="D63" s="131">
        <v>194439</v>
      </c>
      <c r="E63" s="307">
        <v>38</v>
      </c>
      <c r="F63" s="131">
        <v>749783</v>
      </c>
      <c r="G63" s="307">
        <v>38</v>
      </c>
      <c r="H63" s="131">
        <v>6989350</v>
      </c>
      <c r="I63" s="307"/>
    </row>
    <row r="64" spans="1:9" x14ac:dyDescent="0.2">
      <c r="A64" s="164" t="s">
        <v>5796</v>
      </c>
      <c r="B64" s="131"/>
      <c r="C64" s="307"/>
      <c r="D64" s="131">
        <v>65216</v>
      </c>
      <c r="E64" s="307">
        <v>60</v>
      </c>
      <c r="F64" s="131">
        <v>65216</v>
      </c>
      <c r="G64" s="307">
        <v>60</v>
      </c>
      <c r="H64" s="131">
        <v>1286974</v>
      </c>
      <c r="I64" s="307"/>
    </row>
    <row r="65" spans="1:31" x14ac:dyDescent="0.2">
      <c r="A65" s="164" t="s">
        <v>5797</v>
      </c>
      <c r="B65" s="131"/>
      <c r="C65" s="307"/>
      <c r="D65" s="131">
        <v>4050</v>
      </c>
      <c r="E65" s="307"/>
      <c r="F65" s="131">
        <v>4050</v>
      </c>
      <c r="G65" s="307"/>
      <c r="H65" s="131"/>
      <c r="I65" s="307"/>
    </row>
    <row r="66" spans="1:31" x14ac:dyDescent="0.2">
      <c r="A66" s="164" t="s">
        <v>5798</v>
      </c>
      <c r="B66" s="131"/>
      <c r="C66" s="307"/>
      <c r="D66" s="131"/>
      <c r="E66" s="307"/>
      <c r="F66" s="131"/>
      <c r="G66" s="307"/>
      <c r="H66" s="131"/>
      <c r="I66" s="307"/>
    </row>
    <row r="67" spans="1:31" x14ac:dyDescent="0.2">
      <c r="A67" s="164" t="s">
        <v>5799</v>
      </c>
      <c r="B67" s="131"/>
      <c r="C67" s="307"/>
      <c r="D67" s="131"/>
      <c r="E67" s="307"/>
      <c r="F67" s="131"/>
      <c r="G67" s="307"/>
      <c r="H67" s="131"/>
      <c r="I67" s="307"/>
    </row>
    <row r="68" spans="1:31" x14ac:dyDescent="0.2">
      <c r="A68" s="164" t="s">
        <v>5800</v>
      </c>
      <c r="B68" s="131"/>
      <c r="C68" s="307"/>
      <c r="D68" s="131">
        <v>420</v>
      </c>
      <c r="E68" s="307"/>
      <c r="F68" s="131">
        <v>420</v>
      </c>
      <c r="G68" s="307"/>
      <c r="H68" s="131"/>
      <c r="I68" s="307"/>
    </row>
    <row r="69" spans="1:31" x14ac:dyDescent="0.2">
      <c r="A69" s="164" t="s">
        <v>5801</v>
      </c>
      <c r="B69" s="131"/>
      <c r="C69" s="307"/>
      <c r="D69" s="131"/>
      <c r="E69" s="307"/>
      <c r="F69" s="131"/>
      <c r="G69" s="307"/>
      <c r="H69" s="131"/>
      <c r="I69" s="307"/>
    </row>
    <row r="70" spans="1:31" x14ac:dyDescent="0.2">
      <c r="A70" s="164" t="s">
        <v>5802</v>
      </c>
      <c r="B70" s="131"/>
      <c r="C70" s="307"/>
      <c r="D70" s="131">
        <v>4564</v>
      </c>
      <c r="E70" s="307"/>
      <c r="F70" s="131">
        <v>4564</v>
      </c>
      <c r="G70" s="307"/>
      <c r="H70" s="131"/>
      <c r="I70" s="307"/>
    </row>
    <row r="71" spans="1:31" x14ac:dyDescent="0.2">
      <c r="A71" s="164" t="s">
        <v>5803</v>
      </c>
      <c r="B71" s="131"/>
      <c r="C71" s="307"/>
      <c r="D71" s="131"/>
      <c r="E71" s="307"/>
      <c r="F71" s="131"/>
      <c r="G71" s="307"/>
      <c r="H71" s="131"/>
      <c r="I71" s="307"/>
    </row>
    <row r="72" spans="1:31" x14ac:dyDescent="0.2">
      <c r="A72" s="164" t="s">
        <v>5804</v>
      </c>
      <c r="B72" s="131"/>
      <c r="C72" s="307"/>
      <c r="D72" s="131"/>
      <c r="E72" s="307"/>
      <c r="F72" s="131"/>
      <c r="G72" s="307"/>
      <c r="H72" s="131"/>
      <c r="I72" s="307"/>
    </row>
    <row r="73" spans="1:31" x14ac:dyDescent="0.2">
      <c r="A73" s="151" t="s">
        <v>5805</v>
      </c>
      <c r="B73" s="240">
        <v>8104126</v>
      </c>
      <c r="C73" s="513">
        <v>25</v>
      </c>
      <c r="D73" s="240">
        <v>4146589</v>
      </c>
      <c r="E73" s="513">
        <v>26</v>
      </c>
      <c r="F73" s="240">
        <v>12250725</v>
      </c>
      <c r="G73" s="513">
        <v>51</v>
      </c>
      <c r="H73" s="240">
        <v>246071699</v>
      </c>
      <c r="I73" s="513">
        <v>11</v>
      </c>
    </row>
    <row r="74" spans="1:31" x14ac:dyDescent="0.2">
      <c r="B74" s="321">
        <f>SUM(B50:B72)</f>
        <v>8104124</v>
      </c>
      <c r="C74" s="321">
        <f t="shared" ref="C74:I74" si="0">SUM(C50:C72)</f>
        <v>225</v>
      </c>
      <c r="D74" s="321">
        <f t="shared" si="0"/>
        <v>4146584</v>
      </c>
      <c r="E74" s="321">
        <f t="shared" si="0"/>
        <v>526</v>
      </c>
      <c r="F74" s="321">
        <f t="shared" si="0"/>
        <v>12250720</v>
      </c>
      <c r="G74" s="321">
        <f t="shared" si="0"/>
        <v>551</v>
      </c>
      <c r="H74" s="321">
        <f t="shared" si="0"/>
        <v>246071698</v>
      </c>
      <c r="I74" s="321">
        <f t="shared" si="0"/>
        <v>111</v>
      </c>
    </row>
    <row r="77" spans="1:31" x14ac:dyDescent="0.2">
      <c r="A77" s="113" t="s">
        <v>1182</v>
      </c>
    </row>
    <row r="78" spans="1:31" ht="26" customHeight="1" x14ac:dyDescent="0.2">
      <c r="A78" s="1679" t="s">
        <v>5806</v>
      </c>
      <c r="B78" s="1680"/>
      <c r="C78" s="1680"/>
      <c r="D78" s="1680"/>
      <c r="E78" s="1680"/>
      <c r="F78" s="1680"/>
      <c r="G78" s="1680"/>
      <c r="H78" s="1680"/>
      <c r="I78" s="1680"/>
      <c r="J78" s="1680"/>
      <c r="K78" s="1680"/>
      <c r="L78" s="1680"/>
      <c r="M78" s="1680"/>
      <c r="N78" s="1680"/>
      <c r="O78" s="1680"/>
      <c r="P78" s="1680"/>
      <c r="Q78" s="1680"/>
      <c r="R78" s="1680"/>
      <c r="S78" s="1680"/>
      <c r="T78" s="1680"/>
      <c r="U78" s="1680"/>
      <c r="V78" s="1680"/>
      <c r="W78" s="1680"/>
      <c r="X78" s="1680"/>
      <c r="Y78" s="1680"/>
      <c r="Z78" s="1680"/>
      <c r="AA78" s="1680"/>
      <c r="AB78" s="1680"/>
      <c r="AC78" s="1680"/>
      <c r="AD78" s="1680"/>
      <c r="AE78" s="1681"/>
    </row>
    <row r="79" spans="1:31" ht="66" customHeight="1" x14ac:dyDescent="0.2">
      <c r="A79" s="1632" t="s">
        <v>1227</v>
      </c>
      <c r="B79" s="252" t="s">
        <v>5807</v>
      </c>
      <c r="C79" s="253"/>
      <c r="D79" s="252" t="s">
        <v>5808</v>
      </c>
      <c r="E79" s="254"/>
      <c r="F79" s="253" t="s">
        <v>5587</v>
      </c>
      <c r="G79" s="254"/>
      <c r="H79" s="253" t="s">
        <v>5588</v>
      </c>
      <c r="I79" s="253"/>
      <c r="J79" s="252" t="s">
        <v>5590</v>
      </c>
      <c r="K79" s="253"/>
      <c r="L79" s="252" t="s">
        <v>5809</v>
      </c>
      <c r="M79" s="254"/>
      <c r="N79" s="253" t="s">
        <v>5810</v>
      </c>
      <c r="O79" s="254"/>
      <c r="P79" s="253" t="s">
        <v>5811</v>
      </c>
      <c r="Q79" s="253"/>
      <c r="R79" s="252" t="s">
        <v>5812</v>
      </c>
      <c r="S79" s="253"/>
      <c r="T79" s="252" t="s">
        <v>5813</v>
      </c>
      <c r="U79" s="254"/>
      <c r="V79" s="253" t="s">
        <v>5814</v>
      </c>
      <c r="W79" s="254"/>
      <c r="X79" s="253" t="s">
        <v>4977</v>
      </c>
      <c r="Y79" s="253"/>
      <c r="Z79" s="252" t="s">
        <v>4978</v>
      </c>
      <c r="AA79" s="253"/>
      <c r="AB79" s="252" t="s">
        <v>5815</v>
      </c>
      <c r="AC79" s="254"/>
      <c r="AD79" s="253" t="s">
        <v>5816</v>
      </c>
      <c r="AE79" s="254"/>
    </row>
    <row r="80" spans="1:31" x14ac:dyDescent="0.2">
      <c r="A80" s="164" t="s">
        <v>5817</v>
      </c>
      <c r="B80" s="131">
        <v>8578</v>
      </c>
      <c r="C80" s="145">
        <v>42</v>
      </c>
      <c r="D80" s="131">
        <v>8578</v>
      </c>
      <c r="E80" s="307">
        <v>42</v>
      </c>
      <c r="F80" s="145">
        <v>100</v>
      </c>
      <c r="G80" s="307">
        <v>24</v>
      </c>
      <c r="H80" s="145"/>
      <c r="I80" s="145"/>
      <c r="J80" s="131"/>
      <c r="K80" s="145"/>
      <c r="L80" s="131"/>
      <c r="M80" s="307"/>
      <c r="N80" s="145">
        <v>171</v>
      </c>
      <c r="O80" s="307">
        <v>53</v>
      </c>
      <c r="P80" s="145"/>
      <c r="Q80" s="145"/>
      <c r="R80" s="131"/>
      <c r="S80" s="145"/>
      <c r="T80" s="131"/>
      <c r="U80" s="307"/>
      <c r="V80" s="145"/>
      <c r="W80" s="307"/>
      <c r="X80" s="145"/>
      <c r="Y80" s="145"/>
      <c r="Z80" s="131">
        <v>8850</v>
      </c>
      <c r="AA80" s="145">
        <v>19</v>
      </c>
      <c r="AB80" s="131"/>
      <c r="AC80" s="307"/>
      <c r="AD80" s="145"/>
      <c r="AE80" s="307"/>
    </row>
    <row r="81" spans="1:31" x14ac:dyDescent="0.2">
      <c r="A81" s="164" t="s">
        <v>3668</v>
      </c>
      <c r="B81" s="131">
        <v>7166148</v>
      </c>
      <c r="C81" s="145">
        <v>51</v>
      </c>
      <c r="D81" s="131">
        <v>7023739</v>
      </c>
      <c r="E81" s="307">
        <v>79</v>
      </c>
      <c r="F81" s="145">
        <v>112673</v>
      </c>
      <c r="G81" s="307">
        <v>85</v>
      </c>
      <c r="H81" s="145">
        <v>45225</v>
      </c>
      <c r="I81" s="145">
        <v>49</v>
      </c>
      <c r="J81" s="131">
        <v>267</v>
      </c>
      <c r="K81" s="145">
        <v>80</v>
      </c>
      <c r="L81" s="131">
        <v>14658</v>
      </c>
      <c r="M81" s="307">
        <v>13</v>
      </c>
      <c r="N81" s="145">
        <v>140564</v>
      </c>
      <c r="O81" s="307">
        <v>90</v>
      </c>
      <c r="P81" s="145">
        <v>3430</v>
      </c>
      <c r="Q81" s="145"/>
      <c r="R81" s="131"/>
      <c r="S81" s="145"/>
      <c r="T81" s="131"/>
      <c r="U81" s="307"/>
      <c r="V81" s="145"/>
      <c r="W81" s="307"/>
      <c r="X81" s="145">
        <v>13493</v>
      </c>
      <c r="Y81" s="145">
        <v>37</v>
      </c>
      <c r="Z81" s="131">
        <v>7354053</v>
      </c>
      <c r="AA81" s="145">
        <v>33</v>
      </c>
      <c r="AB81" s="131">
        <v>142408</v>
      </c>
      <c r="AC81" s="307">
        <v>72</v>
      </c>
      <c r="AD81" s="145">
        <v>1384</v>
      </c>
      <c r="AE81" s="307">
        <v>1</v>
      </c>
    </row>
    <row r="82" spans="1:31" x14ac:dyDescent="0.2">
      <c r="A82" s="164" t="s">
        <v>1517</v>
      </c>
      <c r="B82" s="131">
        <v>1275758</v>
      </c>
      <c r="C82" s="145">
        <v>72</v>
      </c>
      <c r="D82" s="131">
        <v>1251837</v>
      </c>
      <c r="E82" s="307">
        <v>88</v>
      </c>
      <c r="F82" s="145">
        <v>21598</v>
      </c>
      <c r="G82" s="307">
        <v>15</v>
      </c>
      <c r="H82" s="145"/>
      <c r="I82" s="145"/>
      <c r="J82" s="131"/>
      <c r="K82" s="145"/>
      <c r="L82" s="131"/>
      <c r="M82" s="307"/>
      <c r="N82" s="145">
        <v>25089</v>
      </c>
      <c r="O82" s="307">
        <v>61</v>
      </c>
      <c r="P82" s="145">
        <v>660</v>
      </c>
      <c r="Q82" s="145"/>
      <c r="R82" s="131"/>
      <c r="S82" s="145"/>
      <c r="T82" s="131">
        <v>80</v>
      </c>
      <c r="U82" s="307">
        <v>18</v>
      </c>
      <c r="V82" s="145">
        <v>86</v>
      </c>
      <c r="W82" s="307">
        <v>47</v>
      </c>
      <c r="X82" s="145">
        <v>2289</v>
      </c>
      <c r="Y82" s="145">
        <v>22</v>
      </c>
      <c r="Z82" s="131">
        <v>1301641</v>
      </c>
      <c r="AA82" s="145">
        <v>51</v>
      </c>
      <c r="AB82" s="131">
        <v>23920</v>
      </c>
      <c r="AC82" s="307">
        <v>84</v>
      </c>
      <c r="AD82" s="145">
        <v>143</v>
      </c>
      <c r="AE82" s="307">
        <v>4</v>
      </c>
    </row>
    <row r="83" spans="1:31" x14ac:dyDescent="0.2">
      <c r="A83" s="164" t="s">
        <v>4033</v>
      </c>
      <c r="B83" s="131">
        <v>3191506</v>
      </c>
      <c r="C83" s="145">
        <v>75</v>
      </c>
      <c r="D83" s="131">
        <v>3072786</v>
      </c>
      <c r="E83" s="307">
        <v>45</v>
      </c>
      <c r="F83" s="145">
        <v>81539</v>
      </c>
      <c r="G83" s="307">
        <v>91</v>
      </c>
      <c r="H83" s="145">
        <v>15361</v>
      </c>
      <c r="I83" s="145">
        <v>84</v>
      </c>
      <c r="J83" s="131">
        <v>17</v>
      </c>
      <c r="K83" s="145">
        <v>50</v>
      </c>
      <c r="L83" s="131"/>
      <c r="M83" s="307"/>
      <c r="N83" s="145">
        <v>61529</v>
      </c>
      <c r="O83" s="307">
        <v>1</v>
      </c>
      <c r="P83" s="145">
        <v>2990</v>
      </c>
      <c r="Q83" s="145"/>
      <c r="R83" s="131">
        <v>3030</v>
      </c>
      <c r="S83" s="145"/>
      <c r="T83" s="131">
        <v>219</v>
      </c>
      <c r="U83" s="307">
        <v>98</v>
      </c>
      <c r="V83" s="145">
        <v>4589</v>
      </c>
      <c r="W83" s="307">
        <v>21</v>
      </c>
      <c r="X83" s="145">
        <v>5987</v>
      </c>
      <c r="Y83" s="145">
        <v>89</v>
      </c>
      <c r="Z83" s="131">
        <v>3248051</v>
      </c>
      <c r="AA83" s="145">
        <v>79</v>
      </c>
      <c r="AB83" s="131">
        <v>18720</v>
      </c>
      <c r="AC83" s="307">
        <v>30</v>
      </c>
      <c r="AD83" s="145">
        <v>4180</v>
      </c>
      <c r="AE83" s="307">
        <v>62</v>
      </c>
    </row>
    <row r="84" spans="1:31" x14ac:dyDescent="0.2">
      <c r="A84" s="164" t="s">
        <v>1519</v>
      </c>
      <c r="B84" s="131">
        <v>430903</v>
      </c>
      <c r="C84" s="145">
        <v>87</v>
      </c>
      <c r="D84" s="131">
        <v>426299</v>
      </c>
      <c r="E84" s="307">
        <v>25</v>
      </c>
      <c r="F84" s="145"/>
      <c r="G84" s="307"/>
      <c r="H84" s="145"/>
      <c r="I84" s="145"/>
      <c r="J84" s="131"/>
      <c r="K84" s="145"/>
      <c r="L84" s="131"/>
      <c r="M84" s="307"/>
      <c r="N84" s="145">
        <v>8554</v>
      </c>
      <c r="O84" s="307">
        <v>11</v>
      </c>
      <c r="P84" s="145"/>
      <c r="Q84" s="145"/>
      <c r="R84" s="131"/>
      <c r="S84" s="145"/>
      <c r="T84" s="131"/>
      <c r="U84" s="307"/>
      <c r="V84" s="145">
        <v>340</v>
      </c>
      <c r="W84" s="307">
        <v>3</v>
      </c>
      <c r="X84" s="145">
        <v>1175</v>
      </c>
      <c r="Y84" s="145">
        <v>93</v>
      </c>
      <c r="Z84" s="131">
        <v>436369</v>
      </c>
      <c r="AA84" s="145">
        <v>32</v>
      </c>
      <c r="AB84" s="131">
        <v>4604</v>
      </c>
      <c r="AC84" s="307">
        <v>62</v>
      </c>
      <c r="AD84" s="145"/>
      <c r="AE84" s="307"/>
    </row>
    <row r="85" spans="1:31" x14ac:dyDescent="0.2">
      <c r="A85" s="164" t="s">
        <v>5759</v>
      </c>
      <c r="B85" s="131">
        <v>971</v>
      </c>
      <c r="C85" s="145">
        <v>15</v>
      </c>
      <c r="D85" s="131">
        <v>935</v>
      </c>
      <c r="E85" s="307">
        <v>21</v>
      </c>
      <c r="F85" s="145">
        <v>17</v>
      </c>
      <c r="G85" s="307">
        <v>17</v>
      </c>
      <c r="H85" s="145"/>
      <c r="I85" s="145"/>
      <c r="J85" s="131"/>
      <c r="K85" s="145"/>
      <c r="L85" s="131"/>
      <c r="M85" s="307"/>
      <c r="N85" s="145">
        <v>18</v>
      </c>
      <c r="O85" s="307">
        <v>77</v>
      </c>
      <c r="P85" s="145"/>
      <c r="Q85" s="145"/>
      <c r="R85" s="131"/>
      <c r="S85" s="145"/>
      <c r="T85" s="131">
        <v>30</v>
      </c>
      <c r="U85" s="307">
        <v>77</v>
      </c>
      <c r="V85" s="145">
        <v>676</v>
      </c>
      <c r="W85" s="307">
        <v>64</v>
      </c>
      <c r="X85" s="145">
        <v>98</v>
      </c>
      <c r="Y85" s="145">
        <v>50</v>
      </c>
      <c r="Z85" s="131">
        <v>1777</v>
      </c>
      <c r="AA85" s="145">
        <v>6</v>
      </c>
      <c r="AB85" s="131">
        <v>1979</v>
      </c>
      <c r="AC85" s="307">
        <v>43</v>
      </c>
      <c r="AD85" s="145"/>
      <c r="AE85" s="307"/>
    </row>
    <row r="86" spans="1:31" x14ac:dyDescent="0.2">
      <c r="A86" s="164" t="s">
        <v>4553</v>
      </c>
      <c r="B86" s="131">
        <v>397</v>
      </c>
      <c r="C86" s="145">
        <v>60</v>
      </c>
      <c r="D86" s="131">
        <v>397</v>
      </c>
      <c r="E86" s="307">
        <v>60</v>
      </c>
      <c r="F86" s="145"/>
      <c r="G86" s="307"/>
      <c r="H86" s="145"/>
      <c r="I86" s="145"/>
      <c r="J86" s="131"/>
      <c r="K86" s="145"/>
      <c r="L86" s="131"/>
      <c r="M86" s="307"/>
      <c r="N86" s="145">
        <v>6</v>
      </c>
      <c r="O86" s="307">
        <v>69</v>
      </c>
      <c r="P86" s="145"/>
      <c r="Q86" s="145"/>
      <c r="R86" s="131"/>
      <c r="S86" s="145"/>
      <c r="T86" s="131"/>
      <c r="U86" s="307"/>
      <c r="V86" s="145">
        <v>15</v>
      </c>
      <c r="W86" s="307">
        <v>84</v>
      </c>
      <c r="X86" s="145">
        <v>103</v>
      </c>
      <c r="Y86" s="145">
        <v>65</v>
      </c>
      <c r="Z86" s="131">
        <v>523</v>
      </c>
      <c r="AA86" s="145">
        <v>78</v>
      </c>
      <c r="AB86" s="131"/>
      <c r="AC86" s="307"/>
      <c r="AD86" s="145"/>
      <c r="AE86" s="307"/>
    </row>
    <row r="87" spans="1:31" x14ac:dyDescent="0.2">
      <c r="A87" s="164" t="s">
        <v>4828</v>
      </c>
      <c r="B87" s="131">
        <v>7211</v>
      </c>
      <c r="C87" s="145">
        <v>24</v>
      </c>
      <c r="D87" s="131">
        <v>7211</v>
      </c>
      <c r="E87" s="307">
        <v>24</v>
      </c>
      <c r="F87" s="145">
        <v>122</v>
      </c>
      <c r="G87" s="307">
        <v>45</v>
      </c>
      <c r="H87" s="145"/>
      <c r="I87" s="145"/>
      <c r="J87" s="131"/>
      <c r="K87" s="145"/>
      <c r="L87" s="131"/>
      <c r="M87" s="307"/>
      <c r="N87" s="145">
        <v>144</v>
      </c>
      <c r="O87" s="307">
        <v>30</v>
      </c>
      <c r="P87" s="145"/>
      <c r="Q87" s="145"/>
      <c r="R87" s="131"/>
      <c r="S87" s="145"/>
      <c r="T87" s="131"/>
      <c r="U87" s="307"/>
      <c r="V87" s="145"/>
      <c r="W87" s="307"/>
      <c r="X87" s="145">
        <v>8</v>
      </c>
      <c r="Y87" s="145">
        <v>71</v>
      </c>
      <c r="Z87" s="131">
        <v>7486</v>
      </c>
      <c r="AA87" s="145">
        <v>70</v>
      </c>
      <c r="AB87" s="131"/>
      <c r="AC87" s="307"/>
      <c r="AD87" s="145"/>
      <c r="AE87" s="307"/>
    </row>
    <row r="88" spans="1:31" x14ac:dyDescent="0.2">
      <c r="A88" s="164" t="s">
        <v>5105</v>
      </c>
      <c r="B88" s="131">
        <v>47609</v>
      </c>
      <c r="C88" s="145">
        <v>7</v>
      </c>
      <c r="D88" s="131">
        <v>47609</v>
      </c>
      <c r="E88" s="307">
        <v>7</v>
      </c>
      <c r="F88" s="145">
        <v>2843</v>
      </c>
      <c r="G88" s="307">
        <v>88</v>
      </c>
      <c r="H88" s="145">
        <v>712</v>
      </c>
      <c r="I88" s="145">
        <v>83</v>
      </c>
      <c r="J88" s="131">
        <v>43</v>
      </c>
      <c r="K88" s="145">
        <v>50</v>
      </c>
      <c r="L88" s="131"/>
      <c r="M88" s="307"/>
      <c r="N88" s="145">
        <v>953</v>
      </c>
      <c r="O88" s="307">
        <v>65</v>
      </c>
      <c r="P88" s="145">
        <v>430</v>
      </c>
      <c r="Q88" s="145"/>
      <c r="R88" s="131"/>
      <c r="S88" s="145"/>
      <c r="T88" s="131">
        <v>6</v>
      </c>
      <c r="U88" s="307"/>
      <c r="V88" s="145">
        <v>2461</v>
      </c>
      <c r="W88" s="307">
        <v>62</v>
      </c>
      <c r="X88" s="145">
        <v>79</v>
      </c>
      <c r="Y88" s="145">
        <v>20</v>
      </c>
      <c r="Z88" s="131">
        <v>55139</v>
      </c>
      <c r="AA88" s="145">
        <v>75</v>
      </c>
      <c r="AB88" s="131"/>
      <c r="AC88" s="307"/>
      <c r="AD88" s="145"/>
      <c r="AE88" s="307"/>
    </row>
    <row r="89" spans="1:31" x14ac:dyDescent="0.2">
      <c r="A89" s="164" t="s">
        <v>4034</v>
      </c>
      <c r="B89" s="131">
        <v>229790</v>
      </c>
      <c r="C89" s="145">
        <v>8</v>
      </c>
      <c r="D89" s="131">
        <v>202821</v>
      </c>
      <c r="E89" s="307">
        <v>3</v>
      </c>
      <c r="F89" s="145">
        <v>18091</v>
      </c>
      <c r="G89" s="307">
        <v>15</v>
      </c>
      <c r="H89" s="145">
        <v>14158</v>
      </c>
      <c r="I89" s="145">
        <v>63</v>
      </c>
      <c r="J89" s="131">
        <v>63</v>
      </c>
      <c r="K89" s="145">
        <v>25</v>
      </c>
      <c r="L89" s="131"/>
      <c r="M89" s="307"/>
      <c r="N89" s="145">
        <v>3984</v>
      </c>
      <c r="O89" s="307">
        <v>38</v>
      </c>
      <c r="P89" s="145">
        <v>2160</v>
      </c>
      <c r="Q89" s="145"/>
      <c r="R89" s="131">
        <v>180</v>
      </c>
      <c r="S89" s="145"/>
      <c r="T89" s="131"/>
      <c r="U89" s="307"/>
      <c r="V89" s="145"/>
      <c r="W89" s="307"/>
      <c r="X89" s="145">
        <v>2732</v>
      </c>
      <c r="Y89" s="145">
        <v>97</v>
      </c>
      <c r="Z89" s="131">
        <v>244191</v>
      </c>
      <c r="AA89" s="145">
        <v>41</v>
      </c>
      <c r="AB89" s="131">
        <v>27508</v>
      </c>
      <c r="AC89" s="307">
        <v>44</v>
      </c>
      <c r="AD89" s="145"/>
      <c r="AE89" s="307"/>
    </row>
    <row r="90" spans="1:31" x14ac:dyDescent="0.2">
      <c r="A90" s="164" t="s">
        <v>1527</v>
      </c>
      <c r="B90" s="131">
        <v>244598</v>
      </c>
      <c r="C90" s="145">
        <v>30</v>
      </c>
      <c r="D90" s="131">
        <v>244171</v>
      </c>
      <c r="E90" s="307">
        <v>5</v>
      </c>
      <c r="F90" s="145">
        <v>8318</v>
      </c>
      <c r="G90" s="307">
        <v>25</v>
      </c>
      <c r="H90" s="145"/>
      <c r="I90" s="145"/>
      <c r="J90" s="131"/>
      <c r="K90" s="145">
        <v>75</v>
      </c>
      <c r="L90" s="131"/>
      <c r="M90" s="307"/>
      <c r="N90" s="145">
        <v>4913</v>
      </c>
      <c r="O90" s="307">
        <v>60</v>
      </c>
      <c r="P90" s="145">
        <v>670</v>
      </c>
      <c r="Q90" s="145"/>
      <c r="R90" s="131"/>
      <c r="S90" s="145"/>
      <c r="T90" s="131">
        <v>422</v>
      </c>
      <c r="U90" s="307">
        <v>21</v>
      </c>
      <c r="V90" s="145">
        <v>1245</v>
      </c>
      <c r="W90" s="307">
        <v>77</v>
      </c>
      <c r="X90" s="145">
        <v>1052</v>
      </c>
      <c r="Y90" s="145">
        <v>20</v>
      </c>
      <c r="Z90" s="131">
        <v>260793</v>
      </c>
      <c r="AA90" s="145">
        <v>83</v>
      </c>
      <c r="AB90" s="131">
        <v>427</v>
      </c>
      <c r="AC90" s="307">
        <v>25</v>
      </c>
      <c r="AD90" s="145">
        <v>1986</v>
      </c>
      <c r="AE90" s="307">
        <v>85</v>
      </c>
    </row>
    <row r="91" spans="1:31" x14ac:dyDescent="0.2">
      <c r="A91" s="164" t="s">
        <v>5593</v>
      </c>
      <c r="B91" s="131">
        <v>587102</v>
      </c>
      <c r="C91" s="145">
        <v>2</v>
      </c>
      <c r="D91" s="131">
        <v>587102</v>
      </c>
      <c r="E91" s="307">
        <v>2</v>
      </c>
      <c r="F91" s="145"/>
      <c r="G91" s="307"/>
      <c r="H91" s="145"/>
      <c r="I91" s="145"/>
      <c r="J91" s="131"/>
      <c r="K91" s="145"/>
      <c r="L91" s="131"/>
      <c r="M91" s="307"/>
      <c r="N91" s="145">
        <v>10977</v>
      </c>
      <c r="O91" s="307"/>
      <c r="P91" s="145"/>
      <c r="Q91" s="145"/>
      <c r="R91" s="131"/>
      <c r="S91" s="145"/>
      <c r="T91" s="131"/>
      <c r="U91" s="307"/>
      <c r="V91" s="145"/>
      <c r="W91" s="307"/>
      <c r="X91" s="145"/>
      <c r="Y91" s="145"/>
      <c r="Z91" s="131">
        <v>598079</v>
      </c>
      <c r="AA91" s="145">
        <v>2</v>
      </c>
      <c r="AB91" s="131"/>
      <c r="AC91" s="307"/>
      <c r="AD91" s="145"/>
      <c r="AE91" s="307"/>
    </row>
    <row r="92" spans="1:31" x14ac:dyDescent="0.2">
      <c r="A92" s="164" t="s">
        <v>5818</v>
      </c>
      <c r="B92" s="131">
        <v>1262</v>
      </c>
      <c r="C92" s="145">
        <v>56</v>
      </c>
      <c r="D92" s="131">
        <v>1262</v>
      </c>
      <c r="E92" s="307">
        <v>56</v>
      </c>
      <c r="F92" s="145"/>
      <c r="G92" s="307"/>
      <c r="H92" s="145"/>
      <c r="I92" s="145"/>
      <c r="J92" s="131"/>
      <c r="K92" s="145"/>
      <c r="L92" s="131"/>
      <c r="M92" s="307"/>
      <c r="N92" s="145">
        <v>4</v>
      </c>
      <c r="O92" s="307">
        <v>12</v>
      </c>
      <c r="P92" s="145"/>
      <c r="Q92" s="145"/>
      <c r="R92" s="131"/>
      <c r="S92" s="145"/>
      <c r="T92" s="131"/>
      <c r="U92" s="307"/>
      <c r="V92" s="145"/>
      <c r="W92" s="307"/>
      <c r="X92" s="145"/>
      <c r="Y92" s="145"/>
      <c r="Z92" s="131">
        <v>1266</v>
      </c>
      <c r="AA92" s="145">
        <v>68</v>
      </c>
      <c r="AB92" s="131"/>
      <c r="AC92" s="307"/>
      <c r="AD92" s="145"/>
      <c r="AE92" s="307"/>
    </row>
    <row r="93" spans="1:31" ht="30" x14ac:dyDescent="0.2">
      <c r="A93" s="178" t="s">
        <v>5819</v>
      </c>
      <c r="B93" s="131"/>
      <c r="C93" s="145"/>
      <c r="D93" s="131">
        <v>19364</v>
      </c>
      <c r="E93" s="307">
        <v>83</v>
      </c>
      <c r="F93" s="145">
        <v>475</v>
      </c>
      <c r="G93" s="307">
        <v>4</v>
      </c>
      <c r="H93" s="145"/>
      <c r="I93" s="145"/>
      <c r="J93" s="131"/>
      <c r="K93" s="145"/>
      <c r="L93" s="131"/>
      <c r="M93" s="307"/>
      <c r="N93" s="145"/>
      <c r="O93" s="307"/>
      <c r="P93" s="145"/>
      <c r="Q93" s="145"/>
      <c r="R93" s="131"/>
      <c r="S93" s="145"/>
      <c r="T93" s="131"/>
      <c r="U93" s="307"/>
      <c r="V93" s="145"/>
      <c r="W93" s="307"/>
      <c r="X93" s="145"/>
      <c r="Y93" s="145"/>
      <c r="Z93" s="131">
        <v>19839</v>
      </c>
      <c r="AA93" s="145">
        <v>87</v>
      </c>
      <c r="AB93" s="131"/>
      <c r="AC93" s="307"/>
      <c r="AD93" s="145">
        <v>5082</v>
      </c>
      <c r="AE93" s="307">
        <v>47</v>
      </c>
    </row>
    <row r="94" spans="1:31" ht="24.5" customHeight="1" x14ac:dyDescent="0.2">
      <c r="A94" s="151" t="s">
        <v>5820</v>
      </c>
      <c r="B94" s="240">
        <v>13191838</v>
      </c>
      <c r="C94" s="318">
        <v>29</v>
      </c>
      <c r="D94" s="240">
        <v>12894116</v>
      </c>
      <c r="E94" s="513">
        <v>40</v>
      </c>
      <c r="F94" s="318">
        <v>245780</v>
      </c>
      <c r="G94" s="513">
        <v>9</v>
      </c>
      <c r="H94" s="318">
        <v>75458</v>
      </c>
      <c r="I94" s="318">
        <v>79</v>
      </c>
      <c r="J94" s="240">
        <v>392</v>
      </c>
      <c r="K94" s="318">
        <v>80</v>
      </c>
      <c r="L94" s="240">
        <v>14658</v>
      </c>
      <c r="M94" s="513">
        <v>13</v>
      </c>
      <c r="N94" s="318">
        <v>256911</v>
      </c>
      <c r="O94" s="513">
        <v>67</v>
      </c>
      <c r="P94" s="318">
        <v>10340</v>
      </c>
      <c r="Q94" s="318"/>
      <c r="R94" s="240">
        <v>3210</v>
      </c>
      <c r="S94" s="318"/>
      <c r="T94" s="240">
        <v>759</v>
      </c>
      <c r="U94" s="513">
        <v>14</v>
      </c>
      <c r="V94" s="318">
        <v>9415</v>
      </c>
      <c r="W94" s="513">
        <v>58</v>
      </c>
      <c r="X94" s="318">
        <v>27021</v>
      </c>
      <c r="Y94" s="318">
        <v>64</v>
      </c>
      <c r="Z94" s="240">
        <v>13538064</v>
      </c>
      <c r="AA94" s="318">
        <v>24</v>
      </c>
      <c r="AB94" s="240">
        <v>319569</v>
      </c>
      <c r="AC94" s="513">
        <v>60</v>
      </c>
      <c r="AD94" s="318">
        <v>12776</v>
      </c>
      <c r="AE94" s="513">
        <v>99</v>
      </c>
    </row>
    <row r="95" spans="1:31" ht="24.5" customHeight="1" x14ac:dyDescent="0.2">
      <c r="A95" s="134"/>
      <c r="B95" s="138">
        <f t="shared" ref="B95:AE95" si="1">SUM(B80:B93)</f>
        <v>13191833</v>
      </c>
      <c r="C95" s="138">
        <f t="shared" si="1"/>
        <v>529</v>
      </c>
      <c r="D95" s="138">
        <f t="shared" si="1"/>
        <v>12894111</v>
      </c>
      <c r="E95" s="138">
        <f t="shared" si="1"/>
        <v>540</v>
      </c>
      <c r="F95" s="138">
        <f t="shared" si="1"/>
        <v>245776</v>
      </c>
      <c r="G95" s="138">
        <f t="shared" si="1"/>
        <v>409</v>
      </c>
      <c r="H95" s="138">
        <f t="shared" si="1"/>
        <v>75456</v>
      </c>
      <c r="I95" s="138">
        <f t="shared" si="1"/>
        <v>279</v>
      </c>
      <c r="J95" s="138">
        <f t="shared" si="1"/>
        <v>390</v>
      </c>
      <c r="K95" s="138">
        <f t="shared" si="1"/>
        <v>280</v>
      </c>
      <c r="L95" s="138">
        <f t="shared" si="1"/>
        <v>14658</v>
      </c>
      <c r="M95" s="138">
        <f t="shared" si="1"/>
        <v>13</v>
      </c>
      <c r="N95" s="138">
        <f t="shared" si="1"/>
        <v>256906</v>
      </c>
      <c r="O95" s="138">
        <f t="shared" si="1"/>
        <v>567</v>
      </c>
      <c r="P95" s="138">
        <f t="shared" si="1"/>
        <v>10340</v>
      </c>
      <c r="Q95" s="138">
        <f t="shared" si="1"/>
        <v>0</v>
      </c>
      <c r="R95" s="138">
        <f t="shared" si="1"/>
        <v>3210</v>
      </c>
      <c r="S95" s="138">
        <f t="shared" si="1"/>
        <v>0</v>
      </c>
      <c r="T95" s="138">
        <f t="shared" si="1"/>
        <v>757</v>
      </c>
      <c r="U95" s="138">
        <f t="shared" si="1"/>
        <v>214</v>
      </c>
      <c r="V95" s="138">
        <f t="shared" si="1"/>
        <v>9412</v>
      </c>
      <c r="W95" s="138">
        <f t="shared" si="1"/>
        <v>358</v>
      </c>
      <c r="X95" s="138">
        <f t="shared" si="1"/>
        <v>27016</v>
      </c>
      <c r="Y95" s="138">
        <f t="shared" si="1"/>
        <v>564</v>
      </c>
      <c r="Z95" s="138">
        <f t="shared" si="1"/>
        <v>13538057</v>
      </c>
      <c r="AA95" s="138">
        <f t="shared" si="1"/>
        <v>724</v>
      </c>
      <c r="AB95" s="413">
        <f t="shared" si="1"/>
        <v>219566</v>
      </c>
      <c r="AC95" s="413">
        <f t="shared" si="1"/>
        <v>360</v>
      </c>
      <c r="AD95" s="138">
        <f t="shared" si="1"/>
        <v>12775</v>
      </c>
      <c r="AE95" s="138">
        <f t="shared" si="1"/>
        <v>199</v>
      </c>
    </row>
    <row r="96" spans="1:31" x14ac:dyDescent="0.2">
      <c r="B96" s="107"/>
      <c r="C96" s="107"/>
      <c r="D96" s="107"/>
      <c r="E96" s="107"/>
      <c r="F96" s="107"/>
      <c r="G96" s="107"/>
      <c r="H96" s="107"/>
      <c r="I96" s="107"/>
      <c r="J96" s="107"/>
      <c r="K96" s="107"/>
      <c r="L96" s="107"/>
      <c r="M96" s="107"/>
      <c r="N96" s="107"/>
      <c r="O96" s="107"/>
      <c r="P96" s="107"/>
      <c r="Q96" s="107"/>
      <c r="R96" s="107"/>
      <c r="S96" s="107"/>
      <c r="T96" s="107"/>
      <c r="U96" s="107"/>
      <c r="V96" s="107"/>
      <c r="W96" s="107"/>
      <c r="X96" s="107"/>
      <c r="Y96" s="107"/>
      <c r="Z96" s="107"/>
      <c r="AA96" s="107"/>
      <c r="AB96" s="107"/>
      <c r="AC96" s="107"/>
      <c r="AD96" s="107"/>
      <c r="AE96" s="107"/>
    </row>
    <row r="97" spans="1:17" x14ac:dyDescent="0.2">
      <c r="A97" s="1682" t="s">
        <v>5821</v>
      </c>
      <c r="B97" s="1682"/>
      <c r="C97" s="1682"/>
      <c r="D97" s="141">
        <v>13538064</v>
      </c>
      <c r="E97" s="141">
        <v>24</v>
      </c>
    </row>
    <row r="98" spans="1:17" ht="16" thickBot="1" x14ac:dyDescent="0.25">
      <c r="A98" s="1682" t="s">
        <v>5466</v>
      </c>
      <c r="B98" s="1682"/>
      <c r="C98" s="1682"/>
      <c r="D98" s="181">
        <v>12776</v>
      </c>
      <c r="E98" s="183">
        <v>99</v>
      </c>
    </row>
    <row r="99" spans="1:17" x14ac:dyDescent="0.2">
      <c r="A99" s="1682" t="s">
        <v>5822</v>
      </c>
      <c r="B99" s="1682"/>
      <c r="C99" s="1682"/>
      <c r="D99" s="141">
        <v>13550841</v>
      </c>
      <c r="E99" s="141">
        <v>23</v>
      </c>
    </row>
    <row r="100" spans="1:17" x14ac:dyDescent="0.2">
      <c r="A100" s="1683"/>
      <c r="B100" s="1683"/>
      <c r="C100" s="1683"/>
      <c r="D100" s="138">
        <f>D97+D98</f>
        <v>13550840</v>
      </c>
      <c r="E100" s="138">
        <f>E97+E98</f>
        <v>123</v>
      </c>
    </row>
    <row r="101" spans="1:17" ht="28.25" customHeight="1" thickBot="1" x14ac:dyDescent="0.25">
      <c r="A101" s="470" t="s">
        <v>5823</v>
      </c>
      <c r="B101" s="470"/>
      <c r="C101" s="470"/>
      <c r="D101" s="181">
        <v>14608</v>
      </c>
      <c r="E101" s="183">
        <v>51</v>
      </c>
    </row>
    <row r="102" spans="1:17" ht="16" thickBot="1" x14ac:dyDescent="0.25">
      <c r="A102" s="1682" t="s">
        <v>5824</v>
      </c>
      <c r="B102" s="1682"/>
      <c r="C102" s="1682"/>
      <c r="D102" s="181">
        <v>13536232</v>
      </c>
      <c r="E102" s="1684">
        <v>72</v>
      </c>
    </row>
    <row r="103" spans="1:17" x14ac:dyDescent="0.2">
      <c r="D103" s="321">
        <f>D100-D101</f>
        <v>13536232</v>
      </c>
      <c r="E103" s="321">
        <f>E100-E101</f>
        <v>72</v>
      </c>
    </row>
    <row r="106" spans="1:17" x14ac:dyDescent="0.2">
      <c r="A106" s="113" t="s">
        <v>1226</v>
      </c>
    </row>
    <row r="107" spans="1:17" s="1688" customFormat="1" ht="27.5" customHeight="1" x14ac:dyDescent="0.2">
      <c r="A107" s="1685" t="s">
        <v>5825</v>
      </c>
      <c r="B107" s="1686"/>
      <c r="C107" s="1686"/>
      <c r="D107" s="1686"/>
      <c r="E107" s="1686"/>
      <c r="F107" s="1686"/>
      <c r="G107" s="1686"/>
      <c r="H107" s="1686"/>
      <c r="I107" s="1686"/>
      <c r="J107" s="1686"/>
      <c r="K107" s="1686"/>
      <c r="L107" s="1686"/>
      <c r="M107" s="1686"/>
      <c r="N107" s="1686"/>
      <c r="O107" s="1686"/>
      <c r="P107" s="1686"/>
      <c r="Q107" s="1687"/>
    </row>
    <row r="108" spans="1:17" ht="56.5" customHeight="1" x14ac:dyDescent="0.2">
      <c r="A108" s="554" t="s">
        <v>1227</v>
      </c>
      <c r="B108" s="252" t="s">
        <v>5826</v>
      </c>
      <c r="C108" s="254"/>
      <c r="D108" s="252" t="s">
        <v>5827</v>
      </c>
      <c r="E108" s="254"/>
      <c r="F108" s="252" t="s">
        <v>5828</v>
      </c>
      <c r="G108" s="254"/>
      <c r="H108" s="252" t="s">
        <v>5829</v>
      </c>
      <c r="I108" s="254"/>
      <c r="J108" s="252" t="s">
        <v>1341</v>
      </c>
      <c r="K108" s="254"/>
      <c r="L108" s="252" t="s">
        <v>5830</v>
      </c>
      <c r="M108" s="254"/>
      <c r="N108" s="252" t="s">
        <v>5831</v>
      </c>
      <c r="O108" s="254"/>
      <c r="P108" s="252" t="s">
        <v>5832</v>
      </c>
      <c r="Q108" s="254"/>
    </row>
    <row r="109" spans="1:17" x14ac:dyDescent="0.2">
      <c r="A109" s="135" t="s">
        <v>5833</v>
      </c>
      <c r="B109" s="131">
        <v>1990</v>
      </c>
      <c r="C109" s="307"/>
      <c r="D109" s="131">
        <v>2820</v>
      </c>
      <c r="E109" s="307"/>
      <c r="F109" s="131">
        <v>1241</v>
      </c>
      <c r="G109" s="307">
        <v>25</v>
      </c>
      <c r="H109" s="131">
        <v>360</v>
      </c>
      <c r="I109" s="307"/>
      <c r="J109" s="131">
        <v>6411</v>
      </c>
      <c r="K109" s="307">
        <v>25</v>
      </c>
      <c r="L109" s="131"/>
      <c r="M109" s="307"/>
      <c r="N109" s="131"/>
      <c r="O109" s="307"/>
      <c r="P109" s="131"/>
      <c r="Q109" s="307"/>
    </row>
    <row r="110" spans="1:17" x14ac:dyDescent="0.2">
      <c r="A110" s="135" t="s">
        <v>3668</v>
      </c>
      <c r="B110" s="131">
        <v>32309</v>
      </c>
      <c r="C110" s="307">
        <v>54</v>
      </c>
      <c r="D110" s="131">
        <v>16615</v>
      </c>
      <c r="E110" s="307">
        <v>86</v>
      </c>
      <c r="F110" s="131">
        <v>28348</v>
      </c>
      <c r="G110" s="307">
        <v>60</v>
      </c>
      <c r="H110" s="131">
        <v>2416</v>
      </c>
      <c r="I110" s="307">
        <v>25</v>
      </c>
      <c r="J110" s="131">
        <v>79726</v>
      </c>
      <c r="K110" s="307">
        <v>25</v>
      </c>
      <c r="L110" s="131"/>
      <c r="M110" s="307"/>
      <c r="N110" s="131">
        <v>155</v>
      </c>
      <c r="O110" s="307">
        <v>95</v>
      </c>
      <c r="P110" s="131">
        <v>155</v>
      </c>
      <c r="Q110" s="307">
        <v>95</v>
      </c>
    </row>
    <row r="111" spans="1:17" x14ac:dyDescent="0.2">
      <c r="A111" s="135" t="s">
        <v>1517</v>
      </c>
      <c r="B111" s="131">
        <v>8827</v>
      </c>
      <c r="C111" s="307">
        <v>52</v>
      </c>
      <c r="D111" s="131">
        <v>15760</v>
      </c>
      <c r="E111" s="307">
        <v>93</v>
      </c>
      <c r="F111" s="131">
        <v>17598</v>
      </c>
      <c r="G111" s="307">
        <v>62</v>
      </c>
      <c r="H111" s="131">
        <v>932</v>
      </c>
      <c r="I111" s="307">
        <v>80</v>
      </c>
      <c r="J111" s="131">
        <v>42116</v>
      </c>
      <c r="K111" s="307">
        <v>87</v>
      </c>
      <c r="L111" s="131">
        <v>11202</v>
      </c>
      <c r="M111" s="307">
        <v>42</v>
      </c>
      <c r="N111" s="131"/>
      <c r="O111" s="307"/>
      <c r="P111" s="131">
        <v>11202</v>
      </c>
      <c r="Q111" s="307">
        <v>42</v>
      </c>
    </row>
    <row r="112" spans="1:17" x14ac:dyDescent="0.2">
      <c r="A112" s="508" t="s">
        <v>4033</v>
      </c>
      <c r="B112" s="131">
        <v>23846</v>
      </c>
      <c r="C112" s="307">
        <v>38</v>
      </c>
      <c r="D112" s="131">
        <v>35889</v>
      </c>
      <c r="E112" s="307">
        <v>59</v>
      </c>
      <c r="F112" s="131">
        <v>37031</v>
      </c>
      <c r="G112" s="307">
        <v>27</v>
      </c>
      <c r="H112" s="131">
        <v>14945</v>
      </c>
      <c r="I112" s="307">
        <v>75</v>
      </c>
      <c r="J112" s="131">
        <v>111712</v>
      </c>
      <c r="K112" s="307">
        <v>94</v>
      </c>
      <c r="L112" s="131">
        <v>863</v>
      </c>
      <c r="M112" s="307">
        <v>17</v>
      </c>
      <c r="N112" s="131"/>
      <c r="O112" s="307"/>
      <c r="P112" s="131">
        <v>863</v>
      </c>
      <c r="Q112" s="307">
        <v>17</v>
      </c>
    </row>
    <row r="113" spans="1:17" x14ac:dyDescent="0.2">
      <c r="A113" s="508" t="s">
        <v>1519</v>
      </c>
      <c r="B113" s="131">
        <v>6257</v>
      </c>
      <c r="C113" s="307">
        <v>3</v>
      </c>
      <c r="D113" s="131">
        <v>9894</v>
      </c>
      <c r="E113" s="307">
        <v>35</v>
      </c>
      <c r="F113" s="131">
        <v>10587</v>
      </c>
      <c r="G113" s="307">
        <v>38</v>
      </c>
      <c r="H113" s="131">
        <v>697</v>
      </c>
      <c r="I113" s="307">
        <v>50</v>
      </c>
      <c r="J113" s="131">
        <v>27436</v>
      </c>
      <c r="K113" s="307">
        <v>26</v>
      </c>
      <c r="L113" s="131"/>
      <c r="M113" s="307"/>
      <c r="N113" s="131"/>
      <c r="O113" s="307"/>
      <c r="P113" s="131"/>
      <c r="Q113" s="307"/>
    </row>
    <row r="114" spans="1:17" x14ac:dyDescent="0.2">
      <c r="A114" s="508" t="s">
        <v>5759</v>
      </c>
      <c r="B114" s="131">
        <v>2590</v>
      </c>
      <c r="C114" s="307">
        <v>35</v>
      </c>
      <c r="D114" s="131">
        <v>1769</v>
      </c>
      <c r="E114" s="307"/>
      <c r="F114" s="131"/>
      <c r="G114" s="307"/>
      <c r="H114" s="131">
        <v>646</v>
      </c>
      <c r="I114" s="307"/>
      <c r="J114" s="131">
        <v>5006</v>
      </c>
      <c r="K114" s="307">
        <v>36</v>
      </c>
      <c r="L114" s="131"/>
      <c r="M114" s="307"/>
      <c r="N114" s="131"/>
      <c r="O114" s="307"/>
      <c r="P114" s="131"/>
      <c r="Q114" s="307"/>
    </row>
    <row r="115" spans="1:17" x14ac:dyDescent="0.2">
      <c r="A115" s="508" t="s">
        <v>4553</v>
      </c>
      <c r="B115" s="131">
        <v>1483</v>
      </c>
      <c r="C115" s="307">
        <v>77</v>
      </c>
      <c r="D115" s="131">
        <v>2580</v>
      </c>
      <c r="E115" s="307">
        <v>45</v>
      </c>
      <c r="F115" s="131"/>
      <c r="G115" s="307"/>
      <c r="H115" s="131">
        <v>333</v>
      </c>
      <c r="I115" s="307">
        <v>60</v>
      </c>
      <c r="J115" s="131">
        <v>4398</v>
      </c>
      <c r="K115" s="307">
        <v>23</v>
      </c>
      <c r="L115" s="131"/>
      <c r="M115" s="307"/>
      <c r="N115" s="131"/>
      <c r="O115" s="307"/>
      <c r="P115" s="131"/>
      <c r="Q115" s="307"/>
    </row>
    <row r="116" spans="1:17" x14ac:dyDescent="0.2">
      <c r="A116" s="508" t="s">
        <v>4828</v>
      </c>
      <c r="B116" s="131">
        <v>2128</v>
      </c>
      <c r="C116" s="307">
        <v>80</v>
      </c>
      <c r="D116" s="131">
        <v>1991</v>
      </c>
      <c r="E116" s="307">
        <v>95</v>
      </c>
      <c r="F116" s="131">
        <v>2249</v>
      </c>
      <c r="G116" s="307">
        <v>53</v>
      </c>
      <c r="H116" s="131">
        <v>1650</v>
      </c>
      <c r="I116" s="307">
        <v>13</v>
      </c>
      <c r="J116" s="131">
        <v>8020</v>
      </c>
      <c r="K116" s="307">
        <v>41</v>
      </c>
      <c r="L116" s="131">
        <v>107</v>
      </c>
      <c r="M116" s="307">
        <v>60</v>
      </c>
      <c r="N116" s="131"/>
      <c r="O116" s="307"/>
      <c r="P116" s="131">
        <v>107</v>
      </c>
      <c r="Q116" s="307">
        <v>60</v>
      </c>
    </row>
    <row r="117" spans="1:17" x14ac:dyDescent="0.2">
      <c r="A117" s="508" t="s">
        <v>5105</v>
      </c>
      <c r="B117" s="131">
        <v>3738</v>
      </c>
      <c r="C117" s="307">
        <v>95</v>
      </c>
      <c r="D117" s="131">
        <v>18077</v>
      </c>
      <c r="E117" s="307">
        <v>31</v>
      </c>
      <c r="F117" s="131">
        <v>8681</v>
      </c>
      <c r="G117" s="307">
        <v>86</v>
      </c>
      <c r="H117" s="131">
        <v>2974</v>
      </c>
      <c r="I117" s="307"/>
      <c r="J117" s="131">
        <v>33473</v>
      </c>
      <c r="K117" s="307">
        <v>12</v>
      </c>
      <c r="L117" s="131">
        <v>1195</v>
      </c>
      <c r="M117" s="307">
        <v>20</v>
      </c>
      <c r="N117" s="131"/>
      <c r="O117" s="307"/>
      <c r="P117" s="131">
        <v>1195</v>
      </c>
      <c r="Q117" s="307">
        <v>20</v>
      </c>
    </row>
    <row r="118" spans="1:17" x14ac:dyDescent="0.2">
      <c r="A118" s="508" t="s">
        <v>5834</v>
      </c>
      <c r="B118" s="131">
        <v>10896</v>
      </c>
      <c r="C118" s="307">
        <v>81</v>
      </c>
      <c r="D118" s="131">
        <v>11217</v>
      </c>
      <c r="E118" s="307">
        <v>17</v>
      </c>
      <c r="F118" s="131"/>
      <c r="G118" s="307"/>
      <c r="H118" s="131">
        <v>865</v>
      </c>
      <c r="I118" s="307">
        <v>6</v>
      </c>
      <c r="J118" s="131">
        <v>22765</v>
      </c>
      <c r="K118" s="307">
        <v>84</v>
      </c>
      <c r="L118" s="131">
        <v>954</v>
      </c>
      <c r="M118" s="307">
        <v>77</v>
      </c>
      <c r="N118" s="131"/>
      <c r="O118" s="307"/>
      <c r="P118" s="131">
        <v>954</v>
      </c>
      <c r="Q118" s="307">
        <v>77</v>
      </c>
    </row>
    <row r="119" spans="1:17" x14ac:dyDescent="0.2">
      <c r="A119" s="508" t="s">
        <v>1527</v>
      </c>
      <c r="B119" s="131">
        <v>7747</v>
      </c>
      <c r="C119" s="307">
        <v>77</v>
      </c>
      <c r="D119" s="131">
        <v>8383</v>
      </c>
      <c r="E119" s="307">
        <v>95</v>
      </c>
      <c r="F119" s="131">
        <v>10355</v>
      </c>
      <c r="G119" s="307">
        <v>8</v>
      </c>
      <c r="H119" s="131">
        <v>628</v>
      </c>
      <c r="I119" s="307">
        <v>25</v>
      </c>
      <c r="J119" s="131">
        <v>27115</v>
      </c>
      <c r="K119" s="307">
        <v>5</v>
      </c>
      <c r="L119" s="131">
        <v>285</v>
      </c>
      <c r="M119" s="307">
        <v>35</v>
      </c>
      <c r="N119" s="131"/>
      <c r="O119" s="307"/>
      <c r="P119" s="131">
        <v>285</v>
      </c>
      <c r="Q119" s="307">
        <v>35</v>
      </c>
    </row>
    <row r="120" spans="1:17" x14ac:dyDescent="0.2">
      <c r="A120" s="1689" t="s">
        <v>1341</v>
      </c>
      <c r="B120" s="240">
        <v>101815</v>
      </c>
      <c r="C120" s="513">
        <v>92</v>
      </c>
      <c r="D120" s="240">
        <v>125000</v>
      </c>
      <c r="E120" s="513">
        <v>56</v>
      </c>
      <c r="F120" s="240">
        <v>116129</v>
      </c>
      <c r="G120" s="513">
        <v>59</v>
      </c>
      <c r="H120" s="240">
        <v>26450</v>
      </c>
      <c r="I120" s="513">
        <v>34</v>
      </c>
      <c r="J120" s="240">
        <v>368185</v>
      </c>
      <c r="K120" s="513">
        <v>58</v>
      </c>
      <c r="L120" s="240">
        <v>14608</v>
      </c>
      <c r="M120" s="513">
        <v>51</v>
      </c>
      <c r="N120" s="240">
        <v>155</v>
      </c>
      <c r="O120" s="513">
        <v>95</v>
      </c>
      <c r="P120" s="240">
        <v>14764</v>
      </c>
      <c r="Q120" s="513">
        <v>46</v>
      </c>
    </row>
    <row r="121" spans="1:17" x14ac:dyDescent="0.2">
      <c r="B121" s="477">
        <f>SUM(B109:B119)</f>
        <v>101811</v>
      </c>
      <c r="C121" s="477">
        <f t="shared" ref="C121:Q121" si="2">SUM(C109:C119)</f>
        <v>592</v>
      </c>
      <c r="D121" s="321">
        <f t="shared" si="2"/>
        <v>124995</v>
      </c>
      <c r="E121" s="321">
        <f t="shared" si="2"/>
        <v>556</v>
      </c>
      <c r="F121" s="477">
        <f t="shared" si="2"/>
        <v>116090</v>
      </c>
      <c r="G121" s="477">
        <f t="shared" si="2"/>
        <v>359</v>
      </c>
      <c r="H121" s="477">
        <f t="shared" si="2"/>
        <v>26446</v>
      </c>
      <c r="I121" s="477">
        <f t="shared" si="2"/>
        <v>334</v>
      </c>
      <c r="J121" s="477">
        <f t="shared" si="2"/>
        <v>368178</v>
      </c>
      <c r="K121" s="477">
        <f t="shared" si="2"/>
        <v>458</v>
      </c>
      <c r="L121" s="321">
        <f t="shared" si="2"/>
        <v>14606</v>
      </c>
      <c r="M121" s="321">
        <f t="shared" si="2"/>
        <v>251</v>
      </c>
      <c r="N121" s="321">
        <f t="shared" si="2"/>
        <v>155</v>
      </c>
      <c r="O121" s="321">
        <f t="shared" si="2"/>
        <v>95</v>
      </c>
      <c r="P121" s="321">
        <f t="shared" si="2"/>
        <v>14761</v>
      </c>
      <c r="Q121" s="321">
        <f t="shared" si="2"/>
        <v>346</v>
      </c>
    </row>
    <row r="122" spans="1:17" x14ac:dyDescent="0.2">
      <c r="B122" s="107"/>
      <c r="C122" s="107"/>
      <c r="D122" s="107"/>
      <c r="E122" s="107"/>
      <c r="F122" s="107"/>
      <c r="G122" s="107"/>
      <c r="H122" s="107"/>
      <c r="I122" s="107"/>
      <c r="J122" s="107"/>
      <c r="K122" s="107"/>
      <c r="L122" s="107"/>
      <c r="M122" s="107"/>
      <c r="N122" s="107"/>
      <c r="O122" s="107"/>
      <c r="P122" s="107"/>
      <c r="Q122" s="107"/>
    </row>
    <row r="124" spans="1:17" x14ac:dyDescent="0.2">
      <c r="A124" s="113" t="s">
        <v>1272</v>
      </c>
    </row>
    <row r="125" spans="1:17" x14ac:dyDescent="0.2">
      <c r="A125" s="207" t="s">
        <v>2086</v>
      </c>
      <c r="B125" s="208"/>
      <c r="C125" s="208"/>
      <c r="D125" s="208"/>
      <c r="E125" s="208"/>
      <c r="F125" s="208"/>
      <c r="G125" s="209"/>
    </row>
    <row r="126" spans="1:17" ht="39" customHeight="1" x14ac:dyDescent="0.2">
      <c r="A126" s="1690" t="s">
        <v>3991</v>
      </c>
      <c r="B126" s="1691"/>
      <c r="C126" s="1691"/>
      <c r="D126" s="1691"/>
      <c r="E126" s="1691"/>
      <c r="F126" s="1691"/>
      <c r="G126" s="1692"/>
    </row>
    <row r="127" spans="1:17" ht="26" customHeight="1" x14ac:dyDescent="0.2">
      <c r="A127" s="1632" t="s">
        <v>5835</v>
      </c>
      <c r="B127" s="252" t="s">
        <v>5836</v>
      </c>
      <c r="C127" s="254"/>
      <c r="D127" s="252" t="s">
        <v>5837</v>
      </c>
      <c r="E127" s="254"/>
      <c r="F127" s="253" t="s">
        <v>1341</v>
      </c>
      <c r="G127" s="254"/>
    </row>
    <row r="128" spans="1:17" x14ac:dyDescent="0.2">
      <c r="A128" s="164" t="s">
        <v>5838</v>
      </c>
      <c r="B128" s="131">
        <v>5567</v>
      </c>
      <c r="C128" s="307">
        <v>51</v>
      </c>
      <c r="D128" s="131"/>
      <c r="E128" s="307"/>
      <c r="F128" s="131">
        <v>5567</v>
      </c>
      <c r="G128" s="307">
        <v>51</v>
      </c>
    </row>
    <row r="129" spans="1:7" x14ac:dyDescent="0.2">
      <c r="A129" s="164" t="s">
        <v>5839</v>
      </c>
      <c r="B129" s="131">
        <v>368</v>
      </c>
      <c r="C129" s="307">
        <v>34</v>
      </c>
      <c r="D129" s="131"/>
      <c r="E129" s="307"/>
      <c r="F129" s="131">
        <v>368</v>
      </c>
      <c r="G129" s="307">
        <v>34</v>
      </c>
    </row>
    <row r="130" spans="1:7" x14ac:dyDescent="0.2">
      <c r="A130" s="164" t="s">
        <v>5840</v>
      </c>
      <c r="B130" s="131">
        <v>86</v>
      </c>
      <c r="C130" s="307">
        <v>18</v>
      </c>
      <c r="D130" s="131"/>
      <c r="E130" s="307"/>
      <c r="F130" s="131">
        <v>86</v>
      </c>
      <c r="G130" s="307">
        <v>18</v>
      </c>
    </row>
    <row r="131" spans="1:7" x14ac:dyDescent="0.2">
      <c r="A131" s="219" t="s">
        <v>5841</v>
      </c>
      <c r="B131" s="131">
        <v>638</v>
      </c>
      <c r="C131" s="307">
        <v>49</v>
      </c>
      <c r="D131" s="131"/>
      <c r="E131" s="307"/>
      <c r="F131" s="131">
        <v>638</v>
      </c>
      <c r="G131" s="307">
        <v>49</v>
      </c>
    </row>
    <row r="132" spans="1:7" x14ac:dyDescent="0.2">
      <c r="A132" s="219" t="s">
        <v>5842</v>
      </c>
      <c r="B132" s="131">
        <v>262</v>
      </c>
      <c r="C132" s="307">
        <v>85</v>
      </c>
      <c r="D132" s="131"/>
      <c r="E132" s="307"/>
      <c r="F132" s="131">
        <v>262</v>
      </c>
      <c r="G132" s="307">
        <v>85</v>
      </c>
    </row>
    <row r="133" spans="1:7" x14ac:dyDescent="0.2">
      <c r="A133" s="219" t="s">
        <v>5843</v>
      </c>
      <c r="B133" s="131">
        <v>37</v>
      </c>
      <c r="C133" s="307">
        <v>20</v>
      </c>
      <c r="D133" s="131"/>
      <c r="E133" s="307"/>
      <c r="F133" s="131">
        <v>37</v>
      </c>
      <c r="G133" s="307">
        <v>20</v>
      </c>
    </row>
    <row r="134" spans="1:7" x14ac:dyDescent="0.2">
      <c r="A134" s="219" t="s">
        <v>5844</v>
      </c>
      <c r="B134" s="131">
        <v>370</v>
      </c>
      <c r="C134" s="307">
        <v>90</v>
      </c>
      <c r="D134" s="131"/>
      <c r="E134" s="307"/>
      <c r="F134" s="131">
        <v>370</v>
      </c>
      <c r="G134" s="307">
        <v>90</v>
      </c>
    </row>
    <row r="135" spans="1:7" x14ac:dyDescent="0.2">
      <c r="A135" s="219" t="s">
        <v>5845</v>
      </c>
      <c r="B135" s="131">
        <v>400</v>
      </c>
      <c r="C135" s="307">
        <v>15</v>
      </c>
      <c r="D135" s="131"/>
      <c r="E135" s="307"/>
      <c r="F135" s="131">
        <v>400</v>
      </c>
      <c r="G135" s="307">
        <v>15</v>
      </c>
    </row>
    <row r="136" spans="1:7" x14ac:dyDescent="0.2">
      <c r="A136" s="219" t="s">
        <v>5846</v>
      </c>
      <c r="B136" s="131">
        <v>27</v>
      </c>
      <c r="C136" s="307">
        <v>5</v>
      </c>
      <c r="D136" s="131"/>
      <c r="E136" s="307"/>
      <c r="F136" s="131">
        <v>27</v>
      </c>
      <c r="G136" s="307">
        <v>5</v>
      </c>
    </row>
    <row r="137" spans="1:7" x14ac:dyDescent="0.2">
      <c r="A137" s="219" t="s">
        <v>5847</v>
      </c>
      <c r="B137" s="131">
        <v>16535</v>
      </c>
      <c r="C137" s="307">
        <v>81</v>
      </c>
      <c r="D137" s="131"/>
      <c r="E137" s="307"/>
      <c r="F137" s="131">
        <v>16535</v>
      </c>
      <c r="G137" s="307">
        <v>81</v>
      </c>
    </row>
    <row r="138" spans="1:7" x14ac:dyDescent="0.2">
      <c r="A138" s="219" t="s">
        <v>5848</v>
      </c>
      <c r="B138" s="131">
        <v>458</v>
      </c>
      <c r="C138" s="307">
        <v>90</v>
      </c>
      <c r="D138" s="131"/>
      <c r="E138" s="307"/>
      <c r="F138" s="131">
        <v>458</v>
      </c>
      <c r="G138" s="307">
        <v>90</v>
      </c>
    </row>
    <row r="139" spans="1:7" x14ac:dyDescent="0.2">
      <c r="A139" s="229" t="s">
        <v>5849</v>
      </c>
      <c r="B139" s="131">
        <v>10781</v>
      </c>
      <c r="C139" s="307">
        <v>51</v>
      </c>
      <c r="D139" s="131"/>
      <c r="E139" s="307"/>
      <c r="F139" s="131">
        <v>10781</v>
      </c>
      <c r="G139" s="307">
        <v>51</v>
      </c>
    </row>
    <row r="140" spans="1:7" x14ac:dyDescent="0.2">
      <c r="A140" s="219" t="s">
        <v>5850</v>
      </c>
      <c r="B140" s="131">
        <v>2393</v>
      </c>
      <c r="C140" s="307">
        <v>14</v>
      </c>
      <c r="D140" s="131"/>
      <c r="E140" s="307"/>
      <c r="F140" s="131">
        <v>2393</v>
      </c>
      <c r="G140" s="307">
        <v>14</v>
      </c>
    </row>
    <row r="141" spans="1:7" x14ac:dyDescent="0.2">
      <c r="A141" s="219" t="s">
        <v>5851</v>
      </c>
      <c r="B141" s="131">
        <v>813</v>
      </c>
      <c r="C141" s="307">
        <v>98</v>
      </c>
      <c r="D141" s="131"/>
      <c r="E141" s="307"/>
      <c r="F141" s="131">
        <v>813</v>
      </c>
      <c r="G141" s="307">
        <v>98</v>
      </c>
    </row>
    <row r="142" spans="1:7" x14ac:dyDescent="0.2">
      <c r="A142" s="219" t="s">
        <v>5852</v>
      </c>
      <c r="B142" s="131">
        <v>569</v>
      </c>
      <c r="C142" s="307">
        <v>91</v>
      </c>
      <c r="D142" s="131"/>
      <c r="E142" s="307"/>
      <c r="F142" s="131">
        <v>569</v>
      </c>
      <c r="G142" s="307">
        <v>91</v>
      </c>
    </row>
    <row r="143" spans="1:7" x14ac:dyDescent="0.2">
      <c r="A143" s="219" t="s">
        <v>5180</v>
      </c>
      <c r="B143" s="131">
        <v>8119</v>
      </c>
      <c r="C143" s="307">
        <v>62</v>
      </c>
      <c r="D143" s="131">
        <v>1349</v>
      </c>
      <c r="E143" s="307">
        <v>79</v>
      </c>
      <c r="F143" s="145">
        <v>9469</v>
      </c>
      <c r="G143" s="307">
        <v>41</v>
      </c>
    </row>
    <row r="144" spans="1:7" x14ac:dyDescent="0.2">
      <c r="A144" s="219" t="s">
        <v>5853</v>
      </c>
      <c r="B144" s="131">
        <v>7579</v>
      </c>
      <c r="C144" s="307">
        <v>61</v>
      </c>
      <c r="D144" s="131">
        <v>1181</v>
      </c>
      <c r="E144" s="307">
        <v>53</v>
      </c>
      <c r="F144" s="145">
        <v>8761</v>
      </c>
      <c r="G144" s="307">
        <v>14</v>
      </c>
    </row>
    <row r="145" spans="1:232" x14ac:dyDescent="0.2">
      <c r="A145" s="219" t="s">
        <v>5854</v>
      </c>
      <c r="B145" s="131">
        <v>3563</v>
      </c>
      <c r="C145" s="307">
        <v>75</v>
      </c>
      <c r="D145" s="131">
        <v>2064</v>
      </c>
      <c r="E145" s="307">
        <v>73</v>
      </c>
      <c r="F145" s="145">
        <v>5628</v>
      </c>
      <c r="G145" s="307">
        <v>48</v>
      </c>
    </row>
    <row r="146" spans="1:232" x14ac:dyDescent="0.2">
      <c r="A146" s="219" t="s">
        <v>5855</v>
      </c>
      <c r="B146" s="131">
        <v>3933</v>
      </c>
      <c r="C146" s="307">
        <v>1</v>
      </c>
      <c r="D146" s="131">
        <v>273</v>
      </c>
      <c r="E146" s="307">
        <v>90</v>
      </c>
      <c r="F146" s="145">
        <v>4206</v>
      </c>
      <c r="G146" s="307">
        <v>91</v>
      </c>
    </row>
    <row r="147" spans="1:232" x14ac:dyDescent="0.2">
      <c r="A147" s="219" t="s">
        <v>5856</v>
      </c>
      <c r="B147" s="131">
        <v>14871</v>
      </c>
      <c r="C147" s="307">
        <v>76</v>
      </c>
      <c r="D147" s="131">
        <v>2377</v>
      </c>
      <c r="E147" s="307">
        <v>80</v>
      </c>
      <c r="F147" s="145">
        <v>17249</v>
      </c>
      <c r="G147" s="307">
        <v>56</v>
      </c>
    </row>
    <row r="148" spans="1:232" x14ac:dyDescent="0.2">
      <c r="A148" s="219" t="s">
        <v>5857</v>
      </c>
      <c r="B148" s="131">
        <v>6304</v>
      </c>
      <c r="C148" s="307">
        <v>55</v>
      </c>
      <c r="D148" s="131">
        <v>12832</v>
      </c>
      <c r="E148" s="307">
        <v>15</v>
      </c>
      <c r="F148" s="145">
        <v>19136</v>
      </c>
      <c r="G148" s="307">
        <v>70</v>
      </c>
    </row>
    <row r="149" spans="1:232" x14ac:dyDescent="0.2">
      <c r="A149" s="219" t="s">
        <v>5858</v>
      </c>
      <c r="B149" s="131">
        <v>503</v>
      </c>
      <c r="C149" s="307">
        <v>46</v>
      </c>
      <c r="D149" s="131"/>
      <c r="E149" s="307"/>
      <c r="F149" s="145">
        <v>503</v>
      </c>
      <c r="G149" s="307">
        <v>46</v>
      </c>
    </row>
    <row r="150" spans="1:232" x14ac:dyDescent="0.2">
      <c r="A150" s="219" t="s">
        <v>5859</v>
      </c>
      <c r="B150" s="131">
        <v>7379</v>
      </c>
      <c r="C150" s="307">
        <v>49</v>
      </c>
      <c r="D150" s="131"/>
      <c r="E150" s="307"/>
      <c r="F150" s="145">
        <v>7379</v>
      </c>
      <c r="G150" s="307">
        <v>49</v>
      </c>
    </row>
    <row r="151" spans="1:232" x14ac:dyDescent="0.2">
      <c r="A151" s="219" t="s">
        <v>5860</v>
      </c>
      <c r="B151" s="131">
        <v>17154</v>
      </c>
      <c r="C151" s="307">
        <v>31</v>
      </c>
      <c r="D151" s="131">
        <v>1300</v>
      </c>
      <c r="E151" s="307">
        <v>72</v>
      </c>
      <c r="F151" s="145">
        <v>18455</v>
      </c>
      <c r="G151" s="307">
        <v>3</v>
      </c>
    </row>
    <row r="152" spans="1:232" x14ac:dyDescent="0.2">
      <c r="A152" s="219" t="s">
        <v>5861</v>
      </c>
      <c r="B152" s="131">
        <v>4748</v>
      </c>
      <c r="C152" s="307">
        <v>83</v>
      </c>
      <c r="D152" s="131">
        <v>2949</v>
      </c>
      <c r="E152" s="307">
        <v>40</v>
      </c>
      <c r="F152" s="145">
        <v>7698</v>
      </c>
      <c r="G152" s="307">
        <v>23</v>
      </c>
    </row>
    <row r="153" spans="1:232" x14ac:dyDescent="0.2">
      <c r="A153" s="219" t="s">
        <v>5862</v>
      </c>
      <c r="B153" s="131">
        <v>33</v>
      </c>
      <c r="C153" s="307">
        <v>55</v>
      </c>
      <c r="D153" s="131"/>
      <c r="E153" s="307"/>
      <c r="F153" s="145">
        <v>33</v>
      </c>
      <c r="G153" s="307">
        <v>55</v>
      </c>
    </row>
    <row r="154" spans="1:232" x14ac:dyDescent="0.2">
      <c r="A154" s="219" t="s">
        <v>5863</v>
      </c>
      <c r="B154" s="131">
        <v>30</v>
      </c>
      <c r="C154" s="307">
        <v>17</v>
      </c>
      <c r="D154" s="131"/>
      <c r="E154" s="307"/>
      <c r="F154" s="145">
        <v>30</v>
      </c>
      <c r="G154" s="307">
        <v>17</v>
      </c>
    </row>
    <row r="155" spans="1:232" x14ac:dyDescent="0.2">
      <c r="A155" s="219" t="s">
        <v>5864</v>
      </c>
      <c r="B155" s="131">
        <v>13</v>
      </c>
      <c r="C155" s="307">
        <v>60</v>
      </c>
      <c r="D155" s="131"/>
      <c r="E155" s="307"/>
      <c r="F155" s="145">
        <v>13</v>
      </c>
      <c r="G155" s="307">
        <v>60</v>
      </c>
    </row>
    <row r="156" spans="1:232" x14ac:dyDescent="0.2">
      <c r="A156" s="219" t="s">
        <v>5865</v>
      </c>
      <c r="B156" s="131">
        <v>22</v>
      </c>
      <c r="C156" s="307">
        <v>44</v>
      </c>
      <c r="D156" s="131"/>
      <c r="E156" s="307"/>
      <c r="F156" s="145">
        <v>22</v>
      </c>
      <c r="G156" s="307">
        <v>44</v>
      </c>
    </row>
    <row r="157" spans="1:232" x14ac:dyDescent="0.2">
      <c r="A157" s="1693"/>
      <c r="B157" s="131">
        <v>4998</v>
      </c>
      <c r="C157" s="307">
        <v>25</v>
      </c>
      <c r="D157" s="131"/>
      <c r="E157" s="307"/>
      <c r="F157" s="145">
        <v>4998</v>
      </c>
      <c r="G157" s="307">
        <v>25</v>
      </c>
    </row>
    <row r="158" spans="1:232" x14ac:dyDescent="0.2">
      <c r="A158" s="1693"/>
      <c r="B158" s="140">
        <v>29386</v>
      </c>
      <c r="C158" s="395">
        <v>95</v>
      </c>
      <c r="D158" s="140"/>
      <c r="E158" s="395"/>
      <c r="F158" s="141">
        <v>29386</v>
      </c>
      <c r="G158" s="395">
        <v>95</v>
      </c>
      <c r="H158" s="143"/>
      <c r="I158" s="143"/>
      <c r="J158" s="143"/>
      <c r="K158" s="143"/>
      <c r="L158" s="143"/>
      <c r="M158" s="143"/>
      <c r="N158" s="143"/>
      <c r="O158" s="143"/>
      <c r="P158" s="143"/>
      <c r="Q158" s="143"/>
      <c r="R158" s="143"/>
      <c r="S158" s="143"/>
      <c r="T158" s="143"/>
      <c r="U158" s="143"/>
      <c r="V158" s="143"/>
      <c r="W158" s="143"/>
      <c r="X158" s="143"/>
      <c r="Y158" s="143"/>
      <c r="Z158" s="143"/>
      <c r="AA158" s="143"/>
      <c r="AB158" s="143"/>
      <c r="AC158" s="143"/>
      <c r="AD158" s="143"/>
      <c r="AE158" s="143"/>
      <c r="AF158" s="143"/>
      <c r="AG158" s="143"/>
      <c r="AH158" s="143"/>
      <c r="AI158" s="143"/>
      <c r="AJ158" s="143"/>
      <c r="AK158" s="143"/>
      <c r="AL158" s="143"/>
      <c r="AM158" s="143"/>
      <c r="AN158" s="143"/>
      <c r="AO158" s="143"/>
      <c r="AP158" s="143"/>
      <c r="AQ158" s="143"/>
      <c r="AR158" s="143"/>
      <c r="AS158" s="143"/>
      <c r="AT158" s="143"/>
      <c r="AU158" s="143"/>
      <c r="AV158" s="143"/>
      <c r="AW158" s="143"/>
      <c r="AX158" s="143"/>
      <c r="AY158" s="143"/>
      <c r="AZ158" s="143"/>
      <c r="BA158" s="143"/>
      <c r="BB158" s="143"/>
      <c r="BC158" s="143"/>
      <c r="BD158" s="143"/>
      <c r="BE158" s="143"/>
      <c r="BF158" s="143"/>
      <c r="BG158" s="143"/>
      <c r="BH158" s="143"/>
      <c r="BI158" s="143"/>
      <c r="BJ158" s="143"/>
      <c r="BK158" s="143"/>
      <c r="BL158" s="143"/>
      <c r="BM158" s="143"/>
      <c r="BN158" s="143"/>
      <c r="BO158" s="143"/>
      <c r="BP158" s="143"/>
      <c r="BQ158" s="143"/>
      <c r="BR158" s="143"/>
      <c r="BS158" s="143"/>
      <c r="BT158" s="143"/>
      <c r="BU158" s="143"/>
      <c r="BV158" s="143"/>
      <c r="BW158" s="143"/>
      <c r="BX158" s="143"/>
      <c r="BY158" s="143"/>
      <c r="BZ158" s="143"/>
      <c r="CA158" s="143"/>
      <c r="CB158" s="143"/>
      <c r="CC158" s="143"/>
      <c r="CD158" s="143"/>
      <c r="CE158" s="143"/>
      <c r="CF158" s="143"/>
      <c r="CG158" s="143"/>
      <c r="CH158" s="143"/>
      <c r="CI158" s="143"/>
      <c r="CJ158" s="143"/>
      <c r="CK158" s="143"/>
      <c r="CL158" s="143"/>
      <c r="CM158" s="143"/>
      <c r="CN158" s="143"/>
      <c r="CO158" s="143"/>
      <c r="CP158" s="143"/>
      <c r="CQ158" s="143"/>
      <c r="CR158" s="143"/>
      <c r="CS158" s="143"/>
      <c r="CT158" s="143"/>
      <c r="CU158" s="143"/>
      <c r="CV158" s="143"/>
      <c r="CW158" s="143"/>
      <c r="CX158" s="143"/>
      <c r="CY158" s="143"/>
      <c r="CZ158" s="143"/>
      <c r="DA158" s="143"/>
      <c r="DB158" s="143"/>
      <c r="DC158" s="143"/>
      <c r="DD158" s="143"/>
      <c r="DE158" s="143"/>
      <c r="DF158" s="143"/>
      <c r="DG158" s="143"/>
      <c r="DH158" s="143"/>
      <c r="DI158" s="143"/>
      <c r="DJ158" s="143"/>
      <c r="DK158" s="143"/>
      <c r="DL158" s="143"/>
      <c r="DM158" s="143"/>
      <c r="DN158" s="143"/>
      <c r="DO158" s="143"/>
      <c r="DP158" s="143"/>
      <c r="DQ158" s="143"/>
      <c r="DR158" s="143"/>
      <c r="DS158" s="143"/>
      <c r="DT158" s="143"/>
      <c r="DU158" s="143"/>
      <c r="DV158" s="143"/>
      <c r="DW158" s="143"/>
      <c r="DX158" s="143"/>
      <c r="DY158" s="143"/>
      <c r="DZ158" s="143"/>
      <c r="EA158" s="143"/>
      <c r="EB158" s="143"/>
      <c r="EC158" s="143"/>
      <c r="ED158" s="143"/>
      <c r="EE158" s="143"/>
      <c r="EF158" s="143"/>
      <c r="EG158" s="143"/>
      <c r="EH158" s="143"/>
      <c r="EI158" s="143"/>
      <c r="EJ158" s="143"/>
      <c r="EK158" s="143"/>
      <c r="EL158" s="143"/>
      <c r="EM158" s="143"/>
      <c r="EN158" s="143"/>
      <c r="EO158" s="143"/>
      <c r="EP158" s="143"/>
      <c r="EQ158" s="143"/>
      <c r="ER158" s="143"/>
      <c r="ES158" s="143"/>
      <c r="ET158" s="143"/>
      <c r="EU158" s="143"/>
      <c r="EV158" s="143"/>
      <c r="EW158" s="143"/>
      <c r="EX158" s="143"/>
      <c r="EY158" s="143"/>
      <c r="EZ158" s="143"/>
      <c r="FA158" s="143"/>
      <c r="FB158" s="143"/>
      <c r="FC158" s="143"/>
      <c r="FD158" s="143"/>
      <c r="FE158" s="143"/>
      <c r="FF158" s="143"/>
      <c r="FG158" s="143"/>
      <c r="FH158" s="143"/>
      <c r="FI158" s="143"/>
      <c r="FJ158" s="143"/>
      <c r="FK158" s="143"/>
      <c r="FL158" s="143"/>
      <c r="FM158" s="143"/>
      <c r="FN158" s="143"/>
      <c r="FO158" s="143"/>
      <c r="FP158" s="143"/>
      <c r="FQ158" s="143"/>
      <c r="FR158" s="143"/>
      <c r="FS158" s="143"/>
      <c r="FT158" s="143"/>
      <c r="FU158" s="143"/>
      <c r="FV158" s="143"/>
      <c r="FW158" s="143"/>
      <c r="FX158" s="143"/>
      <c r="FY158" s="143"/>
      <c r="FZ158" s="143"/>
      <c r="GA158" s="143"/>
      <c r="GB158" s="143"/>
      <c r="GC158" s="143"/>
      <c r="GD158" s="143"/>
      <c r="GE158" s="143"/>
      <c r="GF158" s="143"/>
      <c r="GG158" s="143"/>
      <c r="GH158" s="143"/>
      <c r="GI158" s="143"/>
      <c r="GJ158" s="143"/>
      <c r="GK158" s="143"/>
      <c r="GL158" s="143"/>
      <c r="GM158" s="143"/>
      <c r="GN158" s="143"/>
      <c r="GO158" s="143"/>
      <c r="GP158" s="143"/>
      <c r="GQ158" s="143"/>
      <c r="GR158" s="143"/>
      <c r="GS158" s="143"/>
      <c r="GT158" s="143"/>
      <c r="GU158" s="143"/>
      <c r="GV158" s="143"/>
      <c r="GW158" s="143"/>
      <c r="GX158" s="143"/>
      <c r="GY158" s="143"/>
      <c r="GZ158" s="143"/>
      <c r="HA158" s="143"/>
      <c r="HB158" s="143"/>
      <c r="HC158" s="143"/>
      <c r="HD158" s="143"/>
      <c r="HE158" s="143"/>
      <c r="HF158" s="143"/>
      <c r="HG158" s="143"/>
      <c r="HH158" s="143"/>
      <c r="HI158" s="143"/>
      <c r="HJ158" s="143"/>
      <c r="HK158" s="143"/>
      <c r="HL158" s="143"/>
      <c r="HM158" s="143"/>
      <c r="HN158" s="143"/>
      <c r="HO158" s="143"/>
      <c r="HP158" s="143"/>
      <c r="HQ158" s="143"/>
      <c r="HR158" s="143"/>
      <c r="HS158" s="143"/>
      <c r="HT158" s="143"/>
      <c r="HU158" s="143"/>
      <c r="HV158" s="143"/>
      <c r="HW158" s="143"/>
      <c r="HX158" s="143"/>
    </row>
    <row r="159" spans="1:232" x14ac:dyDescent="0.2">
      <c r="A159" s="1693"/>
      <c r="B159" s="140">
        <v>753</v>
      </c>
      <c r="C159" s="395">
        <v>20</v>
      </c>
      <c r="D159" s="140">
        <v>1100</v>
      </c>
      <c r="E159" s="395">
        <v>39</v>
      </c>
      <c r="F159" s="141">
        <v>1853</v>
      </c>
      <c r="G159" s="395">
        <v>59</v>
      </c>
      <c r="H159" s="143"/>
      <c r="I159" s="143"/>
      <c r="J159" s="143"/>
      <c r="K159" s="143"/>
      <c r="L159" s="143"/>
      <c r="M159" s="143"/>
      <c r="N159" s="143"/>
      <c r="O159" s="143"/>
      <c r="P159" s="143"/>
      <c r="Q159" s="143"/>
      <c r="R159" s="143"/>
      <c r="S159" s="143"/>
      <c r="T159" s="143"/>
      <c r="U159" s="143"/>
      <c r="V159" s="143"/>
      <c r="W159" s="143"/>
      <c r="X159" s="143"/>
      <c r="Y159" s="143"/>
      <c r="Z159" s="143"/>
      <c r="AA159" s="143"/>
      <c r="AB159" s="143"/>
      <c r="AC159" s="143"/>
      <c r="AD159" s="143"/>
      <c r="AE159" s="143"/>
      <c r="AF159" s="143"/>
      <c r="AG159" s="143"/>
      <c r="AH159" s="143"/>
      <c r="AI159" s="143"/>
      <c r="AJ159" s="143"/>
      <c r="AK159" s="143"/>
      <c r="AL159" s="143"/>
      <c r="AM159" s="143"/>
      <c r="AN159" s="143"/>
      <c r="AO159" s="143"/>
      <c r="AP159" s="143"/>
      <c r="AQ159" s="143"/>
      <c r="AR159" s="143"/>
      <c r="AS159" s="143"/>
      <c r="AT159" s="143"/>
      <c r="AU159" s="143"/>
      <c r="AV159" s="143"/>
      <c r="AW159" s="143"/>
      <c r="AX159" s="143"/>
      <c r="AY159" s="143"/>
      <c r="AZ159" s="143"/>
      <c r="BA159" s="143"/>
      <c r="BB159" s="143"/>
      <c r="BC159" s="143"/>
      <c r="BD159" s="143"/>
      <c r="BE159" s="143"/>
      <c r="BF159" s="143"/>
      <c r="BG159" s="143"/>
      <c r="BH159" s="143"/>
      <c r="BI159" s="143"/>
      <c r="BJ159" s="143"/>
      <c r="BK159" s="143"/>
      <c r="BL159" s="143"/>
      <c r="BM159" s="143"/>
      <c r="BN159" s="143"/>
      <c r="BO159" s="143"/>
      <c r="BP159" s="143"/>
      <c r="BQ159" s="143"/>
      <c r="BR159" s="143"/>
      <c r="BS159" s="143"/>
      <c r="BT159" s="143"/>
      <c r="BU159" s="143"/>
      <c r="BV159" s="143"/>
      <c r="BW159" s="143"/>
      <c r="BX159" s="143"/>
      <c r="BY159" s="143"/>
      <c r="BZ159" s="143"/>
      <c r="CA159" s="143"/>
      <c r="CB159" s="143"/>
      <c r="CC159" s="143"/>
      <c r="CD159" s="143"/>
      <c r="CE159" s="143"/>
      <c r="CF159" s="143"/>
      <c r="CG159" s="143"/>
      <c r="CH159" s="143"/>
      <c r="CI159" s="143"/>
      <c r="CJ159" s="143"/>
      <c r="CK159" s="143"/>
      <c r="CL159" s="143"/>
      <c r="CM159" s="143"/>
      <c r="CN159" s="143"/>
      <c r="CO159" s="143"/>
      <c r="CP159" s="143"/>
      <c r="CQ159" s="143"/>
      <c r="CR159" s="143"/>
      <c r="CS159" s="143"/>
      <c r="CT159" s="143"/>
      <c r="CU159" s="143"/>
      <c r="CV159" s="143"/>
      <c r="CW159" s="143"/>
      <c r="CX159" s="143"/>
      <c r="CY159" s="143"/>
      <c r="CZ159" s="143"/>
      <c r="DA159" s="143"/>
      <c r="DB159" s="143"/>
      <c r="DC159" s="143"/>
      <c r="DD159" s="143"/>
      <c r="DE159" s="143"/>
      <c r="DF159" s="143"/>
      <c r="DG159" s="143"/>
      <c r="DH159" s="143"/>
      <c r="DI159" s="143"/>
      <c r="DJ159" s="143"/>
      <c r="DK159" s="143"/>
      <c r="DL159" s="143"/>
      <c r="DM159" s="143"/>
      <c r="DN159" s="143"/>
      <c r="DO159" s="143"/>
      <c r="DP159" s="143"/>
      <c r="DQ159" s="143"/>
      <c r="DR159" s="143"/>
      <c r="DS159" s="143"/>
      <c r="DT159" s="143"/>
      <c r="DU159" s="143"/>
      <c r="DV159" s="143"/>
      <c r="DW159" s="143"/>
      <c r="DX159" s="143"/>
      <c r="DY159" s="143"/>
      <c r="DZ159" s="143"/>
      <c r="EA159" s="143"/>
      <c r="EB159" s="143"/>
      <c r="EC159" s="143"/>
      <c r="ED159" s="143"/>
      <c r="EE159" s="143"/>
      <c r="EF159" s="143"/>
      <c r="EG159" s="143"/>
      <c r="EH159" s="143"/>
      <c r="EI159" s="143"/>
      <c r="EJ159" s="143"/>
      <c r="EK159" s="143"/>
      <c r="EL159" s="143"/>
      <c r="EM159" s="143"/>
      <c r="EN159" s="143"/>
      <c r="EO159" s="143"/>
      <c r="EP159" s="143"/>
      <c r="EQ159" s="143"/>
      <c r="ER159" s="143"/>
      <c r="ES159" s="143"/>
      <c r="ET159" s="143"/>
      <c r="EU159" s="143"/>
      <c r="EV159" s="143"/>
      <c r="EW159" s="143"/>
      <c r="EX159" s="143"/>
      <c r="EY159" s="143"/>
      <c r="EZ159" s="143"/>
      <c r="FA159" s="143"/>
      <c r="FB159" s="143"/>
      <c r="FC159" s="143"/>
      <c r="FD159" s="143"/>
      <c r="FE159" s="143"/>
      <c r="FF159" s="143"/>
      <c r="FG159" s="143"/>
      <c r="FH159" s="143"/>
      <c r="FI159" s="143"/>
      <c r="FJ159" s="143"/>
      <c r="FK159" s="143"/>
      <c r="FL159" s="143"/>
      <c r="FM159" s="143"/>
      <c r="FN159" s="143"/>
      <c r="FO159" s="143"/>
      <c r="FP159" s="143"/>
      <c r="FQ159" s="143"/>
      <c r="FR159" s="143"/>
      <c r="FS159" s="143"/>
      <c r="FT159" s="143"/>
      <c r="FU159" s="143"/>
      <c r="FV159" s="143"/>
      <c r="FW159" s="143"/>
      <c r="FX159" s="143"/>
      <c r="FY159" s="143"/>
      <c r="FZ159" s="143"/>
      <c r="GA159" s="143"/>
      <c r="GB159" s="143"/>
      <c r="GC159" s="143"/>
      <c r="GD159" s="143"/>
      <c r="GE159" s="143"/>
      <c r="GF159" s="143"/>
      <c r="GG159" s="143"/>
      <c r="GH159" s="143"/>
      <c r="GI159" s="143"/>
      <c r="GJ159" s="143"/>
      <c r="GK159" s="143"/>
      <c r="GL159" s="143"/>
      <c r="GM159" s="143"/>
      <c r="GN159" s="143"/>
      <c r="GO159" s="143"/>
      <c r="GP159" s="143"/>
      <c r="GQ159" s="143"/>
      <c r="GR159" s="143"/>
      <c r="GS159" s="143"/>
      <c r="GT159" s="143"/>
      <c r="GU159" s="143"/>
      <c r="GV159" s="143"/>
      <c r="GW159" s="143"/>
      <c r="GX159" s="143"/>
      <c r="GY159" s="143"/>
      <c r="GZ159" s="143"/>
      <c r="HA159" s="143"/>
      <c r="HB159" s="143"/>
      <c r="HC159" s="143"/>
      <c r="HD159" s="143"/>
      <c r="HE159" s="143"/>
      <c r="HF159" s="143"/>
      <c r="HG159" s="143"/>
      <c r="HH159" s="143"/>
      <c r="HI159" s="143"/>
      <c r="HJ159" s="143"/>
      <c r="HK159" s="143"/>
      <c r="HL159" s="143"/>
      <c r="HM159" s="143"/>
      <c r="HN159" s="143"/>
      <c r="HO159" s="143"/>
      <c r="HP159" s="143"/>
      <c r="HQ159" s="143"/>
      <c r="HR159" s="143"/>
      <c r="HS159" s="143"/>
      <c r="HT159" s="143"/>
      <c r="HU159" s="143"/>
      <c r="HV159" s="143"/>
      <c r="HW159" s="143"/>
      <c r="HX159" s="143"/>
    </row>
    <row r="160" spans="1:232" x14ac:dyDescent="0.2">
      <c r="A160" s="1693"/>
      <c r="B160" s="131">
        <v>124</v>
      </c>
      <c r="C160" s="307">
        <v>49</v>
      </c>
      <c r="D160" s="131"/>
      <c r="E160" s="307"/>
      <c r="F160" s="145">
        <v>124</v>
      </c>
      <c r="G160" s="307">
        <v>49</v>
      </c>
    </row>
    <row r="161" spans="1:232" x14ac:dyDescent="0.2">
      <c r="A161" s="1693"/>
      <c r="B161" s="140">
        <v>132</v>
      </c>
      <c r="C161" s="395">
        <v>48</v>
      </c>
      <c r="D161" s="140"/>
      <c r="E161" s="395"/>
      <c r="F161" s="141">
        <v>132</v>
      </c>
      <c r="G161" s="395">
        <v>48</v>
      </c>
      <c r="H161" s="143"/>
      <c r="I161" s="143"/>
      <c r="J161" s="143"/>
      <c r="K161" s="143"/>
      <c r="L161" s="143"/>
      <c r="M161" s="143"/>
      <c r="N161" s="143"/>
      <c r="O161" s="143"/>
      <c r="P161" s="143"/>
      <c r="Q161" s="143"/>
      <c r="R161" s="143"/>
      <c r="S161" s="143"/>
      <c r="T161" s="143"/>
      <c r="U161" s="143"/>
      <c r="V161" s="143"/>
      <c r="W161" s="143"/>
      <c r="X161" s="143"/>
      <c r="Y161" s="143"/>
      <c r="Z161" s="143"/>
      <c r="AA161" s="143"/>
      <c r="AB161" s="143"/>
      <c r="AC161" s="143"/>
      <c r="AD161" s="143"/>
      <c r="AE161" s="143"/>
      <c r="AF161" s="143"/>
      <c r="AG161" s="143"/>
      <c r="AH161" s="143"/>
      <c r="AI161" s="143"/>
      <c r="AJ161" s="143"/>
      <c r="AK161" s="143"/>
      <c r="AL161" s="143"/>
      <c r="AM161" s="143"/>
      <c r="AN161" s="143"/>
      <c r="AO161" s="143"/>
      <c r="AP161" s="143"/>
      <c r="AQ161" s="143"/>
      <c r="AR161" s="143"/>
      <c r="AS161" s="143"/>
      <c r="AT161" s="143"/>
      <c r="AU161" s="143"/>
      <c r="AV161" s="143"/>
      <c r="AW161" s="143"/>
      <c r="AX161" s="143"/>
      <c r="AY161" s="143"/>
      <c r="AZ161" s="143"/>
      <c r="BA161" s="143"/>
      <c r="BB161" s="143"/>
      <c r="BC161" s="143"/>
      <c r="BD161" s="143"/>
      <c r="BE161" s="143"/>
      <c r="BF161" s="143"/>
      <c r="BG161" s="143"/>
      <c r="BH161" s="143"/>
      <c r="BI161" s="143"/>
      <c r="BJ161" s="143"/>
      <c r="BK161" s="143"/>
      <c r="BL161" s="143"/>
      <c r="BM161" s="143"/>
      <c r="BN161" s="143"/>
      <c r="BO161" s="143"/>
      <c r="BP161" s="143"/>
      <c r="BQ161" s="143"/>
      <c r="BR161" s="143"/>
      <c r="BS161" s="143"/>
      <c r="BT161" s="143"/>
      <c r="BU161" s="143"/>
      <c r="BV161" s="143"/>
      <c r="BW161" s="143"/>
      <c r="BX161" s="143"/>
      <c r="BY161" s="143"/>
      <c r="BZ161" s="143"/>
      <c r="CA161" s="143"/>
      <c r="CB161" s="143"/>
      <c r="CC161" s="143"/>
      <c r="CD161" s="143"/>
      <c r="CE161" s="143"/>
      <c r="CF161" s="143"/>
      <c r="CG161" s="143"/>
      <c r="CH161" s="143"/>
      <c r="CI161" s="143"/>
      <c r="CJ161" s="143"/>
      <c r="CK161" s="143"/>
      <c r="CL161" s="143"/>
      <c r="CM161" s="143"/>
      <c r="CN161" s="143"/>
      <c r="CO161" s="143"/>
      <c r="CP161" s="143"/>
      <c r="CQ161" s="143"/>
      <c r="CR161" s="143"/>
      <c r="CS161" s="143"/>
      <c r="CT161" s="143"/>
      <c r="CU161" s="143"/>
      <c r="CV161" s="143"/>
      <c r="CW161" s="143"/>
      <c r="CX161" s="143"/>
      <c r="CY161" s="143"/>
      <c r="CZ161" s="143"/>
      <c r="DA161" s="143"/>
      <c r="DB161" s="143"/>
      <c r="DC161" s="143"/>
      <c r="DD161" s="143"/>
      <c r="DE161" s="143"/>
      <c r="DF161" s="143"/>
      <c r="DG161" s="143"/>
      <c r="DH161" s="143"/>
      <c r="DI161" s="143"/>
      <c r="DJ161" s="143"/>
      <c r="DK161" s="143"/>
      <c r="DL161" s="143"/>
      <c r="DM161" s="143"/>
      <c r="DN161" s="143"/>
      <c r="DO161" s="143"/>
      <c r="DP161" s="143"/>
      <c r="DQ161" s="143"/>
      <c r="DR161" s="143"/>
      <c r="DS161" s="143"/>
      <c r="DT161" s="143"/>
      <c r="DU161" s="143"/>
      <c r="DV161" s="143"/>
      <c r="DW161" s="143"/>
      <c r="DX161" s="143"/>
      <c r="DY161" s="143"/>
      <c r="DZ161" s="143"/>
      <c r="EA161" s="143"/>
      <c r="EB161" s="143"/>
      <c r="EC161" s="143"/>
      <c r="ED161" s="143"/>
      <c r="EE161" s="143"/>
      <c r="EF161" s="143"/>
      <c r="EG161" s="143"/>
      <c r="EH161" s="143"/>
      <c r="EI161" s="143"/>
      <c r="EJ161" s="143"/>
      <c r="EK161" s="143"/>
      <c r="EL161" s="143"/>
      <c r="EM161" s="143"/>
      <c r="EN161" s="143"/>
      <c r="EO161" s="143"/>
      <c r="EP161" s="143"/>
      <c r="EQ161" s="143"/>
      <c r="ER161" s="143"/>
      <c r="ES161" s="143"/>
      <c r="ET161" s="143"/>
      <c r="EU161" s="143"/>
      <c r="EV161" s="143"/>
      <c r="EW161" s="143"/>
      <c r="EX161" s="143"/>
      <c r="EY161" s="143"/>
      <c r="EZ161" s="143"/>
      <c r="FA161" s="143"/>
      <c r="FB161" s="143"/>
      <c r="FC161" s="143"/>
      <c r="FD161" s="143"/>
      <c r="FE161" s="143"/>
      <c r="FF161" s="143"/>
      <c r="FG161" s="143"/>
      <c r="FH161" s="143"/>
      <c r="FI161" s="143"/>
      <c r="FJ161" s="143"/>
      <c r="FK161" s="143"/>
      <c r="FL161" s="143"/>
      <c r="FM161" s="143"/>
      <c r="FN161" s="143"/>
      <c r="FO161" s="143"/>
      <c r="FP161" s="143"/>
      <c r="FQ161" s="143"/>
      <c r="FR161" s="143"/>
      <c r="FS161" s="143"/>
      <c r="FT161" s="143"/>
      <c r="FU161" s="143"/>
      <c r="FV161" s="143"/>
      <c r="FW161" s="143"/>
      <c r="FX161" s="143"/>
      <c r="FY161" s="143"/>
      <c r="FZ161" s="143"/>
      <c r="GA161" s="143"/>
      <c r="GB161" s="143"/>
      <c r="GC161" s="143"/>
      <c r="GD161" s="143"/>
      <c r="GE161" s="143"/>
      <c r="GF161" s="143"/>
      <c r="GG161" s="143"/>
      <c r="GH161" s="143"/>
      <c r="GI161" s="143"/>
      <c r="GJ161" s="143"/>
      <c r="GK161" s="143"/>
      <c r="GL161" s="143"/>
      <c r="GM161" s="143"/>
      <c r="GN161" s="143"/>
      <c r="GO161" s="143"/>
      <c r="GP161" s="143"/>
      <c r="GQ161" s="143"/>
      <c r="GR161" s="143"/>
      <c r="GS161" s="143"/>
      <c r="GT161" s="143"/>
      <c r="GU161" s="143"/>
      <c r="GV161" s="143"/>
      <c r="GW161" s="143"/>
      <c r="GX161" s="143"/>
      <c r="GY161" s="143"/>
      <c r="GZ161" s="143"/>
      <c r="HA161" s="143"/>
      <c r="HB161" s="143"/>
      <c r="HC161" s="143"/>
      <c r="HD161" s="143"/>
      <c r="HE161" s="143"/>
      <c r="HF161" s="143"/>
      <c r="HG161" s="143"/>
      <c r="HH161" s="143"/>
      <c r="HI161" s="143"/>
      <c r="HJ161" s="143"/>
      <c r="HK161" s="143"/>
      <c r="HL161" s="143"/>
      <c r="HM161" s="143"/>
      <c r="HN161" s="143"/>
      <c r="HO161" s="143"/>
      <c r="HP161" s="143"/>
      <c r="HQ161" s="143"/>
      <c r="HR161" s="143"/>
      <c r="HS161" s="143"/>
      <c r="HT161" s="143"/>
      <c r="HU161" s="143"/>
      <c r="HV161" s="143"/>
      <c r="HW161" s="143"/>
      <c r="HX161" s="143"/>
    </row>
    <row r="162" spans="1:232" x14ac:dyDescent="0.2">
      <c r="A162" s="1693"/>
      <c r="B162" s="131">
        <v>367</v>
      </c>
      <c r="C162" s="307">
        <v>49</v>
      </c>
      <c r="D162" s="131"/>
      <c r="E162" s="307"/>
      <c r="F162" s="145">
        <v>367</v>
      </c>
      <c r="G162" s="307">
        <v>49</v>
      </c>
    </row>
    <row r="163" spans="1:232" ht="16" thickBot="1" x14ac:dyDescent="0.25">
      <c r="A163" s="1693" t="s">
        <v>5805</v>
      </c>
      <c r="B163" s="1694">
        <v>154427</v>
      </c>
      <c r="C163" s="1695">
        <v>87</v>
      </c>
      <c r="D163" s="292">
        <v>27482</v>
      </c>
      <c r="E163" s="1696">
        <v>49</v>
      </c>
      <c r="F163" s="1697">
        <v>181910</v>
      </c>
      <c r="G163" s="1696">
        <v>36</v>
      </c>
      <c r="H163" s="143"/>
      <c r="I163" s="143"/>
      <c r="J163" s="143"/>
      <c r="K163" s="143"/>
      <c r="L163" s="143"/>
      <c r="M163" s="143"/>
      <c r="N163" s="143"/>
      <c r="O163" s="143"/>
      <c r="P163" s="143"/>
      <c r="Q163" s="143"/>
      <c r="R163" s="143"/>
      <c r="S163" s="143"/>
      <c r="T163" s="143"/>
      <c r="U163" s="143"/>
      <c r="V163" s="143"/>
      <c r="W163" s="143"/>
      <c r="X163" s="143"/>
      <c r="Y163" s="143"/>
      <c r="Z163" s="143"/>
      <c r="AA163" s="143"/>
      <c r="AB163" s="143"/>
      <c r="AC163" s="143"/>
      <c r="AD163" s="143"/>
      <c r="AE163" s="143"/>
      <c r="AF163" s="143"/>
      <c r="AG163" s="143"/>
      <c r="AH163" s="143"/>
      <c r="AI163" s="143"/>
      <c r="AJ163" s="143"/>
      <c r="AK163" s="143"/>
      <c r="AL163" s="143"/>
      <c r="AM163" s="143"/>
      <c r="AN163" s="143"/>
      <c r="AO163" s="143"/>
      <c r="AP163" s="143"/>
      <c r="AQ163" s="143"/>
      <c r="AR163" s="143"/>
      <c r="AS163" s="143"/>
      <c r="AT163" s="143"/>
      <c r="AU163" s="143"/>
      <c r="AV163" s="143"/>
      <c r="AW163" s="143"/>
      <c r="AX163" s="143"/>
      <c r="AY163" s="143"/>
      <c r="AZ163" s="143"/>
      <c r="BA163" s="143"/>
      <c r="BB163" s="143"/>
      <c r="BC163" s="143"/>
      <c r="BD163" s="143"/>
      <c r="BE163" s="143"/>
      <c r="BF163" s="143"/>
      <c r="BG163" s="143"/>
      <c r="BH163" s="143"/>
      <c r="BI163" s="143"/>
      <c r="BJ163" s="143"/>
      <c r="BK163" s="143"/>
      <c r="BL163" s="143"/>
      <c r="BM163" s="143"/>
      <c r="BN163" s="143"/>
      <c r="BO163" s="143"/>
      <c r="BP163" s="143"/>
      <c r="BQ163" s="143"/>
      <c r="BR163" s="143"/>
      <c r="BS163" s="143"/>
      <c r="BT163" s="143"/>
      <c r="BU163" s="143"/>
      <c r="BV163" s="143"/>
      <c r="BW163" s="143"/>
      <c r="BX163" s="143"/>
      <c r="BY163" s="143"/>
      <c r="BZ163" s="143"/>
      <c r="CA163" s="143"/>
      <c r="CB163" s="143"/>
      <c r="CC163" s="143"/>
      <c r="CD163" s="143"/>
      <c r="CE163" s="143"/>
      <c r="CF163" s="143"/>
      <c r="CG163" s="143"/>
      <c r="CH163" s="143"/>
      <c r="CI163" s="143"/>
      <c r="CJ163" s="143"/>
      <c r="CK163" s="143"/>
      <c r="CL163" s="143"/>
      <c r="CM163" s="143"/>
      <c r="CN163" s="143"/>
      <c r="CO163" s="143"/>
      <c r="CP163" s="143"/>
      <c r="CQ163" s="143"/>
      <c r="CR163" s="143"/>
      <c r="CS163" s="143"/>
      <c r="CT163" s="143"/>
      <c r="CU163" s="143"/>
      <c r="CV163" s="143"/>
      <c r="CW163" s="143"/>
      <c r="CX163" s="143"/>
      <c r="CY163" s="143"/>
      <c r="CZ163" s="143"/>
      <c r="DA163" s="143"/>
      <c r="DB163" s="143"/>
      <c r="DC163" s="143"/>
      <c r="DD163" s="143"/>
      <c r="DE163" s="143"/>
      <c r="DF163" s="143"/>
      <c r="DG163" s="143"/>
      <c r="DH163" s="143"/>
      <c r="DI163" s="143"/>
      <c r="DJ163" s="143"/>
      <c r="DK163" s="143"/>
      <c r="DL163" s="143"/>
      <c r="DM163" s="143"/>
      <c r="DN163" s="143"/>
      <c r="DO163" s="143"/>
      <c r="DP163" s="143"/>
      <c r="DQ163" s="143"/>
      <c r="DR163" s="143"/>
      <c r="DS163" s="143"/>
      <c r="DT163" s="143"/>
      <c r="DU163" s="143"/>
      <c r="DV163" s="143"/>
      <c r="DW163" s="143"/>
      <c r="DX163" s="143"/>
      <c r="DY163" s="143"/>
      <c r="DZ163" s="143"/>
      <c r="EA163" s="143"/>
      <c r="EB163" s="143"/>
      <c r="EC163" s="143"/>
      <c r="ED163" s="143"/>
      <c r="EE163" s="143"/>
      <c r="EF163" s="143"/>
      <c r="EG163" s="143"/>
      <c r="EH163" s="143"/>
      <c r="EI163" s="143"/>
      <c r="EJ163" s="143"/>
      <c r="EK163" s="143"/>
      <c r="EL163" s="143"/>
      <c r="EM163" s="143"/>
      <c r="EN163" s="143"/>
      <c r="EO163" s="143"/>
      <c r="EP163" s="143"/>
      <c r="EQ163" s="143"/>
      <c r="ER163" s="143"/>
      <c r="ES163" s="143"/>
      <c r="ET163" s="143"/>
      <c r="EU163" s="143"/>
      <c r="EV163" s="143"/>
      <c r="EW163" s="143"/>
      <c r="EX163" s="143"/>
      <c r="EY163" s="143"/>
      <c r="EZ163" s="143"/>
      <c r="FA163" s="143"/>
      <c r="FB163" s="143"/>
      <c r="FC163" s="143"/>
      <c r="FD163" s="143"/>
      <c r="FE163" s="143"/>
      <c r="FF163" s="143"/>
      <c r="FG163" s="143"/>
      <c r="FH163" s="143"/>
      <c r="FI163" s="143"/>
      <c r="FJ163" s="143"/>
      <c r="FK163" s="143"/>
      <c r="FL163" s="143"/>
      <c r="FM163" s="143"/>
      <c r="FN163" s="143"/>
      <c r="FO163" s="143"/>
      <c r="FP163" s="143"/>
      <c r="FQ163" s="143"/>
      <c r="FR163" s="143"/>
      <c r="FS163" s="143"/>
      <c r="FT163" s="143"/>
      <c r="FU163" s="143"/>
      <c r="FV163" s="143"/>
      <c r="FW163" s="143"/>
      <c r="FX163" s="143"/>
      <c r="FY163" s="143"/>
      <c r="FZ163" s="143"/>
      <c r="GA163" s="143"/>
      <c r="GB163" s="143"/>
      <c r="GC163" s="143"/>
      <c r="GD163" s="143"/>
      <c r="GE163" s="143"/>
      <c r="GF163" s="143"/>
      <c r="GG163" s="143"/>
      <c r="GH163" s="143"/>
      <c r="GI163" s="143"/>
      <c r="GJ163" s="143"/>
      <c r="GK163" s="143"/>
      <c r="GL163" s="143"/>
      <c r="GM163" s="143"/>
      <c r="GN163" s="143"/>
      <c r="GO163" s="143"/>
      <c r="GP163" s="143"/>
      <c r="GQ163" s="143"/>
      <c r="GR163" s="143"/>
      <c r="GS163" s="143"/>
      <c r="GT163" s="143"/>
      <c r="GU163" s="143"/>
      <c r="GV163" s="143"/>
      <c r="GW163" s="143"/>
      <c r="GX163" s="143"/>
      <c r="GY163" s="143"/>
      <c r="GZ163" s="143"/>
      <c r="HA163" s="143"/>
      <c r="HB163" s="143"/>
      <c r="HC163" s="143"/>
      <c r="HD163" s="143"/>
      <c r="HE163" s="143"/>
      <c r="HF163" s="143"/>
      <c r="HG163" s="143"/>
      <c r="HH163" s="143"/>
      <c r="HI163" s="143"/>
      <c r="HJ163" s="143"/>
      <c r="HK163" s="143"/>
      <c r="HL163" s="143"/>
      <c r="HM163" s="143"/>
      <c r="HN163" s="143"/>
      <c r="HO163" s="143"/>
      <c r="HP163" s="143"/>
      <c r="HQ163" s="143"/>
      <c r="HR163" s="143"/>
      <c r="HS163" s="143"/>
      <c r="HT163" s="143"/>
      <c r="HU163" s="143"/>
      <c r="HV163" s="143"/>
      <c r="HW163" s="143"/>
      <c r="HX163" s="143"/>
    </row>
    <row r="164" spans="1:232" x14ac:dyDescent="0.2">
      <c r="A164" s="1693"/>
      <c r="B164" s="993">
        <f t="shared" ref="B164:G164" si="3">SUM(B128:B162)</f>
        <v>149315</v>
      </c>
      <c r="C164" s="993">
        <f t="shared" si="3"/>
        <v>1793</v>
      </c>
      <c r="D164" s="993">
        <f t="shared" si="3"/>
        <v>25425</v>
      </c>
      <c r="E164" s="993">
        <f t="shared" si="3"/>
        <v>541</v>
      </c>
      <c r="F164" s="993">
        <f t="shared" si="3"/>
        <v>174746</v>
      </c>
      <c r="G164" s="993">
        <f t="shared" si="3"/>
        <v>1734</v>
      </c>
    </row>
    <row r="165" spans="1:232" ht="30.5" customHeight="1" thickBot="1" x14ac:dyDescent="0.25">
      <c r="A165" s="306" t="s">
        <v>5866</v>
      </c>
      <c r="B165" s="306"/>
      <c r="C165" s="306"/>
      <c r="D165" s="306"/>
      <c r="E165" s="306"/>
      <c r="F165" s="181">
        <v>2537</v>
      </c>
      <c r="G165" s="521">
        <v>97</v>
      </c>
      <c r="H165" s="143"/>
      <c r="I165" s="143"/>
      <c r="J165" s="143"/>
      <c r="K165" s="143"/>
      <c r="L165" s="143"/>
      <c r="M165" s="143"/>
      <c r="N165" s="143"/>
      <c r="O165" s="143"/>
      <c r="P165" s="143"/>
      <c r="Q165" s="143"/>
      <c r="R165" s="143"/>
      <c r="S165" s="143"/>
      <c r="T165" s="143"/>
      <c r="U165" s="143"/>
      <c r="V165" s="143"/>
      <c r="W165" s="143"/>
      <c r="X165" s="143"/>
      <c r="Y165" s="143"/>
      <c r="Z165" s="143"/>
      <c r="AA165" s="143"/>
      <c r="AB165" s="143"/>
      <c r="AC165" s="143"/>
      <c r="AD165" s="143"/>
      <c r="AE165" s="143"/>
      <c r="AF165" s="143"/>
      <c r="AG165" s="143"/>
      <c r="AH165" s="143"/>
      <c r="AI165" s="143"/>
      <c r="AJ165" s="143"/>
      <c r="AK165" s="143"/>
      <c r="AL165" s="143"/>
      <c r="AM165" s="143"/>
      <c r="AN165" s="143"/>
      <c r="AO165" s="143"/>
      <c r="AP165" s="143"/>
      <c r="AQ165" s="143"/>
      <c r="AR165" s="143"/>
      <c r="AS165" s="143"/>
      <c r="AT165" s="143"/>
      <c r="AU165" s="143"/>
      <c r="AV165" s="143"/>
      <c r="AW165" s="143"/>
      <c r="AX165" s="143"/>
      <c r="AY165" s="143"/>
      <c r="AZ165" s="143"/>
      <c r="BA165" s="143"/>
      <c r="BB165" s="143"/>
      <c r="BC165" s="143"/>
      <c r="BD165" s="143"/>
      <c r="BE165" s="143"/>
      <c r="BF165" s="143"/>
      <c r="BG165" s="143"/>
      <c r="BH165" s="143"/>
      <c r="BI165" s="143"/>
      <c r="BJ165" s="143"/>
      <c r="BK165" s="143"/>
      <c r="BL165" s="143"/>
      <c r="BM165" s="143"/>
      <c r="BN165" s="143"/>
      <c r="BO165" s="143"/>
      <c r="BP165" s="143"/>
      <c r="BQ165" s="143"/>
      <c r="BR165" s="143"/>
      <c r="BS165" s="143"/>
      <c r="BT165" s="143"/>
      <c r="BU165" s="143"/>
      <c r="BV165" s="143"/>
      <c r="BW165" s="143"/>
      <c r="BX165" s="143"/>
      <c r="BY165" s="143"/>
      <c r="BZ165" s="143"/>
      <c r="CA165" s="143"/>
      <c r="CB165" s="143"/>
      <c r="CC165" s="143"/>
      <c r="CD165" s="143"/>
      <c r="CE165" s="143"/>
      <c r="CF165" s="143"/>
      <c r="CG165" s="143"/>
      <c r="CH165" s="143"/>
      <c r="CI165" s="143"/>
      <c r="CJ165" s="143"/>
      <c r="CK165" s="143"/>
      <c r="CL165" s="143"/>
      <c r="CM165" s="143"/>
      <c r="CN165" s="143"/>
      <c r="CO165" s="143"/>
      <c r="CP165" s="143"/>
      <c r="CQ165" s="143"/>
      <c r="CR165" s="143"/>
      <c r="CS165" s="143"/>
      <c r="CT165" s="143"/>
      <c r="CU165" s="143"/>
      <c r="CV165" s="143"/>
      <c r="CW165" s="143"/>
      <c r="CX165" s="143"/>
      <c r="CY165" s="143"/>
      <c r="CZ165" s="143"/>
      <c r="DA165" s="143"/>
      <c r="DB165" s="143"/>
      <c r="DC165" s="143"/>
      <c r="DD165" s="143"/>
      <c r="DE165" s="143"/>
      <c r="DF165" s="143"/>
      <c r="DG165" s="143"/>
      <c r="DH165" s="143"/>
      <c r="DI165" s="143"/>
      <c r="DJ165" s="143"/>
      <c r="DK165" s="143"/>
      <c r="DL165" s="143"/>
      <c r="DM165" s="143"/>
      <c r="DN165" s="143"/>
      <c r="DO165" s="143"/>
      <c r="DP165" s="143"/>
      <c r="DQ165" s="143"/>
      <c r="DR165" s="143"/>
      <c r="DS165" s="143"/>
      <c r="DT165" s="143"/>
      <c r="DU165" s="143"/>
      <c r="DV165" s="143"/>
      <c r="DW165" s="143"/>
      <c r="DX165" s="143"/>
      <c r="DY165" s="143"/>
      <c r="DZ165" s="143"/>
      <c r="EA165" s="143"/>
      <c r="EB165" s="143"/>
      <c r="EC165" s="143"/>
      <c r="ED165" s="143"/>
      <c r="EE165" s="143"/>
      <c r="EF165" s="143"/>
      <c r="EG165" s="143"/>
      <c r="EH165" s="143"/>
      <c r="EI165" s="143"/>
      <c r="EJ165" s="143"/>
      <c r="EK165" s="143"/>
      <c r="EL165" s="143"/>
      <c r="EM165" s="143"/>
      <c r="EN165" s="143"/>
      <c r="EO165" s="143"/>
      <c r="EP165" s="143"/>
      <c r="EQ165" s="143"/>
      <c r="ER165" s="143"/>
      <c r="ES165" s="143"/>
      <c r="ET165" s="143"/>
      <c r="EU165" s="143"/>
      <c r="EV165" s="143"/>
      <c r="EW165" s="143"/>
      <c r="EX165" s="143"/>
      <c r="EY165" s="143"/>
      <c r="EZ165" s="143"/>
      <c r="FA165" s="143"/>
      <c r="FB165" s="143"/>
      <c r="FC165" s="143"/>
      <c r="FD165" s="143"/>
      <c r="FE165" s="143"/>
      <c r="FF165" s="143"/>
      <c r="FG165" s="143"/>
      <c r="FH165" s="143"/>
      <c r="FI165" s="143"/>
      <c r="FJ165" s="143"/>
      <c r="FK165" s="143"/>
      <c r="FL165" s="143"/>
      <c r="FM165" s="143"/>
      <c r="FN165" s="143"/>
      <c r="FO165" s="143"/>
      <c r="FP165" s="143"/>
      <c r="FQ165" s="143"/>
      <c r="FR165" s="143"/>
      <c r="FS165" s="143"/>
      <c r="FT165" s="143"/>
      <c r="FU165" s="143"/>
      <c r="FV165" s="143"/>
      <c r="FW165" s="143"/>
      <c r="FX165" s="143"/>
      <c r="FY165" s="143"/>
      <c r="FZ165" s="143"/>
      <c r="GA165" s="143"/>
      <c r="GB165" s="143"/>
      <c r="GC165" s="143"/>
      <c r="GD165" s="143"/>
      <c r="GE165" s="143"/>
      <c r="GF165" s="143"/>
      <c r="GG165" s="143"/>
      <c r="GH165" s="143"/>
      <c r="GI165" s="143"/>
      <c r="GJ165" s="143"/>
      <c r="GK165" s="143"/>
      <c r="GL165" s="143"/>
      <c r="GM165" s="143"/>
      <c r="GN165" s="143"/>
      <c r="GO165" s="143"/>
      <c r="GP165" s="143"/>
      <c r="GQ165" s="143"/>
      <c r="GR165" s="143"/>
      <c r="GS165" s="143"/>
      <c r="GT165" s="143"/>
      <c r="GU165" s="143"/>
      <c r="GV165" s="143"/>
      <c r="GW165" s="143"/>
      <c r="GX165" s="143"/>
      <c r="GY165" s="143"/>
      <c r="GZ165" s="143"/>
      <c r="HA165" s="143"/>
      <c r="HB165" s="143"/>
      <c r="HC165" s="143"/>
      <c r="HD165" s="143"/>
      <c r="HE165" s="143"/>
      <c r="HF165" s="143"/>
      <c r="HG165" s="143"/>
      <c r="HH165" s="143"/>
      <c r="HI165" s="143"/>
      <c r="HJ165" s="143"/>
      <c r="HK165" s="143"/>
      <c r="HL165" s="143"/>
      <c r="HM165" s="143"/>
      <c r="HN165" s="143"/>
      <c r="HO165" s="143"/>
      <c r="HP165" s="143"/>
      <c r="HQ165" s="143"/>
      <c r="HR165" s="143"/>
      <c r="HS165" s="143"/>
      <c r="HT165" s="143"/>
      <c r="HU165" s="143"/>
      <c r="HV165" s="143"/>
      <c r="HW165" s="143"/>
      <c r="HX165" s="143"/>
    </row>
    <row r="166" spans="1:232" ht="24" customHeight="1" x14ac:dyDescent="0.2">
      <c r="A166" s="213" t="s">
        <v>1666</v>
      </c>
      <c r="B166" s="214"/>
      <c r="C166" s="214"/>
      <c r="D166" s="214"/>
      <c r="E166" s="214"/>
      <c r="F166" s="1698">
        <v>184448</v>
      </c>
      <c r="G166" s="1699">
        <v>33</v>
      </c>
    </row>
    <row r="167" spans="1:232" x14ac:dyDescent="0.2">
      <c r="F167" s="477">
        <f>F165+F164</f>
        <v>177283</v>
      </c>
      <c r="G167" s="477">
        <f>G165+G164</f>
        <v>1831</v>
      </c>
      <c r="H167" s="143"/>
      <c r="I167" s="143"/>
      <c r="J167" s="143"/>
      <c r="K167" s="143"/>
      <c r="L167" s="143"/>
      <c r="M167" s="143"/>
      <c r="N167" s="143"/>
      <c r="O167" s="143"/>
      <c r="P167" s="143"/>
      <c r="Q167" s="143"/>
      <c r="R167" s="143"/>
      <c r="S167" s="143"/>
      <c r="T167" s="143"/>
      <c r="U167" s="143"/>
      <c r="V167" s="143"/>
      <c r="W167" s="143"/>
      <c r="X167" s="143"/>
      <c r="Y167" s="143"/>
      <c r="Z167" s="143"/>
      <c r="AA167" s="143"/>
      <c r="AB167" s="143"/>
      <c r="AC167" s="143"/>
      <c r="AD167" s="143"/>
      <c r="AE167" s="143"/>
      <c r="AF167" s="143"/>
      <c r="AG167" s="143"/>
      <c r="AH167" s="143"/>
      <c r="AI167" s="143"/>
      <c r="AJ167" s="143"/>
      <c r="AK167" s="143"/>
      <c r="AL167" s="143"/>
      <c r="AM167" s="143"/>
      <c r="AN167" s="143"/>
      <c r="AO167" s="143"/>
      <c r="AP167" s="143"/>
      <c r="AQ167" s="143"/>
      <c r="AR167" s="143"/>
      <c r="AS167" s="143"/>
      <c r="AT167" s="143"/>
      <c r="AU167" s="143"/>
      <c r="AV167" s="143"/>
      <c r="AW167" s="143"/>
      <c r="AX167" s="143"/>
      <c r="AY167" s="143"/>
      <c r="AZ167" s="143"/>
      <c r="BA167" s="143"/>
      <c r="BB167" s="143"/>
      <c r="BC167" s="143"/>
      <c r="BD167" s="143"/>
      <c r="BE167" s="143"/>
      <c r="BF167" s="143"/>
      <c r="BG167" s="143"/>
      <c r="BH167" s="143"/>
      <c r="BI167" s="143"/>
      <c r="BJ167" s="143"/>
      <c r="BK167" s="143"/>
      <c r="BL167" s="143"/>
      <c r="BM167" s="143"/>
      <c r="BN167" s="143"/>
      <c r="BO167" s="143"/>
      <c r="BP167" s="143"/>
      <c r="BQ167" s="143"/>
      <c r="BR167" s="143"/>
      <c r="BS167" s="143"/>
      <c r="BT167" s="143"/>
      <c r="BU167" s="143"/>
      <c r="BV167" s="143"/>
      <c r="BW167" s="143"/>
      <c r="BX167" s="143"/>
      <c r="BY167" s="143"/>
      <c r="BZ167" s="143"/>
      <c r="CA167" s="143"/>
      <c r="CB167" s="143"/>
      <c r="CC167" s="143"/>
      <c r="CD167" s="143"/>
      <c r="CE167" s="143"/>
      <c r="CF167" s="143"/>
      <c r="CG167" s="143"/>
      <c r="CH167" s="143"/>
      <c r="CI167" s="143"/>
      <c r="CJ167" s="143"/>
      <c r="CK167" s="143"/>
      <c r="CL167" s="143"/>
      <c r="CM167" s="143"/>
      <c r="CN167" s="143"/>
      <c r="CO167" s="143"/>
      <c r="CP167" s="143"/>
      <c r="CQ167" s="143"/>
      <c r="CR167" s="143"/>
      <c r="CS167" s="143"/>
      <c r="CT167" s="143"/>
      <c r="CU167" s="143"/>
      <c r="CV167" s="143"/>
      <c r="CW167" s="143"/>
      <c r="CX167" s="143"/>
      <c r="CY167" s="143"/>
      <c r="CZ167" s="143"/>
      <c r="DA167" s="143"/>
      <c r="DB167" s="143"/>
      <c r="DC167" s="143"/>
      <c r="DD167" s="143"/>
      <c r="DE167" s="143"/>
      <c r="DF167" s="143"/>
      <c r="DG167" s="143"/>
      <c r="DH167" s="143"/>
      <c r="DI167" s="143"/>
      <c r="DJ167" s="143"/>
      <c r="DK167" s="143"/>
      <c r="DL167" s="143"/>
      <c r="DM167" s="143"/>
      <c r="DN167" s="143"/>
      <c r="DO167" s="143"/>
      <c r="DP167" s="143"/>
      <c r="DQ167" s="143"/>
      <c r="DR167" s="143"/>
      <c r="DS167" s="143"/>
      <c r="DT167" s="143"/>
      <c r="DU167" s="143"/>
      <c r="DV167" s="143"/>
      <c r="DW167" s="143"/>
      <c r="DX167" s="143"/>
      <c r="DY167" s="143"/>
      <c r="DZ167" s="143"/>
      <c r="EA167" s="143"/>
      <c r="EB167" s="143"/>
      <c r="EC167" s="143"/>
      <c r="ED167" s="143"/>
      <c r="EE167" s="143"/>
      <c r="EF167" s="143"/>
      <c r="EG167" s="143"/>
      <c r="EH167" s="143"/>
      <c r="EI167" s="143"/>
      <c r="EJ167" s="143"/>
      <c r="EK167" s="143"/>
      <c r="EL167" s="143"/>
      <c r="EM167" s="143"/>
      <c r="EN167" s="143"/>
      <c r="EO167" s="143"/>
      <c r="EP167" s="143"/>
      <c r="EQ167" s="143"/>
      <c r="ER167" s="143"/>
      <c r="ES167" s="143"/>
      <c r="ET167" s="143"/>
      <c r="EU167" s="143"/>
      <c r="EV167" s="143"/>
      <c r="EW167" s="143"/>
      <c r="EX167" s="143"/>
      <c r="EY167" s="143"/>
      <c r="EZ167" s="143"/>
      <c r="FA167" s="143"/>
      <c r="FB167" s="143"/>
      <c r="FC167" s="143"/>
      <c r="FD167" s="143"/>
      <c r="FE167" s="143"/>
      <c r="FF167" s="143"/>
      <c r="FG167" s="143"/>
      <c r="FH167" s="143"/>
      <c r="FI167" s="143"/>
      <c r="FJ167" s="143"/>
      <c r="FK167" s="143"/>
      <c r="FL167" s="143"/>
      <c r="FM167" s="143"/>
      <c r="FN167" s="143"/>
      <c r="FO167" s="143"/>
      <c r="FP167" s="143"/>
      <c r="FQ167" s="143"/>
      <c r="FR167" s="143"/>
      <c r="FS167" s="143"/>
      <c r="FT167" s="143"/>
      <c r="FU167" s="143"/>
      <c r="FV167" s="143"/>
      <c r="FW167" s="143"/>
      <c r="FX167" s="143"/>
      <c r="FY167" s="143"/>
      <c r="FZ167" s="143"/>
      <c r="GA167" s="143"/>
      <c r="GB167" s="143"/>
      <c r="GC167" s="143"/>
      <c r="GD167" s="143"/>
      <c r="GE167" s="143"/>
      <c r="GF167" s="143"/>
      <c r="GG167" s="143"/>
      <c r="GH167" s="143"/>
      <c r="GI167" s="143"/>
      <c r="GJ167" s="143"/>
      <c r="GK167" s="143"/>
      <c r="GL167" s="143"/>
      <c r="GM167" s="143"/>
      <c r="GN167" s="143"/>
      <c r="GO167" s="143"/>
      <c r="GP167" s="143"/>
      <c r="GQ167" s="143"/>
      <c r="GR167" s="143"/>
      <c r="GS167" s="143"/>
      <c r="GT167" s="143"/>
      <c r="GU167" s="143"/>
      <c r="GV167" s="143"/>
      <c r="GW167" s="143"/>
      <c r="GX167" s="143"/>
      <c r="GY167" s="143"/>
      <c r="GZ167" s="143"/>
      <c r="HA167" s="143"/>
      <c r="HB167" s="143"/>
      <c r="HC167" s="143"/>
      <c r="HD167" s="143"/>
      <c r="HE167" s="143"/>
      <c r="HF167" s="143"/>
      <c r="HG167" s="143"/>
      <c r="HH167" s="143"/>
      <c r="HI167" s="143"/>
      <c r="HJ167" s="143"/>
      <c r="HK167" s="143"/>
      <c r="HL167" s="143"/>
      <c r="HM167" s="143"/>
      <c r="HN167" s="143"/>
      <c r="HO167" s="143"/>
      <c r="HP167" s="143"/>
      <c r="HQ167" s="143"/>
      <c r="HR167" s="143"/>
      <c r="HS167" s="143"/>
      <c r="HT167" s="143"/>
      <c r="HU167" s="143"/>
      <c r="HV167" s="143"/>
      <c r="HW167" s="143"/>
      <c r="HX167" s="143"/>
    </row>
  </sheetData>
  <mergeCells count="54">
    <mergeCell ref="A165:E165"/>
    <mergeCell ref="A166:E166"/>
    <mergeCell ref="P108:Q108"/>
    <mergeCell ref="A125:G125"/>
    <mergeCell ref="A126:G126"/>
    <mergeCell ref="B127:C127"/>
    <mergeCell ref="D127:E127"/>
    <mergeCell ref="F127:G127"/>
    <mergeCell ref="A101:C101"/>
    <mergeCell ref="A102:C102"/>
    <mergeCell ref="A107:Q107"/>
    <mergeCell ref="B108:C108"/>
    <mergeCell ref="D108:E108"/>
    <mergeCell ref="F108:G108"/>
    <mergeCell ref="H108:I108"/>
    <mergeCell ref="J108:K108"/>
    <mergeCell ref="L108:M108"/>
    <mergeCell ref="N108:O108"/>
    <mergeCell ref="Z79:AA79"/>
    <mergeCell ref="AB79:AC79"/>
    <mergeCell ref="AD79:AE79"/>
    <mergeCell ref="A97:C97"/>
    <mergeCell ref="A98:C98"/>
    <mergeCell ref="A99:C99"/>
    <mergeCell ref="N79:O79"/>
    <mergeCell ref="P79:Q79"/>
    <mergeCell ref="R79:S79"/>
    <mergeCell ref="T79:U79"/>
    <mergeCell ref="V79:W79"/>
    <mergeCell ref="X79:Y79"/>
    <mergeCell ref="B79:C79"/>
    <mergeCell ref="D79:E79"/>
    <mergeCell ref="F79:G79"/>
    <mergeCell ref="H79:I79"/>
    <mergeCell ref="J79:K79"/>
    <mergeCell ref="L79:M79"/>
    <mergeCell ref="A48:I48"/>
    <mergeCell ref="B49:C49"/>
    <mergeCell ref="D49:E49"/>
    <mergeCell ref="F49:G49"/>
    <mergeCell ref="H49:I49"/>
    <mergeCell ref="A78:AE78"/>
    <mergeCell ref="A32:E32"/>
    <mergeCell ref="A33:A34"/>
    <mergeCell ref="B33:E33"/>
    <mergeCell ref="B34:C34"/>
    <mergeCell ref="D34:E34"/>
    <mergeCell ref="A47:I47"/>
    <mergeCell ref="A2:E2"/>
    <mergeCell ref="B3:C3"/>
    <mergeCell ref="D3:E3"/>
    <mergeCell ref="A23:C23"/>
    <mergeCell ref="A26:C26"/>
    <mergeCell ref="A27:C27"/>
  </mergeCells>
  <pageMargins left="0.75" right="0.75" top="1" bottom="1" header="0" footer="0"/>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X161"/>
  <sheetViews>
    <sheetView workbookViewId="0">
      <selection activeCell="B1" sqref="B1"/>
    </sheetView>
  </sheetViews>
  <sheetFormatPr baseColWidth="10" defaultColWidth="11.6640625" defaultRowHeight="15" x14ac:dyDescent="0.2"/>
  <cols>
    <col min="1" max="1" width="33.83203125" style="106" customWidth="1"/>
    <col min="2" max="2" width="11.6640625" style="106"/>
    <col min="3" max="3" width="12.83203125" style="106" customWidth="1"/>
    <col min="4" max="4" width="6.1640625" style="106" customWidth="1"/>
    <col min="5" max="5" width="11.6640625" style="106"/>
    <col min="6" max="7" width="6.1640625" style="106" customWidth="1"/>
    <col min="8" max="8" width="11.6640625" style="106"/>
    <col min="9" max="10" width="6.1640625" style="106" customWidth="1"/>
    <col min="11" max="11" width="11.6640625" style="106"/>
    <col min="12" max="13" width="6.1640625" style="106" customWidth="1"/>
    <col min="14" max="14" width="11.6640625" style="106"/>
    <col min="15" max="16" width="6.1640625" style="106" customWidth="1"/>
    <col min="17" max="17" width="11.6640625" style="106"/>
    <col min="18" max="19" width="6.1640625" style="106" customWidth="1"/>
    <col min="20" max="20" width="11.6640625" style="106"/>
    <col min="21" max="22" width="6.1640625" style="106" customWidth="1"/>
    <col min="23" max="23" width="11.6640625" style="106"/>
    <col min="24" max="25" width="6.1640625" style="106" customWidth="1"/>
    <col min="26" max="26" width="11.6640625" style="106"/>
    <col min="27" max="28" width="6.1640625" style="106" customWidth="1"/>
    <col min="29" max="29" width="11.6640625" style="106"/>
    <col min="30" max="31" width="6.1640625" style="106" customWidth="1"/>
    <col min="32" max="32" width="11.6640625" style="106"/>
    <col min="33" max="34" width="6.1640625" style="106" customWidth="1"/>
    <col min="35" max="35" width="11.6640625" style="106"/>
    <col min="36" max="37" width="6.1640625" style="106" customWidth="1"/>
    <col min="38" max="38" width="11.6640625" style="106"/>
    <col min="39" max="40" width="6.1640625" style="106" customWidth="1"/>
    <col min="41" max="41" width="11.6640625" style="106"/>
    <col min="42" max="43" width="6.1640625" style="106" customWidth="1"/>
    <col min="44" max="44" width="11.6640625" style="106"/>
    <col min="45" max="46" width="6.1640625" style="106" customWidth="1"/>
    <col min="47" max="47" width="11.6640625" style="106"/>
    <col min="48" max="49" width="6.1640625" style="106" customWidth="1"/>
    <col min="50" max="50" width="11.6640625" style="106"/>
    <col min="51" max="52" width="6.1640625" style="106" customWidth="1"/>
    <col min="53" max="53" width="11.6640625" style="106"/>
    <col min="54" max="55" width="6.1640625" style="106" customWidth="1"/>
    <col min="56" max="56" width="11.6640625" style="106"/>
    <col min="57" max="58" width="6.1640625" style="106" customWidth="1"/>
    <col min="59" max="59" width="11.6640625" style="106"/>
    <col min="60" max="61" width="6.1640625" style="106" customWidth="1"/>
    <col min="62" max="62" width="11.6640625" style="106"/>
    <col min="63" max="64" width="6.1640625" style="106" customWidth="1"/>
    <col min="65" max="65" width="11.6640625" style="106"/>
    <col min="66" max="67" width="6.1640625" style="106" customWidth="1"/>
    <col min="68" max="68" width="11.6640625" style="106"/>
    <col min="69" max="70" width="6.1640625" style="106" customWidth="1"/>
    <col min="71" max="71" width="11.6640625" style="106"/>
    <col min="72" max="73" width="6.1640625" style="106" customWidth="1"/>
    <col min="74" max="74" width="11.6640625" style="106"/>
    <col min="75" max="76" width="6.1640625" style="106" customWidth="1"/>
    <col min="77" max="77" width="11.6640625" style="106"/>
    <col min="78" max="79" width="6.1640625" style="106" customWidth="1"/>
    <col min="80" max="80" width="11.6640625" style="106"/>
    <col min="81" max="82" width="6.1640625" style="106" customWidth="1"/>
    <col min="83" max="83" width="11.6640625" style="106"/>
    <col min="84" max="85" width="6.1640625" style="106" customWidth="1"/>
    <col min="86" max="86" width="11.6640625" style="106"/>
    <col min="87" max="88" width="6.1640625" style="106" customWidth="1"/>
    <col min="89" max="89" width="11.6640625" style="106"/>
    <col min="90" max="91" width="6.1640625" style="106" customWidth="1"/>
    <col min="92" max="92" width="11.6640625" style="106"/>
    <col min="93" max="94" width="6.1640625" style="106" customWidth="1"/>
    <col min="95" max="95" width="11.6640625" style="106"/>
    <col min="96" max="97" width="6.1640625" style="106" customWidth="1"/>
    <col min="98" max="98" width="11.6640625" style="106"/>
    <col min="99" max="100" width="6.1640625" style="106" customWidth="1"/>
    <col min="101" max="101" width="11.6640625" style="106"/>
    <col min="102" max="103" width="6.1640625" style="106" customWidth="1"/>
    <col min="104" max="104" width="11.6640625" style="106"/>
    <col min="105" max="106" width="6.1640625" style="106" customWidth="1"/>
    <col min="107" max="107" width="11.6640625" style="106"/>
    <col min="108" max="109" width="6.1640625" style="106" customWidth="1"/>
    <col min="110" max="110" width="11.6640625" style="106"/>
    <col min="111" max="112" width="6.1640625" style="106" customWidth="1"/>
    <col min="113" max="113" width="11.6640625" style="106"/>
    <col min="114" max="115" width="6.1640625" style="106" customWidth="1"/>
    <col min="116" max="116" width="11.6640625" style="106"/>
    <col min="117" max="118" width="6.1640625" style="106" customWidth="1"/>
    <col min="119" max="119" width="11.6640625" style="106"/>
    <col min="120" max="121" width="6.1640625" style="106" customWidth="1"/>
    <col min="122" max="122" width="11.6640625" style="106"/>
    <col min="123" max="124" width="6.1640625" style="106" customWidth="1"/>
    <col min="125" max="125" width="11.6640625" style="106"/>
    <col min="126" max="127" width="6.1640625" style="106" customWidth="1"/>
    <col min="128" max="128" width="11.6640625" style="106"/>
    <col min="129" max="130" width="6.1640625" style="106" customWidth="1"/>
    <col min="131" max="131" width="11.6640625" style="106"/>
    <col min="132" max="133" width="6.1640625" style="106" customWidth="1"/>
    <col min="134" max="134" width="11.6640625" style="106"/>
    <col min="135" max="136" width="6.1640625" style="106" customWidth="1"/>
    <col min="137" max="137" width="11.6640625" style="106"/>
    <col min="138" max="139" width="6.1640625" style="106" customWidth="1"/>
    <col min="140" max="140" width="11.6640625" style="106"/>
    <col min="141" max="142" width="6.1640625" style="106" customWidth="1"/>
    <col min="143" max="143" width="11.6640625" style="106"/>
    <col min="144" max="145" width="6.1640625" style="106" customWidth="1"/>
    <col min="146" max="146" width="11.6640625" style="106"/>
    <col min="147" max="148" width="6.1640625" style="106" customWidth="1"/>
    <col min="149" max="149" width="11.6640625" style="106"/>
    <col min="150" max="151" width="6.1640625" style="106" customWidth="1"/>
    <col min="152" max="152" width="11.6640625" style="106"/>
    <col min="153" max="154" width="6.1640625" style="106" customWidth="1"/>
    <col min="155" max="155" width="11.6640625" style="106"/>
    <col min="156" max="157" width="6.1640625" style="106" customWidth="1"/>
    <col min="158" max="158" width="11.6640625" style="106"/>
    <col min="159" max="160" width="6.1640625" style="106" customWidth="1"/>
    <col min="161" max="161" width="11.6640625" style="106"/>
    <col min="162" max="163" width="6.1640625" style="106" customWidth="1"/>
    <col min="164" max="164" width="11.6640625" style="106"/>
    <col min="165" max="166" width="6.1640625" style="106" customWidth="1"/>
    <col min="167" max="167" width="11.6640625" style="106"/>
    <col min="168" max="169" width="6.1640625" style="106" customWidth="1"/>
    <col min="170" max="170" width="11.6640625" style="106"/>
    <col min="171" max="172" width="6.1640625" style="106" customWidth="1"/>
    <col min="173" max="173" width="11.6640625" style="106"/>
    <col min="174" max="175" width="6.1640625" style="106" customWidth="1"/>
    <col min="176" max="176" width="11.6640625" style="106"/>
    <col min="177" max="178" width="6.1640625" style="106" customWidth="1"/>
    <col min="179" max="179" width="11.6640625" style="106"/>
    <col min="180" max="181" width="6.1640625" style="106" customWidth="1"/>
    <col min="182" max="182" width="11.6640625" style="106"/>
    <col min="183" max="184" width="6.1640625" style="106" customWidth="1"/>
    <col min="185" max="185" width="11.6640625" style="106"/>
    <col min="186" max="187" width="6.1640625" style="106" customWidth="1"/>
    <col min="188" max="188" width="11.6640625" style="106"/>
    <col min="189" max="190" width="6.1640625" style="106" customWidth="1"/>
    <col min="191" max="191" width="11.6640625" style="106"/>
    <col min="192" max="193" width="6.1640625" style="106" customWidth="1"/>
    <col min="194" max="194" width="11.6640625" style="106"/>
    <col min="195" max="196" width="6.1640625" style="106" customWidth="1"/>
    <col min="197" max="197" width="11.6640625" style="106"/>
    <col min="198" max="199" width="6.1640625" style="106" customWidth="1"/>
    <col min="200" max="200" width="11.6640625" style="106"/>
    <col min="201" max="202" width="6.1640625" style="106" customWidth="1"/>
    <col min="203" max="203" width="11.6640625" style="106"/>
    <col min="204" max="205" width="6.1640625" style="106" customWidth="1"/>
    <col min="206" max="206" width="11.6640625" style="106"/>
    <col min="207" max="208" width="6.1640625" style="106" customWidth="1"/>
    <col min="209" max="209" width="11.6640625" style="106"/>
    <col min="210" max="211" width="6.1640625" style="106" customWidth="1"/>
    <col min="212" max="212" width="11.6640625" style="106"/>
    <col min="213" max="214" width="6.1640625" style="106" customWidth="1"/>
    <col min="215" max="215" width="11.6640625" style="106"/>
    <col min="216" max="217" width="6.1640625" style="106" customWidth="1"/>
    <col min="218" max="218" width="11.6640625" style="106"/>
    <col min="219" max="220" width="6.1640625" style="106" customWidth="1"/>
    <col min="221" max="221" width="11.6640625" style="106"/>
    <col min="222" max="223" width="6.1640625" style="106" customWidth="1"/>
    <col min="224" max="224" width="11.6640625" style="106"/>
    <col min="225" max="226" width="6.1640625" style="106" customWidth="1"/>
    <col min="227" max="227" width="11.6640625" style="106"/>
    <col min="228" max="229" width="6.1640625" style="106" customWidth="1"/>
    <col min="230" max="230" width="11.6640625" style="106"/>
    <col min="231" max="232" width="6.1640625" style="106" customWidth="1"/>
    <col min="233" max="16384" width="11.6640625" style="106"/>
  </cols>
  <sheetData>
    <row r="1" spans="1:4" x14ac:dyDescent="0.2">
      <c r="A1" s="113" t="s">
        <v>1111</v>
      </c>
    </row>
    <row r="2" spans="1:4" ht="25.25" customHeight="1" x14ac:dyDescent="0.2">
      <c r="A2" s="870" t="s">
        <v>5867</v>
      </c>
      <c r="B2" s="871"/>
      <c r="C2" s="872"/>
      <c r="D2" s="860"/>
    </row>
    <row r="3" spans="1:4" ht="38.5" customHeight="1" x14ac:dyDescent="0.2">
      <c r="A3" s="1632" t="s">
        <v>5868</v>
      </c>
      <c r="B3" s="554" t="s">
        <v>5869</v>
      </c>
      <c r="C3" s="554" t="s">
        <v>2764</v>
      </c>
      <c r="D3" s="593"/>
    </row>
    <row r="4" spans="1:4" ht="30.5" customHeight="1" x14ac:dyDescent="0.2">
      <c r="A4" s="178" t="s">
        <v>5870</v>
      </c>
      <c r="B4" s="135">
        <v>570</v>
      </c>
      <c r="C4" s="307">
        <v>15108</v>
      </c>
    </row>
    <row r="5" spans="1:4" ht="30" x14ac:dyDescent="0.2">
      <c r="A5" s="178" t="s">
        <v>5871</v>
      </c>
      <c r="B5" s="135">
        <v>123</v>
      </c>
      <c r="C5" s="307">
        <v>2932</v>
      </c>
    </row>
    <row r="6" spans="1:4" x14ac:dyDescent="0.2">
      <c r="A6" s="178" t="s">
        <v>5872</v>
      </c>
      <c r="B6" s="135">
        <v>101</v>
      </c>
      <c r="C6" s="307">
        <v>3838</v>
      </c>
    </row>
    <row r="7" spans="1:4" x14ac:dyDescent="0.2">
      <c r="A7" s="178" t="s">
        <v>5873</v>
      </c>
      <c r="B7" s="135">
        <v>51</v>
      </c>
      <c r="C7" s="307">
        <v>459</v>
      </c>
    </row>
    <row r="8" spans="1:4" x14ac:dyDescent="0.2">
      <c r="A8" s="178" t="s">
        <v>5874</v>
      </c>
      <c r="B8" s="135">
        <v>50</v>
      </c>
      <c r="C8" s="307">
        <v>2896</v>
      </c>
    </row>
    <row r="9" spans="1:4" ht="30" x14ac:dyDescent="0.2">
      <c r="A9" s="178" t="s">
        <v>5875</v>
      </c>
      <c r="B9" s="135">
        <v>160</v>
      </c>
      <c r="C9" s="307">
        <v>4959</v>
      </c>
    </row>
    <row r="10" spans="1:4" x14ac:dyDescent="0.2">
      <c r="A10" s="178" t="s">
        <v>5876</v>
      </c>
      <c r="B10" s="135">
        <v>8</v>
      </c>
      <c r="C10" s="307">
        <v>84</v>
      </c>
    </row>
    <row r="11" spans="1:4" x14ac:dyDescent="0.2">
      <c r="A11" s="1700" t="s">
        <v>5877</v>
      </c>
      <c r="B11" s="716">
        <v>1063</v>
      </c>
      <c r="C11" s="307">
        <v>30276</v>
      </c>
    </row>
    <row r="12" spans="1:4" x14ac:dyDescent="0.2">
      <c r="A12" s="178"/>
      <c r="B12" s="345">
        <f>SUM(B4:B10)</f>
        <v>1063</v>
      </c>
      <c r="C12" s="345">
        <f>SUM(C4:C10)</f>
        <v>30276</v>
      </c>
    </row>
    <row r="13" spans="1:4" ht="26.5" customHeight="1" x14ac:dyDescent="0.2">
      <c r="A13" s="1632" t="s">
        <v>5878</v>
      </c>
      <c r="B13" s="238"/>
      <c r="C13" s="513">
        <v>26316</v>
      </c>
    </row>
    <row r="152" spans="2:232" x14ac:dyDescent="0.2">
      <c r="B152" s="143"/>
      <c r="C152" s="143"/>
      <c r="D152" s="143"/>
      <c r="E152" s="143"/>
      <c r="F152" s="143"/>
      <c r="G152" s="143"/>
      <c r="H152" s="143"/>
      <c r="I152" s="143"/>
      <c r="J152" s="143"/>
      <c r="K152" s="143"/>
      <c r="L152" s="143"/>
      <c r="M152" s="143"/>
      <c r="N152" s="143"/>
      <c r="O152" s="143"/>
      <c r="P152" s="143"/>
      <c r="Q152" s="143"/>
      <c r="R152" s="143"/>
      <c r="S152" s="143"/>
      <c r="T152" s="143"/>
      <c r="U152" s="143"/>
      <c r="V152" s="143"/>
      <c r="W152" s="143"/>
      <c r="X152" s="143"/>
      <c r="Y152" s="143"/>
      <c r="Z152" s="143"/>
      <c r="AA152" s="143"/>
      <c r="AB152" s="143"/>
      <c r="AC152" s="143"/>
      <c r="AD152" s="143"/>
      <c r="AE152" s="143"/>
      <c r="AF152" s="143"/>
      <c r="AG152" s="143"/>
      <c r="AH152" s="143"/>
      <c r="AI152" s="143"/>
      <c r="AJ152" s="143"/>
      <c r="AK152" s="143"/>
      <c r="AL152" s="143"/>
      <c r="AM152" s="143"/>
      <c r="AN152" s="143"/>
      <c r="AO152" s="143"/>
      <c r="AP152" s="143"/>
      <c r="AQ152" s="143"/>
      <c r="AR152" s="143"/>
      <c r="AS152" s="143"/>
      <c r="AT152" s="143"/>
      <c r="AU152" s="143"/>
      <c r="AV152" s="143"/>
      <c r="AW152" s="143"/>
      <c r="AX152" s="143"/>
      <c r="AY152" s="143"/>
      <c r="AZ152" s="143"/>
      <c r="BA152" s="143"/>
      <c r="BB152" s="143"/>
      <c r="BC152" s="143"/>
      <c r="BD152" s="143"/>
      <c r="BE152" s="143"/>
      <c r="BF152" s="143"/>
      <c r="BG152" s="143"/>
      <c r="BH152" s="143"/>
      <c r="BI152" s="143"/>
      <c r="BJ152" s="143"/>
      <c r="BK152" s="143"/>
      <c r="BL152" s="143"/>
      <c r="BM152" s="143"/>
      <c r="BN152" s="143"/>
      <c r="BO152" s="143"/>
      <c r="BP152" s="143"/>
      <c r="BQ152" s="143"/>
      <c r="BR152" s="143"/>
      <c r="BS152" s="143"/>
      <c r="BT152" s="143"/>
      <c r="BU152" s="143"/>
      <c r="BV152" s="143"/>
      <c r="BW152" s="143"/>
      <c r="BX152" s="143"/>
      <c r="BY152" s="143"/>
      <c r="BZ152" s="143"/>
      <c r="CA152" s="143"/>
      <c r="CB152" s="143"/>
      <c r="CC152" s="143"/>
      <c r="CD152" s="143"/>
      <c r="CE152" s="143"/>
      <c r="CF152" s="143"/>
      <c r="CG152" s="143"/>
      <c r="CH152" s="143"/>
      <c r="CI152" s="143"/>
      <c r="CJ152" s="143"/>
      <c r="CK152" s="143"/>
      <c r="CL152" s="143"/>
      <c r="CM152" s="143"/>
      <c r="CN152" s="143"/>
      <c r="CO152" s="143"/>
      <c r="CP152" s="143"/>
      <c r="CQ152" s="143"/>
      <c r="CR152" s="143"/>
      <c r="CS152" s="143"/>
      <c r="CT152" s="143"/>
      <c r="CU152" s="143"/>
      <c r="CV152" s="143"/>
      <c r="CW152" s="143"/>
      <c r="CX152" s="143"/>
      <c r="CY152" s="143"/>
      <c r="CZ152" s="143"/>
      <c r="DA152" s="143"/>
      <c r="DB152" s="143"/>
      <c r="DC152" s="143"/>
      <c r="DD152" s="143"/>
      <c r="DE152" s="143"/>
      <c r="DF152" s="143"/>
      <c r="DG152" s="143"/>
      <c r="DH152" s="143"/>
      <c r="DI152" s="143"/>
      <c r="DJ152" s="143"/>
      <c r="DK152" s="143"/>
      <c r="DL152" s="143"/>
      <c r="DM152" s="143"/>
      <c r="DN152" s="143"/>
      <c r="DO152" s="143"/>
      <c r="DP152" s="143"/>
      <c r="DQ152" s="143"/>
      <c r="DR152" s="143"/>
      <c r="DS152" s="143"/>
      <c r="DT152" s="143"/>
      <c r="DU152" s="143"/>
      <c r="DV152" s="143"/>
      <c r="DW152" s="143"/>
      <c r="DX152" s="143"/>
      <c r="DY152" s="143"/>
      <c r="DZ152" s="143"/>
      <c r="EA152" s="143"/>
      <c r="EB152" s="143"/>
      <c r="EC152" s="143"/>
      <c r="ED152" s="143"/>
      <c r="EE152" s="143"/>
      <c r="EF152" s="143"/>
      <c r="EG152" s="143"/>
      <c r="EH152" s="143"/>
      <c r="EI152" s="143"/>
      <c r="EJ152" s="143"/>
      <c r="EK152" s="143"/>
      <c r="EL152" s="143"/>
      <c r="EM152" s="143"/>
      <c r="EN152" s="143"/>
      <c r="EO152" s="143"/>
      <c r="EP152" s="143"/>
      <c r="EQ152" s="143"/>
      <c r="ER152" s="143"/>
      <c r="ES152" s="143"/>
      <c r="ET152" s="143"/>
      <c r="EU152" s="143"/>
      <c r="EV152" s="143"/>
      <c r="EW152" s="143"/>
      <c r="EX152" s="143"/>
      <c r="EY152" s="143"/>
      <c r="EZ152" s="143"/>
      <c r="FA152" s="143"/>
      <c r="FB152" s="143"/>
      <c r="FC152" s="143"/>
      <c r="FD152" s="143"/>
      <c r="FE152" s="143"/>
      <c r="FF152" s="143"/>
      <c r="FG152" s="143"/>
      <c r="FH152" s="143"/>
      <c r="FI152" s="143"/>
      <c r="FJ152" s="143"/>
      <c r="FK152" s="143"/>
      <c r="FL152" s="143"/>
      <c r="FM152" s="143"/>
      <c r="FN152" s="143"/>
      <c r="FO152" s="143"/>
      <c r="FP152" s="143"/>
      <c r="FQ152" s="143"/>
      <c r="FR152" s="143"/>
      <c r="FS152" s="143"/>
      <c r="FT152" s="143"/>
      <c r="FU152" s="143"/>
      <c r="FV152" s="143"/>
      <c r="FW152" s="143"/>
      <c r="FX152" s="143"/>
      <c r="FY152" s="143"/>
      <c r="FZ152" s="143"/>
      <c r="GA152" s="143"/>
      <c r="GB152" s="143"/>
      <c r="GC152" s="143"/>
      <c r="GD152" s="143"/>
      <c r="GE152" s="143"/>
      <c r="GF152" s="143"/>
      <c r="GG152" s="143"/>
      <c r="GH152" s="143"/>
      <c r="GI152" s="143"/>
      <c r="GJ152" s="143"/>
      <c r="GK152" s="143"/>
      <c r="GL152" s="143"/>
      <c r="GM152" s="143"/>
      <c r="GN152" s="143"/>
      <c r="GO152" s="143"/>
      <c r="GP152" s="143"/>
      <c r="GQ152" s="143"/>
      <c r="GR152" s="143"/>
      <c r="GS152" s="143"/>
      <c r="GT152" s="143"/>
      <c r="GU152" s="143"/>
      <c r="GV152" s="143"/>
      <c r="GW152" s="143"/>
      <c r="GX152" s="143"/>
      <c r="GY152" s="143"/>
      <c r="GZ152" s="143"/>
      <c r="HA152" s="143"/>
      <c r="HB152" s="143"/>
      <c r="HC152" s="143"/>
      <c r="HD152" s="143"/>
      <c r="HE152" s="143"/>
      <c r="HF152" s="143"/>
      <c r="HG152" s="143"/>
      <c r="HH152" s="143"/>
      <c r="HI152" s="143"/>
      <c r="HJ152" s="143"/>
      <c r="HK152" s="143"/>
      <c r="HL152" s="143"/>
      <c r="HM152" s="143"/>
      <c r="HN152" s="143"/>
      <c r="HO152" s="143"/>
      <c r="HP152" s="143"/>
      <c r="HQ152" s="143"/>
      <c r="HR152" s="143"/>
      <c r="HS152" s="143"/>
      <c r="HT152" s="143"/>
      <c r="HU152" s="143"/>
      <c r="HV152" s="143"/>
      <c r="HW152" s="143"/>
      <c r="HX152" s="143"/>
    </row>
    <row r="153" spans="2:232" x14ac:dyDescent="0.2">
      <c r="B153" s="143"/>
      <c r="C153" s="143"/>
      <c r="D153" s="143"/>
      <c r="E153" s="143"/>
      <c r="F153" s="143"/>
      <c r="G153" s="143"/>
      <c r="H153" s="143"/>
      <c r="I153" s="143"/>
      <c r="J153" s="143"/>
      <c r="K153" s="143"/>
      <c r="L153" s="143"/>
      <c r="M153" s="143"/>
      <c r="N153" s="143"/>
      <c r="O153" s="143"/>
      <c r="P153" s="143"/>
      <c r="Q153" s="143"/>
      <c r="R153" s="143"/>
      <c r="S153" s="143"/>
      <c r="T153" s="143"/>
      <c r="U153" s="143"/>
      <c r="V153" s="143"/>
      <c r="W153" s="143"/>
      <c r="X153" s="143"/>
      <c r="Y153" s="143"/>
      <c r="Z153" s="143"/>
      <c r="AA153" s="143"/>
      <c r="AB153" s="143"/>
      <c r="AC153" s="143"/>
      <c r="AD153" s="143"/>
      <c r="AE153" s="143"/>
      <c r="AF153" s="143"/>
      <c r="AG153" s="143"/>
      <c r="AH153" s="143"/>
      <c r="AI153" s="143"/>
      <c r="AJ153" s="143"/>
      <c r="AK153" s="143"/>
      <c r="AL153" s="143"/>
      <c r="AM153" s="143"/>
      <c r="AN153" s="143"/>
      <c r="AO153" s="143"/>
      <c r="AP153" s="143"/>
      <c r="AQ153" s="143"/>
      <c r="AR153" s="143"/>
      <c r="AS153" s="143"/>
      <c r="AT153" s="143"/>
      <c r="AU153" s="143"/>
      <c r="AV153" s="143"/>
      <c r="AW153" s="143"/>
      <c r="AX153" s="143"/>
      <c r="AY153" s="143"/>
      <c r="AZ153" s="143"/>
      <c r="BA153" s="143"/>
      <c r="BB153" s="143"/>
      <c r="BC153" s="143"/>
      <c r="BD153" s="143"/>
      <c r="BE153" s="143"/>
      <c r="BF153" s="143"/>
      <c r="BG153" s="143"/>
      <c r="BH153" s="143"/>
      <c r="BI153" s="143"/>
      <c r="BJ153" s="143"/>
      <c r="BK153" s="143"/>
      <c r="BL153" s="143"/>
      <c r="BM153" s="143"/>
      <c r="BN153" s="143"/>
      <c r="BO153" s="143"/>
      <c r="BP153" s="143"/>
      <c r="BQ153" s="143"/>
      <c r="BR153" s="143"/>
      <c r="BS153" s="143"/>
      <c r="BT153" s="143"/>
      <c r="BU153" s="143"/>
      <c r="BV153" s="143"/>
      <c r="BW153" s="143"/>
      <c r="BX153" s="143"/>
      <c r="BY153" s="143"/>
      <c r="BZ153" s="143"/>
      <c r="CA153" s="143"/>
      <c r="CB153" s="143"/>
      <c r="CC153" s="143"/>
      <c r="CD153" s="143"/>
      <c r="CE153" s="143"/>
      <c r="CF153" s="143"/>
      <c r="CG153" s="143"/>
      <c r="CH153" s="143"/>
      <c r="CI153" s="143"/>
      <c r="CJ153" s="143"/>
      <c r="CK153" s="143"/>
      <c r="CL153" s="143"/>
      <c r="CM153" s="143"/>
      <c r="CN153" s="143"/>
      <c r="CO153" s="143"/>
      <c r="CP153" s="143"/>
      <c r="CQ153" s="143"/>
      <c r="CR153" s="143"/>
      <c r="CS153" s="143"/>
      <c r="CT153" s="143"/>
      <c r="CU153" s="143"/>
      <c r="CV153" s="143"/>
      <c r="CW153" s="143"/>
      <c r="CX153" s="143"/>
      <c r="CY153" s="143"/>
      <c r="CZ153" s="143"/>
      <c r="DA153" s="143"/>
      <c r="DB153" s="143"/>
      <c r="DC153" s="143"/>
      <c r="DD153" s="143"/>
      <c r="DE153" s="143"/>
      <c r="DF153" s="143"/>
      <c r="DG153" s="143"/>
      <c r="DH153" s="143"/>
      <c r="DI153" s="143"/>
      <c r="DJ153" s="143"/>
      <c r="DK153" s="143"/>
      <c r="DL153" s="143"/>
      <c r="DM153" s="143"/>
      <c r="DN153" s="143"/>
      <c r="DO153" s="143"/>
      <c r="DP153" s="143"/>
      <c r="DQ153" s="143"/>
      <c r="DR153" s="143"/>
      <c r="DS153" s="143"/>
      <c r="DT153" s="143"/>
      <c r="DU153" s="143"/>
      <c r="DV153" s="143"/>
      <c r="DW153" s="143"/>
      <c r="DX153" s="143"/>
      <c r="DY153" s="143"/>
      <c r="DZ153" s="143"/>
      <c r="EA153" s="143"/>
      <c r="EB153" s="143"/>
      <c r="EC153" s="143"/>
      <c r="ED153" s="143"/>
      <c r="EE153" s="143"/>
      <c r="EF153" s="143"/>
      <c r="EG153" s="143"/>
      <c r="EH153" s="143"/>
      <c r="EI153" s="143"/>
      <c r="EJ153" s="143"/>
      <c r="EK153" s="143"/>
      <c r="EL153" s="143"/>
      <c r="EM153" s="143"/>
      <c r="EN153" s="143"/>
      <c r="EO153" s="143"/>
      <c r="EP153" s="143"/>
      <c r="EQ153" s="143"/>
      <c r="ER153" s="143"/>
      <c r="ES153" s="143"/>
      <c r="ET153" s="143"/>
      <c r="EU153" s="143"/>
      <c r="EV153" s="143"/>
      <c r="EW153" s="143"/>
      <c r="EX153" s="143"/>
      <c r="EY153" s="143"/>
      <c r="EZ153" s="143"/>
      <c r="FA153" s="143"/>
      <c r="FB153" s="143"/>
      <c r="FC153" s="143"/>
      <c r="FD153" s="143"/>
      <c r="FE153" s="143"/>
      <c r="FF153" s="143"/>
      <c r="FG153" s="143"/>
      <c r="FH153" s="143"/>
      <c r="FI153" s="143"/>
      <c r="FJ153" s="143"/>
      <c r="FK153" s="143"/>
      <c r="FL153" s="143"/>
      <c r="FM153" s="143"/>
      <c r="FN153" s="143"/>
      <c r="FO153" s="143"/>
      <c r="FP153" s="143"/>
      <c r="FQ153" s="143"/>
      <c r="FR153" s="143"/>
      <c r="FS153" s="143"/>
      <c r="FT153" s="143"/>
      <c r="FU153" s="143"/>
      <c r="FV153" s="143"/>
      <c r="FW153" s="143"/>
      <c r="FX153" s="143"/>
      <c r="FY153" s="143"/>
      <c r="FZ153" s="143"/>
      <c r="GA153" s="143"/>
      <c r="GB153" s="143"/>
      <c r="GC153" s="143"/>
      <c r="GD153" s="143"/>
      <c r="GE153" s="143"/>
      <c r="GF153" s="143"/>
      <c r="GG153" s="143"/>
      <c r="GH153" s="143"/>
      <c r="GI153" s="143"/>
      <c r="GJ153" s="143"/>
      <c r="GK153" s="143"/>
      <c r="GL153" s="143"/>
      <c r="GM153" s="143"/>
      <c r="GN153" s="143"/>
      <c r="GO153" s="143"/>
      <c r="GP153" s="143"/>
      <c r="GQ153" s="143"/>
      <c r="GR153" s="143"/>
      <c r="GS153" s="143"/>
      <c r="GT153" s="143"/>
      <c r="GU153" s="143"/>
      <c r="GV153" s="143"/>
      <c r="GW153" s="143"/>
      <c r="GX153" s="143"/>
      <c r="GY153" s="143"/>
      <c r="GZ153" s="143"/>
      <c r="HA153" s="143"/>
      <c r="HB153" s="143"/>
      <c r="HC153" s="143"/>
      <c r="HD153" s="143"/>
      <c r="HE153" s="143"/>
      <c r="HF153" s="143"/>
      <c r="HG153" s="143"/>
      <c r="HH153" s="143"/>
      <c r="HI153" s="143"/>
      <c r="HJ153" s="143"/>
      <c r="HK153" s="143"/>
      <c r="HL153" s="143"/>
      <c r="HM153" s="143"/>
      <c r="HN153" s="143"/>
      <c r="HO153" s="143"/>
      <c r="HP153" s="143"/>
      <c r="HQ153" s="143"/>
      <c r="HR153" s="143"/>
      <c r="HS153" s="143"/>
      <c r="HT153" s="143"/>
      <c r="HU153" s="143"/>
      <c r="HV153" s="143"/>
      <c r="HW153" s="143"/>
      <c r="HX153" s="143"/>
    </row>
    <row r="155" spans="2:232" x14ac:dyDescent="0.2">
      <c r="B155" s="143"/>
      <c r="C155" s="143"/>
      <c r="D155" s="143"/>
      <c r="E155" s="143"/>
      <c r="F155" s="143"/>
      <c r="G155" s="143"/>
      <c r="H155" s="143"/>
      <c r="I155" s="143"/>
      <c r="J155" s="143"/>
      <c r="K155" s="143"/>
      <c r="L155" s="143"/>
      <c r="M155" s="143"/>
      <c r="N155" s="143"/>
      <c r="O155" s="143"/>
      <c r="P155" s="143"/>
      <c r="Q155" s="143"/>
      <c r="R155" s="143"/>
      <c r="S155" s="143"/>
      <c r="T155" s="143"/>
      <c r="U155" s="143"/>
      <c r="V155" s="143"/>
      <c r="W155" s="143"/>
      <c r="X155" s="143"/>
      <c r="Y155" s="143"/>
      <c r="Z155" s="143"/>
      <c r="AA155" s="143"/>
      <c r="AB155" s="143"/>
      <c r="AC155" s="143"/>
      <c r="AD155" s="143"/>
      <c r="AE155" s="143"/>
      <c r="AF155" s="143"/>
      <c r="AG155" s="143"/>
      <c r="AH155" s="143"/>
      <c r="AI155" s="143"/>
      <c r="AJ155" s="143"/>
      <c r="AK155" s="143"/>
      <c r="AL155" s="143"/>
      <c r="AM155" s="143"/>
      <c r="AN155" s="143"/>
      <c r="AO155" s="143"/>
      <c r="AP155" s="143"/>
      <c r="AQ155" s="143"/>
      <c r="AR155" s="143"/>
      <c r="AS155" s="143"/>
      <c r="AT155" s="143"/>
      <c r="AU155" s="143"/>
      <c r="AV155" s="143"/>
      <c r="AW155" s="143"/>
      <c r="AX155" s="143"/>
      <c r="AY155" s="143"/>
      <c r="AZ155" s="143"/>
      <c r="BA155" s="143"/>
      <c r="BB155" s="143"/>
      <c r="BC155" s="143"/>
      <c r="BD155" s="143"/>
      <c r="BE155" s="143"/>
      <c r="BF155" s="143"/>
      <c r="BG155" s="143"/>
      <c r="BH155" s="143"/>
      <c r="BI155" s="143"/>
      <c r="BJ155" s="143"/>
      <c r="BK155" s="143"/>
      <c r="BL155" s="143"/>
      <c r="BM155" s="143"/>
      <c r="BN155" s="143"/>
      <c r="BO155" s="143"/>
      <c r="BP155" s="143"/>
      <c r="BQ155" s="143"/>
      <c r="BR155" s="143"/>
      <c r="BS155" s="143"/>
      <c r="BT155" s="143"/>
      <c r="BU155" s="143"/>
      <c r="BV155" s="143"/>
      <c r="BW155" s="143"/>
      <c r="BX155" s="143"/>
      <c r="BY155" s="143"/>
      <c r="BZ155" s="143"/>
      <c r="CA155" s="143"/>
      <c r="CB155" s="143"/>
      <c r="CC155" s="143"/>
      <c r="CD155" s="143"/>
      <c r="CE155" s="143"/>
      <c r="CF155" s="143"/>
      <c r="CG155" s="143"/>
      <c r="CH155" s="143"/>
      <c r="CI155" s="143"/>
      <c r="CJ155" s="143"/>
      <c r="CK155" s="143"/>
      <c r="CL155" s="143"/>
      <c r="CM155" s="143"/>
      <c r="CN155" s="143"/>
      <c r="CO155" s="143"/>
      <c r="CP155" s="143"/>
      <c r="CQ155" s="143"/>
      <c r="CR155" s="143"/>
      <c r="CS155" s="143"/>
      <c r="CT155" s="143"/>
      <c r="CU155" s="143"/>
      <c r="CV155" s="143"/>
      <c r="CW155" s="143"/>
      <c r="CX155" s="143"/>
      <c r="CY155" s="143"/>
      <c r="CZ155" s="143"/>
      <c r="DA155" s="143"/>
      <c r="DB155" s="143"/>
      <c r="DC155" s="143"/>
      <c r="DD155" s="143"/>
      <c r="DE155" s="143"/>
      <c r="DF155" s="143"/>
      <c r="DG155" s="143"/>
      <c r="DH155" s="143"/>
      <c r="DI155" s="143"/>
      <c r="DJ155" s="143"/>
      <c r="DK155" s="143"/>
      <c r="DL155" s="143"/>
      <c r="DM155" s="143"/>
      <c r="DN155" s="143"/>
      <c r="DO155" s="143"/>
      <c r="DP155" s="143"/>
      <c r="DQ155" s="143"/>
      <c r="DR155" s="143"/>
      <c r="DS155" s="143"/>
      <c r="DT155" s="143"/>
      <c r="DU155" s="143"/>
      <c r="DV155" s="143"/>
      <c r="DW155" s="143"/>
      <c r="DX155" s="143"/>
      <c r="DY155" s="143"/>
      <c r="DZ155" s="143"/>
      <c r="EA155" s="143"/>
      <c r="EB155" s="143"/>
      <c r="EC155" s="143"/>
      <c r="ED155" s="143"/>
      <c r="EE155" s="143"/>
      <c r="EF155" s="143"/>
      <c r="EG155" s="143"/>
      <c r="EH155" s="143"/>
      <c r="EI155" s="143"/>
      <c r="EJ155" s="143"/>
      <c r="EK155" s="143"/>
      <c r="EL155" s="143"/>
      <c r="EM155" s="143"/>
      <c r="EN155" s="143"/>
      <c r="EO155" s="143"/>
      <c r="EP155" s="143"/>
      <c r="EQ155" s="143"/>
      <c r="ER155" s="143"/>
      <c r="ES155" s="143"/>
      <c r="ET155" s="143"/>
      <c r="EU155" s="143"/>
      <c r="EV155" s="143"/>
      <c r="EW155" s="143"/>
      <c r="EX155" s="143"/>
      <c r="EY155" s="143"/>
      <c r="EZ155" s="143"/>
      <c r="FA155" s="143"/>
      <c r="FB155" s="143"/>
      <c r="FC155" s="143"/>
      <c r="FD155" s="143"/>
      <c r="FE155" s="143"/>
      <c r="FF155" s="143"/>
      <c r="FG155" s="143"/>
      <c r="FH155" s="143"/>
      <c r="FI155" s="143"/>
      <c r="FJ155" s="143"/>
      <c r="FK155" s="143"/>
      <c r="FL155" s="143"/>
      <c r="FM155" s="143"/>
      <c r="FN155" s="143"/>
      <c r="FO155" s="143"/>
      <c r="FP155" s="143"/>
      <c r="FQ155" s="143"/>
      <c r="FR155" s="143"/>
      <c r="FS155" s="143"/>
      <c r="FT155" s="143"/>
      <c r="FU155" s="143"/>
      <c r="FV155" s="143"/>
      <c r="FW155" s="143"/>
      <c r="FX155" s="143"/>
      <c r="FY155" s="143"/>
      <c r="FZ155" s="143"/>
      <c r="GA155" s="143"/>
      <c r="GB155" s="143"/>
      <c r="GC155" s="143"/>
      <c r="GD155" s="143"/>
      <c r="GE155" s="143"/>
      <c r="GF155" s="143"/>
      <c r="GG155" s="143"/>
      <c r="GH155" s="143"/>
      <c r="GI155" s="143"/>
      <c r="GJ155" s="143"/>
      <c r="GK155" s="143"/>
      <c r="GL155" s="143"/>
      <c r="GM155" s="143"/>
      <c r="GN155" s="143"/>
      <c r="GO155" s="143"/>
      <c r="GP155" s="143"/>
      <c r="GQ155" s="143"/>
      <c r="GR155" s="143"/>
      <c r="GS155" s="143"/>
      <c r="GT155" s="143"/>
      <c r="GU155" s="143"/>
      <c r="GV155" s="143"/>
      <c r="GW155" s="143"/>
      <c r="GX155" s="143"/>
      <c r="GY155" s="143"/>
      <c r="GZ155" s="143"/>
      <c r="HA155" s="143"/>
      <c r="HB155" s="143"/>
      <c r="HC155" s="143"/>
      <c r="HD155" s="143"/>
      <c r="HE155" s="143"/>
      <c r="HF155" s="143"/>
      <c r="HG155" s="143"/>
      <c r="HH155" s="143"/>
      <c r="HI155" s="143"/>
      <c r="HJ155" s="143"/>
      <c r="HK155" s="143"/>
      <c r="HL155" s="143"/>
      <c r="HM155" s="143"/>
      <c r="HN155" s="143"/>
      <c r="HO155" s="143"/>
      <c r="HP155" s="143"/>
      <c r="HQ155" s="143"/>
      <c r="HR155" s="143"/>
      <c r="HS155" s="143"/>
      <c r="HT155" s="143"/>
      <c r="HU155" s="143"/>
      <c r="HV155" s="143"/>
      <c r="HW155" s="143"/>
      <c r="HX155" s="143"/>
    </row>
    <row r="157" spans="2:232" x14ac:dyDescent="0.2">
      <c r="B157" s="143"/>
      <c r="C157" s="143"/>
      <c r="D157" s="143"/>
      <c r="E157" s="143"/>
      <c r="F157" s="143"/>
      <c r="G157" s="143"/>
      <c r="H157" s="143"/>
      <c r="I157" s="143"/>
      <c r="J157" s="143"/>
      <c r="K157" s="143"/>
      <c r="L157" s="143"/>
      <c r="M157" s="143"/>
      <c r="N157" s="143"/>
      <c r="O157" s="143"/>
      <c r="P157" s="143"/>
      <c r="Q157" s="143"/>
      <c r="R157" s="143"/>
      <c r="S157" s="143"/>
      <c r="T157" s="143"/>
      <c r="U157" s="143"/>
      <c r="V157" s="143"/>
      <c r="W157" s="143"/>
      <c r="X157" s="143"/>
      <c r="Y157" s="143"/>
      <c r="Z157" s="143"/>
      <c r="AA157" s="143"/>
      <c r="AB157" s="143"/>
      <c r="AC157" s="143"/>
      <c r="AD157" s="143"/>
      <c r="AE157" s="143"/>
      <c r="AF157" s="143"/>
      <c r="AG157" s="143"/>
      <c r="AH157" s="143"/>
      <c r="AI157" s="143"/>
      <c r="AJ157" s="143"/>
      <c r="AK157" s="143"/>
      <c r="AL157" s="143"/>
      <c r="AM157" s="143"/>
      <c r="AN157" s="143"/>
      <c r="AO157" s="143"/>
      <c r="AP157" s="143"/>
      <c r="AQ157" s="143"/>
      <c r="AR157" s="143"/>
      <c r="AS157" s="143"/>
      <c r="AT157" s="143"/>
      <c r="AU157" s="143"/>
      <c r="AV157" s="143"/>
      <c r="AW157" s="143"/>
      <c r="AX157" s="143"/>
      <c r="AY157" s="143"/>
      <c r="AZ157" s="143"/>
      <c r="BA157" s="143"/>
      <c r="BB157" s="143"/>
      <c r="BC157" s="143"/>
      <c r="BD157" s="143"/>
      <c r="BE157" s="143"/>
      <c r="BF157" s="143"/>
      <c r="BG157" s="143"/>
      <c r="BH157" s="143"/>
      <c r="BI157" s="143"/>
      <c r="BJ157" s="143"/>
      <c r="BK157" s="143"/>
      <c r="BL157" s="143"/>
      <c r="BM157" s="143"/>
      <c r="BN157" s="143"/>
      <c r="BO157" s="143"/>
      <c r="BP157" s="143"/>
      <c r="BQ157" s="143"/>
      <c r="BR157" s="143"/>
      <c r="BS157" s="143"/>
      <c r="BT157" s="143"/>
      <c r="BU157" s="143"/>
      <c r="BV157" s="143"/>
      <c r="BW157" s="143"/>
      <c r="BX157" s="143"/>
      <c r="BY157" s="143"/>
      <c r="BZ157" s="143"/>
      <c r="CA157" s="143"/>
      <c r="CB157" s="143"/>
      <c r="CC157" s="143"/>
      <c r="CD157" s="143"/>
      <c r="CE157" s="143"/>
      <c r="CF157" s="143"/>
      <c r="CG157" s="143"/>
      <c r="CH157" s="143"/>
      <c r="CI157" s="143"/>
      <c r="CJ157" s="143"/>
      <c r="CK157" s="143"/>
      <c r="CL157" s="143"/>
      <c r="CM157" s="143"/>
      <c r="CN157" s="143"/>
      <c r="CO157" s="143"/>
      <c r="CP157" s="143"/>
      <c r="CQ157" s="143"/>
      <c r="CR157" s="143"/>
      <c r="CS157" s="143"/>
      <c r="CT157" s="143"/>
      <c r="CU157" s="143"/>
      <c r="CV157" s="143"/>
      <c r="CW157" s="143"/>
      <c r="CX157" s="143"/>
      <c r="CY157" s="143"/>
      <c r="CZ157" s="143"/>
      <c r="DA157" s="143"/>
      <c r="DB157" s="143"/>
      <c r="DC157" s="143"/>
      <c r="DD157" s="143"/>
      <c r="DE157" s="143"/>
      <c r="DF157" s="143"/>
      <c r="DG157" s="143"/>
      <c r="DH157" s="143"/>
      <c r="DI157" s="143"/>
      <c r="DJ157" s="143"/>
      <c r="DK157" s="143"/>
      <c r="DL157" s="143"/>
      <c r="DM157" s="143"/>
      <c r="DN157" s="143"/>
      <c r="DO157" s="143"/>
      <c r="DP157" s="143"/>
      <c r="DQ157" s="143"/>
      <c r="DR157" s="143"/>
      <c r="DS157" s="143"/>
      <c r="DT157" s="143"/>
      <c r="DU157" s="143"/>
      <c r="DV157" s="143"/>
      <c r="DW157" s="143"/>
      <c r="DX157" s="143"/>
      <c r="DY157" s="143"/>
      <c r="DZ157" s="143"/>
      <c r="EA157" s="143"/>
      <c r="EB157" s="143"/>
      <c r="EC157" s="143"/>
      <c r="ED157" s="143"/>
      <c r="EE157" s="143"/>
      <c r="EF157" s="143"/>
      <c r="EG157" s="143"/>
      <c r="EH157" s="143"/>
      <c r="EI157" s="143"/>
      <c r="EJ157" s="143"/>
      <c r="EK157" s="143"/>
      <c r="EL157" s="143"/>
      <c r="EM157" s="143"/>
      <c r="EN157" s="143"/>
      <c r="EO157" s="143"/>
      <c r="EP157" s="143"/>
      <c r="EQ157" s="143"/>
      <c r="ER157" s="143"/>
      <c r="ES157" s="143"/>
      <c r="ET157" s="143"/>
      <c r="EU157" s="143"/>
      <c r="EV157" s="143"/>
      <c r="EW157" s="143"/>
      <c r="EX157" s="143"/>
      <c r="EY157" s="143"/>
      <c r="EZ157" s="143"/>
      <c r="FA157" s="143"/>
      <c r="FB157" s="143"/>
      <c r="FC157" s="143"/>
      <c r="FD157" s="143"/>
      <c r="FE157" s="143"/>
      <c r="FF157" s="143"/>
      <c r="FG157" s="143"/>
      <c r="FH157" s="143"/>
      <c r="FI157" s="143"/>
      <c r="FJ157" s="143"/>
      <c r="FK157" s="143"/>
      <c r="FL157" s="143"/>
      <c r="FM157" s="143"/>
      <c r="FN157" s="143"/>
      <c r="FO157" s="143"/>
      <c r="FP157" s="143"/>
      <c r="FQ157" s="143"/>
      <c r="FR157" s="143"/>
      <c r="FS157" s="143"/>
      <c r="FT157" s="143"/>
      <c r="FU157" s="143"/>
      <c r="FV157" s="143"/>
      <c r="FW157" s="143"/>
      <c r="FX157" s="143"/>
      <c r="FY157" s="143"/>
      <c r="FZ157" s="143"/>
      <c r="GA157" s="143"/>
      <c r="GB157" s="143"/>
      <c r="GC157" s="143"/>
      <c r="GD157" s="143"/>
      <c r="GE157" s="143"/>
      <c r="GF157" s="143"/>
      <c r="GG157" s="143"/>
      <c r="GH157" s="143"/>
      <c r="GI157" s="143"/>
      <c r="GJ157" s="143"/>
      <c r="GK157" s="143"/>
      <c r="GL157" s="143"/>
      <c r="GM157" s="143"/>
      <c r="GN157" s="143"/>
      <c r="GO157" s="143"/>
      <c r="GP157" s="143"/>
      <c r="GQ157" s="143"/>
      <c r="GR157" s="143"/>
      <c r="GS157" s="143"/>
      <c r="GT157" s="143"/>
      <c r="GU157" s="143"/>
      <c r="GV157" s="143"/>
      <c r="GW157" s="143"/>
      <c r="GX157" s="143"/>
      <c r="GY157" s="143"/>
      <c r="GZ157" s="143"/>
      <c r="HA157" s="143"/>
      <c r="HB157" s="143"/>
      <c r="HC157" s="143"/>
      <c r="HD157" s="143"/>
      <c r="HE157" s="143"/>
      <c r="HF157" s="143"/>
      <c r="HG157" s="143"/>
      <c r="HH157" s="143"/>
      <c r="HI157" s="143"/>
      <c r="HJ157" s="143"/>
      <c r="HK157" s="143"/>
      <c r="HL157" s="143"/>
      <c r="HM157" s="143"/>
      <c r="HN157" s="143"/>
      <c r="HO157" s="143"/>
      <c r="HP157" s="143"/>
      <c r="HQ157" s="143"/>
      <c r="HR157" s="143"/>
      <c r="HS157" s="143"/>
      <c r="HT157" s="143"/>
      <c r="HU157" s="143"/>
      <c r="HV157" s="143"/>
      <c r="HW157" s="143"/>
      <c r="HX157" s="143"/>
    </row>
    <row r="159" spans="2:232" x14ac:dyDescent="0.2">
      <c r="B159" s="143"/>
      <c r="C159" s="143"/>
      <c r="D159" s="143"/>
      <c r="E159" s="143"/>
      <c r="F159" s="143"/>
      <c r="G159" s="143"/>
      <c r="H159" s="143"/>
      <c r="I159" s="143"/>
      <c r="J159" s="143"/>
      <c r="K159" s="143"/>
      <c r="L159" s="143"/>
      <c r="M159" s="143"/>
      <c r="N159" s="143"/>
      <c r="O159" s="143"/>
      <c r="P159" s="143"/>
      <c r="Q159" s="143"/>
      <c r="R159" s="143"/>
      <c r="S159" s="143"/>
      <c r="T159" s="143"/>
      <c r="U159" s="143"/>
      <c r="V159" s="143"/>
      <c r="W159" s="143"/>
      <c r="X159" s="143"/>
      <c r="Y159" s="143"/>
      <c r="Z159" s="143"/>
      <c r="AA159" s="143"/>
      <c r="AB159" s="143"/>
      <c r="AC159" s="143"/>
      <c r="AD159" s="143"/>
      <c r="AE159" s="143"/>
      <c r="AF159" s="143"/>
      <c r="AG159" s="143"/>
      <c r="AH159" s="143"/>
      <c r="AI159" s="143"/>
      <c r="AJ159" s="143"/>
      <c r="AK159" s="143"/>
      <c r="AL159" s="143"/>
      <c r="AM159" s="143"/>
      <c r="AN159" s="143"/>
      <c r="AO159" s="143"/>
      <c r="AP159" s="143"/>
      <c r="AQ159" s="143"/>
      <c r="AR159" s="143"/>
      <c r="AS159" s="143"/>
      <c r="AT159" s="143"/>
      <c r="AU159" s="143"/>
      <c r="AV159" s="143"/>
      <c r="AW159" s="143"/>
      <c r="AX159" s="143"/>
      <c r="AY159" s="143"/>
      <c r="AZ159" s="143"/>
      <c r="BA159" s="143"/>
      <c r="BB159" s="143"/>
      <c r="BC159" s="143"/>
      <c r="BD159" s="143"/>
      <c r="BE159" s="143"/>
      <c r="BF159" s="143"/>
      <c r="BG159" s="143"/>
      <c r="BH159" s="143"/>
      <c r="BI159" s="143"/>
      <c r="BJ159" s="143"/>
      <c r="BK159" s="143"/>
      <c r="BL159" s="143"/>
      <c r="BM159" s="143"/>
      <c r="BN159" s="143"/>
      <c r="BO159" s="143"/>
      <c r="BP159" s="143"/>
      <c r="BQ159" s="143"/>
      <c r="BR159" s="143"/>
      <c r="BS159" s="143"/>
      <c r="BT159" s="143"/>
      <c r="BU159" s="143"/>
      <c r="BV159" s="143"/>
      <c r="BW159" s="143"/>
      <c r="BX159" s="143"/>
      <c r="BY159" s="143"/>
      <c r="BZ159" s="143"/>
      <c r="CA159" s="143"/>
      <c r="CB159" s="143"/>
      <c r="CC159" s="143"/>
      <c r="CD159" s="143"/>
      <c r="CE159" s="143"/>
      <c r="CF159" s="143"/>
      <c r="CG159" s="143"/>
      <c r="CH159" s="143"/>
      <c r="CI159" s="143"/>
      <c r="CJ159" s="143"/>
      <c r="CK159" s="143"/>
      <c r="CL159" s="143"/>
      <c r="CM159" s="143"/>
      <c r="CN159" s="143"/>
      <c r="CO159" s="143"/>
      <c r="CP159" s="143"/>
      <c r="CQ159" s="143"/>
      <c r="CR159" s="143"/>
      <c r="CS159" s="143"/>
      <c r="CT159" s="143"/>
      <c r="CU159" s="143"/>
      <c r="CV159" s="143"/>
      <c r="CW159" s="143"/>
      <c r="CX159" s="143"/>
      <c r="CY159" s="143"/>
      <c r="CZ159" s="143"/>
      <c r="DA159" s="143"/>
      <c r="DB159" s="143"/>
      <c r="DC159" s="143"/>
      <c r="DD159" s="143"/>
      <c r="DE159" s="143"/>
      <c r="DF159" s="143"/>
      <c r="DG159" s="143"/>
      <c r="DH159" s="143"/>
      <c r="DI159" s="143"/>
      <c r="DJ159" s="143"/>
      <c r="DK159" s="143"/>
      <c r="DL159" s="143"/>
      <c r="DM159" s="143"/>
      <c r="DN159" s="143"/>
      <c r="DO159" s="143"/>
      <c r="DP159" s="143"/>
      <c r="DQ159" s="143"/>
      <c r="DR159" s="143"/>
      <c r="DS159" s="143"/>
      <c r="DT159" s="143"/>
      <c r="DU159" s="143"/>
      <c r="DV159" s="143"/>
      <c r="DW159" s="143"/>
      <c r="DX159" s="143"/>
      <c r="DY159" s="143"/>
      <c r="DZ159" s="143"/>
      <c r="EA159" s="143"/>
      <c r="EB159" s="143"/>
      <c r="EC159" s="143"/>
      <c r="ED159" s="143"/>
      <c r="EE159" s="143"/>
      <c r="EF159" s="143"/>
      <c r="EG159" s="143"/>
      <c r="EH159" s="143"/>
      <c r="EI159" s="143"/>
      <c r="EJ159" s="143"/>
      <c r="EK159" s="143"/>
      <c r="EL159" s="143"/>
      <c r="EM159" s="143"/>
      <c r="EN159" s="143"/>
      <c r="EO159" s="143"/>
      <c r="EP159" s="143"/>
      <c r="EQ159" s="143"/>
      <c r="ER159" s="143"/>
      <c r="ES159" s="143"/>
      <c r="ET159" s="143"/>
      <c r="EU159" s="143"/>
      <c r="EV159" s="143"/>
      <c r="EW159" s="143"/>
      <c r="EX159" s="143"/>
      <c r="EY159" s="143"/>
      <c r="EZ159" s="143"/>
      <c r="FA159" s="143"/>
      <c r="FB159" s="143"/>
      <c r="FC159" s="143"/>
      <c r="FD159" s="143"/>
      <c r="FE159" s="143"/>
      <c r="FF159" s="143"/>
      <c r="FG159" s="143"/>
      <c r="FH159" s="143"/>
      <c r="FI159" s="143"/>
      <c r="FJ159" s="143"/>
      <c r="FK159" s="143"/>
      <c r="FL159" s="143"/>
      <c r="FM159" s="143"/>
      <c r="FN159" s="143"/>
      <c r="FO159" s="143"/>
      <c r="FP159" s="143"/>
      <c r="FQ159" s="143"/>
      <c r="FR159" s="143"/>
      <c r="FS159" s="143"/>
      <c r="FT159" s="143"/>
      <c r="FU159" s="143"/>
      <c r="FV159" s="143"/>
      <c r="FW159" s="143"/>
      <c r="FX159" s="143"/>
      <c r="FY159" s="143"/>
      <c r="FZ159" s="143"/>
      <c r="GA159" s="143"/>
      <c r="GB159" s="143"/>
      <c r="GC159" s="143"/>
      <c r="GD159" s="143"/>
      <c r="GE159" s="143"/>
      <c r="GF159" s="143"/>
      <c r="GG159" s="143"/>
      <c r="GH159" s="143"/>
      <c r="GI159" s="143"/>
      <c r="GJ159" s="143"/>
      <c r="GK159" s="143"/>
      <c r="GL159" s="143"/>
      <c r="GM159" s="143"/>
      <c r="GN159" s="143"/>
      <c r="GO159" s="143"/>
      <c r="GP159" s="143"/>
      <c r="GQ159" s="143"/>
      <c r="GR159" s="143"/>
      <c r="GS159" s="143"/>
      <c r="GT159" s="143"/>
      <c r="GU159" s="143"/>
      <c r="GV159" s="143"/>
      <c r="GW159" s="143"/>
      <c r="GX159" s="143"/>
      <c r="GY159" s="143"/>
      <c r="GZ159" s="143"/>
      <c r="HA159" s="143"/>
      <c r="HB159" s="143"/>
      <c r="HC159" s="143"/>
      <c r="HD159" s="143"/>
      <c r="HE159" s="143"/>
      <c r="HF159" s="143"/>
      <c r="HG159" s="143"/>
      <c r="HH159" s="143"/>
      <c r="HI159" s="143"/>
      <c r="HJ159" s="143"/>
      <c r="HK159" s="143"/>
      <c r="HL159" s="143"/>
      <c r="HM159" s="143"/>
      <c r="HN159" s="143"/>
      <c r="HO159" s="143"/>
      <c r="HP159" s="143"/>
      <c r="HQ159" s="143"/>
      <c r="HR159" s="143"/>
      <c r="HS159" s="143"/>
      <c r="HT159" s="143"/>
      <c r="HU159" s="143"/>
      <c r="HV159" s="143"/>
      <c r="HW159" s="143"/>
      <c r="HX159" s="143"/>
    </row>
    <row r="161" spans="2:232" x14ac:dyDescent="0.2">
      <c r="B161" s="143"/>
      <c r="C161" s="143"/>
      <c r="D161" s="143"/>
      <c r="E161" s="143"/>
      <c r="F161" s="143"/>
      <c r="G161" s="143"/>
      <c r="H161" s="143"/>
      <c r="I161" s="143"/>
      <c r="J161" s="143"/>
      <c r="K161" s="143"/>
      <c r="L161" s="143"/>
      <c r="M161" s="143"/>
      <c r="N161" s="143"/>
      <c r="O161" s="143"/>
      <c r="P161" s="143"/>
      <c r="Q161" s="143"/>
      <c r="R161" s="143"/>
      <c r="S161" s="143"/>
      <c r="T161" s="143"/>
      <c r="U161" s="143"/>
      <c r="V161" s="143"/>
      <c r="W161" s="143"/>
      <c r="X161" s="143"/>
      <c r="Y161" s="143"/>
      <c r="Z161" s="143"/>
      <c r="AA161" s="143"/>
      <c r="AB161" s="143"/>
      <c r="AC161" s="143"/>
      <c r="AD161" s="143"/>
      <c r="AE161" s="143"/>
      <c r="AF161" s="143"/>
      <c r="AG161" s="143"/>
      <c r="AH161" s="143"/>
      <c r="AI161" s="143"/>
      <c r="AJ161" s="143"/>
      <c r="AK161" s="143"/>
      <c r="AL161" s="143"/>
      <c r="AM161" s="143"/>
      <c r="AN161" s="143"/>
      <c r="AO161" s="143"/>
      <c r="AP161" s="143"/>
      <c r="AQ161" s="143"/>
      <c r="AR161" s="143"/>
      <c r="AS161" s="143"/>
      <c r="AT161" s="143"/>
      <c r="AU161" s="143"/>
      <c r="AV161" s="143"/>
      <c r="AW161" s="143"/>
      <c r="AX161" s="143"/>
      <c r="AY161" s="143"/>
      <c r="AZ161" s="143"/>
      <c r="BA161" s="143"/>
      <c r="BB161" s="143"/>
      <c r="BC161" s="143"/>
      <c r="BD161" s="143"/>
      <c r="BE161" s="143"/>
      <c r="BF161" s="143"/>
      <c r="BG161" s="143"/>
      <c r="BH161" s="143"/>
      <c r="BI161" s="143"/>
      <c r="BJ161" s="143"/>
      <c r="BK161" s="143"/>
      <c r="BL161" s="143"/>
      <c r="BM161" s="143"/>
      <c r="BN161" s="143"/>
      <c r="BO161" s="143"/>
      <c r="BP161" s="143"/>
      <c r="BQ161" s="143"/>
      <c r="BR161" s="143"/>
      <c r="BS161" s="143"/>
      <c r="BT161" s="143"/>
      <c r="BU161" s="143"/>
      <c r="BV161" s="143"/>
      <c r="BW161" s="143"/>
      <c r="BX161" s="143"/>
      <c r="BY161" s="143"/>
      <c r="BZ161" s="143"/>
      <c r="CA161" s="143"/>
      <c r="CB161" s="143"/>
      <c r="CC161" s="143"/>
      <c r="CD161" s="143"/>
      <c r="CE161" s="143"/>
      <c r="CF161" s="143"/>
      <c r="CG161" s="143"/>
      <c r="CH161" s="143"/>
      <c r="CI161" s="143"/>
      <c r="CJ161" s="143"/>
      <c r="CK161" s="143"/>
      <c r="CL161" s="143"/>
      <c r="CM161" s="143"/>
      <c r="CN161" s="143"/>
      <c r="CO161" s="143"/>
      <c r="CP161" s="143"/>
      <c r="CQ161" s="143"/>
      <c r="CR161" s="143"/>
      <c r="CS161" s="143"/>
      <c r="CT161" s="143"/>
      <c r="CU161" s="143"/>
      <c r="CV161" s="143"/>
      <c r="CW161" s="143"/>
      <c r="CX161" s="143"/>
      <c r="CY161" s="143"/>
      <c r="CZ161" s="143"/>
      <c r="DA161" s="143"/>
      <c r="DB161" s="143"/>
      <c r="DC161" s="143"/>
      <c r="DD161" s="143"/>
      <c r="DE161" s="143"/>
      <c r="DF161" s="143"/>
      <c r="DG161" s="143"/>
      <c r="DH161" s="143"/>
      <c r="DI161" s="143"/>
      <c r="DJ161" s="143"/>
      <c r="DK161" s="143"/>
      <c r="DL161" s="143"/>
      <c r="DM161" s="143"/>
      <c r="DN161" s="143"/>
      <c r="DO161" s="143"/>
      <c r="DP161" s="143"/>
      <c r="DQ161" s="143"/>
      <c r="DR161" s="143"/>
      <c r="DS161" s="143"/>
      <c r="DT161" s="143"/>
      <c r="DU161" s="143"/>
      <c r="DV161" s="143"/>
      <c r="DW161" s="143"/>
      <c r="DX161" s="143"/>
      <c r="DY161" s="143"/>
      <c r="DZ161" s="143"/>
      <c r="EA161" s="143"/>
      <c r="EB161" s="143"/>
      <c r="EC161" s="143"/>
      <c r="ED161" s="143"/>
      <c r="EE161" s="143"/>
      <c r="EF161" s="143"/>
      <c r="EG161" s="143"/>
      <c r="EH161" s="143"/>
      <c r="EI161" s="143"/>
      <c r="EJ161" s="143"/>
      <c r="EK161" s="143"/>
      <c r="EL161" s="143"/>
      <c r="EM161" s="143"/>
      <c r="EN161" s="143"/>
      <c r="EO161" s="143"/>
      <c r="EP161" s="143"/>
      <c r="EQ161" s="143"/>
      <c r="ER161" s="143"/>
      <c r="ES161" s="143"/>
      <c r="ET161" s="143"/>
      <c r="EU161" s="143"/>
      <c r="EV161" s="143"/>
      <c r="EW161" s="143"/>
      <c r="EX161" s="143"/>
      <c r="EY161" s="143"/>
      <c r="EZ161" s="143"/>
      <c r="FA161" s="143"/>
      <c r="FB161" s="143"/>
      <c r="FC161" s="143"/>
      <c r="FD161" s="143"/>
      <c r="FE161" s="143"/>
      <c r="FF161" s="143"/>
      <c r="FG161" s="143"/>
      <c r="FH161" s="143"/>
      <c r="FI161" s="143"/>
      <c r="FJ161" s="143"/>
      <c r="FK161" s="143"/>
      <c r="FL161" s="143"/>
      <c r="FM161" s="143"/>
      <c r="FN161" s="143"/>
      <c r="FO161" s="143"/>
      <c r="FP161" s="143"/>
      <c r="FQ161" s="143"/>
      <c r="FR161" s="143"/>
      <c r="FS161" s="143"/>
      <c r="FT161" s="143"/>
      <c r="FU161" s="143"/>
      <c r="FV161" s="143"/>
      <c r="FW161" s="143"/>
      <c r="FX161" s="143"/>
      <c r="FY161" s="143"/>
      <c r="FZ161" s="143"/>
      <c r="GA161" s="143"/>
      <c r="GB161" s="143"/>
      <c r="GC161" s="143"/>
      <c r="GD161" s="143"/>
      <c r="GE161" s="143"/>
      <c r="GF161" s="143"/>
      <c r="GG161" s="143"/>
      <c r="GH161" s="143"/>
      <c r="GI161" s="143"/>
      <c r="GJ161" s="143"/>
      <c r="GK161" s="143"/>
      <c r="GL161" s="143"/>
      <c r="GM161" s="143"/>
      <c r="GN161" s="143"/>
      <c r="GO161" s="143"/>
      <c r="GP161" s="143"/>
      <c r="GQ161" s="143"/>
      <c r="GR161" s="143"/>
      <c r="GS161" s="143"/>
      <c r="GT161" s="143"/>
      <c r="GU161" s="143"/>
      <c r="GV161" s="143"/>
      <c r="GW161" s="143"/>
      <c r="GX161" s="143"/>
      <c r="GY161" s="143"/>
      <c r="GZ161" s="143"/>
      <c r="HA161" s="143"/>
      <c r="HB161" s="143"/>
      <c r="HC161" s="143"/>
      <c r="HD161" s="143"/>
      <c r="HE161" s="143"/>
      <c r="HF161" s="143"/>
      <c r="HG161" s="143"/>
      <c r="HH161" s="143"/>
      <c r="HI161" s="143"/>
      <c r="HJ161" s="143"/>
      <c r="HK161" s="143"/>
      <c r="HL161" s="143"/>
      <c r="HM161" s="143"/>
      <c r="HN161" s="143"/>
      <c r="HO161" s="143"/>
      <c r="HP161" s="143"/>
      <c r="HQ161" s="143"/>
      <c r="HR161" s="143"/>
      <c r="HS161" s="143"/>
      <c r="HT161" s="143"/>
      <c r="HU161" s="143"/>
      <c r="HV161" s="143"/>
      <c r="HW161" s="143"/>
      <c r="HX161" s="143"/>
    </row>
  </sheetData>
  <mergeCells count="1">
    <mergeCell ref="A2:C2"/>
  </mergeCells>
  <pageMargins left="0.75" right="0.75" top="1" bottom="1" header="0" footer="0"/>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X170"/>
  <sheetViews>
    <sheetView workbookViewId="0">
      <selection activeCell="B1" sqref="B1"/>
    </sheetView>
  </sheetViews>
  <sheetFormatPr baseColWidth="10" defaultColWidth="11.6640625" defaultRowHeight="15" x14ac:dyDescent="0.2"/>
  <cols>
    <col min="1" max="1" width="38.83203125" style="106" customWidth="1"/>
    <col min="2" max="2" width="11.6640625" style="106"/>
    <col min="3" max="3" width="6.1640625" style="106" customWidth="1"/>
    <col min="4" max="4" width="12.83203125" style="106" customWidth="1"/>
    <col min="5" max="5" width="6.6640625" style="106" customWidth="1"/>
    <col min="6" max="6" width="12.1640625" style="106" customWidth="1"/>
    <col min="7" max="7" width="6.1640625" style="106" customWidth="1"/>
    <col min="8" max="8" width="11.6640625" style="106"/>
    <col min="9" max="9" width="6.1640625" style="106" customWidth="1"/>
    <col min="10" max="10" width="8.33203125" style="106" customWidth="1"/>
    <col min="11" max="11" width="11.6640625" style="106"/>
    <col min="12" max="13" width="6.1640625" style="106" customWidth="1"/>
    <col min="14" max="14" width="11.6640625" style="106"/>
    <col min="15" max="16" width="6.1640625" style="106" customWidth="1"/>
    <col min="17" max="17" width="11.6640625" style="106"/>
    <col min="18" max="19" width="6.1640625" style="106" customWidth="1"/>
    <col min="20" max="20" width="11.6640625" style="106"/>
    <col min="21" max="22" width="6.1640625" style="106" customWidth="1"/>
    <col min="23" max="23" width="11.6640625" style="106"/>
    <col min="24" max="25" width="6.1640625" style="106" customWidth="1"/>
    <col min="26" max="26" width="11.6640625" style="106"/>
    <col min="27" max="28" width="6.1640625" style="106" customWidth="1"/>
    <col min="29" max="29" width="11.6640625" style="106"/>
    <col min="30" max="31" width="6.1640625" style="106" customWidth="1"/>
    <col min="32" max="32" width="11.6640625" style="106"/>
    <col min="33" max="34" width="6.1640625" style="106" customWidth="1"/>
    <col min="35" max="35" width="11.6640625" style="106"/>
    <col min="36" max="37" width="6.1640625" style="106" customWidth="1"/>
    <col min="38" max="38" width="11.6640625" style="106"/>
    <col min="39" max="40" width="6.1640625" style="106" customWidth="1"/>
    <col min="41" max="41" width="11.6640625" style="106"/>
    <col min="42" max="43" width="6.1640625" style="106" customWidth="1"/>
    <col min="44" max="44" width="11.6640625" style="106"/>
    <col min="45" max="46" width="6.1640625" style="106" customWidth="1"/>
    <col min="47" max="47" width="11.6640625" style="106"/>
    <col min="48" max="49" width="6.1640625" style="106" customWidth="1"/>
    <col min="50" max="50" width="11.6640625" style="106"/>
    <col min="51" max="52" width="6.1640625" style="106" customWidth="1"/>
    <col min="53" max="53" width="11.6640625" style="106"/>
    <col min="54" max="55" width="6.1640625" style="106" customWidth="1"/>
    <col min="56" max="56" width="11.6640625" style="106"/>
    <col min="57" max="58" width="6.1640625" style="106" customWidth="1"/>
    <col min="59" max="59" width="11.6640625" style="106"/>
    <col min="60" max="61" width="6.1640625" style="106" customWidth="1"/>
    <col min="62" max="62" width="11.6640625" style="106"/>
    <col min="63" max="64" width="6.1640625" style="106" customWidth="1"/>
    <col min="65" max="65" width="11.6640625" style="106"/>
    <col min="66" max="67" width="6.1640625" style="106" customWidth="1"/>
    <col min="68" max="68" width="11.6640625" style="106"/>
    <col min="69" max="70" width="6.1640625" style="106" customWidth="1"/>
    <col min="71" max="71" width="11.6640625" style="106"/>
    <col min="72" max="73" width="6.1640625" style="106" customWidth="1"/>
    <col min="74" max="74" width="11.6640625" style="106"/>
    <col min="75" max="76" width="6.1640625" style="106" customWidth="1"/>
    <col min="77" max="77" width="11.6640625" style="106"/>
    <col min="78" max="79" width="6.1640625" style="106" customWidth="1"/>
    <col min="80" max="80" width="11.6640625" style="106"/>
    <col min="81" max="82" width="6.1640625" style="106" customWidth="1"/>
    <col min="83" max="83" width="11.6640625" style="106"/>
    <col min="84" max="85" width="6.1640625" style="106" customWidth="1"/>
    <col min="86" max="86" width="11.6640625" style="106"/>
    <col min="87" max="88" width="6.1640625" style="106" customWidth="1"/>
    <col min="89" max="89" width="11.6640625" style="106"/>
    <col min="90" max="91" width="6.1640625" style="106" customWidth="1"/>
    <col min="92" max="92" width="11.6640625" style="106"/>
    <col min="93" max="94" width="6.1640625" style="106" customWidth="1"/>
    <col min="95" max="95" width="11.6640625" style="106"/>
    <col min="96" max="97" width="6.1640625" style="106" customWidth="1"/>
    <col min="98" max="98" width="11.6640625" style="106"/>
    <col min="99" max="100" width="6.1640625" style="106" customWidth="1"/>
    <col min="101" max="101" width="11.6640625" style="106"/>
    <col min="102" max="103" width="6.1640625" style="106" customWidth="1"/>
    <col min="104" max="104" width="11.6640625" style="106"/>
    <col min="105" max="106" width="6.1640625" style="106" customWidth="1"/>
    <col min="107" max="107" width="11.6640625" style="106"/>
    <col min="108" max="109" width="6.1640625" style="106" customWidth="1"/>
    <col min="110" max="110" width="11.6640625" style="106"/>
    <col min="111" max="112" width="6.1640625" style="106" customWidth="1"/>
    <col min="113" max="113" width="11.6640625" style="106"/>
    <col min="114" max="115" width="6.1640625" style="106" customWidth="1"/>
    <col min="116" max="116" width="11.6640625" style="106"/>
    <col min="117" max="118" width="6.1640625" style="106" customWidth="1"/>
    <col min="119" max="119" width="11.6640625" style="106"/>
    <col min="120" max="121" width="6.1640625" style="106" customWidth="1"/>
    <col min="122" max="122" width="11.6640625" style="106"/>
    <col min="123" max="124" width="6.1640625" style="106" customWidth="1"/>
    <col min="125" max="125" width="11.6640625" style="106"/>
    <col min="126" max="127" width="6.1640625" style="106" customWidth="1"/>
    <col min="128" max="128" width="11.6640625" style="106"/>
    <col min="129" max="130" width="6.1640625" style="106" customWidth="1"/>
    <col min="131" max="131" width="11.6640625" style="106"/>
    <col min="132" max="133" width="6.1640625" style="106" customWidth="1"/>
    <col min="134" max="134" width="11.6640625" style="106"/>
    <col min="135" max="136" width="6.1640625" style="106" customWidth="1"/>
    <col min="137" max="137" width="11.6640625" style="106"/>
    <col min="138" max="139" width="6.1640625" style="106" customWidth="1"/>
    <col min="140" max="140" width="11.6640625" style="106"/>
    <col min="141" max="142" width="6.1640625" style="106" customWidth="1"/>
    <col min="143" max="143" width="11.6640625" style="106"/>
    <col min="144" max="145" width="6.1640625" style="106" customWidth="1"/>
    <col min="146" max="146" width="11.6640625" style="106"/>
    <col min="147" max="148" width="6.1640625" style="106" customWidth="1"/>
    <col min="149" max="149" width="11.6640625" style="106"/>
    <col min="150" max="151" width="6.1640625" style="106" customWidth="1"/>
    <col min="152" max="152" width="11.6640625" style="106"/>
    <col min="153" max="154" width="6.1640625" style="106" customWidth="1"/>
    <col min="155" max="155" width="11.6640625" style="106"/>
    <col min="156" max="157" width="6.1640625" style="106" customWidth="1"/>
    <col min="158" max="158" width="11.6640625" style="106"/>
    <col min="159" max="160" width="6.1640625" style="106" customWidth="1"/>
    <col min="161" max="161" width="11.6640625" style="106"/>
    <col min="162" max="163" width="6.1640625" style="106" customWidth="1"/>
    <col min="164" max="164" width="11.6640625" style="106"/>
    <col min="165" max="166" width="6.1640625" style="106" customWidth="1"/>
    <col min="167" max="167" width="11.6640625" style="106"/>
    <col min="168" max="169" width="6.1640625" style="106" customWidth="1"/>
    <col min="170" max="170" width="11.6640625" style="106"/>
    <col min="171" max="172" width="6.1640625" style="106" customWidth="1"/>
    <col min="173" max="173" width="11.6640625" style="106"/>
    <col min="174" max="175" width="6.1640625" style="106" customWidth="1"/>
    <col min="176" max="176" width="11.6640625" style="106"/>
    <col min="177" max="178" width="6.1640625" style="106" customWidth="1"/>
    <col min="179" max="179" width="11.6640625" style="106"/>
    <col min="180" max="181" width="6.1640625" style="106" customWidth="1"/>
    <col min="182" max="182" width="11.6640625" style="106"/>
    <col min="183" max="184" width="6.1640625" style="106" customWidth="1"/>
    <col min="185" max="185" width="11.6640625" style="106"/>
    <col min="186" max="187" width="6.1640625" style="106" customWidth="1"/>
    <col min="188" max="188" width="11.6640625" style="106"/>
    <col min="189" max="190" width="6.1640625" style="106" customWidth="1"/>
    <col min="191" max="191" width="11.6640625" style="106"/>
    <col min="192" max="193" width="6.1640625" style="106" customWidth="1"/>
    <col min="194" max="194" width="11.6640625" style="106"/>
    <col min="195" max="196" width="6.1640625" style="106" customWidth="1"/>
    <col min="197" max="197" width="11.6640625" style="106"/>
    <col min="198" max="199" width="6.1640625" style="106" customWidth="1"/>
    <col min="200" max="200" width="11.6640625" style="106"/>
    <col min="201" max="202" width="6.1640625" style="106" customWidth="1"/>
    <col min="203" max="203" width="11.6640625" style="106"/>
    <col min="204" max="205" width="6.1640625" style="106" customWidth="1"/>
    <col min="206" max="206" width="11.6640625" style="106"/>
    <col min="207" max="208" width="6.1640625" style="106" customWidth="1"/>
    <col min="209" max="209" width="11.6640625" style="106"/>
    <col min="210" max="211" width="6.1640625" style="106" customWidth="1"/>
    <col min="212" max="212" width="11.6640625" style="106"/>
    <col min="213" max="214" width="6.1640625" style="106" customWidth="1"/>
    <col min="215" max="215" width="11.6640625" style="106"/>
    <col min="216" max="217" width="6.1640625" style="106" customWidth="1"/>
    <col min="218" max="218" width="11.6640625" style="106"/>
    <col min="219" max="220" width="6.1640625" style="106" customWidth="1"/>
    <col min="221" max="221" width="11.6640625" style="106"/>
    <col min="222" max="223" width="6.1640625" style="106" customWidth="1"/>
    <col min="224" max="224" width="11.6640625" style="106"/>
    <col min="225" max="226" width="6.1640625" style="106" customWidth="1"/>
    <col min="227" max="227" width="11.6640625" style="106"/>
    <col min="228" max="229" width="6.1640625" style="106" customWidth="1"/>
    <col min="230" max="230" width="11.6640625" style="106"/>
    <col min="231" max="232" width="6.1640625" style="106" customWidth="1"/>
    <col min="233" max="16384" width="11.6640625" style="106"/>
  </cols>
  <sheetData>
    <row r="1" spans="1:5" x14ac:dyDescent="0.2">
      <c r="A1" s="113" t="s">
        <v>1111</v>
      </c>
    </row>
    <row r="2" spans="1:5" ht="33" customHeight="1" x14ac:dyDescent="0.2">
      <c r="A2" s="870" t="s">
        <v>5879</v>
      </c>
      <c r="B2" s="871"/>
      <c r="C2" s="871"/>
      <c r="D2" s="871"/>
      <c r="E2" s="872"/>
    </row>
    <row r="3" spans="1:5" ht="21" customHeight="1" x14ac:dyDescent="0.2">
      <c r="A3" s="475" t="s">
        <v>5880</v>
      </c>
      <c r="B3" s="771"/>
      <c r="C3" s="771"/>
      <c r="D3" s="771"/>
      <c r="E3" s="476"/>
    </row>
    <row r="4" spans="1:5" x14ac:dyDescent="0.2">
      <c r="A4" s="1701" t="s">
        <v>1808</v>
      </c>
      <c r="B4" s="134"/>
      <c r="C4" s="134"/>
      <c r="D4" s="134"/>
      <c r="E4" s="185"/>
    </row>
    <row r="5" spans="1:5" x14ac:dyDescent="0.2">
      <c r="A5" s="164" t="s">
        <v>5881</v>
      </c>
      <c r="B5" s="145"/>
      <c r="C5" s="145"/>
      <c r="D5" s="145">
        <v>16000</v>
      </c>
      <c r="E5" s="307"/>
    </row>
    <row r="6" spans="1:5" x14ac:dyDescent="0.2">
      <c r="A6" s="164" t="s">
        <v>1808</v>
      </c>
      <c r="B6" s="145"/>
      <c r="C6" s="145"/>
      <c r="D6" s="145">
        <v>8750</v>
      </c>
      <c r="E6" s="307">
        <v>97</v>
      </c>
    </row>
    <row r="7" spans="1:5" x14ac:dyDescent="0.2">
      <c r="A7" s="164" t="s">
        <v>5471</v>
      </c>
      <c r="B7" s="145"/>
      <c r="C7" s="145"/>
      <c r="D7" s="145">
        <v>886831</v>
      </c>
      <c r="E7" s="307">
        <v>8</v>
      </c>
    </row>
    <row r="8" spans="1:5" x14ac:dyDescent="0.2">
      <c r="A8" s="164" t="s">
        <v>5882</v>
      </c>
      <c r="B8" s="145"/>
      <c r="C8" s="145"/>
      <c r="D8" s="145">
        <v>315524</v>
      </c>
      <c r="E8" s="307">
        <v>62</v>
      </c>
    </row>
    <row r="9" spans="1:5" x14ac:dyDescent="0.2">
      <c r="A9" s="164" t="s">
        <v>5883</v>
      </c>
      <c r="B9" s="145"/>
      <c r="C9" s="145"/>
      <c r="D9" s="145">
        <v>338</v>
      </c>
      <c r="E9" s="307">
        <v>50</v>
      </c>
    </row>
    <row r="10" spans="1:5" x14ac:dyDescent="0.2">
      <c r="A10" s="1701" t="s">
        <v>5884</v>
      </c>
      <c r="B10" s="145"/>
      <c r="C10" s="145"/>
      <c r="D10" s="145"/>
      <c r="E10" s="307"/>
    </row>
    <row r="11" spans="1:5" x14ac:dyDescent="0.2">
      <c r="A11" s="164" t="s">
        <v>1175</v>
      </c>
      <c r="B11" s="145"/>
      <c r="C11" s="145"/>
      <c r="D11" s="145">
        <v>194809</v>
      </c>
      <c r="E11" s="307">
        <v>69</v>
      </c>
    </row>
    <row r="12" spans="1:5" x14ac:dyDescent="0.2">
      <c r="A12" s="164" t="s">
        <v>3287</v>
      </c>
      <c r="B12" s="145"/>
      <c r="C12" s="145"/>
      <c r="D12" s="145">
        <v>529052</v>
      </c>
      <c r="E12" s="307">
        <v>43</v>
      </c>
    </row>
    <row r="13" spans="1:5" x14ac:dyDescent="0.2">
      <c r="A13" s="164" t="s">
        <v>5885</v>
      </c>
      <c r="B13" s="145">
        <v>577</v>
      </c>
      <c r="C13" s="145">
        <v>65</v>
      </c>
      <c r="D13" s="145"/>
      <c r="E13" s="307"/>
    </row>
    <row r="14" spans="1:5" x14ac:dyDescent="0.2">
      <c r="A14" s="164" t="s">
        <v>5065</v>
      </c>
      <c r="B14" s="145">
        <v>70583</v>
      </c>
      <c r="C14" s="145">
        <v>90</v>
      </c>
      <c r="D14" s="145"/>
      <c r="E14" s="307"/>
    </row>
    <row r="15" spans="1:5" ht="16" thickBot="1" x14ac:dyDescent="0.25">
      <c r="A15" s="164" t="s">
        <v>5886</v>
      </c>
      <c r="B15" s="187">
        <v>2650</v>
      </c>
      <c r="C15" s="187"/>
      <c r="D15" s="145">
        <v>73811</v>
      </c>
      <c r="E15" s="307">
        <v>55</v>
      </c>
    </row>
    <row r="16" spans="1:5" x14ac:dyDescent="0.2">
      <c r="A16" s="164"/>
      <c r="B16" s="145"/>
      <c r="C16" s="145"/>
      <c r="D16" s="138">
        <f>SUM(B13:B15)</f>
        <v>73810</v>
      </c>
      <c r="E16" s="138">
        <f>SUM(C13:C15)</f>
        <v>155</v>
      </c>
    </row>
    <row r="17" spans="1:8" x14ac:dyDescent="0.2">
      <c r="A17" s="1701" t="s">
        <v>5887</v>
      </c>
      <c r="B17" s="145"/>
      <c r="C17" s="145"/>
      <c r="D17" s="145"/>
      <c r="E17" s="307"/>
    </row>
    <row r="18" spans="1:8" x14ac:dyDescent="0.2">
      <c r="A18" s="164" t="s">
        <v>5888</v>
      </c>
      <c r="B18" s="145"/>
      <c r="C18" s="145"/>
      <c r="D18" s="145">
        <v>9774366</v>
      </c>
      <c r="E18" s="307">
        <v>14</v>
      </c>
    </row>
    <row r="19" spans="1:8" x14ac:dyDescent="0.2">
      <c r="A19" s="164" t="s">
        <v>5689</v>
      </c>
      <c r="B19" s="145"/>
      <c r="C19" s="145"/>
      <c r="D19" s="145">
        <v>196598</v>
      </c>
      <c r="E19" s="307">
        <v>35</v>
      </c>
    </row>
    <row r="20" spans="1:8" x14ac:dyDescent="0.2">
      <c r="A20" s="164" t="s">
        <v>5889</v>
      </c>
      <c r="B20" s="145"/>
      <c r="C20" s="145"/>
      <c r="D20" s="145">
        <v>217260</v>
      </c>
      <c r="E20" s="307">
        <v>20</v>
      </c>
    </row>
    <row r="21" spans="1:8" x14ac:dyDescent="0.2">
      <c r="A21" s="164" t="s">
        <v>5466</v>
      </c>
      <c r="B21" s="145"/>
      <c r="C21" s="145"/>
      <c r="D21" s="145">
        <v>2127</v>
      </c>
      <c r="E21" s="307">
        <v>59</v>
      </c>
      <c r="H21" s="107"/>
    </row>
    <row r="22" spans="1:8" x14ac:dyDescent="0.2">
      <c r="A22" s="164" t="s">
        <v>5890</v>
      </c>
      <c r="B22" s="145"/>
      <c r="C22" s="145"/>
      <c r="D22" s="145">
        <v>9500</v>
      </c>
      <c r="E22" s="307"/>
    </row>
    <row r="23" spans="1:8" x14ac:dyDescent="0.2">
      <c r="A23" s="164" t="s">
        <v>5891</v>
      </c>
      <c r="B23" s="145"/>
      <c r="C23" s="145"/>
      <c r="D23" s="145">
        <v>461084</v>
      </c>
      <c r="E23" s="307">
        <v>55</v>
      </c>
    </row>
    <row r="24" spans="1:8" x14ac:dyDescent="0.2">
      <c r="A24" s="164" t="s">
        <v>5892</v>
      </c>
      <c r="B24" s="145"/>
      <c r="C24" s="145"/>
      <c r="D24" s="145">
        <v>17848</v>
      </c>
      <c r="E24" s="307">
        <v>41</v>
      </c>
    </row>
    <row r="25" spans="1:8" x14ac:dyDescent="0.2">
      <c r="A25" s="164" t="s">
        <v>5893</v>
      </c>
      <c r="B25" s="145"/>
      <c r="C25" s="145"/>
      <c r="D25" s="145">
        <v>129637</v>
      </c>
      <c r="E25" s="307">
        <v>62</v>
      </c>
    </row>
    <row r="26" spans="1:8" x14ac:dyDescent="0.2">
      <c r="A26" s="164" t="s">
        <v>5894</v>
      </c>
      <c r="B26" s="145"/>
      <c r="C26" s="145"/>
      <c r="D26" s="145">
        <v>1019</v>
      </c>
      <c r="E26" s="307">
        <v>20</v>
      </c>
    </row>
    <row r="27" spans="1:8" x14ac:dyDescent="0.2">
      <c r="A27" s="164" t="s">
        <v>5172</v>
      </c>
      <c r="B27" s="145"/>
      <c r="C27" s="145"/>
      <c r="D27" s="145">
        <v>486305</v>
      </c>
      <c r="E27" s="307">
        <v>6</v>
      </c>
    </row>
    <row r="28" spans="1:8" x14ac:dyDescent="0.2">
      <c r="A28" s="164" t="s">
        <v>5624</v>
      </c>
      <c r="B28" s="145"/>
      <c r="C28" s="145"/>
      <c r="D28" s="145">
        <v>1902</v>
      </c>
      <c r="E28" s="307">
        <v>34</v>
      </c>
    </row>
    <row r="29" spans="1:8" x14ac:dyDescent="0.2">
      <c r="A29" s="164" t="s">
        <v>5623</v>
      </c>
      <c r="B29" s="145"/>
      <c r="C29" s="145"/>
      <c r="D29" s="145">
        <v>1599</v>
      </c>
      <c r="E29" s="307">
        <v>99</v>
      </c>
      <c r="F29" s="106">
        <v>1914</v>
      </c>
    </row>
    <row r="30" spans="1:8" x14ac:dyDescent="0.2">
      <c r="A30" s="164" t="s">
        <v>5895</v>
      </c>
      <c r="B30" s="145"/>
      <c r="C30" s="145"/>
      <c r="D30" s="145">
        <v>127588</v>
      </c>
      <c r="E30" s="307">
        <v>81</v>
      </c>
    </row>
    <row r="31" spans="1:8" x14ac:dyDescent="0.2">
      <c r="A31" s="164" t="s">
        <v>5896</v>
      </c>
      <c r="B31" s="145">
        <v>68445</v>
      </c>
      <c r="C31" s="145">
        <v>35</v>
      </c>
      <c r="D31" s="145"/>
      <c r="E31" s="307"/>
    </row>
    <row r="32" spans="1:8" ht="16" thickBot="1" x14ac:dyDescent="0.25">
      <c r="A32" s="164" t="s">
        <v>5897</v>
      </c>
      <c r="B32" s="187">
        <v>16367</v>
      </c>
      <c r="C32" s="187">
        <v>70</v>
      </c>
      <c r="D32" s="145">
        <v>84813</v>
      </c>
      <c r="E32" s="307">
        <v>5</v>
      </c>
    </row>
    <row r="33" spans="1:5" x14ac:dyDescent="0.2">
      <c r="A33" s="164"/>
      <c r="B33" s="145"/>
      <c r="C33" s="145"/>
      <c r="D33" s="138">
        <f>B31+B32</f>
        <v>84812</v>
      </c>
      <c r="E33" s="138">
        <f>C31+C32</f>
        <v>105</v>
      </c>
    </row>
    <row r="34" spans="1:5" x14ac:dyDescent="0.2">
      <c r="A34" s="164" t="s">
        <v>5898</v>
      </c>
      <c r="B34" s="145">
        <v>12500</v>
      </c>
      <c r="C34" s="145">
        <v>70</v>
      </c>
      <c r="D34" s="145"/>
      <c r="E34" s="307"/>
    </row>
    <row r="35" spans="1:5" x14ac:dyDescent="0.2">
      <c r="A35" s="164" t="s">
        <v>5899</v>
      </c>
      <c r="B35" s="145">
        <v>2911</v>
      </c>
      <c r="C35" s="145">
        <v>75</v>
      </c>
      <c r="D35" s="145"/>
      <c r="E35" s="307"/>
    </row>
    <row r="36" spans="1:5" ht="16" thickBot="1" x14ac:dyDescent="0.25">
      <c r="A36" s="164" t="s">
        <v>5900</v>
      </c>
      <c r="B36" s="187">
        <v>45</v>
      </c>
      <c r="C36" s="187">
        <v>40</v>
      </c>
      <c r="D36" s="145">
        <v>15457</v>
      </c>
      <c r="E36" s="307">
        <v>85</v>
      </c>
    </row>
    <row r="37" spans="1:5" x14ac:dyDescent="0.2">
      <c r="A37" s="164"/>
      <c r="B37" s="145"/>
      <c r="C37" s="145"/>
      <c r="D37" s="138">
        <f>SUM(B34:B36)</f>
        <v>15456</v>
      </c>
      <c r="E37" s="138">
        <f>SUM(C34:C36)</f>
        <v>185</v>
      </c>
    </row>
    <row r="38" spans="1:5" ht="16" thickBot="1" x14ac:dyDescent="0.25">
      <c r="A38" s="164" t="s">
        <v>2763</v>
      </c>
      <c r="B38" s="145"/>
      <c r="C38" s="145"/>
      <c r="D38" s="187">
        <v>97354</v>
      </c>
      <c r="E38" s="444">
        <v>6</v>
      </c>
    </row>
    <row r="39" spans="1:5" ht="16" thickBot="1" x14ac:dyDescent="0.25">
      <c r="A39" s="376" t="s">
        <v>5901</v>
      </c>
      <c r="B39" s="377"/>
      <c r="C39" s="377"/>
      <c r="D39" s="448">
        <v>13649582</v>
      </c>
      <c r="E39" s="449">
        <v>6</v>
      </c>
    </row>
    <row r="40" spans="1:5" x14ac:dyDescent="0.2">
      <c r="A40" s="208"/>
      <c r="B40" s="208"/>
      <c r="C40" s="208"/>
      <c r="D40" s="321">
        <f>D38+SUM(D18:D30)+SUM(D5:D12)+D37+D33+D16</f>
        <v>13649569</v>
      </c>
      <c r="E40" s="321">
        <f>E38+SUM(E18:E30)+SUM(E5:E12)+E37+E33+E16</f>
        <v>1306</v>
      </c>
    </row>
    <row r="41" spans="1:5" x14ac:dyDescent="0.2">
      <c r="A41" s="214"/>
      <c r="B41" s="214"/>
      <c r="C41" s="214"/>
      <c r="D41" s="214"/>
      <c r="E41" s="214"/>
    </row>
    <row r="42" spans="1:5" ht="16" thickBot="1" x14ac:dyDescent="0.25">
      <c r="A42" s="1702" t="s">
        <v>5902</v>
      </c>
      <c r="B42" s="1703"/>
      <c r="C42" s="1703"/>
      <c r="D42" s="318">
        <v>17385921</v>
      </c>
      <c r="E42" s="239">
        <v>58</v>
      </c>
    </row>
    <row r="43" spans="1:5" x14ac:dyDescent="0.2">
      <c r="A43" s="376" t="s">
        <v>5903</v>
      </c>
      <c r="B43" s="377"/>
      <c r="C43" s="377"/>
      <c r="D43" s="701">
        <v>12880773</v>
      </c>
      <c r="E43" s="1704">
        <v>87</v>
      </c>
    </row>
    <row r="47" spans="1:5" x14ac:dyDescent="0.2">
      <c r="A47" s="113" t="s">
        <v>1428</v>
      </c>
    </row>
    <row r="48" spans="1:5" ht="30.5" customHeight="1" x14ac:dyDescent="0.2">
      <c r="A48" s="598" t="s">
        <v>5904</v>
      </c>
      <c r="B48" s="599"/>
      <c r="C48" s="599"/>
      <c r="D48" s="599"/>
      <c r="E48" s="600"/>
    </row>
    <row r="49" spans="1:5" ht="24" customHeight="1" x14ac:dyDescent="0.2">
      <c r="A49" s="211"/>
      <c r="B49" s="487" t="s">
        <v>5757</v>
      </c>
      <c r="C49" s="488"/>
      <c r="D49" s="252" t="s">
        <v>3637</v>
      </c>
      <c r="E49" s="254"/>
    </row>
    <row r="50" spans="1:5" x14ac:dyDescent="0.2">
      <c r="A50" s="164" t="s">
        <v>5905</v>
      </c>
      <c r="B50" s="131">
        <v>288726</v>
      </c>
      <c r="C50" s="307">
        <v>59</v>
      </c>
      <c r="D50" s="131">
        <v>158454</v>
      </c>
      <c r="E50" s="307">
        <v>25</v>
      </c>
    </row>
    <row r="51" spans="1:5" x14ac:dyDescent="0.2">
      <c r="A51" s="164" t="s">
        <v>5858</v>
      </c>
      <c r="B51" s="131">
        <v>104043</v>
      </c>
      <c r="C51" s="307">
        <v>89</v>
      </c>
      <c r="D51" s="131">
        <v>135937</v>
      </c>
      <c r="E51" s="307">
        <v>92</v>
      </c>
    </row>
    <row r="52" spans="1:5" x14ac:dyDescent="0.2">
      <c r="A52" s="164" t="s">
        <v>5906</v>
      </c>
      <c r="B52" s="131">
        <v>14574</v>
      </c>
      <c r="C52" s="307">
        <v>43</v>
      </c>
      <c r="D52" s="131">
        <v>131588</v>
      </c>
      <c r="E52" s="307">
        <v>26</v>
      </c>
    </row>
    <row r="53" spans="1:5" x14ac:dyDescent="0.2">
      <c r="A53" s="151" t="s">
        <v>5857</v>
      </c>
      <c r="B53" s="230">
        <v>222476</v>
      </c>
      <c r="C53" s="364">
        <v>38</v>
      </c>
      <c r="D53" s="230">
        <v>277031</v>
      </c>
      <c r="E53" s="364">
        <v>72</v>
      </c>
    </row>
    <row r="57" spans="1:5" x14ac:dyDescent="0.2">
      <c r="A57" s="113" t="s">
        <v>1182</v>
      </c>
    </row>
    <row r="58" spans="1:5" ht="26.5" customHeight="1" x14ac:dyDescent="0.2">
      <c r="A58" s="598" t="s">
        <v>5907</v>
      </c>
      <c r="B58" s="599"/>
      <c r="C58" s="599"/>
      <c r="D58" s="599"/>
      <c r="E58" s="600"/>
    </row>
    <row r="59" spans="1:5" ht="26" customHeight="1" x14ac:dyDescent="0.2">
      <c r="A59" s="554" t="s">
        <v>1854</v>
      </c>
      <c r="B59" s="252" t="s">
        <v>5757</v>
      </c>
      <c r="C59" s="254"/>
      <c r="D59" s="252" t="s">
        <v>2506</v>
      </c>
      <c r="E59" s="254"/>
    </row>
    <row r="60" spans="1:5" x14ac:dyDescent="0.2">
      <c r="A60" s="164" t="s">
        <v>5908</v>
      </c>
      <c r="B60" s="131">
        <v>5466</v>
      </c>
      <c r="C60" s="307">
        <v>3</v>
      </c>
      <c r="D60" s="145">
        <v>7190</v>
      </c>
      <c r="E60" s="307">
        <v>32</v>
      </c>
    </row>
    <row r="61" spans="1:5" x14ac:dyDescent="0.2">
      <c r="A61" s="164" t="s">
        <v>3668</v>
      </c>
      <c r="B61" s="131">
        <v>5301097</v>
      </c>
      <c r="C61" s="307">
        <v>34</v>
      </c>
      <c r="D61" s="145">
        <v>101593</v>
      </c>
      <c r="E61" s="307">
        <v>59</v>
      </c>
    </row>
    <row r="62" spans="1:5" x14ac:dyDescent="0.2">
      <c r="A62" s="164" t="s">
        <v>1517</v>
      </c>
      <c r="B62" s="131">
        <v>1323739</v>
      </c>
      <c r="C62" s="307">
        <v>90</v>
      </c>
      <c r="D62" s="145">
        <v>51492</v>
      </c>
      <c r="E62" s="307">
        <v>81</v>
      </c>
    </row>
    <row r="63" spans="1:5" x14ac:dyDescent="0.2">
      <c r="A63" s="164" t="s">
        <v>4033</v>
      </c>
      <c r="B63" s="131">
        <v>2108612</v>
      </c>
      <c r="C63" s="307">
        <v>57</v>
      </c>
      <c r="D63" s="145">
        <v>136071</v>
      </c>
      <c r="E63" s="307">
        <v>6</v>
      </c>
    </row>
    <row r="64" spans="1:5" x14ac:dyDescent="0.2">
      <c r="A64" s="164" t="s">
        <v>1519</v>
      </c>
      <c r="B64" s="131">
        <v>419049</v>
      </c>
      <c r="C64" s="307">
        <v>26</v>
      </c>
      <c r="D64" s="145">
        <v>35166</v>
      </c>
      <c r="E64" s="307">
        <v>85</v>
      </c>
    </row>
    <row r="65" spans="1:9" x14ac:dyDescent="0.2">
      <c r="A65" s="164" t="s">
        <v>5759</v>
      </c>
      <c r="B65" s="131">
        <v>4709</v>
      </c>
      <c r="C65" s="307">
        <v>63</v>
      </c>
      <c r="D65" s="145">
        <v>7365</v>
      </c>
      <c r="E65" s="307">
        <v>21</v>
      </c>
    </row>
    <row r="66" spans="1:9" x14ac:dyDescent="0.2">
      <c r="A66" s="164" t="s">
        <v>4553</v>
      </c>
      <c r="B66" s="131">
        <v>334</v>
      </c>
      <c r="C66" s="307">
        <v>88</v>
      </c>
      <c r="D66" s="145">
        <v>6346</v>
      </c>
      <c r="E66" s="307">
        <v>3</v>
      </c>
    </row>
    <row r="67" spans="1:9" x14ac:dyDescent="0.2">
      <c r="A67" s="164" t="s">
        <v>4828</v>
      </c>
      <c r="B67" s="131">
        <v>7672</v>
      </c>
      <c r="C67" s="307">
        <v>8</v>
      </c>
      <c r="D67" s="145">
        <v>5705</v>
      </c>
      <c r="E67" s="307">
        <v>93</v>
      </c>
    </row>
    <row r="68" spans="1:9" x14ac:dyDescent="0.2">
      <c r="A68" s="164" t="s">
        <v>5105</v>
      </c>
      <c r="B68" s="131">
        <v>49812</v>
      </c>
      <c r="C68" s="307">
        <v>55</v>
      </c>
      <c r="D68" s="145">
        <v>41146</v>
      </c>
      <c r="E68" s="307">
        <v>61</v>
      </c>
    </row>
    <row r="69" spans="1:9" x14ac:dyDescent="0.2">
      <c r="A69" s="164" t="s">
        <v>4034</v>
      </c>
      <c r="B69" s="131">
        <v>315277</v>
      </c>
      <c r="C69" s="307">
        <v>37</v>
      </c>
      <c r="D69" s="145">
        <v>34775</v>
      </c>
      <c r="E69" s="307">
        <v>58</v>
      </c>
    </row>
    <row r="70" spans="1:9" x14ac:dyDescent="0.2">
      <c r="A70" s="164" t="s">
        <v>1527</v>
      </c>
      <c r="B70" s="131">
        <v>329742</v>
      </c>
      <c r="C70" s="307">
        <v>51</v>
      </c>
      <c r="D70" s="145">
        <v>35275</v>
      </c>
      <c r="E70" s="307">
        <v>58</v>
      </c>
    </row>
    <row r="71" spans="1:9" ht="31" thickBot="1" x14ac:dyDescent="0.25">
      <c r="A71" s="178" t="s">
        <v>5909</v>
      </c>
      <c r="B71" s="530">
        <v>452498</v>
      </c>
      <c r="C71" s="444">
        <v>71</v>
      </c>
      <c r="D71" s="187"/>
      <c r="E71" s="444"/>
    </row>
    <row r="72" spans="1:9" ht="16" thickBot="1" x14ac:dyDescent="0.25">
      <c r="A72" s="164" t="s">
        <v>1341</v>
      </c>
      <c r="B72" s="131">
        <v>10318012</v>
      </c>
      <c r="C72" s="307">
        <v>83</v>
      </c>
      <c r="D72" s="448">
        <v>462129</v>
      </c>
      <c r="E72" s="449">
        <v>57</v>
      </c>
    </row>
    <row r="73" spans="1:9" x14ac:dyDescent="0.2">
      <c r="A73" s="164"/>
      <c r="B73" s="137">
        <f>SUM(B60:B71)</f>
        <v>10318007</v>
      </c>
      <c r="C73" s="137">
        <f>SUM(C60:C71)</f>
        <v>583</v>
      </c>
      <c r="D73" s="137">
        <f>SUM(D60:D71)</f>
        <v>462124</v>
      </c>
      <c r="E73" s="137">
        <f>SUM(E60:E71)</f>
        <v>557</v>
      </c>
    </row>
    <row r="74" spans="1:9" ht="46" thickBot="1" x14ac:dyDescent="0.25">
      <c r="A74" s="178" t="s">
        <v>5910</v>
      </c>
      <c r="B74" s="530">
        <v>3615</v>
      </c>
      <c r="C74" s="444">
        <v>56</v>
      </c>
      <c r="D74" s="145"/>
      <c r="E74" s="307"/>
    </row>
    <row r="75" spans="1:9" ht="23" customHeight="1" x14ac:dyDescent="0.2">
      <c r="A75" s="151" t="s">
        <v>5911</v>
      </c>
      <c r="B75" s="1705">
        <v>10314397</v>
      </c>
      <c r="C75" s="702">
        <v>27</v>
      </c>
      <c r="D75" s="309"/>
      <c r="E75" s="364"/>
    </row>
    <row r="76" spans="1:9" x14ac:dyDescent="0.2">
      <c r="B76" s="321">
        <f>B73-B74</f>
        <v>10314392</v>
      </c>
      <c r="C76" s="321">
        <f>C73-C74</f>
        <v>527</v>
      </c>
      <c r="D76" s="107"/>
      <c r="E76" s="107"/>
    </row>
    <row r="79" spans="1:9" x14ac:dyDescent="0.2">
      <c r="A79" s="113" t="s">
        <v>1226</v>
      </c>
    </row>
    <row r="80" spans="1:9" ht="27" customHeight="1" x14ac:dyDescent="0.2">
      <c r="A80" s="870" t="s">
        <v>5912</v>
      </c>
      <c r="B80" s="871"/>
      <c r="C80" s="871"/>
      <c r="D80" s="871"/>
      <c r="E80" s="871"/>
      <c r="F80" s="871"/>
      <c r="G80" s="871"/>
      <c r="H80" s="871"/>
      <c r="I80" s="872"/>
    </row>
    <row r="81" spans="1:11" ht="27" customHeight="1" x14ac:dyDescent="0.2">
      <c r="A81" s="273"/>
      <c r="B81" s="252" t="s">
        <v>5913</v>
      </c>
      <c r="C81" s="254"/>
      <c r="D81" s="252" t="s">
        <v>5914</v>
      </c>
      <c r="E81" s="254"/>
      <c r="F81" s="252" t="s">
        <v>5915</v>
      </c>
      <c r="G81" s="254"/>
      <c r="H81" s="252" t="s">
        <v>5916</v>
      </c>
      <c r="I81" s="254"/>
    </row>
    <row r="82" spans="1:11" x14ac:dyDescent="0.2">
      <c r="A82" s="164" t="s">
        <v>5917</v>
      </c>
      <c r="B82" s="131">
        <v>392</v>
      </c>
      <c r="C82" s="307">
        <v>80</v>
      </c>
      <c r="D82" s="131">
        <v>338</v>
      </c>
      <c r="E82" s="307">
        <v>50</v>
      </c>
      <c r="F82" s="131"/>
      <c r="G82" s="307"/>
      <c r="H82" s="131">
        <v>54</v>
      </c>
      <c r="I82" s="307">
        <v>30</v>
      </c>
      <c r="J82" s="321">
        <f>D82-B82</f>
        <v>-54</v>
      </c>
      <c r="K82" s="321">
        <f>E82-C82</f>
        <v>-30</v>
      </c>
    </row>
    <row r="83" spans="1:11" x14ac:dyDescent="0.2">
      <c r="A83" s="164" t="s">
        <v>5885</v>
      </c>
      <c r="B83" s="131">
        <v>14658</v>
      </c>
      <c r="C83" s="307">
        <v>13</v>
      </c>
      <c r="D83" s="131">
        <v>577</v>
      </c>
      <c r="E83" s="307">
        <v>65</v>
      </c>
      <c r="F83" s="131"/>
      <c r="G83" s="307"/>
      <c r="H83" s="131">
        <v>14080</v>
      </c>
      <c r="I83" s="307">
        <v>48</v>
      </c>
      <c r="J83" s="477">
        <f t="shared" ref="J83:K88" si="0">D83-B83</f>
        <v>-14081</v>
      </c>
      <c r="K83" s="477">
        <f t="shared" si="0"/>
        <v>52</v>
      </c>
    </row>
    <row r="84" spans="1:11" x14ac:dyDescent="0.2">
      <c r="A84" s="164" t="s">
        <v>5918</v>
      </c>
      <c r="B84" s="131">
        <v>3210</v>
      </c>
      <c r="C84" s="307"/>
      <c r="D84" s="131">
        <v>2650</v>
      </c>
      <c r="E84" s="307"/>
      <c r="F84" s="131"/>
      <c r="G84" s="307"/>
      <c r="H84" s="131">
        <v>560</v>
      </c>
      <c r="I84" s="307"/>
      <c r="J84" s="321">
        <f t="shared" si="0"/>
        <v>-560</v>
      </c>
      <c r="K84" s="321">
        <f t="shared" si="0"/>
        <v>0</v>
      </c>
    </row>
    <row r="85" spans="1:11" x14ac:dyDescent="0.2">
      <c r="A85" s="164" t="s">
        <v>5065</v>
      </c>
      <c r="B85" s="131">
        <v>75458</v>
      </c>
      <c r="C85" s="307">
        <v>79</v>
      </c>
      <c r="D85" s="131">
        <v>70583</v>
      </c>
      <c r="E85" s="307">
        <v>90</v>
      </c>
      <c r="F85" s="131"/>
      <c r="G85" s="307"/>
      <c r="H85" s="131">
        <v>4874</v>
      </c>
      <c r="I85" s="307">
        <v>89</v>
      </c>
      <c r="J85" s="477">
        <f t="shared" si="0"/>
        <v>-4875</v>
      </c>
      <c r="K85" s="477">
        <f t="shared" si="0"/>
        <v>11</v>
      </c>
    </row>
    <row r="86" spans="1:11" x14ac:dyDescent="0.2">
      <c r="A86" s="164" t="s">
        <v>5889</v>
      </c>
      <c r="B86" s="131">
        <v>244584</v>
      </c>
      <c r="C86" s="307">
        <v>89</v>
      </c>
      <c r="D86" s="131">
        <v>217260</v>
      </c>
      <c r="E86" s="307">
        <v>20</v>
      </c>
      <c r="F86" s="131"/>
      <c r="G86" s="307"/>
      <c r="H86" s="131">
        <v>27324</v>
      </c>
      <c r="I86" s="307">
        <v>69</v>
      </c>
      <c r="J86" s="321">
        <f t="shared" si="0"/>
        <v>-27324</v>
      </c>
      <c r="K86" s="321">
        <f t="shared" si="0"/>
        <v>-69</v>
      </c>
    </row>
    <row r="87" spans="1:11" ht="16" thickBot="1" x14ac:dyDescent="0.25">
      <c r="A87" s="164" t="s">
        <v>5890</v>
      </c>
      <c r="B87" s="530">
        <v>10340</v>
      </c>
      <c r="C87" s="444"/>
      <c r="D87" s="530">
        <v>9500</v>
      </c>
      <c r="E87" s="444"/>
      <c r="F87" s="530"/>
      <c r="G87" s="444"/>
      <c r="H87" s="530">
        <v>840</v>
      </c>
      <c r="I87" s="444"/>
      <c r="J87" s="321">
        <f t="shared" si="0"/>
        <v>-840</v>
      </c>
      <c r="K87" s="321">
        <f t="shared" si="0"/>
        <v>0</v>
      </c>
    </row>
    <row r="88" spans="1:11" x14ac:dyDescent="0.2">
      <c r="A88" s="151" t="s">
        <v>5919</v>
      </c>
      <c r="B88" s="230">
        <v>348644</v>
      </c>
      <c r="C88" s="364">
        <v>61</v>
      </c>
      <c r="D88" s="230">
        <v>300910</v>
      </c>
      <c r="E88" s="364">
        <v>25</v>
      </c>
      <c r="F88" s="230"/>
      <c r="G88" s="364"/>
      <c r="H88" s="230">
        <v>47684</v>
      </c>
      <c r="I88" s="364">
        <v>36</v>
      </c>
      <c r="J88" s="321">
        <f t="shared" si="0"/>
        <v>-47734</v>
      </c>
      <c r="K88" s="321">
        <f t="shared" si="0"/>
        <v>-36</v>
      </c>
    </row>
    <row r="89" spans="1:11" x14ac:dyDescent="0.2">
      <c r="B89" s="321">
        <f>SUM(B82:B87)</f>
        <v>348642</v>
      </c>
      <c r="C89" s="321">
        <f t="shared" ref="C89:K89" si="1">SUM(C82:C87)</f>
        <v>261</v>
      </c>
      <c r="D89" s="321">
        <f t="shared" si="1"/>
        <v>300908</v>
      </c>
      <c r="E89" s="321">
        <f t="shared" si="1"/>
        <v>225</v>
      </c>
      <c r="F89" s="321"/>
      <c r="G89" s="321"/>
      <c r="H89" s="477">
        <f t="shared" si="1"/>
        <v>47732</v>
      </c>
      <c r="I89" s="477">
        <f t="shared" si="1"/>
        <v>236</v>
      </c>
      <c r="J89" s="477">
        <f t="shared" si="1"/>
        <v>-47734</v>
      </c>
      <c r="K89" s="477">
        <f t="shared" si="1"/>
        <v>-36</v>
      </c>
    </row>
    <row r="92" spans="1:11" x14ac:dyDescent="0.2">
      <c r="A92" s="113" t="s">
        <v>1272</v>
      </c>
    </row>
    <row r="93" spans="1:11" ht="21.5" customHeight="1" x14ac:dyDescent="0.2">
      <c r="A93" s="252" t="s">
        <v>4714</v>
      </c>
      <c r="B93" s="253"/>
      <c r="C93" s="254"/>
    </row>
    <row r="94" spans="1:11" ht="18.5" customHeight="1" x14ac:dyDescent="0.2">
      <c r="A94" s="502" t="s">
        <v>5425</v>
      </c>
      <c r="B94" s="253"/>
      <c r="C94" s="254"/>
    </row>
    <row r="95" spans="1:11" x14ac:dyDescent="0.2">
      <c r="A95" s="135">
        <v>1913</v>
      </c>
      <c r="B95" s="145">
        <v>12880773</v>
      </c>
      <c r="C95" s="185">
        <v>87</v>
      </c>
    </row>
    <row r="96" spans="1:11" x14ac:dyDescent="0.2">
      <c r="A96" s="263">
        <v>1914</v>
      </c>
      <c r="B96" s="309">
        <v>9774366</v>
      </c>
      <c r="C96" s="195">
        <v>14</v>
      </c>
    </row>
    <row r="100" spans="1:5" x14ac:dyDescent="0.2">
      <c r="A100" s="113" t="s">
        <v>1342</v>
      </c>
    </row>
    <row r="101" spans="1:5" ht="36.5" customHeight="1" x14ac:dyDescent="0.2">
      <c r="A101" s="1706" t="s">
        <v>5920</v>
      </c>
      <c r="B101" s="460"/>
      <c r="C101" s="460"/>
      <c r="D101" s="460"/>
      <c r="E101" s="1707"/>
    </row>
    <row r="102" spans="1:5" x14ac:dyDescent="0.2">
      <c r="A102" s="164" t="s">
        <v>5921</v>
      </c>
      <c r="B102" s="145">
        <v>886831</v>
      </c>
      <c r="C102" s="145">
        <v>8</v>
      </c>
      <c r="D102" s="145"/>
      <c r="E102" s="307"/>
    </row>
    <row r="103" spans="1:5" ht="16" thickBot="1" x14ac:dyDescent="0.25">
      <c r="A103" s="164" t="s">
        <v>2763</v>
      </c>
      <c r="B103" s="187">
        <v>6086</v>
      </c>
      <c r="C103" s="187">
        <v>93</v>
      </c>
      <c r="D103" s="145">
        <v>892918</v>
      </c>
      <c r="E103" s="307">
        <v>1</v>
      </c>
    </row>
    <row r="104" spans="1:5" x14ac:dyDescent="0.2">
      <c r="A104" s="164"/>
      <c r="B104" s="145"/>
      <c r="C104" s="145"/>
      <c r="D104" s="138">
        <f>B102+B103</f>
        <v>892917</v>
      </c>
      <c r="E104" s="138">
        <f>C102+C103</f>
        <v>101</v>
      </c>
    </row>
    <row r="105" spans="1:5" ht="16" thickBot="1" x14ac:dyDescent="0.25">
      <c r="A105" s="164" t="s">
        <v>3637</v>
      </c>
      <c r="B105" s="145"/>
      <c r="C105" s="145"/>
      <c r="D105" s="187">
        <v>115373</v>
      </c>
      <c r="E105" s="444">
        <v>37</v>
      </c>
    </row>
    <row r="106" spans="1:5" x14ac:dyDescent="0.2">
      <c r="A106" s="151" t="s">
        <v>3173</v>
      </c>
      <c r="B106" s="309"/>
      <c r="C106" s="309"/>
      <c r="D106" s="309">
        <v>777544</v>
      </c>
      <c r="E106" s="364">
        <v>64</v>
      </c>
    </row>
    <row r="107" spans="1:5" x14ac:dyDescent="0.2">
      <c r="A107" s="134"/>
      <c r="B107" s="145"/>
      <c r="C107" s="145"/>
      <c r="D107" s="138">
        <f>D104-D105</f>
        <v>777544</v>
      </c>
      <c r="E107" s="138">
        <f>E104-E105</f>
        <v>64</v>
      </c>
    </row>
    <row r="109" spans="1:5" x14ac:dyDescent="0.2">
      <c r="A109" s="273" t="s">
        <v>5922</v>
      </c>
      <c r="B109" s="318">
        <v>785324</v>
      </c>
      <c r="C109" s="513">
        <v>7</v>
      </c>
    </row>
    <row r="113" spans="1:7" x14ac:dyDescent="0.2">
      <c r="A113" s="113" t="s">
        <v>1358</v>
      </c>
    </row>
    <row r="114" spans="1:7" ht="30" customHeight="1" x14ac:dyDescent="0.2">
      <c r="A114" s="858" t="s">
        <v>5923</v>
      </c>
      <c r="B114" s="484"/>
      <c r="C114" s="484"/>
      <c r="D114" s="484"/>
      <c r="E114" s="484"/>
      <c r="F114" s="484"/>
      <c r="G114" s="859"/>
    </row>
    <row r="115" spans="1:7" ht="31.25" customHeight="1" x14ac:dyDescent="0.2">
      <c r="A115" s="1632" t="s">
        <v>1275</v>
      </c>
      <c r="B115" s="252" t="s">
        <v>1227</v>
      </c>
      <c r="C115" s="254"/>
      <c r="D115" s="252" t="s">
        <v>5573</v>
      </c>
      <c r="E115" s="254"/>
      <c r="F115" s="252" t="s">
        <v>5586</v>
      </c>
      <c r="G115" s="254"/>
    </row>
    <row r="116" spans="1:7" x14ac:dyDescent="0.2">
      <c r="A116" s="131" t="s">
        <v>5924</v>
      </c>
      <c r="B116" s="131">
        <v>52423</v>
      </c>
      <c r="C116" s="307">
        <v>5</v>
      </c>
      <c r="D116" s="131">
        <v>8774</v>
      </c>
      <c r="E116" s="307"/>
      <c r="F116" s="131">
        <v>1089</v>
      </c>
      <c r="G116" s="307">
        <v>93</v>
      </c>
    </row>
    <row r="117" spans="1:7" x14ac:dyDescent="0.2">
      <c r="A117" s="131" t="s">
        <v>1368</v>
      </c>
      <c r="B117" s="131">
        <v>185569</v>
      </c>
      <c r="C117" s="307">
        <v>35</v>
      </c>
      <c r="D117" s="131">
        <v>29676</v>
      </c>
      <c r="E117" s="307">
        <v>2</v>
      </c>
      <c r="F117" s="131">
        <v>3760</v>
      </c>
      <c r="G117" s="307">
        <v>88</v>
      </c>
    </row>
    <row r="118" spans="1:7" x14ac:dyDescent="0.2">
      <c r="A118" s="131" t="s">
        <v>5743</v>
      </c>
      <c r="B118" s="131">
        <v>17328</v>
      </c>
      <c r="C118" s="307">
        <v>42</v>
      </c>
      <c r="D118" s="131">
        <v>3068</v>
      </c>
      <c r="E118" s="307">
        <v>1</v>
      </c>
      <c r="F118" s="131">
        <v>360</v>
      </c>
      <c r="G118" s="307">
        <v>56</v>
      </c>
    </row>
    <row r="119" spans="1:7" x14ac:dyDescent="0.2">
      <c r="A119" s="131" t="s">
        <v>5744</v>
      </c>
      <c r="B119" s="131">
        <v>15757</v>
      </c>
      <c r="C119" s="307">
        <v>78</v>
      </c>
      <c r="D119" s="131">
        <v>8294</v>
      </c>
      <c r="E119" s="307">
        <v>51</v>
      </c>
      <c r="F119" s="131">
        <v>909</v>
      </c>
      <c r="G119" s="307">
        <v>76</v>
      </c>
    </row>
    <row r="120" spans="1:7" x14ac:dyDescent="0.2">
      <c r="A120" s="131" t="s">
        <v>4033</v>
      </c>
      <c r="B120" s="131">
        <v>15904</v>
      </c>
      <c r="C120" s="307">
        <v>47</v>
      </c>
      <c r="D120" s="131">
        <v>3048</v>
      </c>
      <c r="E120" s="307">
        <v>29</v>
      </c>
      <c r="F120" s="131">
        <v>342</v>
      </c>
      <c r="G120" s="307">
        <v>1</v>
      </c>
    </row>
    <row r="121" spans="1:7" x14ac:dyDescent="0.2">
      <c r="A121" s="131" t="s">
        <v>1519</v>
      </c>
      <c r="B121" s="131">
        <v>17102</v>
      </c>
      <c r="C121" s="307">
        <v>19</v>
      </c>
      <c r="D121" s="131">
        <v>2705</v>
      </c>
      <c r="E121" s="307">
        <v>57</v>
      </c>
      <c r="F121" s="131">
        <v>352</v>
      </c>
      <c r="G121" s="307">
        <v>17</v>
      </c>
    </row>
    <row r="122" spans="1:7" x14ac:dyDescent="0.2">
      <c r="A122" s="131" t="s">
        <v>5745</v>
      </c>
      <c r="B122" s="131">
        <v>6536</v>
      </c>
      <c r="C122" s="307">
        <v>45</v>
      </c>
      <c r="D122" s="131">
        <v>815</v>
      </c>
      <c r="E122" s="307">
        <v>33</v>
      </c>
      <c r="F122" s="131">
        <v>118</v>
      </c>
      <c r="G122" s="307">
        <v>10</v>
      </c>
    </row>
    <row r="123" spans="1:7" x14ac:dyDescent="0.2">
      <c r="A123" s="131" t="s">
        <v>5746</v>
      </c>
      <c r="B123" s="131">
        <v>32213</v>
      </c>
      <c r="C123" s="307">
        <v>65</v>
      </c>
      <c r="D123" s="131">
        <v>5575</v>
      </c>
      <c r="E123" s="307">
        <v>43</v>
      </c>
      <c r="F123" s="131">
        <v>663</v>
      </c>
      <c r="G123" s="307">
        <v>22</v>
      </c>
    </row>
    <row r="124" spans="1:7" x14ac:dyDescent="0.2">
      <c r="A124" s="131" t="s">
        <v>5747</v>
      </c>
      <c r="B124" s="131">
        <v>83142</v>
      </c>
      <c r="C124" s="307">
        <v>19</v>
      </c>
      <c r="D124" s="131">
        <v>14553</v>
      </c>
      <c r="E124" s="307">
        <v>28</v>
      </c>
      <c r="F124" s="131">
        <v>1746</v>
      </c>
      <c r="G124" s="307">
        <v>9</v>
      </c>
    </row>
    <row r="125" spans="1:7" x14ac:dyDescent="0.2">
      <c r="A125" s="131" t="s">
        <v>5748</v>
      </c>
      <c r="B125" s="131">
        <v>1339</v>
      </c>
      <c r="C125" s="307">
        <v>89</v>
      </c>
      <c r="D125" s="131">
        <v>321</v>
      </c>
      <c r="E125" s="307">
        <v>3</v>
      </c>
      <c r="F125" s="131">
        <v>30</v>
      </c>
      <c r="G125" s="307">
        <v>37</v>
      </c>
    </row>
    <row r="126" spans="1:7" x14ac:dyDescent="0.2">
      <c r="A126" s="131" t="s">
        <v>5749</v>
      </c>
      <c r="B126" s="131">
        <v>5602</v>
      </c>
      <c r="C126" s="307">
        <v>14</v>
      </c>
      <c r="D126" s="131">
        <v>1386</v>
      </c>
      <c r="E126" s="307">
        <v>58</v>
      </c>
      <c r="F126" s="131">
        <v>120</v>
      </c>
      <c r="G126" s="307">
        <v>91</v>
      </c>
    </row>
    <row r="127" spans="1:7" x14ac:dyDescent="0.2">
      <c r="A127" s="131" t="s">
        <v>5750</v>
      </c>
      <c r="B127" s="131">
        <v>7593</v>
      </c>
      <c r="C127" s="307">
        <v>12</v>
      </c>
      <c r="D127" s="131">
        <v>1327</v>
      </c>
      <c r="E127" s="307">
        <v>18</v>
      </c>
      <c r="F127" s="131">
        <v>152</v>
      </c>
      <c r="G127" s="307">
        <v>56</v>
      </c>
    </row>
    <row r="128" spans="1:7" x14ac:dyDescent="0.2">
      <c r="A128" s="131" t="s">
        <v>4034</v>
      </c>
      <c r="B128" s="131">
        <v>2650</v>
      </c>
      <c r="C128" s="307">
        <v>98</v>
      </c>
      <c r="D128" s="131">
        <v>949</v>
      </c>
      <c r="E128" s="307">
        <v>19</v>
      </c>
      <c r="F128" s="131">
        <v>65</v>
      </c>
      <c r="G128" s="307">
        <v>29</v>
      </c>
    </row>
    <row r="129" spans="1:7" x14ac:dyDescent="0.2">
      <c r="A129" s="131" t="s">
        <v>5751</v>
      </c>
      <c r="B129" s="131">
        <v>609</v>
      </c>
      <c r="C129" s="307">
        <v>80</v>
      </c>
      <c r="D129" s="131">
        <v>145</v>
      </c>
      <c r="E129" s="307">
        <v>49</v>
      </c>
      <c r="F129" s="131">
        <v>13</v>
      </c>
      <c r="G129" s="307">
        <v>38</v>
      </c>
    </row>
    <row r="130" spans="1:7" x14ac:dyDescent="0.2">
      <c r="A130" s="230" t="s">
        <v>5925</v>
      </c>
      <c r="B130" s="240">
        <v>442773</v>
      </c>
      <c r="C130" s="513">
        <v>48</v>
      </c>
      <c r="D130" s="240">
        <v>80617</v>
      </c>
      <c r="E130" s="513">
        <v>58</v>
      </c>
      <c r="F130" s="240">
        <v>9725</v>
      </c>
      <c r="G130" s="513">
        <v>23</v>
      </c>
    </row>
    <row r="131" spans="1:7" x14ac:dyDescent="0.2">
      <c r="A131" s="230"/>
      <c r="B131" s="1708">
        <f t="shared" ref="B131:G131" si="2">SUM(B116:B129)</f>
        <v>443767</v>
      </c>
      <c r="C131" s="1708">
        <f t="shared" si="2"/>
        <v>648</v>
      </c>
      <c r="D131" s="1708">
        <f t="shared" si="2"/>
        <v>80636</v>
      </c>
      <c r="E131" s="1708">
        <f t="shared" si="2"/>
        <v>391</v>
      </c>
      <c r="F131" s="417">
        <f t="shared" si="2"/>
        <v>9719</v>
      </c>
      <c r="G131" s="417">
        <f t="shared" si="2"/>
        <v>623</v>
      </c>
    </row>
    <row r="132" spans="1:7" ht="53" customHeight="1" x14ac:dyDescent="0.2">
      <c r="A132" s="1709" t="s">
        <v>5926</v>
      </c>
      <c r="B132" s="1710"/>
      <c r="C132" s="1710"/>
      <c r="D132" s="1710"/>
      <c r="E132" s="1710"/>
      <c r="F132" s="1710"/>
      <c r="G132" s="1711"/>
    </row>
    <row r="161" spans="2:232" x14ac:dyDescent="0.2">
      <c r="B161" s="143"/>
      <c r="C161" s="143"/>
      <c r="D161" s="143"/>
      <c r="E161" s="143"/>
      <c r="F161" s="143"/>
      <c r="G161" s="143"/>
      <c r="H161" s="143"/>
      <c r="I161" s="143"/>
      <c r="J161" s="143"/>
      <c r="K161" s="143"/>
      <c r="L161" s="143"/>
      <c r="M161" s="143"/>
      <c r="N161" s="143"/>
      <c r="O161" s="143"/>
      <c r="P161" s="143"/>
      <c r="Q161" s="143"/>
      <c r="R161" s="143"/>
      <c r="S161" s="143"/>
      <c r="T161" s="143"/>
      <c r="U161" s="143"/>
      <c r="V161" s="143"/>
      <c r="W161" s="143"/>
      <c r="X161" s="143"/>
      <c r="Y161" s="143"/>
      <c r="Z161" s="143"/>
      <c r="AA161" s="143"/>
      <c r="AB161" s="143"/>
      <c r="AC161" s="143"/>
      <c r="AD161" s="143"/>
      <c r="AE161" s="143"/>
      <c r="AF161" s="143"/>
      <c r="AG161" s="143"/>
      <c r="AH161" s="143"/>
      <c r="AI161" s="143"/>
      <c r="AJ161" s="143"/>
      <c r="AK161" s="143"/>
      <c r="AL161" s="143"/>
      <c r="AM161" s="143"/>
      <c r="AN161" s="143"/>
      <c r="AO161" s="143"/>
      <c r="AP161" s="143"/>
      <c r="AQ161" s="143"/>
      <c r="AR161" s="143"/>
      <c r="AS161" s="143"/>
      <c r="AT161" s="143"/>
      <c r="AU161" s="143"/>
      <c r="AV161" s="143"/>
      <c r="AW161" s="143"/>
      <c r="AX161" s="143"/>
      <c r="AY161" s="143"/>
      <c r="AZ161" s="143"/>
      <c r="BA161" s="143"/>
      <c r="BB161" s="143"/>
      <c r="BC161" s="143"/>
      <c r="BD161" s="143"/>
      <c r="BE161" s="143"/>
      <c r="BF161" s="143"/>
      <c r="BG161" s="143"/>
      <c r="BH161" s="143"/>
      <c r="BI161" s="143"/>
      <c r="BJ161" s="143"/>
      <c r="BK161" s="143"/>
      <c r="BL161" s="143"/>
      <c r="BM161" s="143"/>
      <c r="BN161" s="143"/>
      <c r="BO161" s="143"/>
      <c r="BP161" s="143"/>
      <c r="BQ161" s="143"/>
      <c r="BR161" s="143"/>
      <c r="BS161" s="143"/>
      <c r="BT161" s="143"/>
      <c r="BU161" s="143"/>
      <c r="BV161" s="143"/>
      <c r="BW161" s="143"/>
      <c r="BX161" s="143"/>
      <c r="BY161" s="143"/>
      <c r="BZ161" s="143"/>
      <c r="CA161" s="143"/>
      <c r="CB161" s="143"/>
      <c r="CC161" s="143"/>
      <c r="CD161" s="143"/>
      <c r="CE161" s="143"/>
      <c r="CF161" s="143"/>
      <c r="CG161" s="143"/>
      <c r="CH161" s="143"/>
      <c r="CI161" s="143"/>
      <c r="CJ161" s="143"/>
      <c r="CK161" s="143"/>
      <c r="CL161" s="143"/>
      <c r="CM161" s="143"/>
      <c r="CN161" s="143"/>
      <c r="CO161" s="143"/>
      <c r="CP161" s="143"/>
      <c r="CQ161" s="143"/>
      <c r="CR161" s="143"/>
      <c r="CS161" s="143"/>
      <c r="CT161" s="143"/>
      <c r="CU161" s="143"/>
      <c r="CV161" s="143"/>
      <c r="CW161" s="143"/>
      <c r="CX161" s="143"/>
      <c r="CY161" s="143"/>
      <c r="CZ161" s="143"/>
      <c r="DA161" s="143"/>
      <c r="DB161" s="143"/>
      <c r="DC161" s="143"/>
      <c r="DD161" s="143"/>
      <c r="DE161" s="143"/>
      <c r="DF161" s="143"/>
      <c r="DG161" s="143"/>
      <c r="DH161" s="143"/>
      <c r="DI161" s="143"/>
      <c r="DJ161" s="143"/>
      <c r="DK161" s="143"/>
      <c r="DL161" s="143"/>
      <c r="DM161" s="143"/>
      <c r="DN161" s="143"/>
      <c r="DO161" s="143"/>
      <c r="DP161" s="143"/>
      <c r="DQ161" s="143"/>
      <c r="DR161" s="143"/>
      <c r="DS161" s="143"/>
      <c r="DT161" s="143"/>
      <c r="DU161" s="143"/>
      <c r="DV161" s="143"/>
      <c r="DW161" s="143"/>
      <c r="DX161" s="143"/>
      <c r="DY161" s="143"/>
      <c r="DZ161" s="143"/>
      <c r="EA161" s="143"/>
      <c r="EB161" s="143"/>
      <c r="EC161" s="143"/>
      <c r="ED161" s="143"/>
      <c r="EE161" s="143"/>
      <c r="EF161" s="143"/>
      <c r="EG161" s="143"/>
      <c r="EH161" s="143"/>
      <c r="EI161" s="143"/>
      <c r="EJ161" s="143"/>
      <c r="EK161" s="143"/>
      <c r="EL161" s="143"/>
      <c r="EM161" s="143"/>
      <c r="EN161" s="143"/>
      <c r="EO161" s="143"/>
      <c r="EP161" s="143"/>
      <c r="EQ161" s="143"/>
      <c r="ER161" s="143"/>
      <c r="ES161" s="143"/>
      <c r="ET161" s="143"/>
      <c r="EU161" s="143"/>
      <c r="EV161" s="143"/>
      <c r="EW161" s="143"/>
      <c r="EX161" s="143"/>
      <c r="EY161" s="143"/>
      <c r="EZ161" s="143"/>
      <c r="FA161" s="143"/>
      <c r="FB161" s="143"/>
      <c r="FC161" s="143"/>
      <c r="FD161" s="143"/>
      <c r="FE161" s="143"/>
      <c r="FF161" s="143"/>
      <c r="FG161" s="143"/>
      <c r="FH161" s="143"/>
      <c r="FI161" s="143"/>
      <c r="FJ161" s="143"/>
      <c r="FK161" s="143"/>
      <c r="FL161" s="143"/>
      <c r="FM161" s="143"/>
      <c r="FN161" s="143"/>
      <c r="FO161" s="143"/>
      <c r="FP161" s="143"/>
      <c r="FQ161" s="143"/>
      <c r="FR161" s="143"/>
      <c r="FS161" s="143"/>
      <c r="FT161" s="143"/>
      <c r="FU161" s="143"/>
      <c r="FV161" s="143"/>
      <c r="FW161" s="143"/>
      <c r="FX161" s="143"/>
      <c r="FY161" s="143"/>
      <c r="FZ161" s="143"/>
      <c r="GA161" s="143"/>
      <c r="GB161" s="143"/>
      <c r="GC161" s="143"/>
      <c r="GD161" s="143"/>
      <c r="GE161" s="143"/>
      <c r="GF161" s="143"/>
      <c r="GG161" s="143"/>
      <c r="GH161" s="143"/>
      <c r="GI161" s="143"/>
      <c r="GJ161" s="143"/>
      <c r="GK161" s="143"/>
      <c r="GL161" s="143"/>
      <c r="GM161" s="143"/>
      <c r="GN161" s="143"/>
      <c r="GO161" s="143"/>
      <c r="GP161" s="143"/>
      <c r="GQ161" s="143"/>
      <c r="GR161" s="143"/>
      <c r="GS161" s="143"/>
      <c r="GT161" s="143"/>
      <c r="GU161" s="143"/>
      <c r="GV161" s="143"/>
      <c r="GW161" s="143"/>
      <c r="GX161" s="143"/>
      <c r="GY161" s="143"/>
      <c r="GZ161" s="143"/>
      <c r="HA161" s="143"/>
      <c r="HB161" s="143"/>
      <c r="HC161" s="143"/>
      <c r="HD161" s="143"/>
      <c r="HE161" s="143"/>
      <c r="HF161" s="143"/>
      <c r="HG161" s="143"/>
      <c r="HH161" s="143"/>
      <c r="HI161" s="143"/>
      <c r="HJ161" s="143"/>
      <c r="HK161" s="143"/>
      <c r="HL161" s="143"/>
      <c r="HM161" s="143"/>
      <c r="HN161" s="143"/>
      <c r="HO161" s="143"/>
      <c r="HP161" s="143"/>
      <c r="HQ161" s="143"/>
      <c r="HR161" s="143"/>
      <c r="HS161" s="143"/>
      <c r="HT161" s="143"/>
      <c r="HU161" s="143"/>
      <c r="HV161" s="143"/>
      <c r="HW161" s="143"/>
      <c r="HX161" s="143"/>
    </row>
    <row r="162" spans="2:232" x14ac:dyDescent="0.2">
      <c r="B162" s="143"/>
      <c r="C162" s="143"/>
      <c r="D162" s="143"/>
      <c r="E162" s="143"/>
      <c r="F162" s="143"/>
      <c r="G162" s="143"/>
      <c r="H162" s="143"/>
      <c r="I162" s="143"/>
      <c r="J162" s="143"/>
      <c r="K162" s="143"/>
      <c r="L162" s="143"/>
      <c r="M162" s="143"/>
      <c r="N162" s="143"/>
      <c r="O162" s="143"/>
      <c r="P162" s="143"/>
      <c r="Q162" s="143"/>
      <c r="R162" s="143"/>
      <c r="S162" s="143"/>
      <c r="T162" s="143"/>
      <c r="U162" s="143"/>
      <c r="V162" s="143"/>
      <c r="W162" s="143"/>
      <c r="X162" s="143"/>
      <c r="Y162" s="143"/>
      <c r="Z162" s="143"/>
      <c r="AA162" s="143"/>
      <c r="AB162" s="143"/>
      <c r="AC162" s="143"/>
      <c r="AD162" s="143"/>
      <c r="AE162" s="143"/>
      <c r="AF162" s="143"/>
      <c r="AG162" s="143"/>
      <c r="AH162" s="143"/>
      <c r="AI162" s="143"/>
      <c r="AJ162" s="143"/>
      <c r="AK162" s="143"/>
      <c r="AL162" s="143"/>
      <c r="AM162" s="143"/>
      <c r="AN162" s="143"/>
      <c r="AO162" s="143"/>
      <c r="AP162" s="143"/>
      <c r="AQ162" s="143"/>
      <c r="AR162" s="143"/>
      <c r="AS162" s="143"/>
      <c r="AT162" s="143"/>
      <c r="AU162" s="143"/>
      <c r="AV162" s="143"/>
      <c r="AW162" s="143"/>
      <c r="AX162" s="143"/>
      <c r="AY162" s="143"/>
      <c r="AZ162" s="143"/>
      <c r="BA162" s="143"/>
      <c r="BB162" s="143"/>
      <c r="BC162" s="143"/>
      <c r="BD162" s="143"/>
      <c r="BE162" s="143"/>
      <c r="BF162" s="143"/>
      <c r="BG162" s="143"/>
      <c r="BH162" s="143"/>
      <c r="BI162" s="143"/>
      <c r="BJ162" s="143"/>
      <c r="BK162" s="143"/>
      <c r="BL162" s="143"/>
      <c r="BM162" s="143"/>
      <c r="BN162" s="143"/>
      <c r="BO162" s="143"/>
      <c r="BP162" s="143"/>
      <c r="BQ162" s="143"/>
      <c r="BR162" s="143"/>
      <c r="BS162" s="143"/>
      <c r="BT162" s="143"/>
      <c r="BU162" s="143"/>
      <c r="BV162" s="143"/>
      <c r="BW162" s="143"/>
      <c r="BX162" s="143"/>
      <c r="BY162" s="143"/>
      <c r="BZ162" s="143"/>
      <c r="CA162" s="143"/>
      <c r="CB162" s="143"/>
      <c r="CC162" s="143"/>
      <c r="CD162" s="143"/>
      <c r="CE162" s="143"/>
      <c r="CF162" s="143"/>
      <c r="CG162" s="143"/>
      <c r="CH162" s="143"/>
      <c r="CI162" s="143"/>
      <c r="CJ162" s="143"/>
      <c r="CK162" s="143"/>
      <c r="CL162" s="143"/>
      <c r="CM162" s="143"/>
      <c r="CN162" s="143"/>
      <c r="CO162" s="143"/>
      <c r="CP162" s="143"/>
      <c r="CQ162" s="143"/>
      <c r="CR162" s="143"/>
      <c r="CS162" s="143"/>
      <c r="CT162" s="143"/>
      <c r="CU162" s="143"/>
      <c r="CV162" s="143"/>
      <c r="CW162" s="143"/>
      <c r="CX162" s="143"/>
      <c r="CY162" s="143"/>
      <c r="CZ162" s="143"/>
      <c r="DA162" s="143"/>
      <c r="DB162" s="143"/>
      <c r="DC162" s="143"/>
      <c r="DD162" s="143"/>
      <c r="DE162" s="143"/>
      <c r="DF162" s="143"/>
      <c r="DG162" s="143"/>
      <c r="DH162" s="143"/>
      <c r="DI162" s="143"/>
      <c r="DJ162" s="143"/>
      <c r="DK162" s="143"/>
      <c r="DL162" s="143"/>
      <c r="DM162" s="143"/>
      <c r="DN162" s="143"/>
      <c r="DO162" s="143"/>
      <c r="DP162" s="143"/>
      <c r="DQ162" s="143"/>
      <c r="DR162" s="143"/>
      <c r="DS162" s="143"/>
      <c r="DT162" s="143"/>
      <c r="DU162" s="143"/>
      <c r="DV162" s="143"/>
      <c r="DW162" s="143"/>
      <c r="DX162" s="143"/>
      <c r="DY162" s="143"/>
      <c r="DZ162" s="143"/>
      <c r="EA162" s="143"/>
      <c r="EB162" s="143"/>
      <c r="EC162" s="143"/>
      <c r="ED162" s="143"/>
      <c r="EE162" s="143"/>
      <c r="EF162" s="143"/>
      <c r="EG162" s="143"/>
      <c r="EH162" s="143"/>
      <c r="EI162" s="143"/>
      <c r="EJ162" s="143"/>
      <c r="EK162" s="143"/>
      <c r="EL162" s="143"/>
      <c r="EM162" s="143"/>
      <c r="EN162" s="143"/>
      <c r="EO162" s="143"/>
      <c r="EP162" s="143"/>
      <c r="EQ162" s="143"/>
      <c r="ER162" s="143"/>
      <c r="ES162" s="143"/>
      <c r="ET162" s="143"/>
      <c r="EU162" s="143"/>
      <c r="EV162" s="143"/>
      <c r="EW162" s="143"/>
      <c r="EX162" s="143"/>
      <c r="EY162" s="143"/>
      <c r="EZ162" s="143"/>
      <c r="FA162" s="143"/>
      <c r="FB162" s="143"/>
      <c r="FC162" s="143"/>
      <c r="FD162" s="143"/>
      <c r="FE162" s="143"/>
      <c r="FF162" s="143"/>
      <c r="FG162" s="143"/>
      <c r="FH162" s="143"/>
      <c r="FI162" s="143"/>
      <c r="FJ162" s="143"/>
      <c r="FK162" s="143"/>
      <c r="FL162" s="143"/>
      <c r="FM162" s="143"/>
      <c r="FN162" s="143"/>
      <c r="FO162" s="143"/>
      <c r="FP162" s="143"/>
      <c r="FQ162" s="143"/>
      <c r="FR162" s="143"/>
      <c r="FS162" s="143"/>
      <c r="FT162" s="143"/>
      <c r="FU162" s="143"/>
      <c r="FV162" s="143"/>
      <c r="FW162" s="143"/>
      <c r="FX162" s="143"/>
      <c r="FY162" s="143"/>
      <c r="FZ162" s="143"/>
      <c r="GA162" s="143"/>
      <c r="GB162" s="143"/>
      <c r="GC162" s="143"/>
      <c r="GD162" s="143"/>
      <c r="GE162" s="143"/>
      <c r="GF162" s="143"/>
      <c r="GG162" s="143"/>
      <c r="GH162" s="143"/>
      <c r="GI162" s="143"/>
      <c r="GJ162" s="143"/>
      <c r="GK162" s="143"/>
      <c r="GL162" s="143"/>
      <c r="GM162" s="143"/>
      <c r="GN162" s="143"/>
      <c r="GO162" s="143"/>
      <c r="GP162" s="143"/>
      <c r="GQ162" s="143"/>
      <c r="GR162" s="143"/>
      <c r="GS162" s="143"/>
      <c r="GT162" s="143"/>
      <c r="GU162" s="143"/>
      <c r="GV162" s="143"/>
      <c r="GW162" s="143"/>
      <c r="GX162" s="143"/>
      <c r="GY162" s="143"/>
      <c r="GZ162" s="143"/>
      <c r="HA162" s="143"/>
      <c r="HB162" s="143"/>
      <c r="HC162" s="143"/>
      <c r="HD162" s="143"/>
      <c r="HE162" s="143"/>
      <c r="HF162" s="143"/>
      <c r="HG162" s="143"/>
      <c r="HH162" s="143"/>
      <c r="HI162" s="143"/>
      <c r="HJ162" s="143"/>
      <c r="HK162" s="143"/>
      <c r="HL162" s="143"/>
      <c r="HM162" s="143"/>
      <c r="HN162" s="143"/>
      <c r="HO162" s="143"/>
      <c r="HP162" s="143"/>
      <c r="HQ162" s="143"/>
      <c r="HR162" s="143"/>
      <c r="HS162" s="143"/>
      <c r="HT162" s="143"/>
      <c r="HU162" s="143"/>
      <c r="HV162" s="143"/>
      <c r="HW162" s="143"/>
      <c r="HX162" s="143"/>
    </row>
    <row r="164" spans="2:232" x14ac:dyDescent="0.2">
      <c r="B164" s="143"/>
      <c r="C164" s="143"/>
      <c r="D164" s="143"/>
      <c r="E164" s="143"/>
      <c r="F164" s="143"/>
      <c r="G164" s="143"/>
      <c r="H164" s="143"/>
      <c r="I164" s="143"/>
      <c r="J164" s="143"/>
      <c r="K164" s="143"/>
      <c r="L164" s="143"/>
      <c r="M164" s="143"/>
      <c r="N164" s="143"/>
      <c r="O164" s="143"/>
      <c r="P164" s="143"/>
      <c r="Q164" s="143"/>
      <c r="R164" s="143"/>
      <c r="S164" s="143"/>
      <c r="T164" s="143"/>
      <c r="U164" s="143"/>
      <c r="V164" s="143"/>
      <c r="W164" s="143"/>
      <c r="X164" s="143"/>
      <c r="Y164" s="143"/>
      <c r="Z164" s="143"/>
      <c r="AA164" s="143"/>
      <c r="AB164" s="143"/>
      <c r="AC164" s="143"/>
      <c r="AD164" s="143"/>
      <c r="AE164" s="143"/>
      <c r="AF164" s="143"/>
      <c r="AG164" s="143"/>
      <c r="AH164" s="143"/>
      <c r="AI164" s="143"/>
      <c r="AJ164" s="143"/>
      <c r="AK164" s="143"/>
      <c r="AL164" s="143"/>
      <c r="AM164" s="143"/>
      <c r="AN164" s="143"/>
      <c r="AO164" s="143"/>
      <c r="AP164" s="143"/>
      <c r="AQ164" s="143"/>
      <c r="AR164" s="143"/>
      <c r="AS164" s="143"/>
      <c r="AT164" s="143"/>
      <c r="AU164" s="143"/>
      <c r="AV164" s="143"/>
      <c r="AW164" s="143"/>
      <c r="AX164" s="143"/>
      <c r="AY164" s="143"/>
      <c r="AZ164" s="143"/>
      <c r="BA164" s="143"/>
      <c r="BB164" s="143"/>
      <c r="BC164" s="143"/>
      <c r="BD164" s="143"/>
      <c r="BE164" s="143"/>
      <c r="BF164" s="143"/>
      <c r="BG164" s="143"/>
      <c r="BH164" s="143"/>
      <c r="BI164" s="143"/>
      <c r="BJ164" s="143"/>
      <c r="BK164" s="143"/>
      <c r="BL164" s="143"/>
      <c r="BM164" s="143"/>
      <c r="BN164" s="143"/>
      <c r="BO164" s="143"/>
      <c r="BP164" s="143"/>
      <c r="BQ164" s="143"/>
      <c r="BR164" s="143"/>
      <c r="BS164" s="143"/>
      <c r="BT164" s="143"/>
      <c r="BU164" s="143"/>
      <c r="BV164" s="143"/>
      <c r="BW164" s="143"/>
      <c r="BX164" s="143"/>
      <c r="BY164" s="143"/>
      <c r="BZ164" s="143"/>
      <c r="CA164" s="143"/>
      <c r="CB164" s="143"/>
      <c r="CC164" s="143"/>
      <c r="CD164" s="143"/>
      <c r="CE164" s="143"/>
      <c r="CF164" s="143"/>
      <c r="CG164" s="143"/>
      <c r="CH164" s="143"/>
      <c r="CI164" s="143"/>
      <c r="CJ164" s="143"/>
      <c r="CK164" s="143"/>
      <c r="CL164" s="143"/>
      <c r="CM164" s="143"/>
      <c r="CN164" s="143"/>
      <c r="CO164" s="143"/>
      <c r="CP164" s="143"/>
      <c r="CQ164" s="143"/>
      <c r="CR164" s="143"/>
      <c r="CS164" s="143"/>
      <c r="CT164" s="143"/>
      <c r="CU164" s="143"/>
      <c r="CV164" s="143"/>
      <c r="CW164" s="143"/>
      <c r="CX164" s="143"/>
      <c r="CY164" s="143"/>
      <c r="CZ164" s="143"/>
      <c r="DA164" s="143"/>
      <c r="DB164" s="143"/>
      <c r="DC164" s="143"/>
      <c r="DD164" s="143"/>
      <c r="DE164" s="143"/>
      <c r="DF164" s="143"/>
      <c r="DG164" s="143"/>
      <c r="DH164" s="143"/>
      <c r="DI164" s="143"/>
      <c r="DJ164" s="143"/>
      <c r="DK164" s="143"/>
      <c r="DL164" s="143"/>
      <c r="DM164" s="143"/>
      <c r="DN164" s="143"/>
      <c r="DO164" s="143"/>
      <c r="DP164" s="143"/>
      <c r="DQ164" s="143"/>
      <c r="DR164" s="143"/>
      <c r="DS164" s="143"/>
      <c r="DT164" s="143"/>
      <c r="DU164" s="143"/>
      <c r="DV164" s="143"/>
      <c r="DW164" s="143"/>
      <c r="DX164" s="143"/>
      <c r="DY164" s="143"/>
      <c r="DZ164" s="143"/>
      <c r="EA164" s="143"/>
      <c r="EB164" s="143"/>
      <c r="EC164" s="143"/>
      <c r="ED164" s="143"/>
      <c r="EE164" s="143"/>
      <c r="EF164" s="143"/>
      <c r="EG164" s="143"/>
      <c r="EH164" s="143"/>
      <c r="EI164" s="143"/>
      <c r="EJ164" s="143"/>
      <c r="EK164" s="143"/>
      <c r="EL164" s="143"/>
      <c r="EM164" s="143"/>
      <c r="EN164" s="143"/>
      <c r="EO164" s="143"/>
      <c r="EP164" s="143"/>
      <c r="EQ164" s="143"/>
      <c r="ER164" s="143"/>
      <c r="ES164" s="143"/>
      <c r="ET164" s="143"/>
      <c r="EU164" s="143"/>
      <c r="EV164" s="143"/>
      <c r="EW164" s="143"/>
      <c r="EX164" s="143"/>
      <c r="EY164" s="143"/>
      <c r="EZ164" s="143"/>
      <c r="FA164" s="143"/>
      <c r="FB164" s="143"/>
      <c r="FC164" s="143"/>
      <c r="FD164" s="143"/>
      <c r="FE164" s="143"/>
      <c r="FF164" s="143"/>
      <c r="FG164" s="143"/>
      <c r="FH164" s="143"/>
      <c r="FI164" s="143"/>
      <c r="FJ164" s="143"/>
      <c r="FK164" s="143"/>
      <c r="FL164" s="143"/>
      <c r="FM164" s="143"/>
      <c r="FN164" s="143"/>
      <c r="FO164" s="143"/>
      <c r="FP164" s="143"/>
      <c r="FQ164" s="143"/>
      <c r="FR164" s="143"/>
      <c r="FS164" s="143"/>
      <c r="FT164" s="143"/>
      <c r="FU164" s="143"/>
      <c r="FV164" s="143"/>
      <c r="FW164" s="143"/>
      <c r="FX164" s="143"/>
      <c r="FY164" s="143"/>
      <c r="FZ164" s="143"/>
      <c r="GA164" s="143"/>
      <c r="GB164" s="143"/>
      <c r="GC164" s="143"/>
      <c r="GD164" s="143"/>
      <c r="GE164" s="143"/>
      <c r="GF164" s="143"/>
      <c r="GG164" s="143"/>
      <c r="GH164" s="143"/>
      <c r="GI164" s="143"/>
      <c r="GJ164" s="143"/>
      <c r="GK164" s="143"/>
      <c r="GL164" s="143"/>
      <c r="GM164" s="143"/>
      <c r="GN164" s="143"/>
      <c r="GO164" s="143"/>
      <c r="GP164" s="143"/>
      <c r="GQ164" s="143"/>
      <c r="GR164" s="143"/>
      <c r="GS164" s="143"/>
      <c r="GT164" s="143"/>
      <c r="GU164" s="143"/>
      <c r="GV164" s="143"/>
      <c r="GW164" s="143"/>
      <c r="GX164" s="143"/>
      <c r="GY164" s="143"/>
      <c r="GZ164" s="143"/>
      <c r="HA164" s="143"/>
      <c r="HB164" s="143"/>
      <c r="HC164" s="143"/>
      <c r="HD164" s="143"/>
      <c r="HE164" s="143"/>
      <c r="HF164" s="143"/>
      <c r="HG164" s="143"/>
      <c r="HH164" s="143"/>
      <c r="HI164" s="143"/>
      <c r="HJ164" s="143"/>
      <c r="HK164" s="143"/>
      <c r="HL164" s="143"/>
      <c r="HM164" s="143"/>
      <c r="HN164" s="143"/>
      <c r="HO164" s="143"/>
      <c r="HP164" s="143"/>
      <c r="HQ164" s="143"/>
      <c r="HR164" s="143"/>
      <c r="HS164" s="143"/>
      <c r="HT164" s="143"/>
      <c r="HU164" s="143"/>
      <c r="HV164" s="143"/>
      <c r="HW164" s="143"/>
      <c r="HX164" s="143"/>
    </row>
    <row r="166" spans="2:232" x14ac:dyDescent="0.2">
      <c r="B166" s="143"/>
      <c r="C166" s="143"/>
      <c r="D166" s="143"/>
      <c r="E166" s="143"/>
      <c r="F166" s="143"/>
      <c r="G166" s="143"/>
      <c r="H166" s="143"/>
      <c r="I166" s="143"/>
      <c r="J166" s="143"/>
      <c r="K166" s="143"/>
      <c r="L166" s="143"/>
      <c r="M166" s="143"/>
      <c r="N166" s="143"/>
      <c r="O166" s="143"/>
      <c r="P166" s="143"/>
      <c r="Q166" s="143"/>
      <c r="R166" s="143"/>
      <c r="S166" s="143"/>
      <c r="T166" s="143"/>
      <c r="U166" s="143"/>
      <c r="V166" s="143"/>
      <c r="W166" s="143"/>
      <c r="X166" s="143"/>
      <c r="Y166" s="143"/>
      <c r="Z166" s="143"/>
      <c r="AA166" s="143"/>
      <c r="AB166" s="143"/>
      <c r="AC166" s="143"/>
      <c r="AD166" s="143"/>
      <c r="AE166" s="143"/>
      <c r="AF166" s="143"/>
      <c r="AG166" s="143"/>
      <c r="AH166" s="143"/>
      <c r="AI166" s="143"/>
      <c r="AJ166" s="143"/>
      <c r="AK166" s="143"/>
      <c r="AL166" s="143"/>
      <c r="AM166" s="143"/>
      <c r="AN166" s="143"/>
      <c r="AO166" s="143"/>
      <c r="AP166" s="143"/>
      <c r="AQ166" s="143"/>
      <c r="AR166" s="143"/>
      <c r="AS166" s="143"/>
      <c r="AT166" s="143"/>
      <c r="AU166" s="143"/>
      <c r="AV166" s="143"/>
      <c r="AW166" s="143"/>
      <c r="AX166" s="143"/>
      <c r="AY166" s="143"/>
      <c r="AZ166" s="143"/>
      <c r="BA166" s="143"/>
      <c r="BB166" s="143"/>
      <c r="BC166" s="143"/>
      <c r="BD166" s="143"/>
      <c r="BE166" s="143"/>
      <c r="BF166" s="143"/>
      <c r="BG166" s="143"/>
      <c r="BH166" s="143"/>
      <c r="BI166" s="143"/>
      <c r="BJ166" s="143"/>
      <c r="BK166" s="143"/>
      <c r="BL166" s="143"/>
      <c r="BM166" s="143"/>
      <c r="BN166" s="143"/>
      <c r="BO166" s="143"/>
      <c r="BP166" s="143"/>
      <c r="BQ166" s="143"/>
      <c r="BR166" s="143"/>
      <c r="BS166" s="143"/>
      <c r="BT166" s="143"/>
      <c r="BU166" s="143"/>
      <c r="BV166" s="143"/>
      <c r="BW166" s="143"/>
      <c r="BX166" s="143"/>
      <c r="BY166" s="143"/>
      <c r="BZ166" s="143"/>
      <c r="CA166" s="143"/>
      <c r="CB166" s="143"/>
      <c r="CC166" s="143"/>
      <c r="CD166" s="143"/>
      <c r="CE166" s="143"/>
      <c r="CF166" s="143"/>
      <c r="CG166" s="143"/>
      <c r="CH166" s="143"/>
      <c r="CI166" s="143"/>
      <c r="CJ166" s="143"/>
      <c r="CK166" s="143"/>
      <c r="CL166" s="143"/>
      <c r="CM166" s="143"/>
      <c r="CN166" s="143"/>
      <c r="CO166" s="143"/>
      <c r="CP166" s="143"/>
      <c r="CQ166" s="143"/>
      <c r="CR166" s="143"/>
      <c r="CS166" s="143"/>
      <c r="CT166" s="143"/>
      <c r="CU166" s="143"/>
      <c r="CV166" s="143"/>
      <c r="CW166" s="143"/>
      <c r="CX166" s="143"/>
      <c r="CY166" s="143"/>
      <c r="CZ166" s="143"/>
      <c r="DA166" s="143"/>
      <c r="DB166" s="143"/>
      <c r="DC166" s="143"/>
      <c r="DD166" s="143"/>
      <c r="DE166" s="143"/>
      <c r="DF166" s="143"/>
      <c r="DG166" s="143"/>
      <c r="DH166" s="143"/>
      <c r="DI166" s="143"/>
      <c r="DJ166" s="143"/>
      <c r="DK166" s="143"/>
      <c r="DL166" s="143"/>
      <c r="DM166" s="143"/>
      <c r="DN166" s="143"/>
      <c r="DO166" s="143"/>
      <c r="DP166" s="143"/>
      <c r="DQ166" s="143"/>
      <c r="DR166" s="143"/>
      <c r="DS166" s="143"/>
      <c r="DT166" s="143"/>
      <c r="DU166" s="143"/>
      <c r="DV166" s="143"/>
      <c r="DW166" s="143"/>
      <c r="DX166" s="143"/>
      <c r="DY166" s="143"/>
      <c r="DZ166" s="143"/>
      <c r="EA166" s="143"/>
      <c r="EB166" s="143"/>
      <c r="EC166" s="143"/>
      <c r="ED166" s="143"/>
      <c r="EE166" s="143"/>
      <c r="EF166" s="143"/>
      <c r="EG166" s="143"/>
      <c r="EH166" s="143"/>
      <c r="EI166" s="143"/>
      <c r="EJ166" s="143"/>
      <c r="EK166" s="143"/>
      <c r="EL166" s="143"/>
      <c r="EM166" s="143"/>
      <c r="EN166" s="143"/>
      <c r="EO166" s="143"/>
      <c r="EP166" s="143"/>
      <c r="EQ166" s="143"/>
      <c r="ER166" s="143"/>
      <c r="ES166" s="143"/>
      <c r="ET166" s="143"/>
      <c r="EU166" s="143"/>
      <c r="EV166" s="143"/>
      <c r="EW166" s="143"/>
      <c r="EX166" s="143"/>
      <c r="EY166" s="143"/>
      <c r="EZ166" s="143"/>
      <c r="FA166" s="143"/>
      <c r="FB166" s="143"/>
      <c r="FC166" s="143"/>
      <c r="FD166" s="143"/>
      <c r="FE166" s="143"/>
      <c r="FF166" s="143"/>
      <c r="FG166" s="143"/>
      <c r="FH166" s="143"/>
      <c r="FI166" s="143"/>
      <c r="FJ166" s="143"/>
      <c r="FK166" s="143"/>
      <c r="FL166" s="143"/>
      <c r="FM166" s="143"/>
      <c r="FN166" s="143"/>
      <c r="FO166" s="143"/>
      <c r="FP166" s="143"/>
      <c r="FQ166" s="143"/>
      <c r="FR166" s="143"/>
      <c r="FS166" s="143"/>
      <c r="FT166" s="143"/>
      <c r="FU166" s="143"/>
      <c r="FV166" s="143"/>
      <c r="FW166" s="143"/>
      <c r="FX166" s="143"/>
      <c r="FY166" s="143"/>
      <c r="FZ166" s="143"/>
      <c r="GA166" s="143"/>
      <c r="GB166" s="143"/>
      <c r="GC166" s="143"/>
      <c r="GD166" s="143"/>
      <c r="GE166" s="143"/>
      <c r="GF166" s="143"/>
      <c r="GG166" s="143"/>
      <c r="GH166" s="143"/>
      <c r="GI166" s="143"/>
      <c r="GJ166" s="143"/>
      <c r="GK166" s="143"/>
      <c r="GL166" s="143"/>
      <c r="GM166" s="143"/>
      <c r="GN166" s="143"/>
      <c r="GO166" s="143"/>
      <c r="GP166" s="143"/>
      <c r="GQ166" s="143"/>
      <c r="GR166" s="143"/>
      <c r="GS166" s="143"/>
      <c r="GT166" s="143"/>
      <c r="GU166" s="143"/>
      <c r="GV166" s="143"/>
      <c r="GW166" s="143"/>
      <c r="GX166" s="143"/>
      <c r="GY166" s="143"/>
      <c r="GZ166" s="143"/>
      <c r="HA166" s="143"/>
      <c r="HB166" s="143"/>
      <c r="HC166" s="143"/>
      <c r="HD166" s="143"/>
      <c r="HE166" s="143"/>
      <c r="HF166" s="143"/>
      <c r="HG166" s="143"/>
      <c r="HH166" s="143"/>
      <c r="HI166" s="143"/>
      <c r="HJ166" s="143"/>
      <c r="HK166" s="143"/>
      <c r="HL166" s="143"/>
      <c r="HM166" s="143"/>
      <c r="HN166" s="143"/>
      <c r="HO166" s="143"/>
      <c r="HP166" s="143"/>
      <c r="HQ166" s="143"/>
      <c r="HR166" s="143"/>
      <c r="HS166" s="143"/>
      <c r="HT166" s="143"/>
      <c r="HU166" s="143"/>
      <c r="HV166" s="143"/>
      <c r="HW166" s="143"/>
      <c r="HX166" s="143"/>
    </row>
    <row r="168" spans="2:232" x14ac:dyDescent="0.2">
      <c r="B168" s="143"/>
      <c r="C168" s="143"/>
      <c r="D168" s="143"/>
      <c r="E168" s="143"/>
      <c r="F168" s="143"/>
      <c r="G168" s="143"/>
      <c r="H168" s="143"/>
      <c r="I168" s="143"/>
      <c r="J168" s="143"/>
      <c r="K168" s="143"/>
      <c r="L168" s="143"/>
      <c r="M168" s="143"/>
      <c r="N168" s="143"/>
      <c r="O168" s="143"/>
      <c r="P168" s="143"/>
      <c r="Q168" s="143"/>
      <c r="R168" s="143"/>
      <c r="S168" s="143"/>
      <c r="T168" s="143"/>
      <c r="U168" s="143"/>
      <c r="V168" s="143"/>
      <c r="W168" s="143"/>
      <c r="X168" s="143"/>
      <c r="Y168" s="143"/>
      <c r="Z168" s="143"/>
      <c r="AA168" s="143"/>
      <c r="AB168" s="143"/>
      <c r="AC168" s="143"/>
      <c r="AD168" s="143"/>
      <c r="AE168" s="143"/>
      <c r="AF168" s="143"/>
      <c r="AG168" s="143"/>
      <c r="AH168" s="143"/>
      <c r="AI168" s="143"/>
      <c r="AJ168" s="143"/>
      <c r="AK168" s="143"/>
      <c r="AL168" s="143"/>
      <c r="AM168" s="143"/>
      <c r="AN168" s="143"/>
      <c r="AO168" s="143"/>
      <c r="AP168" s="143"/>
      <c r="AQ168" s="143"/>
      <c r="AR168" s="143"/>
      <c r="AS168" s="143"/>
      <c r="AT168" s="143"/>
      <c r="AU168" s="143"/>
      <c r="AV168" s="143"/>
      <c r="AW168" s="143"/>
      <c r="AX168" s="143"/>
      <c r="AY168" s="143"/>
      <c r="AZ168" s="143"/>
      <c r="BA168" s="143"/>
      <c r="BB168" s="143"/>
      <c r="BC168" s="143"/>
      <c r="BD168" s="143"/>
      <c r="BE168" s="143"/>
      <c r="BF168" s="143"/>
      <c r="BG168" s="143"/>
      <c r="BH168" s="143"/>
      <c r="BI168" s="143"/>
      <c r="BJ168" s="143"/>
      <c r="BK168" s="143"/>
      <c r="BL168" s="143"/>
      <c r="BM168" s="143"/>
      <c r="BN168" s="143"/>
      <c r="BO168" s="143"/>
      <c r="BP168" s="143"/>
      <c r="BQ168" s="143"/>
      <c r="BR168" s="143"/>
      <c r="BS168" s="143"/>
      <c r="BT168" s="143"/>
      <c r="BU168" s="143"/>
      <c r="BV168" s="143"/>
      <c r="BW168" s="143"/>
      <c r="BX168" s="143"/>
      <c r="BY168" s="143"/>
      <c r="BZ168" s="143"/>
      <c r="CA168" s="143"/>
      <c r="CB168" s="143"/>
      <c r="CC168" s="143"/>
      <c r="CD168" s="143"/>
      <c r="CE168" s="143"/>
      <c r="CF168" s="143"/>
      <c r="CG168" s="143"/>
      <c r="CH168" s="143"/>
      <c r="CI168" s="143"/>
      <c r="CJ168" s="143"/>
      <c r="CK168" s="143"/>
      <c r="CL168" s="143"/>
      <c r="CM168" s="143"/>
      <c r="CN168" s="143"/>
      <c r="CO168" s="143"/>
      <c r="CP168" s="143"/>
      <c r="CQ168" s="143"/>
      <c r="CR168" s="143"/>
      <c r="CS168" s="143"/>
      <c r="CT168" s="143"/>
      <c r="CU168" s="143"/>
      <c r="CV168" s="143"/>
      <c r="CW168" s="143"/>
      <c r="CX168" s="143"/>
      <c r="CY168" s="143"/>
      <c r="CZ168" s="143"/>
      <c r="DA168" s="143"/>
      <c r="DB168" s="143"/>
      <c r="DC168" s="143"/>
      <c r="DD168" s="143"/>
      <c r="DE168" s="143"/>
      <c r="DF168" s="143"/>
      <c r="DG168" s="143"/>
      <c r="DH168" s="143"/>
      <c r="DI168" s="143"/>
      <c r="DJ168" s="143"/>
      <c r="DK168" s="143"/>
      <c r="DL168" s="143"/>
      <c r="DM168" s="143"/>
      <c r="DN168" s="143"/>
      <c r="DO168" s="143"/>
      <c r="DP168" s="143"/>
      <c r="DQ168" s="143"/>
      <c r="DR168" s="143"/>
      <c r="DS168" s="143"/>
      <c r="DT168" s="143"/>
      <c r="DU168" s="143"/>
      <c r="DV168" s="143"/>
      <c r="DW168" s="143"/>
      <c r="DX168" s="143"/>
      <c r="DY168" s="143"/>
      <c r="DZ168" s="143"/>
      <c r="EA168" s="143"/>
      <c r="EB168" s="143"/>
      <c r="EC168" s="143"/>
      <c r="ED168" s="143"/>
      <c r="EE168" s="143"/>
      <c r="EF168" s="143"/>
      <c r="EG168" s="143"/>
      <c r="EH168" s="143"/>
      <c r="EI168" s="143"/>
      <c r="EJ168" s="143"/>
      <c r="EK168" s="143"/>
      <c r="EL168" s="143"/>
      <c r="EM168" s="143"/>
      <c r="EN168" s="143"/>
      <c r="EO168" s="143"/>
      <c r="EP168" s="143"/>
      <c r="EQ168" s="143"/>
      <c r="ER168" s="143"/>
      <c r="ES168" s="143"/>
      <c r="ET168" s="143"/>
      <c r="EU168" s="143"/>
      <c r="EV168" s="143"/>
      <c r="EW168" s="143"/>
      <c r="EX168" s="143"/>
      <c r="EY168" s="143"/>
      <c r="EZ168" s="143"/>
      <c r="FA168" s="143"/>
      <c r="FB168" s="143"/>
      <c r="FC168" s="143"/>
      <c r="FD168" s="143"/>
      <c r="FE168" s="143"/>
      <c r="FF168" s="143"/>
      <c r="FG168" s="143"/>
      <c r="FH168" s="143"/>
      <c r="FI168" s="143"/>
      <c r="FJ168" s="143"/>
      <c r="FK168" s="143"/>
      <c r="FL168" s="143"/>
      <c r="FM168" s="143"/>
      <c r="FN168" s="143"/>
      <c r="FO168" s="143"/>
      <c r="FP168" s="143"/>
      <c r="FQ168" s="143"/>
      <c r="FR168" s="143"/>
      <c r="FS168" s="143"/>
      <c r="FT168" s="143"/>
      <c r="FU168" s="143"/>
      <c r="FV168" s="143"/>
      <c r="FW168" s="143"/>
      <c r="FX168" s="143"/>
      <c r="FY168" s="143"/>
      <c r="FZ168" s="143"/>
      <c r="GA168" s="143"/>
      <c r="GB168" s="143"/>
      <c r="GC168" s="143"/>
      <c r="GD168" s="143"/>
      <c r="GE168" s="143"/>
      <c r="GF168" s="143"/>
      <c r="GG168" s="143"/>
      <c r="GH168" s="143"/>
      <c r="GI168" s="143"/>
      <c r="GJ168" s="143"/>
      <c r="GK168" s="143"/>
      <c r="GL168" s="143"/>
      <c r="GM168" s="143"/>
      <c r="GN168" s="143"/>
      <c r="GO168" s="143"/>
      <c r="GP168" s="143"/>
      <c r="GQ168" s="143"/>
      <c r="GR168" s="143"/>
      <c r="GS168" s="143"/>
      <c r="GT168" s="143"/>
      <c r="GU168" s="143"/>
      <c r="GV168" s="143"/>
      <c r="GW168" s="143"/>
      <c r="GX168" s="143"/>
      <c r="GY168" s="143"/>
      <c r="GZ168" s="143"/>
      <c r="HA168" s="143"/>
      <c r="HB168" s="143"/>
      <c r="HC168" s="143"/>
      <c r="HD168" s="143"/>
      <c r="HE168" s="143"/>
      <c r="HF168" s="143"/>
      <c r="HG168" s="143"/>
      <c r="HH168" s="143"/>
      <c r="HI168" s="143"/>
      <c r="HJ168" s="143"/>
      <c r="HK168" s="143"/>
      <c r="HL168" s="143"/>
      <c r="HM168" s="143"/>
      <c r="HN168" s="143"/>
      <c r="HO168" s="143"/>
      <c r="HP168" s="143"/>
      <c r="HQ168" s="143"/>
      <c r="HR168" s="143"/>
      <c r="HS168" s="143"/>
      <c r="HT168" s="143"/>
      <c r="HU168" s="143"/>
      <c r="HV168" s="143"/>
      <c r="HW168" s="143"/>
      <c r="HX168" s="143"/>
    </row>
    <row r="170" spans="2:232" x14ac:dyDescent="0.2">
      <c r="B170" s="143"/>
      <c r="C170" s="143"/>
      <c r="D170" s="143"/>
      <c r="E170" s="143"/>
      <c r="F170" s="143"/>
      <c r="G170" s="143"/>
      <c r="H170" s="143"/>
      <c r="I170" s="143"/>
      <c r="J170" s="143"/>
      <c r="K170" s="143"/>
      <c r="L170" s="143"/>
      <c r="M170" s="143"/>
      <c r="N170" s="143"/>
      <c r="O170" s="143"/>
      <c r="P170" s="143"/>
      <c r="Q170" s="143"/>
      <c r="R170" s="143"/>
      <c r="S170" s="143"/>
      <c r="T170" s="143"/>
      <c r="U170" s="143"/>
      <c r="V170" s="143"/>
      <c r="W170" s="143"/>
      <c r="X170" s="143"/>
      <c r="Y170" s="143"/>
      <c r="Z170" s="143"/>
      <c r="AA170" s="143"/>
      <c r="AB170" s="143"/>
      <c r="AC170" s="143"/>
      <c r="AD170" s="143"/>
      <c r="AE170" s="143"/>
      <c r="AF170" s="143"/>
      <c r="AG170" s="143"/>
      <c r="AH170" s="143"/>
      <c r="AI170" s="143"/>
      <c r="AJ170" s="143"/>
      <c r="AK170" s="143"/>
      <c r="AL170" s="143"/>
      <c r="AM170" s="143"/>
      <c r="AN170" s="143"/>
      <c r="AO170" s="143"/>
      <c r="AP170" s="143"/>
      <c r="AQ170" s="143"/>
      <c r="AR170" s="143"/>
      <c r="AS170" s="143"/>
      <c r="AT170" s="143"/>
      <c r="AU170" s="143"/>
      <c r="AV170" s="143"/>
      <c r="AW170" s="143"/>
      <c r="AX170" s="143"/>
      <c r="AY170" s="143"/>
      <c r="AZ170" s="143"/>
      <c r="BA170" s="143"/>
      <c r="BB170" s="143"/>
      <c r="BC170" s="143"/>
      <c r="BD170" s="143"/>
      <c r="BE170" s="143"/>
      <c r="BF170" s="143"/>
      <c r="BG170" s="143"/>
      <c r="BH170" s="143"/>
      <c r="BI170" s="143"/>
      <c r="BJ170" s="143"/>
      <c r="BK170" s="143"/>
      <c r="BL170" s="143"/>
      <c r="BM170" s="143"/>
      <c r="BN170" s="143"/>
      <c r="BO170" s="143"/>
      <c r="BP170" s="143"/>
      <c r="BQ170" s="143"/>
      <c r="BR170" s="143"/>
      <c r="BS170" s="143"/>
      <c r="BT170" s="143"/>
      <c r="BU170" s="143"/>
      <c r="BV170" s="143"/>
      <c r="BW170" s="143"/>
      <c r="BX170" s="143"/>
      <c r="BY170" s="143"/>
      <c r="BZ170" s="143"/>
      <c r="CA170" s="143"/>
      <c r="CB170" s="143"/>
      <c r="CC170" s="143"/>
      <c r="CD170" s="143"/>
      <c r="CE170" s="143"/>
      <c r="CF170" s="143"/>
      <c r="CG170" s="143"/>
      <c r="CH170" s="143"/>
      <c r="CI170" s="143"/>
      <c r="CJ170" s="143"/>
      <c r="CK170" s="143"/>
      <c r="CL170" s="143"/>
      <c r="CM170" s="143"/>
      <c r="CN170" s="143"/>
      <c r="CO170" s="143"/>
      <c r="CP170" s="143"/>
      <c r="CQ170" s="143"/>
      <c r="CR170" s="143"/>
      <c r="CS170" s="143"/>
      <c r="CT170" s="143"/>
      <c r="CU170" s="143"/>
      <c r="CV170" s="143"/>
      <c r="CW170" s="143"/>
      <c r="CX170" s="143"/>
      <c r="CY170" s="143"/>
      <c r="CZ170" s="143"/>
      <c r="DA170" s="143"/>
      <c r="DB170" s="143"/>
      <c r="DC170" s="143"/>
      <c r="DD170" s="143"/>
      <c r="DE170" s="143"/>
      <c r="DF170" s="143"/>
      <c r="DG170" s="143"/>
      <c r="DH170" s="143"/>
      <c r="DI170" s="143"/>
      <c r="DJ170" s="143"/>
      <c r="DK170" s="143"/>
      <c r="DL170" s="143"/>
      <c r="DM170" s="143"/>
      <c r="DN170" s="143"/>
      <c r="DO170" s="143"/>
      <c r="DP170" s="143"/>
      <c r="DQ170" s="143"/>
      <c r="DR170" s="143"/>
      <c r="DS170" s="143"/>
      <c r="DT170" s="143"/>
      <c r="DU170" s="143"/>
      <c r="DV170" s="143"/>
      <c r="DW170" s="143"/>
      <c r="DX170" s="143"/>
      <c r="DY170" s="143"/>
      <c r="DZ170" s="143"/>
      <c r="EA170" s="143"/>
      <c r="EB170" s="143"/>
      <c r="EC170" s="143"/>
      <c r="ED170" s="143"/>
      <c r="EE170" s="143"/>
      <c r="EF170" s="143"/>
      <c r="EG170" s="143"/>
      <c r="EH170" s="143"/>
      <c r="EI170" s="143"/>
      <c r="EJ170" s="143"/>
      <c r="EK170" s="143"/>
      <c r="EL170" s="143"/>
      <c r="EM170" s="143"/>
      <c r="EN170" s="143"/>
      <c r="EO170" s="143"/>
      <c r="EP170" s="143"/>
      <c r="EQ170" s="143"/>
      <c r="ER170" s="143"/>
      <c r="ES170" s="143"/>
      <c r="ET170" s="143"/>
      <c r="EU170" s="143"/>
      <c r="EV170" s="143"/>
      <c r="EW170" s="143"/>
      <c r="EX170" s="143"/>
      <c r="EY170" s="143"/>
      <c r="EZ170" s="143"/>
      <c r="FA170" s="143"/>
      <c r="FB170" s="143"/>
      <c r="FC170" s="143"/>
      <c r="FD170" s="143"/>
      <c r="FE170" s="143"/>
      <c r="FF170" s="143"/>
      <c r="FG170" s="143"/>
      <c r="FH170" s="143"/>
      <c r="FI170" s="143"/>
      <c r="FJ170" s="143"/>
      <c r="FK170" s="143"/>
      <c r="FL170" s="143"/>
      <c r="FM170" s="143"/>
      <c r="FN170" s="143"/>
      <c r="FO170" s="143"/>
      <c r="FP170" s="143"/>
      <c r="FQ170" s="143"/>
      <c r="FR170" s="143"/>
      <c r="FS170" s="143"/>
      <c r="FT170" s="143"/>
      <c r="FU170" s="143"/>
      <c r="FV170" s="143"/>
      <c r="FW170" s="143"/>
      <c r="FX170" s="143"/>
      <c r="FY170" s="143"/>
      <c r="FZ170" s="143"/>
      <c r="GA170" s="143"/>
      <c r="GB170" s="143"/>
      <c r="GC170" s="143"/>
      <c r="GD170" s="143"/>
      <c r="GE170" s="143"/>
      <c r="GF170" s="143"/>
      <c r="GG170" s="143"/>
      <c r="GH170" s="143"/>
      <c r="GI170" s="143"/>
      <c r="GJ170" s="143"/>
      <c r="GK170" s="143"/>
      <c r="GL170" s="143"/>
      <c r="GM170" s="143"/>
      <c r="GN170" s="143"/>
      <c r="GO170" s="143"/>
      <c r="GP170" s="143"/>
      <c r="GQ170" s="143"/>
      <c r="GR170" s="143"/>
      <c r="GS170" s="143"/>
      <c r="GT170" s="143"/>
      <c r="GU170" s="143"/>
      <c r="GV170" s="143"/>
      <c r="GW170" s="143"/>
      <c r="GX170" s="143"/>
      <c r="GY170" s="143"/>
      <c r="GZ170" s="143"/>
      <c r="HA170" s="143"/>
      <c r="HB170" s="143"/>
      <c r="HC170" s="143"/>
      <c r="HD170" s="143"/>
      <c r="HE170" s="143"/>
      <c r="HF170" s="143"/>
      <c r="HG170" s="143"/>
      <c r="HH170" s="143"/>
      <c r="HI170" s="143"/>
      <c r="HJ170" s="143"/>
      <c r="HK170" s="143"/>
      <c r="HL170" s="143"/>
      <c r="HM170" s="143"/>
      <c r="HN170" s="143"/>
      <c r="HO170" s="143"/>
      <c r="HP170" s="143"/>
      <c r="HQ170" s="143"/>
      <c r="HR170" s="143"/>
      <c r="HS170" s="143"/>
      <c r="HT170" s="143"/>
      <c r="HU170" s="143"/>
      <c r="HV170" s="143"/>
      <c r="HW170" s="143"/>
      <c r="HX170" s="143"/>
    </row>
  </sheetData>
  <mergeCells count="26">
    <mergeCell ref="A132:G132"/>
    <mergeCell ref="B94:C94"/>
    <mergeCell ref="A101:E101"/>
    <mergeCell ref="A114:G114"/>
    <mergeCell ref="B115:C115"/>
    <mergeCell ref="D115:E115"/>
    <mergeCell ref="F115:G115"/>
    <mergeCell ref="A80:I80"/>
    <mergeCell ref="B81:C81"/>
    <mergeCell ref="D81:E81"/>
    <mergeCell ref="F81:G81"/>
    <mergeCell ref="H81:I81"/>
    <mergeCell ref="A93:C93"/>
    <mergeCell ref="A43:C43"/>
    <mergeCell ref="A48:E48"/>
    <mergeCell ref="B49:C49"/>
    <mergeCell ref="D49:E49"/>
    <mergeCell ref="A58:E58"/>
    <mergeCell ref="B59:C59"/>
    <mergeCell ref="D59:E59"/>
    <mergeCell ref="A2:E2"/>
    <mergeCell ref="A3:E3"/>
    <mergeCell ref="A39:C39"/>
    <mergeCell ref="A40:C40"/>
    <mergeCell ref="A41:E41"/>
    <mergeCell ref="A42:C42"/>
  </mergeCells>
  <pageMargins left="0.75" right="0.75" top="1" bottom="1" header="0" footer="0"/>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X162"/>
  <sheetViews>
    <sheetView workbookViewId="0">
      <selection activeCell="B1" sqref="B1"/>
    </sheetView>
  </sheetViews>
  <sheetFormatPr baseColWidth="10" defaultColWidth="11.6640625" defaultRowHeight="15" x14ac:dyDescent="0.2"/>
  <cols>
    <col min="1" max="1" width="38.1640625" style="106" customWidth="1"/>
    <col min="2" max="2" width="11.6640625" style="106" hidden="1" customWidth="1"/>
    <col min="3" max="3" width="6.1640625" style="106" hidden="1" customWidth="1"/>
    <col min="4" max="4" width="11.83203125" style="106" hidden="1" customWidth="1"/>
    <col min="5" max="5" width="6.83203125" style="106" hidden="1" customWidth="1"/>
    <col min="6" max="6" width="11.83203125" style="106" customWidth="1"/>
    <col min="7" max="7" width="6.83203125" style="106" hidden="1" customWidth="1"/>
    <col min="8" max="8" width="11.83203125" style="106" hidden="1" customWidth="1"/>
    <col min="9" max="9" width="6.83203125" style="106" hidden="1" customWidth="1"/>
    <col min="10" max="10" width="11.83203125" style="106" customWidth="1"/>
    <col min="11" max="11" width="6.83203125" style="106" customWidth="1"/>
    <col min="12" max="12" width="11.83203125" style="106" customWidth="1"/>
    <col min="13" max="13" width="6.83203125" style="106" customWidth="1"/>
    <col min="14" max="14" width="11.83203125" style="106" customWidth="1"/>
    <col min="15" max="15" width="6.83203125" style="106" customWidth="1"/>
    <col min="16" max="16" width="11.83203125" style="106" customWidth="1"/>
    <col min="17" max="17" width="6.83203125" style="106" customWidth="1"/>
    <col min="18" max="18" width="11.83203125" style="106" customWidth="1"/>
    <col min="19" max="19" width="6.83203125" style="106" customWidth="1"/>
    <col min="20" max="20" width="11.83203125" style="106" customWidth="1"/>
    <col min="21" max="21" width="6.83203125" style="106" customWidth="1"/>
    <col min="22" max="22" width="11.83203125" style="106" customWidth="1"/>
    <col min="23" max="23" width="6.83203125" style="106" customWidth="1"/>
    <col min="24" max="25" width="6.1640625" style="106" customWidth="1"/>
    <col min="26" max="26" width="11.6640625" style="106"/>
    <col min="27" max="28" width="6.1640625" style="106" customWidth="1"/>
    <col min="29" max="29" width="11.6640625" style="106"/>
    <col min="30" max="31" width="6.1640625" style="106" customWidth="1"/>
    <col min="32" max="32" width="11.6640625" style="106"/>
    <col min="33" max="34" width="6.1640625" style="106" customWidth="1"/>
    <col min="35" max="35" width="11.6640625" style="106"/>
    <col min="36" max="37" width="6.1640625" style="106" customWidth="1"/>
    <col min="38" max="38" width="11.6640625" style="106"/>
    <col min="39" max="40" width="6.1640625" style="106" customWidth="1"/>
    <col min="41" max="41" width="11.6640625" style="106"/>
    <col min="42" max="43" width="6.1640625" style="106" customWidth="1"/>
    <col min="44" max="44" width="11.6640625" style="106"/>
    <col min="45" max="46" width="6.1640625" style="106" customWidth="1"/>
    <col min="47" max="47" width="11.6640625" style="106"/>
    <col min="48" max="49" width="6.1640625" style="106" customWidth="1"/>
    <col min="50" max="50" width="11.6640625" style="106"/>
    <col min="51" max="52" width="6.1640625" style="106" customWidth="1"/>
    <col min="53" max="53" width="11.6640625" style="106"/>
    <col min="54" max="55" width="6.1640625" style="106" customWidth="1"/>
    <col min="56" max="56" width="11.6640625" style="106"/>
    <col min="57" max="58" width="6.1640625" style="106" customWidth="1"/>
    <col min="59" max="59" width="11.6640625" style="106"/>
    <col min="60" max="61" width="6.1640625" style="106" customWidth="1"/>
    <col min="62" max="62" width="11.6640625" style="106"/>
    <col min="63" max="64" width="6.1640625" style="106" customWidth="1"/>
    <col min="65" max="65" width="11.6640625" style="106"/>
    <col min="66" max="67" width="6.1640625" style="106" customWidth="1"/>
    <col min="68" max="68" width="11.6640625" style="106"/>
    <col min="69" max="70" width="6.1640625" style="106" customWidth="1"/>
    <col min="71" max="71" width="11.6640625" style="106"/>
    <col min="72" max="73" width="6.1640625" style="106" customWidth="1"/>
    <col min="74" max="74" width="11.6640625" style="106"/>
    <col min="75" max="76" width="6.1640625" style="106" customWidth="1"/>
    <col min="77" max="77" width="11.6640625" style="106"/>
    <col min="78" max="79" width="6.1640625" style="106" customWidth="1"/>
    <col min="80" max="80" width="11.6640625" style="106"/>
    <col min="81" max="82" width="6.1640625" style="106" customWidth="1"/>
    <col min="83" max="83" width="11.6640625" style="106"/>
    <col min="84" max="85" width="6.1640625" style="106" customWidth="1"/>
    <col min="86" max="86" width="11.6640625" style="106"/>
    <col min="87" max="88" width="6.1640625" style="106" customWidth="1"/>
    <col min="89" max="89" width="11.6640625" style="106"/>
    <col min="90" max="91" width="6.1640625" style="106" customWidth="1"/>
    <col min="92" max="92" width="11.6640625" style="106"/>
    <col min="93" max="94" width="6.1640625" style="106" customWidth="1"/>
    <col min="95" max="95" width="11.6640625" style="106"/>
    <col min="96" max="97" width="6.1640625" style="106" customWidth="1"/>
    <col min="98" max="98" width="11.6640625" style="106"/>
    <col min="99" max="100" width="6.1640625" style="106" customWidth="1"/>
    <col min="101" max="101" width="11.6640625" style="106"/>
    <col min="102" max="103" width="6.1640625" style="106" customWidth="1"/>
    <col min="104" max="104" width="11.6640625" style="106"/>
    <col min="105" max="106" width="6.1640625" style="106" customWidth="1"/>
    <col min="107" max="107" width="11.6640625" style="106"/>
    <col min="108" max="109" width="6.1640625" style="106" customWidth="1"/>
    <col min="110" max="110" width="11.6640625" style="106"/>
    <col min="111" max="112" width="6.1640625" style="106" customWidth="1"/>
    <col min="113" max="113" width="11.6640625" style="106"/>
    <col min="114" max="115" width="6.1640625" style="106" customWidth="1"/>
    <col min="116" max="116" width="11.6640625" style="106"/>
    <col min="117" max="118" width="6.1640625" style="106" customWidth="1"/>
    <col min="119" max="119" width="11.6640625" style="106"/>
    <col min="120" max="121" width="6.1640625" style="106" customWidth="1"/>
    <col min="122" max="122" width="11.6640625" style="106"/>
    <col min="123" max="124" width="6.1640625" style="106" customWidth="1"/>
    <col min="125" max="125" width="11.6640625" style="106"/>
    <col min="126" max="127" width="6.1640625" style="106" customWidth="1"/>
    <col min="128" max="128" width="11.6640625" style="106"/>
    <col min="129" max="130" width="6.1640625" style="106" customWidth="1"/>
    <col min="131" max="131" width="11.6640625" style="106"/>
    <col min="132" max="133" width="6.1640625" style="106" customWidth="1"/>
    <col min="134" max="134" width="11.6640625" style="106"/>
    <col min="135" max="136" width="6.1640625" style="106" customWidth="1"/>
    <col min="137" max="137" width="11.6640625" style="106"/>
    <col min="138" max="139" width="6.1640625" style="106" customWidth="1"/>
    <col min="140" max="140" width="11.6640625" style="106"/>
    <col min="141" max="142" width="6.1640625" style="106" customWidth="1"/>
    <col min="143" max="143" width="11.6640625" style="106"/>
    <col min="144" max="145" width="6.1640625" style="106" customWidth="1"/>
    <col min="146" max="146" width="11.6640625" style="106"/>
    <col min="147" max="148" width="6.1640625" style="106" customWidth="1"/>
    <col min="149" max="149" width="11.6640625" style="106"/>
    <col min="150" max="151" width="6.1640625" style="106" customWidth="1"/>
    <col min="152" max="152" width="11.6640625" style="106"/>
    <col min="153" max="154" width="6.1640625" style="106" customWidth="1"/>
    <col min="155" max="155" width="11.6640625" style="106"/>
    <col min="156" max="157" width="6.1640625" style="106" customWidth="1"/>
    <col min="158" max="158" width="11.6640625" style="106"/>
    <col min="159" max="160" width="6.1640625" style="106" customWidth="1"/>
    <col min="161" max="161" width="11.6640625" style="106"/>
    <col min="162" max="163" width="6.1640625" style="106" customWidth="1"/>
    <col min="164" max="164" width="11.6640625" style="106"/>
    <col min="165" max="166" width="6.1640625" style="106" customWidth="1"/>
    <col min="167" max="167" width="11.6640625" style="106"/>
    <col min="168" max="169" width="6.1640625" style="106" customWidth="1"/>
    <col min="170" max="170" width="11.6640625" style="106"/>
    <col min="171" max="172" width="6.1640625" style="106" customWidth="1"/>
    <col min="173" max="173" width="11.6640625" style="106"/>
    <col min="174" max="175" width="6.1640625" style="106" customWidth="1"/>
    <col min="176" max="176" width="11.6640625" style="106"/>
    <col min="177" max="178" width="6.1640625" style="106" customWidth="1"/>
    <col min="179" max="179" width="11.6640625" style="106"/>
    <col min="180" max="181" width="6.1640625" style="106" customWidth="1"/>
    <col min="182" max="182" width="11.6640625" style="106"/>
    <col min="183" max="184" width="6.1640625" style="106" customWidth="1"/>
    <col min="185" max="185" width="11.6640625" style="106"/>
    <col min="186" max="187" width="6.1640625" style="106" customWidth="1"/>
    <col min="188" max="188" width="11.6640625" style="106"/>
    <col min="189" max="190" width="6.1640625" style="106" customWidth="1"/>
    <col min="191" max="191" width="11.6640625" style="106"/>
    <col min="192" max="193" width="6.1640625" style="106" customWidth="1"/>
    <col min="194" max="194" width="11.6640625" style="106"/>
    <col min="195" max="196" width="6.1640625" style="106" customWidth="1"/>
    <col min="197" max="197" width="11.6640625" style="106"/>
    <col min="198" max="199" width="6.1640625" style="106" customWidth="1"/>
    <col min="200" max="200" width="11.6640625" style="106"/>
    <col min="201" max="202" width="6.1640625" style="106" customWidth="1"/>
    <col min="203" max="203" width="11.6640625" style="106"/>
    <col min="204" max="205" width="6.1640625" style="106" customWidth="1"/>
    <col min="206" max="206" width="11.6640625" style="106"/>
    <col min="207" max="208" width="6.1640625" style="106" customWidth="1"/>
    <col min="209" max="209" width="11.6640625" style="106"/>
    <col min="210" max="211" width="6.1640625" style="106" customWidth="1"/>
    <col min="212" max="212" width="11.6640625" style="106"/>
    <col min="213" max="214" width="6.1640625" style="106" customWidth="1"/>
    <col min="215" max="215" width="11.6640625" style="106"/>
    <col min="216" max="217" width="6.1640625" style="106" customWidth="1"/>
    <col min="218" max="218" width="11.6640625" style="106"/>
    <col min="219" max="220" width="6.1640625" style="106" customWidth="1"/>
    <col min="221" max="221" width="11.6640625" style="106"/>
    <col min="222" max="223" width="6.1640625" style="106" customWidth="1"/>
    <col min="224" max="224" width="11.6640625" style="106"/>
    <col min="225" max="226" width="6.1640625" style="106" customWidth="1"/>
    <col min="227" max="227" width="11.6640625" style="106"/>
    <col min="228" max="229" width="6.1640625" style="106" customWidth="1"/>
    <col min="230" max="230" width="11.6640625" style="106"/>
    <col min="231" max="232" width="6.1640625" style="106" customWidth="1"/>
    <col min="233" max="16384" width="11.6640625" style="106"/>
  </cols>
  <sheetData>
    <row r="1" spans="1:13" x14ac:dyDescent="0.2">
      <c r="A1" s="113" t="s">
        <v>1111</v>
      </c>
    </row>
    <row r="2" spans="1:13" ht="31.25" customHeight="1" x14ac:dyDescent="0.2">
      <c r="A2" s="1712" t="s">
        <v>5927</v>
      </c>
      <c r="B2" s="1713"/>
      <c r="C2" s="1714"/>
    </row>
    <row r="3" spans="1:13" x14ac:dyDescent="0.2">
      <c r="A3" s="164">
        <v>1910</v>
      </c>
      <c r="B3" s="145">
        <v>10983024</v>
      </c>
      <c r="C3" s="307">
        <v>52</v>
      </c>
    </row>
    <row r="4" spans="1:13" x14ac:dyDescent="0.2">
      <c r="A4" s="164">
        <v>1911</v>
      </c>
      <c r="B4" s="145">
        <v>11531589</v>
      </c>
      <c r="C4" s="307">
        <v>52</v>
      </c>
    </row>
    <row r="5" spans="1:13" x14ac:dyDescent="0.2">
      <c r="A5" s="164">
        <v>1912</v>
      </c>
      <c r="B5" s="145">
        <v>13217759</v>
      </c>
      <c r="C5" s="307">
        <v>18</v>
      </c>
    </row>
    <row r="6" spans="1:13" x14ac:dyDescent="0.2">
      <c r="A6" s="164">
        <v>1913</v>
      </c>
      <c r="B6" s="145">
        <v>17055172</v>
      </c>
      <c r="C6" s="307">
        <v>79</v>
      </c>
    </row>
    <row r="7" spans="1:13" x14ac:dyDescent="0.2">
      <c r="A7" s="164">
        <v>1914</v>
      </c>
      <c r="B7" s="145">
        <v>13344769</v>
      </c>
      <c r="C7" s="307">
        <v>45</v>
      </c>
    </row>
    <row r="8" spans="1:13" x14ac:dyDescent="0.2">
      <c r="A8" s="273" t="s">
        <v>1406</v>
      </c>
      <c r="B8" s="318">
        <v>66132315</v>
      </c>
      <c r="C8" s="513">
        <v>46</v>
      </c>
    </row>
    <row r="9" spans="1:13" x14ac:dyDescent="0.2">
      <c r="B9" s="321">
        <f>SUM(B3:B7)</f>
        <v>66132313</v>
      </c>
      <c r="C9" s="321">
        <f>SUM(C3:C7)</f>
        <v>246</v>
      </c>
    </row>
    <row r="12" spans="1:13" x14ac:dyDescent="0.2">
      <c r="A12" s="113" t="s">
        <v>1428</v>
      </c>
    </row>
    <row r="13" spans="1:13" ht="19" x14ac:dyDescent="0.2">
      <c r="A13" s="870" t="s">
        <v>5928</v>
      </c>
      <c r="B13" s="871"/>
      <c r="C13" s="871"/>
      <c r="D13" s="871"/>
      <c r="E13" s="871"/>
      <c r="F13" s="871"/>
      <c r="G13" s="871"/>
      <c r="H13" s="871"/>
      <c r="I13" s="871"/>
      <c r="J13" s="871"/>
      <c r="K13" s="871"/>
      <c r="L13" s="871"/>
      <c r="M13" s="872"/>
    </row>
    <row r="14" spans="1:13" ht="27.5" customHeight="1" x14ac:dyDescent="0.2">
      <c r="A14" s="445" t="s">
        <v>5929</v>
      </c>
      <c r="B14" s="446"/>
      <c r="C14" s="446"/>
      <c r="D14" s="446"/>
      <c r="E14" s="446"/>
      <c r="F14" s="446"/>
      <c r="G14" s="446"/>
      <c r="H14" s="446"/>
      <c r="I14" s="446"/>
      <c r="J14" s="446"/>
      <c r="K14" s="446"/>
      <c r="L14" s="446"/>
      <c r="M14" s="447"/>
    </row>
    <row r="15" spans="1:13" ht="43.25" customHeight="1" x14ac:dyDescent="0.2">
      <c r="A15" s="1632" t="s">
        <v>5680</v>
      </c>
      <c r="B15" s="252" t="s">
        <v>5681</v>
      </c>
      <c r="C15" s="254"/>
      <c r="D15" s="252" t="s">
        <v>5682</v>
      </c>
      <c r="E15" s="254"/>
      <c r="F15" s="252" t="s">
        <v>5930</v>
      </c>
      <c r="G15" s="254"/>
      <c r="H15" s="252" t="s">
        <v>5931</v>
      </c>
      <c r="I15" s="254"/>
      <c r="J15" s="252" t="s">
        <v>5932</v>
      </c>
      <c r="K15" s="254"/>
      <c r="L15" s="252" t="s">
        <v>5933</v>
      </c>
      <c r="M15" s="254"/>
    </row>
    <row r="16" spans="1:13" x14ac:dyDescent="0.2">
      <c r="A16" s="1701" t="s">
        <v>1808</v>
      </c>
      <c r="B16" s="164"/>
      <c r="C16" s="185"/>
      <c r="D16" s="164"/>
      <c r="E16" s="185"/>
      <c r="F16" s="164"/>
      <c r="G16" s="185"/>
      <c r="H16" s="164"/>
      <c r="I16" s="185"/>
      <c r="J16" s="164"/>
      <c r="K16" s="185"/>
      <c r="L16" s="164"/>
      <c r="M16" s="185"/>
    </row>
    <row r="17" spans="1:13" x14ac:dyDescent="0.2">
      <c r="A17" s="131" t="s">
        <v>5934</v>
      </c>
      <c r="B17" s="131">
        <v>300000</v>
      </c>
      <c r="C17" s="307"/>
      <c r="D17" s="131"/>
      <c r="E17" s="307"/>
      <c r="F17" s="131">
        <v>300000</v>
      </c>
      <c r="G17" s="307"/>
      <c r="H17" s="131"/>
      <c r="I17" s="307"/>
      <c r="J17" s="131"/>
      <c r="K17" s="307"/>
      <c r="L17" s="131"/>
      <c r="M17" s="307"/>
    </row>
    <row r="18" spans="1:13" x14ac:dyDescent="0.2">
      <c r="A18" s="131" t="s">
        <v>5429</v>
      </c>
      <c r="B18" s="131">
        <v>10</v>
      </c>
      <c r="C18" s="307"/>
      <c r="D18" s="131"/>
      <c r="E18" s="307"/>
      <c r="F18" s="131">
        <v>10</v>
      </c>
      <c r="G18" s="307"/>
      <c r="H18" s="131"/>
      <c r="I18" s="307"/>
      <c r="J18" s="131"/>
      <c r="K18" s="307"/>
      <c r="L18" s="131"/>
      <c r="M18" s="307"/>
    </row>
    <row r="19" spans="1:13" x14ac:dyDescent="0.2">
      <c r="A19" s="131" t="s">
        <v>5562</v>
      </c>
      <c r="B19" s="131">
        <v>16000</v>
      </c>
      <c r="C19" s="307"/>
      <c r="D19" s="131">
        <v>8000</v>
      </c>
      <c r="E19" s="307"/>
      <c r="F19" s="131">
        <v>8000</v>
      </c>
      <c r="G19" s="307"/>
      <c r="H19" s="131"/>
      <c r="I19" s="307"/>
      <c r="J19" s="131">
        <v>8000</v>
      </c>
      <c r="K19" s="307"/>
      <c r="L19" s="131"/>
      <c r="M19" s="307"/>
    </row>
    <row r="20" spans="1:13" x14ac:dyDescent="0.2">
      <c r="A20" s="131" t="s">
        <v>5935</v>
      </c>
      <c r="B20" s="131">
        <v>560000</v>
      </c>
      <c r="C20" s="307"/>
      <c r="D20" s="131">
        <v>39000</v>
      </c>
      <c r="E20" s="307"/>
      <c r="F20" s="131">
        <v>521000</v>
      </c>
      <c r="G20" s="307"/>
      <c r="H20" s="131"/>
      <c r="I20" s="307"/>
      <c r="J20" s="131">
        <v>39000</v>
      </c>
      <c r="K20" s="307"/>
      <c r="L20" s="131"/>
      <c r="M20" s="307"/>
    </row>
    <row r="21" spans="1:13" x14ac:dyDescent="0.2">
      <c r="A21" s="131" t="s">
        <v>5936</v>
      </c>
      <c r="B21" s="131">
        <v>6000</v>
      </c>
      <c r="C21" s="307"/>
      <c r="D21" s="131">
        <v>4056</v>
      </c>
      <c r="E21" s="307">
        <v>24</v>
      </c>
      <c r="F21" s="131">
        <v>1943</v>
      </c>
      <c r="G21" s="307">
        <v>76</v>
      </c>
      <c r="H21" s="131"/>
      <c r="I21" s="307"/>
      <c r="J21" s="131">
        <v>3935</v>
      </c>
      <c r="K21" s="307">
        <v>42</v>
      </c>
      <c r="L21" s="131">
        <v>120</v>
      </c>
      <c r="M21" s="307">
        <v>82</v>
      </c>
    </row>
    <row r="22" spans="1:13" x14ac:dyDescent="0.2">
      <c r="A22" s="131" t="s">
        <v>5937</v>
      </c>
      <c r="B22" s="131">
        <v>20000</v>
      </c>
      <c r="C22" s="307"/>
      <c r="D22" s="131">
        <v>3409</v>
      </c>
      <c r="E22" s="307">
        <v>53</v>
      </c>
      <c r="F22" s="131">
        <v>16590</v>
      </c>
      <c r="G22" s="307">
        <v>47</v>
      </c>
      <c r="H22" s="131"/>
      <c r="I22" s="307"/>
      <c r="J22" s="131">
        <v>3409</v>
      </c>
      <c r="K22" s="307">
        <v>53</v>
      </c>
      <c r="L22" s="131"/>
      <c r="M22" s="307"/>
    </row>
    <row r="23" spans="1:13" x14ac:dyDescent="0.2">
      <c r="A23" s="131" t="s">
        <v>5471</v>
      </c>
      <c r="B23" s="131">
        <v>900000</v>
      </c>
      <c r="C23" s="307"/>
      <c r="D23" s="131">
        <v>884326</v>
      </c>
      <c r="E23" s="307">
        <v>62</v>
      </c>
      <c r="F23" s="131">
        <v>15673</v>
      </c>
      <c r="G23" s="307">
        <v>38</v>
      </c>
      <c r="H23" s="131"/>
      <c r="I23" s="307"/>
      <c r="J23" s="131">
        <v>884326</v>
      </c>
      <c r="K23" s="307">
        <v>62</v>
      </c>
      <c r="L23" s="131"/>
      <c r="M23" s="307"/>
    </row>
    <row r="24" spans="1:13" x14ac:dyDescent="0.2">
      <c r="A24" s="131" t="s">
        <v>5472</v>
      </c>
      <c r="B24" s="131">
        <v>300000</v>
      </c>
      <c r="C24" s="307"/>
      <c r="D24" s="131">
        <v>271427</v>
      </c>
      <c r="E24" s="307">
        <v>91</v>
      </c>
      <c r="F24" s="131">
        <v>28572</v>
      </c>
      <c r="G24" s="307">
        <v>9</v>
      </c>
      <c r="H24" s="131"/>
      <c r="I24" s="307"/>
      <c r="J24" s="131">
        <v>271395</v>
      </c>
      <c r="K24" s="307">
        <v>91</v>
      </c>
      <c r="L24" s="131">
        <v>32</v>
      </c>
      <c r="M24" s="307"/>
    </row>
    <row r="25" spans="1:13" x14ac:dyDescent="0.2">
      <c r="A25" s="131" t="s">
        <v>5883</v>
      </c>
      <c r="B25" s="131">
        <v>6000</v>
      </c>
      <c r="C25" s="307"/>
      <c r="D25" s="131">
        <v>292</v>
      </c>
      <c r="E25" s="307">
        <v>50</v>
      </c>
      <c r="F25" s="131">
        <v>5707</v>
      </c>
      <c r="G25" s="307">
        <v>50</v>
      </c>
      <c r="H25" s="131"/>
      <c r="I25" s="307"/>
      <c r="J25" s="131">
        <v>292</v>
      </c>
      <c r="K25" s="307">
        <v>50</v>
      </c>
      <c r="L25" s="131"/>
      <c r="M25" s="307"/>
    </row>
    <row r="26" spans="1:13" x14ac:dyDescent="0.2">
      <c r="A26" s="1715" t="s">
        <v>5884</v>
      </c>
      <c r="B26" s="131"/>
      <c r="C26" s="307"/>
      <c r="D26" s="131"/>
      <c r="E26" s="307"/>
      <c r="F26" s="131"/>
      <c r="G26" s="307"/>
      <c r="H26" s="131"/>
      <c r="I26" s="307"/>
      <c r="J26" s="131"/>
      <c r="K26" s="307"/>
      <c r="L26" s="131"/>
      <c r="M26" s="307"/>
    </row>
    <row r="27" spans="1:13" x14ac:dyDescent="0.2">
      <c r="A27" s="131" t="s">
        <v>1175</v>
      </c>
      <c r="B27" s="131">
        <v>200000</v>
      </c>
      <c r="C27" s="307"/>
      <c r="D27" s="131">
        <v>149797</v>
      </c>
      <c r="E27" s="307">
        <v>10</v>
      </c>
      <c r="F27" s="131">
        <v>50202</v>
      </c>
      <c r="G27" s="307">
        <v>90</v>
      </c>
      <c r="H27" s="131"/>
      <c r="I27" s="307"/>
      <c r="J27" s="131">
        <v>149797</v>
      </c>
      <c r="K27" s="307">
        <v>10</v>
      </c>
      <c r="L27" s="131"/>
      <c r="M27" s="307"/>
    </row>
    <row r="28" spans="1:13" x14ac:dyDescent="0.2">
      <c r="A28" s="131" t="s">
        <v>3287</v>
      </c>
      <c r="B28" s="131">
        <v>450000</v>
      </c>
      <c r="C28" s="307"/>
      <c r="D28" s="131">
        <v>529053</v>
      </c>
      <c r="E28" s="307">
        <v>73</v>
      </c>
      <c r="F28" s="131"/>
      <c r="G28" s="307"/>
      <c r="H28" s="131">
        <v>79053</v>
      </c>
      <c r="I28" s="307">
        <v>73</v>
      </c>
      <c r="J28" s="131">
        <v>529053</v>
      </c>
      <c r="K28" s="307">
        <v>73</v>
      </c>
      <c r="L28" s="131"/>
      <c r="M28" s="307"/>
    </row>
    <row r="29" spans="1:13" x14ac:dyDescent="0.2">
      <c r="A29" s="131" t="s">
        <v>5938</v>
      </c>
      <c r="B29" s="131">
        <v>90000</v>
      </c>
      <c r="C29" s="307"/>
      <c r="D29" s="131">
        <v>72801</v>
      </c>
      <c r="E29" s="307">
        <v>85</v>
      </c>
      <c r="F29" s="131">
        <v>17198</v>
      </c>
      <c r="G29" s="307">
        <v>15</v>
      </c>
      <c r="H29" s="131"/>
      <c r="I29" s="307"/>
      <c r="J29" s="131">
        <v>72799</v>
      </c>
      <c r="K29" s="307">
        <v>96</v>
      </c>
      <c r="L29" s="131">
        <v>1</v>
      </c>
      <c r="M29" s="307">
        <v>89</v>
      </c>
    </row>
    <row r="30" spans="1:13" x14ac:dyDescent="0.2">
      <c r="A30" s="1715" t="s">
        <v>5887</v>
      </c>
      <c r="B30" s="131"/>
      <c r="C30" s="307"/>
      <c r="D30" s="131"/>
      <c r="E30" s="307"/>
      <c r="F30" s="131"/>
      <c r="G30" s="307"/>
      <c r="H30" s="131"/>
      <c r="I30" s="307"/>
      <c r="J30" s="131"/>
      <c r="K30" s="307"/>
      <c r="L30" s="131"/>
      <c r="M30" s="307"/>
    </row>
    <row r="31" spans="1:13" x14ac:dyDescent="0.2">
      <c r="A31" s="131" t="s">
        <v>1174</v>
      </c>
      <c r="B31" s="131">
        <v>12000000</v>
      </c>
      <c r="C31" s="307"/>
      <c r="D31" s="131">
        <v>9765167</v>
      </c>
      <c r="E31" s="307">
        <v>74</v>
      </c>
      <c r="F31" s="131">
        <v>2234832</v>
      </c>
      <c r="G31" s="307">
        <v>26</v>
      </c>
      <c r="H31" s="131"/>
      <c r="I31" s="307"/>
      <c r="J31" s="131">
        <v>9525292</v>
      </c>
      <c r="K31" s="307">
        <v>19</v>
      </c>
      <c r="L31" s="131">
        <v>239875</v>
      </c>
      <c r="M31" s="307">
        <v>55</v>
      </c>
    </row>
    <row r="32" spans="1:13" x14ac:dyDescent="0.2">
      <c r="A32" s="131" t="s">
        <v>5689</v>
      </c>
      <c r="B32" s="131">
        <v>240000</v>
      </c>
      <c r="C32" s="307"/>
      <c r="D32" s="131">
        <v>195734</v>
      </c>
      <c r="E32" s="307">
        <v>15</v>
      </c>
      <c r="F32" s="131">
        <v>44265</v>
      </c>
      <c r="G32" s="307">
        <v>85</v>
      </c>
      <c r="H32" s="131"/>
      <c r="I32" s="307"/>
      <c r="J32" s="131">
        <v>191013</v>
      </c>
      <c r="K32" s="307">
        <v>97</v>
      </c>
      <c r="L32" s="131">
        <v>4720</v>
      </c>
      <c r="M32" s="307">
        <v>18</v>
      </c>
    </row>
    <row r="33" spans="1:13" x14ac:dyDescent="0.2">
      <c r="A33" s="131" t="s">
        <v>5889</v>
      </c>
      <c r="B33" s="131">
        <v>170000</v>
      </c>
      <c r="C33" s="307"/>
      <c r="D33" s="131">
        <v>215777</v>
      </c>
      <c r="E33" s="307">
        <v>67</v>
      </c>
      <c r="F33" s="131"/>
      <c r="G33" s="307"/>
      <c r="H33" s="131">
        <v>45777</v>
      </c>
      <c r="I33" s="307">
        <v>67</v>
      </c>
      <c r="J33" s="131">
        <v>214224</v>
      </c>
      <c r="K33" s="307">
        <v>23</v>
      </c>
      <c r="L33" s="131">
        <v>1553</v>
      </c>
      <c r="M33" s="307">
        <v>44</v>
      </c>
    </row>
    <row r="34" spans="1:13" x14ac:dyDescent="0.2">
      <c r="A34" s="131" t="s">
        <v>5939</v>
      </c>
      <c r="B34" s="131">
        <v>20000</v>
      </c>
      <c r="C34" s="307"/>
      <c r="D34" s="131">
        <v>5941</v>
      </c>
      <c r="E34" s="307">
        <v>84</v>
      </c>
      <c r="F34" s="131">
        <v>14058</v>
      </c>
      <c r="G34" s="307">
        <v>16</v>
      </c>
      <c r="H34" s="131"/>
      <c r="I34" s="307"/>
      <c r="J34" s="131">
        <v>5003</v>
      </c>
      <c r="K34" s="307">
        <v>44</v>
      </c>
      <c r="L34" s="131">
        <v>938</v>
      </c>
      <c r="M34" s="307">
        <v>40</v>
      </c>
    </row>
    <row r="35" spans="1:13" x14ac:dyDescent="0.2">
      <c r="A35" s="131" t="s">
        <v>5890</v>
      </c>
      <c r="B35" s="131">
        <v>10000</v>
      </c>
      <c r="C35" s="307"/>
      <c r="D35" s="131">
        <v>9360</v>
      </c>
      <c r="E35" s="307"/>
      <c r="F35" s="131">
        <v>640</v>
      </c>
      <c r="G35" s="307"/>
      <c r="H35" s="131"/>
      <c r="I35" s="307"/>
      <c r="J35" s="131">
        <v>9350</v>
      </c>
      <c r="K35" s="307"/>
      <c r="L35" s="131">
        <v>10</v>
      </c>
      <c r="M35" s="307"/>
    </row>
    <row r="36" spans="1:13" x14ac:dyDescent="0.2">
      <c r="A36" s="131" t="s">
        <v>5940</v>
      </c>
      <c r="B36" s="131">
        <v>640000</v>
      </c>
      <c r="C36" s="307"/>
      <c r="D36" s="131">
        <v>447406</v>
      </c>
      <c r="E36" s="307">
        <v>80</v>
      </c>
      <c r="F36" s="131">
        <v>192593</v>
      </c>
      <c r="G36" s="307">
        <v>20</v>
      </c>
      <c r="H36" s="131"/>
      <c r="I36" s="307"/>
      <c r="J36" s="131">
        <v>447406</v>
      </c>
      <c r="K36" s="307">
        <v>80</v>
      </c>
      <c r="L36" s="131"/>
      <c r="M36" s="307"/>
    </row>
    <row r="37" spans="1:13" x14ac:dyDescent="0.2">
      <c r="A37" s="131" t="s">
        <v>5941</v>
      </c>
      <c r="B37" s="131">
        <v>25000</v>
      </c>
      <c r="C37" s="307"/>
      <c r="D37" s="131">
        <v>17629</v>
      </c>
      <c r="E37" s="307">
        <v>91</v>
      </c>
      <c r="F37" s="131">
        <v>7370</v>
      </c>
      <c r="G37" s="307">
        <v>9</v>
      </c>
      <c r="H37" s="131"/>
      <c r="I37" s="307"/>
      <c r="J37" s="131">
        <v>17629</v>
      </c>
      <c r="K37" s="307">
        <v>91</v>
      </c>
      <c r="L37" s="131"/>
      <c r="M37" s="307"/>
    </row>
    <row r="38" spans="1:13" x14ac:dyDescent="0.2">
      <c r="A38" s="131" t="s">
        <v>5893</v>
      </c>
      <c r="B38" s="131">
        <v>130000</v>
      </c>
      <c r="C38" s="307"/>
      <c r="D38" s="131">
        <v>136103</v>
      </c>
      <c r="E38" s="307">
        <v>51</v>
      </c>
      <c r="F38" s="131"/>
      <c r="G38" s="307"/>
      <c r="H38" s="131">
        <v>6103</v>
      </c>
      <c r="I38" s="307">
        <v>51</v>
      </c>
      <c r="J38" s="131">
        <v>136103</v>
      </c>
      <c r="K38" s="307">
        <v>51</v>
      </c>
      <c r="L38" s="131"/>
      <c r="M38" s="307"/>
    </row>
    <row r="39" spans="1:13" x14ac:dyDescent="0.2">
      <c r="A39" s="131" t="s">
        <v>5942</v>
      </c>
      <c r="B39" s="131">
        <v>1000</v>
      </c>
      <c r="C39" s="307"/>
      <c r="D39" s="131">
        <v>838</v>
      </c>
      <c r="E39" s="307">
        <v>40</v>
      </c>
      <c r="F39" s="131">
        <v>161</v>
      </c>
      <c r="G39" s="307">
        <v>60</v>
      </c>
      <c r="H39" s="131"/>
      <c r="I39" s="307"/>
      <c r="J39" s="131">
        <v>838</v>
      </c>
      <c r="K39" s="307">
        <v>40</v>
      </c>
      <c r="L39" s="131"/>
      <c r="M39" s="307"/>
    </row>
    <row r="40" spans="1:13" x14ac:dyDescent="0.2">
      <c r="A40" s="131" t="s">
        <v>5172</v>
      </c>
      <c r="B40" s="131">
        <v>500000</v>
      </c>
      <c r="C40" s="307"/>
      <c r="D40" s="131">
        <v>475183</v>
      </c>
      <c r="E40" s="307">
        <v>79</v>
      </c>
      <c r="F40" s="131">
        <v>24816</v>
      </c>
      <c r="G40" s="307">
        <v>21</v>
      </c>
      <c r="H40" s="131"/>
      <c r="I40" s="307"/>
      <c r="J40" s="131">
        <v>475183</v>
      </c>
      <c r="K40" s="307">
        <v>79</v>
      </c>
      <c r="L40" s="131"/>
      <c r="M40" s="307"/>
    </row>
    <row r="41" spans="1:13" x14ac:dyDescent="0.2">
      <c r="A41" s="131" t="s">
        <v>5623</v>
      </c>
      <c r="B41" s="131">
        <v>40000</v>
      </c>
      <c r="C41" s="307"/>
      <c r="D41" s="131">
        <v>1599</v>
      </c>
      <c r="E41" s="307">
        <v>99</v>
      </c>
      <c r="F41" s="131">
        <v>38400</v>
      </c>
      <c r="G41" s="307">
        <v>1</v>
      </c>
      <c r="H41" s="131"/>
      <c r="I41" s="307"/>
      <c r="J41" s="131">
        <v>1599</v>
      </c>
      <c r="K41" s="307">
        <v>99</v>
      </c>
      <c r="L41" s="131"/>
      <c r="M41" s="307"/>
    </row>
    <row r="42" spans="1:13" x14ac:dyDescent="0.2">
      <c r="A42" s="131" t="s">
        <v>5624</v>
      </c>
      <c r="B42" s="131">
        <v>40000</v>
      </c>
      <c r="C42" s="307"/>
      <c r="D42" s="131">
        <v>1902</v>
      </c>
      <c r="E42" s="307">
        <v>36</v>
      </c>
      <c r="F42" s="131">
        <v>38097</v>
      </c>
      <c r="G42" s="307">
        <v>64</v>
      </c>
      <c r="H42" s="131"/>
      <c r="I42" s="307"/>
      <c r="J42" s="131">
        <v>1902</v>
      </c>
      <c r="K42" s="307">
        <v>36</v>
      </c>
      <c r="L42" s="131"/>
      <c r="M42" s="307"/>
    </row>
    <row r="43" spans="1:13" x14ac:dyDescent="0.2">
      <c r="A43" s="131" t="s">
        <v>5943</v>
      </c>
      <c r="B43" s="131">
        <v>270000</v>
      </c>
      <c r="C43" s="307"/>
      <c r="D43" s="131">
        <v>124276</v>
      </c>
      <c r="E43" s="307">
        <v>11</v>
      </c>
      <c r="F43" s="131">
        <v>145723</v>
      </c>
      <c r="G43" s="307">
        <v>89</v>
      </c>
      <c r="H43" s="131"/>
      <c r="I43" s="307"/>
      <c r="J43" s="131">
        <v>124276</v>
      </c>
      <c r="K43" s="307">
        <v>11</v>
      </c>
      <c r="L43" s="131"/>
      <c r="M43" s="307"/>
    </row>
    <row r="44" spans="1:13" x14ac:dyDescent="0.2">
      <c r="A44" s="131" t="s">
        <v>5944</v>
      </c>
      <c r="B44" s="131">
        <v>100000</v>
      </c>
      <c r="C44" s="307"/>
      <c r="D44" s="131">
        <v>64905</v>
      </c>
      <c r="E44" s="307">
        <v>30</v>
      </c>
      <c r="F44" s="131">
        <v>35094</v>
      </c>
      <c r="G44" s="307">
        <v>70</v>
      </c>
      <c r="H44" s="131"/>
      <c r="I44" s="307"/>
      <c r="J44" s="131">
        <v>64905</v>
      </c>
      <c r="K44" s="307">
        <v>30</v>
      </c>
      <c r="L44" s="131"/>
      <c r="M44" s="307"/>
    </row>
    <row r="45" spans="1:13" x14ac:dyDescent="0.2">
      <c r="A45" s="131" t="s">
        <v>5945</v>
      </c>
      <c r="B45" s="131">
        <v>20000</v>
      </c>
      <c r="C45" s="307"/>
      <c r="D45" s="131">
        <v>15457</v>
      </c>
      <c r="E45" s="307">
        <v>85</v>
      </c>
      <c r="F45" s="131">
        <v>4542</v>
      </c>
      <c r="G45" s="307">
        <v>15</v>
      </c>
      <c r="H45" s="131"/>
      <c r="I45" s="307"/>
      <c r="J45" s="131">
        <v>15457</v>
      </c>
      <c r="K45" s="307">
        <v>85</v>
      </c>
      <c r="L45" s="131"/>
      <c r="M45" s="307"/>
    </row>
    <row r="46" spans="1:13" x14ac:dyDescent="0.2">
      <c r="A46" s="131" t="s">
        <v>2763</v>
      </c>
      <c r="B46" s="131">
        <v>150000</v>
      </c>
      <c r="C46" s="307"/>
      <c r="D46" s="131">
        <v>105242</v>
      </c>
      <c r="E46" s="307">
        <v>2</v>
      </c>
      <c r="F46" s="131">
        <v>44757</v>
      </c>
      <c r="G46" s="307">
        <v>98</v>
      </c>
      <c r="H46" s="131"/>
      <c r="I46" s="307"/>
      <c r="J46" s="131">
        <v>104918</v>
      </c>
      <c r="K46" s="307">
        <v>90</v>
      </c>
      <c r="L46" s="131">
        <v>323</v>
      </c>
      <c r="M46" s="307">
        <v>12</v>
      </c>
    </row>
    <row r="47" spans="1:13" x14ac:dyDescent="0.2">
      <c r="A47" s="131" t="s">
        <v>5691</v>
      </c>
      <c r="B47" s="131">
        <v>200000</v>
      </c>
      <c r="C47" s="307"/>
      <c r="D47" s="131">
        <v>47746</v>
      </c>
      <c r="E47" s="307">
        <v>79</v>
      </c>
      <c r="F47" s="131">
        <v>152253</v>
      </c>
      <c r="G47" s="307">
        <v>21</v>
      </c>
      <c r="H47" s="131"/>
      <c r="I47" s="307"/>
      <c r="J47" s="131">
        <v>47651</v>
      </c>
      <c r="K47" s="307">
        <v>93</v>
      </c>
      <c r="L47" s="131">
        <v>94</v>
      </c>
      <c r="M47" s="307">
        <v>86</v>
      </c>
    </row>
    <row r="48" spans="1:13" x14ac:dyDescent="0.2">
      <c r="A48" s="230" t="s">
        <v>4843</v>
      </c>
      <c r="B48" s="240">
        <v>17404010</v>
      </c>
      <c r="C48" s="513"/>
      <c r="D48" s="240">
        <v>13592439</v>
      </c>
      <c r="E48" s="513">
        <v>71</v>
      </c>
      <c r="F48" s="240">
        <v>3942505</v>
      </c>
      <c r="G48" s="513">
        <v>20</v>
      </c>
      <c r="H48" s="240">
        <v>130934</v>
      </c>
      <c r="I48" s="513">
        <v>91</v>
      </c>
      <c r="J48" s="240">
        <v>13344769</v>
      </c>
      <c r="K48" s="513">
        <v>45</v>
      </c>
      <c r="L48" s="240">
        <v>247670</v>
      </c>
      <c r="M48" s="513">
        <v>26</v>
      </c>
    </row>
    <row r="49" spans="1:13" x14ac:dyDescent="0.2">
      <c r="B49" s="107">
        <f>SUM(B17:B47)</f>
        <v>17404010</v>
      </c>
      <c r="C49" s="107"/>
      <c r="D49" s="321">
        <f t="shared" ref="D49:M49" si="0">SUM(D17:D47)</f>
        <v>13592426</v>
      </c>
      <c r="E49" s="321">
        <f t="shared" si="0"/>
        <v>1371</v>
      </c>
      <c r="F49" s="321">
        <f t="shared" si="0"/>
        <v>3942496</v>
      </c>
      <c r="G49" s="321">
        <f t="shared" si="0"/>
        <v>920</v>
      </c>
      <c r="H49" s="321">
        <f t="shared" si="0"/>
        <v>130933</v>
      </c>
      <c r="I49" s="321">
        <f t="shared" si="0"/>
        <v>191</v>
      </c>
      <c r="J49" s="321">
        <f t="shared" si="0"/>
        <v>13344755</v>
      </c>
      <c r="K49" s="321">
        <f t="shared" si="0"/>
        <v>1445</v>
      </c>
      <c r="L49" s="321">
        <f t="shared" si="0"/>
        <v>247666</v>
      </c>
      <c r="M49" s="321">
        <f t="shared" si="0"/>
        <v>426</v>
      </c>
    </row>
    <row r="52" spans="1:13" x14ac:dyDescent="0.2">
      <c r="A52" s="113" t="s">
        <v>1182</v>
      </c>
    </row>
    <row r="53" spans="1:13" ht="33" customHeight="1" x14ac:dyDescent="0.2">
      <c r="A53" s="1716" t="s">
        <v>5694</v>
      </c>
      <c r="B53" s="1717"/>
      <c r="C53" s="1717"/>
      <c r="D53" s="1717"/>
      <c r="E53" s="1717"/>
      <c r="F53" s="1717"/>
      <c r="G53" s="1717"/>
      <c r="H53" s="1717"/>
      <c r="I53" s="1717"/>
      <c r="J53" s="1717"/>
      <c r="K53" s="1717"/>
      <c r="L53" s="1717"/>
      <c r="M53" s="1718"/>
    </row>
    <row r="54" spans="1:13" ht="61.25" customHeight="1" x14ac:dyDescent="0.2">
      <c r="A54" s="1632" t="s">
        <v>5946</v>
      </c>
      <c r="B54" s="252" t="s">
        <v>5947</v>
      </c>
      <c r="C54" s="254"/>
      <c r="D54" s="252" t="s">
        <v>5697</v>
      </c>
      <c r="E54" s="254"/>
      <c r="F54" s="252" t="s">
        <v>5698</v>
      </c>
      <c r="G54" s="254"/>
      <c r="H54" s="252" t="s">
        <v>3892</v>
      </c>
      <c r="I54" s="254"/>
      <c r="J54" s="252" t="s">
        <v>5699</v>
      </c>
      <c r="K54" s="254"/>
      <c r="L54" s="252" t="s">
        <v>5700</v>
      </c>
      <c r="M54" s="254"/>
    </row>
    <row r="55" spans="1:13" x14ac:dyDescent="0.2">
      <c r="A55" s="164" t="s">
        <v>5948</v>
      </c>
      <c r="B55" s="131">
        <v>5265423</v>
      </c>
      <c r="C55" s="307">
        <v>81</v>
      </c>
      <c r="D55" s="131">
        <v>3850349</v>
      </c>
      <c r="E55" s="307">
        <v>65</v>
      </c>
      <c r="F55" s="131">
        <v>5021317</v>
      </c>
      <c r="G55" s="307">
        <v>88</v>
      </c>
      <c r="H55" s="131"/>
      <c r="I55" s="307"/>
      <c r="J55" s="131">
        <v>1170968</v>
      </c>
      <c r="K55" s="307">
        <v>23</v>
      </c>
      <c r="L55" s="131">
        <v>244105</v>
      </c>
      <c r="M55" s="307">
        <v>93</v>
      </c>
    </row>
    <row r="56" spans="1:13" x14ac:dyDescent="0.2">
      <c r="A56" s="164" t="s">
        <v>5949</v>
      </c>
      <c r="B56" s="131">
        <v>358327</v>
      </c>
      <c r="C56" s="307">
        <v>32</v>
      </c>
      <c r="D56" s="131">
        <v>264466</v>
      </c>
      <c r="E56" s="307">
        <v>89</v>
      </c>
      <c r="F56" s="131">
        <v>253414</v>
      </c>
      <c r="G56" s="307">
        <v>51</v>
      </c>
      <c r="H56" s="131">
        <v>11052</v>
      </c>
      <c r="I56" s="307">
        <v>38</v>
      </c>
      <c r="J56" s="131"/>
      <c r="K56" s="307"/>
      <c r="L56" s="131">
        <v>93860</v>
      </c>
      <c r="M56" s="307">
        <v>43</v>
      </c>
    </row>
    <row r="57" spans="1:13" x14ac:dyDescent="0.2">
      <c r="A57" s="164" t="s">
        <v>5950</v>
      </c>
      <c r="B57" s="131">
        <v>1320823</v>
      </c>
      <c r="C57" s="307">
        <v>26</v>
      </c>
      <c r="D57" s="131">
        <v>1083002</v>
      </c>
      <c r="E57" s="307">
        <v>49</v>
      </c>
      <c r="F57" s="131">
        <v>1151731</v>
      </c>
      <c r="G57" s="307">
        <v>67</v>
      </c>
      <c r="H57" s="131"/>
      <c r="I57" s="307"/>
      <c r="J57" s="131">
        <v>68729</v>
      </c>
      <c r="K57" s="307">
        <v>18</v>
      </c>
      <c r="L57" s="131">
        <v>169091</v>
      </c>
      <c r="M57" s="307">
        <v>59</v>
      </c>
    </row>
    <row r="58" spans="1:13" x14ac:dyDescent="0.2">
      <c r="A58" s="164" t="s">
        <v>5951</v>
      </c>
      <c r="B58" s="131">
        <v>3225189</v>
      </c>
      <c r="C58" s="307">
        <v>52</v>
      </c>
      <c r="D58" s="131">
        <v>2312754</v>
      </c>
      <c r="E58" s="307">
        <v>34</v>
      </c>
      <c r="F58" s="131">
        <v>2718057</v>
      </c>
      <c r="G58" s="307">
        <v>38</v>
      </c>
      <c r="H58" s="131"/>
      <c r="I58" s="307"/>
      <c r="J58" s="131">
        <v>405303</v>
      </c>
      <c r="K58" s="307">
        <v>4</v>
      </c>
      <c r="L58" s="131">
        <v>507132</v>
      </c>
      <c r="M58" s="307">
        <v>14</v>
      </c>
    </row>
    <row r="59" spans="1:13" x14ac:dyDescent="0.2">
      <c r="A59" s="164" t="s">
        <v>5952</v>
      </c>
      <c r="B59" s="131">
        <v>1055390</v>
      </c>
      <c r="C59" s="307">
        <v>36</v>
      </c>
      <c r="D59" s="131">
        <v>748254</v>
      </c>
      <c r="E59" s="307">
        <v>32</v>
      </c>
      <c r="F59" s="131">
        <v>849400</v>
      </c>
      <c r="G59" s="307">
        <v>30</v>
      </c>
      <c r="H59" s="131"/>
      <c r="I59" s="307"/>
      <c r="J59" s="131">
        <v>101145</v>
      </c>
      <c r="K59" s="307">
        <v>98</v>
      </c>
      <c r="L59" s="131">
        <v>205990</v>
      </c>
      <c r="M59" s="307">
        <v>6</v>
      </c>
    </row>
    <row r="60" spans="1:13" x14ac:dyDescent="0.2">
      <c r="A60" s="164" t="s">
        <v>5953</v>
      </c>
      <c r="B60" s="131">
        <v>4778443</v>
      </c>
      <c r="C60" s="307">
        <v>98</v>
      </c>
      <c r="D60" s="131">
        <v>3249887</v>
      </c>
      <c r="E60" s="307">
        <v>88</v>
      </c>
      <c r="F60" s="131">
        <v>2581595</v>
      </c>
      <c r="G60" s="307">
        <v>58</v>
      </c>
      <c r="H60" s="131">
        <v>668292</v>
      </c>
      <c r="I60" s="307">
        <v>30</v>
      </c>
      <c r="J60" s="131"/>
      <c r="K60" s="307"/>
      <c r="L60" s="131">
        <v>1528556</v>
      </c>
      <c r="M60" s="307">
        <v>10</v>
      </c>
    </row>
    <row r="61" spans="1:13" x14ac:dyDescent="0.2">
      <c r="A61" s="164" t="s">
        <v>5954</v>
      </c>
      <c r="B61" s="131">
        <v>2829723</v>
      </c>
      <c r="C61" s="307">
        <v>3</v>
      </c>
      <c r="D61" s="131">
        <v>2143350</v>
      </c>
      <c r="E61" s="307">
        <v>47</v>
      </c>
      <c r="F61" s="131">
        <v>2149376</v>
      </c>
      <c r="G61" s="307">
        <v>77</v>
      </c>
      <c r="H61" s="131"/>
      <c r="I61" s="307"/>
      <c r="J61" s="131">
        <v>6026</v>
      </c>
      <c r="K61" s="307">
        <v>30</v>
      </c>
      <c r="L61" s="131">
        <v>680346</v>
      </c>
      <c r="M61" s="307">
        <v>26</v>
      </c>
    </row>
    <row r="62" spans="1:13" x14ac:dyDescent="0.2">
      <c r="A62" s="164" t="s">
        <v>5955</v>
      </c>
      <c r="B62" s="131">
        <v>212320</v>
      </c>
      <c r="C62" s="307">
        <v>49</v>
      </c>
      <c r="D62" s="131">
        <v>25742</v>
      </c>
      <c r="E62" s="307">
        <v>9</v>
      </c>
      <c r="F62" s="131">
        <v>46681</v>
      </c>
      <c r="G62" s="307">
        <v>88</v>
      </c>
      <c r="H62" s="131"/>
      <c r="I62" s="307"/>
      <c r="J62" s="131">
        <v>20939</v>
      </c>
      <c r="K62" s="307">
        <v>79</v>
      </c>
      <c r="L62" s="131">
        <v>165638</v>
      </c>
      <c r="M62" s="307">
        <v>61</v>
      </c>
    </row>
    <row r="63" spans="1:13" x14ac:dyDescent="0.2">
      <c r="A63" s="151" t="s">
        <v>4843</v>
      </c>
      <c r="B63" s="240">
        <v>19045641</v>
      </c>
      <c r="C63" s="513">
        <v>77</v>
      </c>
      <c r="D63" s="240">
        <v>13677808</v>
      </c>
      <c r="E63" s="513">
        <v>13</v>
      </c>
      <c r="F63" s="240">
        <v>14771575</v>
      </c>
      <c r="G63" s="513">
        <v>97</v>
      </c>
      <c r="H63" s="240">
        <v>679344</v>
      </c>
      <c r="I63" s="513">
        <v>68</v>
      </c>
      <c r="J63" s="240">
        <v>1773112</v>
      </c>
      <c r="K63" s="513">
        <v>52</v>
      </c>
      <c r="L63" s="240">
        <v>3594721</v>
      </c>
      <c r="M63" s="513">
        <v>12</v>
      </c>
    </row>
    <row r="64" spans="1:13" x14ac:dyDescent="0.2">
      <c r="B64" s="321">
        <f>SUM(B55:B62)</f>
        <v>19045638</v>
      </c>
      <c r="C64" s="321">
        <f t="shared" ref="C64:M64" si="1">SUM(C55:C62)</f>
        <v>377</v>
      </c>
      <c r="D64" s="321">
        <f t="shared" si="1"/>
        <v>13677804</v>
      </c>
      <c r="E64" s="321">
        <f t="shared" si="1"/>
        <v>413</v>
      </c>
      <c r="F64" s="321">
        <f t="shared" si="1"/>
        <v>14771571</v>
      </c>
      <c r="G64" s="321">
        <f t="shared" si="1"/>
        <v>497</v>
      </c>
      <c r="H64" s="321">
        <f t="shared" si="1"/>
        <v>679344</v>
      </c>
      <c r="I64" s="321">
        <f t="shared" si="1"/>
        <v>68</v>
      </c>
      <c r="J64" s="321">
        <f t="shared" si="1"/>
        <v>1773110</v>
      </c>
      <c r="K64" s="321">
        <f t="shared" si="1"/>
        <v>252</v>
      </c>
      <c r="L64" s="321">
        <f t="shared" si="1"/>
        <v>3594718</v>
      </c>
      <c r="M64" s="321">
        <f t="shared" si="1"/>
        <v>312</v>
      </c>
    </row>
    <row r="67" spans="1:11" x14ac:dyDescent="0.2">
      <c r="A67" s="113" t="s">
        <v>1226</v>
      </c>
    </row>
    <row r="68" spans="1:11" ht="21" x14ac:dyDescent="0.2">
      <c r="A68" s="1716" t="s">
        <v>5956</v>
      </c>
      <c r="B68" s="1717"/>
      <c r="C68" s="1717"/>
      <c r="D68" s="1717"/>
      <c r="E68" s="1717"/>
      <c r="F68" s="1717"/>
      <c r="G68" s="1717"/>
      <c r="H68" s="1717"/>
      <c r="I68" s="1717"/>
      <c r="J68" s="1717"/>
      <c r="K68" s="1718"/>
    </row>
    <row r="69" spans="1:11" ht="35" customHeight="1" x14ac:dyDescent="0.2">
      <c r="A69" s="1673"/>
      <c r="B69" s="252" t="s">
        <v>5957</v>
      </c>
      <c r="C69" s="254"/>
      <c r="D69" s="252" t="s">
        <v>5958</v>
      </c>
      <c r="E69" s="254"/>
      <c r="F69" s="252" t="s">
        <v>5716</v>
      </c>
      <c r="G69" s="254"/>
      <c r="H69" s="252" t="s">
        <v>5717</v>
      </c>
      <c r="I69" s="254"/>
      <c r="J69" s="252" t="s">
        <v>5959</v>
      </c>
      <c r="K69" s="254"/>
    </row>
    <row r="70" spans="1:11" ht="28.25" customHeight="1" x14ac:dyDescent="0.2">
      <c r="A70" s="1719" t="s">
        <v>5960</v>
      </c>
      <c r="B70" s="131"/>
      <c r="C70" s="307"/>
      <c r="D70" s="131">
        <v>1641631</v>
      </c>
      <c r="E70" s="307">
        <v>77</v>
      </c>
      <c r="F70" s="131"/>
      <c r="G70" s="307"/>
      <c r="H70" s="131"/>
      <c r="I70" s="307"/>
      <c r="J70" s="131"/>
      <c r="K70" s="307"/>
    </row>
    <row r="71" spans="1:11" ht="30" x14ac:dyDescent="0.2">
      <c r="A71" s="1719" t="s">
        <v>5720</v>
      </c>
      <c r="B71" s="131"/>
      <c r="C71" s="307"/>
      <c r="D71" s="131"/>
      <c r="E71" s="307"/>
      <c r="F71" s="131"/>
      <c r="G71" s="307"/>
      <c r="H71" s="131">
        <v>85368</v>
      </c>
      <c r="I71" s="307">
        <v>42</v>
      </c>
      <c r="J71" s="131"/>
      <c r="K71" s="307"/>
    </row>
    <row r="72" spans="1:11" x14ac:dyDescent="0.2">
      <c r="A72" s="1719" t="s">
        <v>5721</v>
      </c>
      <c r="B72" s="131"/>
      <c r="C72" s="307"/>
      <c r="D72" s="131"/>
      <c r="E72" s="307"/>
      <c r="F72" s="131"/>
      <c r="G72" s="307"/>
      <c r="H72" s="131">
        <v>1426806</v>
      </c>
      <c r="I72" s="307">
        <v>52</v>
      </c>
      <c r="J72" s="131"/>
      <c r="K72" s="307"/>
    </row>
    <row r="73" spans="1:11" ht="45" x14ac:dyDescent="0.2">
      <c r="A73" s="1720" t="s">
        <v>5961</v>
      </c>
      <c r="B73" s="230"/>
      <c r="C73" s="364"/>
      <c r="D73" s="230"/>
      <c r="E73" s="364"/>
      <c r="F73" s="230"/>
      <c r="G73" s="364"/>
      <c r="H73" s="230">
        <v>1858480</v>
      </c>
      <c r="I73" s="364">
        <v>94</v>
      </c>
      <c r="J73" s="230"/>
      <c r="K73" s="364"/>
    </row>
    <row r="74" spans="1:11" x14ac:dyDescent="0.2">
      <c r="A74" s="1720"/>
      <c r="B74" s="230"/>
      <c r="C74" s="364"/>
      <c r="D74" s="230"/>
      <c r="E74" s="364"/>
      <c r="F74" s="230"/>
      <c r="G74" s="364"/>
      <c r="H74" s="230"/>
      <c r="I74" s="364"/>
      <c r="J74" s="230">
        <v>985203</v>
      </c>
      <c r="K74" s="364">
        <v>13</v>
      </c>
    </row>
    <row r="153" spans="2:232" x14ac:dyDescent="0.2">
      <c r="B153" s="143"/>
      <c r="C153" s="143"/>
      <c r="D153" s="143"/>
      <c r="E153" s="143"/>
      <c r="F153" s="143"/>
      <c r="G153" s="143"/>
      <c r="H153" s="143"/>
      <c r="I153" s="143"/>
      <c r="J153" s="143"/>
      <c r="K153" s="143"/>
      <c r="L153" s="143"/>
      <c r="M153" s="143"/>
      <c r="N153" s="143"/>
      <c r="O153" s="143"/>
      <c r="P153" s="143"/>
      <c r="Q153" s="143"/>
      <c r="R153" s="143"/>
      <c r="S153" s="143"/>
      <c r="T153" s="143"/>
      <c r="U153" s="143"/>
      <c r="V153" s="143"/>
      <c r="W153" s="143"/>
      <c r="X153" s="143"/>
      <c r="Y153" s="143"/>
      <c r="Z153" s="143"/>
      <c r="AA153" s="143"/>
      <c r="AB153" s="143"/>
      <c r="AC153" s="143"/>
      <c r="AD153" s="143"/>
      <c r="AE153" s="143"/>
      <c r="AF153" s="143"/>
      <c r="AG153" s="143"/>
      <c r="AH153" s="143"/>
      <c r="AI153" s="143"/>
      <c r="AJ153" s="143"/>
      <c r="AK153" s="143"/>
      <c r="AL153" s="143"/>
      <c r="AM153" s="143"/>
      <c r="AN153" s="143"/>
      <c r="AO153" s="143"/>
      <c r="AP153" s="143"/>
      <c r="AQ153" s="143"/>
      <c r="AR153" s="143"/>
      <c r="AS153" s="143"/>
      <c r="AT153" s="143"/>
      <c r="AU153" s="143"/>
      <c r="AV153" s="143"/>
      <c r="AW153" s="143"/>
      <c r="AX153" s="143"/>
      <c r="AY153" s="143"/>
      <c r="AZ153" s="143"/>
      <c r="BA153" s="143"/>
      <c r="BB153" s="143"/>
      <c r="BC153" s="143"/>
      <c r="BD153" s="143"/>
      <c r="BE153" s="143"/>
      <c r="BF153" s="143"/>
      <c r="BG153" s="143"/>
      <c r="BH153" s="143"/>
      <c r="BI153" s="143"/>
      <c r="BJ153" s="143"/>
      <c r="BK153" s="143"/>
      <c r="BL153" s="143"/>
      <c r="BM153" s="143"/>
      <c r="BN153" s="143"/>
      <c r="BO153" s="143"/>
      <c r="BP153" s="143"/>
      <c r="BQ153" s="143"/>
      <c r="BR153" s="143"/>
      <c r="BS153" s="143"/>
      <c r="BT153" s="143"/>
      <c r="BU153" s="143"/>
      <c r="BV153" s="143"/>
      <c r="BW153" s="143"/>
      <c r="BX153" s="143"/>
      <c r="BY153" s="143"/>
      <c r="BZ153" s="143"/>
      <c r="CA153" s="143"/>
      <c r="CB153" s="143"/>
      <c r="CC153" s="143"/>
      <c r="CD153" s="143"/>
      <c r="CE153" s="143"/>
      <c r="CF153" s="143"/>
      <c r="CG153" s="143"/>
      <c r="CH153" s="143"/>
      <c r="CI153" s="143"/>
      <c r="CJ153" s="143"/>
      <c r="CK153" s="143"/>
      <c r="CL153" s="143"/>
      <c r="CM153" s="143"/>
      <c r="CN153" s="143"/>
      <c r="CO153" s="143"/>
      <c r="CP153" s="143"/>
      <c r="CQ153" s="143"/>
      <c r="CR153" s="143"/>
      <c r="CS153" s="143"/>
      <c r="CT153" s="143"/>
      <c r="CU153" s="143"/>
      <c r="CV153" s="143"/>
      <c r="CW153" s="143"/>
      <c r="CX153" s="143"/>
      <c r="CY153" s="143"/>
      <c r="CZ153" s="143"/>
      <c r="DA153" s="143"/>
      <c r="DB153" s="143"/>
      <c r="DC153" s="143"/>
      <c r="DD153" s="143"/>
      <c r="DE153" s="143"/>
      <c r="DF153" s="143"/>
      <c r="DG153" s="143"/>
      <c r="DH153" s="143"/>
      <c r="DI153" s="143"/>
      <c r="DJ153" s="143"/>
      <c r="DK153" s="143"/>
      <c r="DL153" s="143"/>
      <c r="DM153" s="143"/>
      <c r="DN153" s="143"/>
      <c r="DO153" s="143"/>
      <c r="DP153" s="143"/>
      <c r="DQ153" s="143"/>
      <c r="DR153" s="143"/>
      <c r="DS153" s="143"/>
      <c r="DT153" s="143"/>
      <c r="DU153" s="143"/>
      <c r="DV153" s="143"/>
      <c r="DW153" s="143"/>
      <c r="DX153" s="143"/>
      <c r="DY153" s="143"/>
      <c r="DZ153" s="143"/>
      <c r="EA153" s="143"/>
      <c r="EB153" s="143"/>
      <c r="EC153" s="143"/>
      <c r="ED153" s="143"/>
      <c r="EE153" s="143"/>
      <c r="EF153" s="143"/>
      <c r="EG153" s="143"/>
      <c r="EH153" s="143"/>
      <c r="EI153" s="143"/>
      <c r="EJ153" s="143"/>
      <c r="EK153" s="143"/>
      <c r="EL153" s="143"/>
      <c r="EM153" s="143"/>
      <c r="EN153" s="143"/>
      <c r="EO153" s="143"/>
      <c r="EP153" s="143"/>
      <c r="EQ153" s="143"/>
      <c r="ER153" s="143"/>
      <c r="ES153" s="143"/>
      <c r="ET153" s="143"/>
      <c r="EU153" s="143"/>
      <c r="EV153" s="143"/>
      <c r="EW153" s="143"/>
      <c r="EX153" s="143"/>
      <c r="EY153" s="143"/>
      <c r="EZ153" s="143"/>
      <c r="FA153" s="143"/>
      <c r="FB153" s="143"/>
      <c r="FC153" s="143"/>
      <c r="FD153" s="143"/>
      <c r="FE153" s="143"/>
      <c r="FF153" s="143"/>
      <c r="FG153" s="143"/>
      <c r="FH153" s="143"/>
      <c r="FI153" s="143"/>
      <c r="FJ153" s="143"/>
      <c r="FK153" s="143"/>
      <c r="FL153" s="143"/>
      <c r="FM153" s="143"/>
      <c r="FN153" s="143"/>
      <c r="FO153" s="143"/>
      <c r="FP153" s="143"/>
      <c r="FQ153" s="143"/>
      <c r="FR153" s="143"/>
      <c r="FS153" s="143"/>
      <c r="FT153" s="143"/>
      <c r="FU153" s="143"/>
      <c r="FV153" s="143"/>
      <c r="FW153" s="143"/>
      <c r="FX153" s="143"/>
      <c r="FY153" s="143"/>
      <c r="FZ153" s="143"/>
      <c r="GA153" s="143"/>
      <c r="GB153" s="143"/>
      <c r="GC153" s="143"/>
      <c r="GD153" s="143"/>
      <c r="GE153" s="143"/>
      <c r="GF153" s="143"/>
      <c r="GG153" s="143"/>
      <c r="GH153" s="143"/>
      <c r="GI153" s="143"/>
      <c r="GJ153" s="143"/>
      <c r="GK153" s="143"/>
      <c r="GL153" s="143"/>
      <c r="GM153" s="143"/>
      <c r="GN153" s="143"/>
      <c r="GO153" s="143"/>
      <c r="GP153" s="143"/>
      <c r="GQ153" s="143"/>
      <c r="GR153" s="143"/>
      <c r="GS153" s="143"/>
      <c r="GT153" s="143"/>
      <c r="GU153" s="143"/>
      <c r="GV153" s="143"/>
      <c r="GW153" s="143"/>
      <c r="GX153" s="143"/>
      <c r="GY153" s="143"/>
      <c r="GZ153" s="143"/>
      <c r="HA153" s="143"/>
      <c r="HB153" s="143"/>
      <c r="HC153" s="143"/>
      <c r="HD153" s="143"/>
      <c r="HE153" s="143"/>
      <c r="HF153" s="143"/>
      <c r="HG153" s="143"/>
      <c r="HH153" s="143"/>
      <c r="HI153" s="143"/>
      <c r="HJ153" s="143"/>
      <c r="HK153" s="143"/>
      <c r="HL153" s="143"/>
      <c r="HM153" s="143"/>
      <c r="HN153" s="143"/>
      <c r="HO153" s="143"/>
      <c r="HP153" s="143"/>
      <c r="HQ153" s="143"/>
      <c r="HR153" s="143"/>
      <c r="HS153" s="143"/>
      <c r="HT153" s="143"/>
      <c r="HU153" s="143"/>
      <c r="HV153" s="143"/>
      <c r="HW153" s="143"/>
      <c r="HX153" s="143"/>
    </row>
    <row r="154" spans="2:232" x14ac:dyDescent="0.2">
      <c r="B154" s="143"/>
      <c r="C154" s="143"/>
      <c r="D154" s="143"/>
      <c r="E154" s="143"/>
      <c r="F154" s="143"/>
      <c r="G154" s="143"/>
      <c r="H154" s="143"/>
      <c r="I154" s="143"/>
      <c r="J154" s="143"/>
      <c r="K154" s="143"/>
      <c r="L154" s="143"/>
      <c r="M154" s="143"/>
      <c r="N154" s="143"/>
      <c r="O154" s="143"/>
      <c r="P154" s="143"/>
      <c r="Q154" s="143"/>
      <c r="R154" s="143"/>
      <c r="S154" s="143"/>
      <c r="T154" s="143"/>
      <c r="U154" s="143"/>
      <c r="V154" s="143"/>
      <c r="W154" s="143"/>
      <c r="X154" s="143"/>
      <c r="Y154" s="143"/>
      <c r="Z154" s="143"/>
      <c r="AA154" s="143"/>
      <c r="AB154" s="143"/>
      <c r="AC154" s="143"/>
      <c r="AD154" s="143"/>
      <c r="AE154" s="143"/>
      <c r="AF154" s="143"/>
      <c r="AG154" s="143"/>
      <c r="AH154" s="143"/>
      <c r="AI154" s="143"/>
      <c r="AJ154" s="143"/>
      <c r="AK154" s="143"/>
      <c r="AL154" s="143"/>
      <c r="AM154" s="143"/>
      <c r="AN154" s="143"/>
      <c r="AO154" s="143"/>
      <c r="AP154" s="143"/>
      <c r="AQ154" s="143"/>
      <c r="AR154" s="143"/>
      <c r="AS154" s="143"/>
      <c r="AT154" s="143"/>
      <c r="AU154" s="143"/>
      <c r="AV154" s="143"/>
      <c r="AW154" s="143"/>
      <c r="AX154" s="143"/>
      <c r="AY154" s="143"/>
      <c r="AZ154" s="143"/>
      <c r="BA154" s="143"/>
      <c r="BB154" s="143"/>
      <c r="BC154" s="143"/>
      <c r="BD154" s="143"/>
      <c r="BE154" s="143"/>
      <c r="BF154" s="143"/>
      <c r="BG154" s="143"/>
      <c r="BH154" s="143"/>
      <c r="BI154" s="143"/>
      <c r="BJ154" s="143"/>
      <c r="BK154" s="143"/>
      <c r="BL154" s="143"/>
      <c r="BM154" s="143"/>
      <c r="BN154" s="143"/>
      <c r="BO154" s="143"/>
      <c r="BP154" s="143"/>
      <c r="BQ154" s="143"/>
      <c r="BR154" s="143"/>
      <c r="BS154" s="143"/>
      <c r="BT154" s="143"/>
      <c r="BU154" s="143"/>
      <c r="BV154" s="143"/>
      <c r="BW154" s="143"/>
      <c r="BX154" s="143"/>
      <c r="BY154" s="143"/>
      <c r="BZ154" s="143"/>
      <c r="CA154" s="143"/>
      <c r="CB154" s="143"/>
      <c r="CC154" s="143"/>
      <c r="CD154" s="143"/>
      <c r="CE154" s="143"/>
      <c r="CF154" s="143"/>
      <c r="CG154" s="143"/>
      <c r="CH154" s="143"/>
      <c r="CI154" s="143"/>
      <c r="CJ154" s="143"/>
      <c r="CK154" s="143"/>
      <c r="CL154" s="143"/>
      <c r="CM154" s="143"/>
      <c r="CN154" s="143"/>
      <c r="CO154" s="143"/>
      <c r="CP154" s="143"/>
      <c r="CQ154" s="143"/>
      <c r="CR154" s="143"/>
      <c r="CS154" s="143"/>
      <c r="CT154" s="143"/>
      <c r="CU154" s="143"/>
      <c r="CV154" s="143"/>
      <c r="CW154" s="143"/>
      <c r="CX154" s="143"/>
      <c r="CY154" s="143"/>
      <c r="CZ154" s="143"/>
      <c r="DA154" s="143"/>
      <c r="DB154" s="143"/>
      <c r="DC154" s="143"/>
      <c r="DD154" s="143"/>
      <c r="DE154" s="143"/>
      <c r="DF154" s="143"/>
      <c r="DG154" s="143"/>
      <c r="DH154" s="143"/>
      <c r="DI154" s="143"/>
      <c r="DJ154" s="143"/>
      <c r="DK154" s="143"/>
      <c r="DL154" s="143"/>
      <c r="DM154" s="143"/>
      <c r="DN154" s="143"/>
      <c r="DO154" s="143"/>
      <c r="DP154" s="143"/>
      <c r="DQ154" s="143"/>
      <c r="DR154" s="143"/>
      <c r="DS154" s="143"/>
      <c r="DT154" s="143"/>
      <c r="DU154" s="143"/>
      <c r="DV154" s="143"/>
      <c r="DW154" s="143"/>
      <c r="DX154" s="143"/>
      <c r="DY154" s="143"/>
      <c r="DZ154" s="143"/>
      <c r="EA154" s="143"/>
      <c r="EB154" s="143"/>
      <c r="EC154" s="143"/>
      <c r="ED154" s="143"/>
      <c r="EE154" s="143"/>
      <c r="EF154" s="143"/>
      <c r="EG154" s="143"/>
      <c r="EH154" s="143"/>
      <c r="EI154" s="143"/>
      <c r="EJ154" s="143"/>
      <c r="EK154" s="143"/>
      <c r="EL154" s="143"/>
      <c r="EM154" s="143"/>
      <c r="EN154" s="143"/>
      <c r="EO154" s="143"/>
      <c r="EP154" s="143"/>
      <c r="EQ154" s="143"/>
      <c r="ER154" s="143"/>
      <c r="ES154" s="143"/>
      <c r="ET154" s="143"/>
      <c r="EU154" s="143"/>
      <c r="EV154" s="143"/>
      <c r="EW154" s="143"/>
      <c r="EX154" s="143"/>
      <c r="EY154" s="143"/>
      <c r="EZ154" s="143"/>
      <c r="FA154" s="143"/>
      <c r="FB154" s="143"/>
      <c r="FC154" s="143"/>
      <c r="FD154" s="143"/>
      <c r="FE154" s="143"/>
      <c r="FF154" s="143"/>
      <c r="FG154" s="143"/>
      <c r="FH154" s="143"/>
      <c r="FI154" s="143"/>
      <c r="FJ154" s="143"/>
      <c r="FK154" s="143"/>
      <c r="FL154" s="143"/>
      <c r="FM154" s="143"/>
      <c r="FN154" s="143"/>
      <c r="FO154" s="143"/>
      <c r="FP154" s="143"/>
      <c r="FQ154" s="143"/>
      <c r="FR154" s="143"/>
      <c r="FS154" s="143"/>
      <c r="FT154" s="143"/>
      <c r="FU154" s="143"/>
      <c r="FV154" s="143"/>
      <c r="FW154" s="143"/>
      <c r="FX154" s="143"/>
      <c r="FY154" s="143"/>
      <c r="FZ154" s="143"/>
      <c r="GA154" s="143"/>
      <c r="GB154" s="143"/>
      <c r="GC154" s="143"/>
      <c r="GD154" s="143"/>
      <c r="GE154" s="143"/>
      <c r="GF154" s="143"/>
      <c r="GG154" s="143"/>
      <c r="GH154" s="143"/>
      <c r="GI154" s="143"/>
      <c r="GJ154" s="143"/>
      <c r="GK154" s="143"/>
      <c r="GL154" s="143"/>
      <c r="GM154" s="143"/>
      <c r="GN154" s="143"/>
      <c r="GO154" s="143"/>
      <c r="GP154" s="143"/>
      <c r="GQ154" s="143"/>
      <c r="GR154" s="143"/>
      <c r="GS154" s="143"/>
      <c r="GT154" s="143"/>
      <c r="GU154" s="143"/>
      <c r="GV154" s="143"/>
      <c r="GW154" s="143"/>
      <c r="GX154" s="143"/>
      <c r="GY154" s="143"/>
      <c r="GZ154" s="143"/>
      <c r="HA154" s="143"/>
      <c r="HB154" s="143"/>
      <c r="HC154" s="143"/>
      <c r="HD154" s="143"/>
      <c r="HE154" s="143"/>
      <c r="HF154" s="143"/>
      <c r="HG154" s="143"/>
      <c r="HH154" s="143"/>
      <c r="HI154" s="143"/>
      <c r="HJ154" s="143"/>
      <c r="HK154" s="143"/>
      <c r="HL154" s="143"/>
      <c r="HM154" s="143"/>
      <c r="HN154" s="143"/>
      <c r="HO154" s="143"/>
      <c r="HP154" s="143"/>
      <c r="HQ154" s="143"/>
      <c r="HR154" s="143"/>
      <c r="HS154" s="143"/>
      <c r="HT154" s="143"/>
      <c r="HU154" s="143"/>
      <c r="HV154" s="143"/>
      <c r="HW154" s="143"/>
      <c r="HX154" s="143"/>
    </row>
    <row r="156" spans="2:232" x14ac:dyDescent="0.2">
      <c r="B156" s="143"/>
      <c r="C156" s="143"/>
      <c r="D156" s="143"/>
      <c r="E156" s="143"/>
      <c r="F156" s="143"/>
      <c r="G156" s="143"/>
      <c r="H156" s="143"/>
      <c r="I156" s="143"/>
      <c r="J156" s="143"/>
      <c r="K156" s="143"/>
      <c r="L156" s="143"/>
      <c r="M156" s="143"/>
      <c r="N156" s="143"/>
      <c r="O156" s="143"/>
      <c r="P156" s="143"/>
      <c r="Q156" s="143"/>
      <c r="R156" s="143"/>
      <c r="S156" s="143"/>
      <c r="T156" s="143"/>
      <c r="U156" s="143"/>
      <c r="V156" s="143"/>
      <c r="W156" s="143"/>
      <c r="X156" s="143"/>
      <c r="Y156" s="143"/>
      <c r="Z156" s="143"/>
      <c r="AA156" s="143"/>
      <c r="AB156" s="143"/>
      <c r="AC156" s="143"/>
      <c r="AD156" s="143"/>
      <c r="AE156" s="143"/>
      <c r="AF156" s="143"/>
      <c r="AG156" s="143"/>
      <c r="AH156" s="143"/>
      <c r="AI156" s="143"/>
      <c r="AJ156" s="143"/>
      <c r="AK156" s="143"/>
      <c r="AL156" s="143"/>
      <c r="AM156" s="143"/>
      <c r="AN156" s="143"/>
      <c r="AO156" s="143"/>
      <c r="AP156" s="143"/>
      <c r="AQ156" s="143"/>
      <c r="AR156" s="143"/>
      <c r="AS156" s="143"/>
      <c r="AT156" s="143"/>
      <c r="AU156" s="143"/>
      <c r="AV156" s="143"/>
      <c r="AW156" s="143"/>
      <c r="AX156" s="143"/>
      <c r="AY156" s="143"/>
      <c r="AZ156" s="143"/>
      <c r="BA156" s="143"/>
      <c r="BB156" s="143"/>
      <c r="BC156" s="143"/>
      <c r="BD156" s="143"/>
      <c r="BE156" s="143"/>
      <c r="BF156" s="143"/>
      <c r="BG156" s="143"/>
      <c r="BH156" s="143"/>
      <c r="BI156" s="143"/>
      <c r="BJ156" s="143"/>
      <c r="BK156" s="143"/>
      <c r="BL156" s="143"/>
      <c r="BM156" s="143"/>
      <c r="BN156" s="143"/>
      <c r="BO156" s="143"/>
      <c r="BP156" s="143"/>
      <c r="BQ156" s="143"/>
      <c r="BR156" s="143"/>
      <c r="BS156" s="143"/>
      <c r="BT156" s="143"/>
      <c r="BU156" s="143"/>
      <c r="BV156" s="143"/>
      <c r="BW156" s="143"/>
      <c r="BX156" s="143"/>
      <c r="BY156" s="143"/>
      <c r="BZ156" s="143"/>
      <c r="CA156" s="143"/>
      <c r="CB156" s="143"/>
      <c r="CC156" s="143"/>
      <c r="CD156" s="143"/>
      <c r="CE156" s="143"/>
      <c r="CF156" s="143"/>
      <c r="CG156" s="143"/>
      <c r="CH156" s="143"/>
      <c r="CI156" s="143"/>
      <c r="CJ156" s="143"/>
      <c r="CK156" s="143"/>
      <c r="CL156" s="143"/>
      <c r="CM156" s="143"/>
      <c r="CN156" s="143"/>
      <c r="CO156" s="143"/>
      <c r="CP156" s="143"/>
      <c r="CQ156" s="143"/>
      <c r="CR156" s="143"/>
      <c r="CS156" s="143"/>
      <c r="CT156" s="143"/>
      <c r="CU156" s="143"/>
      <c r="CV156" s="143"/>
      <c r="CW156" s="143"/>
      <c r="CX156" s="143"/>
      <c r="CY156" s="143"/>
      <c r="CZ156" s="143"/>
      <c r="DA156" s="143"/>
      <c r="DB156" s="143"/>
      <c r="DC156" s="143"/>
      <c r="DD156" s="143"/>
      <c r="DE156" s="143"/>
      <c r="DF156" s="143"/>
      <c r="DG156" s="143"/>
      <c r="DH156" s="143"/>
      <c r="DI156" s="143"/>
      <c r="DJ156" s="143"/>
      <c r="DK156" s="143"/>
      <c r="DL156" s="143"/>
      <c r="DM156" s="143"/>
      <c r="DN156" s="143"/>
      <c r="DO156" s="143"/>
      <c r="DP156" s="143"/>
      <c r="DQ156" s="143"/>
      <c r="DR156" s="143"/>
      <c r="DS156" s="143"/>
      <c r="DT156" s="143"/>
      <c r="DU156" s="143"/>
      <c r="DV156" s="143"/>
      <c r="DW156" s="143"/>
      <c r="DX156" s="143"/>
      <c r="DY156" s="143"/>
      <c r="DZ156" s="143"/>
      <c r="EA156" s="143"/>
      <c r="EB156" s="143"/>
      <c r="EC156" s="143"/>
      <c r="ED156" s="143"/>
      <c r="EE156" s="143"/>
      <c r="EF156" s="143"/>
      <c r="EG156" s="143"/>
      <c r="EH156" s="143"/>
      <c r="EI156" s="143"/>
      <c r="EJ156" s="143"/>
      <c r="EK156" s="143"/>
      <c r="EL156" s="143"/>
      <c r="EM156" s="143"/>
      <c r="EN156" s="143"/>
      <c r="EO156" s="143"/>
      <c r="EP156" s="143"/>
      <c r="EQ156" s="143"/>
      <c r="ER156" s="143"/>
      <c r="ES156" s="143"/>
      <c r="ET156" s="143"/>
      <c r="EU156" s="143"/>
      <c r="EV156" s="143"/>
      <c r="EW156" s="143"/>
      <c r="EX156" s="143"/>
      <c r="EY156" s="143"/>
      <c r="EZ156" s="143"/>
      <c r="FA156" s="143"/>
      <c r="FB156" s="143"/>
      <c r="FC156" s="143"/>
      <c r="FD156" s="143"/>
      <c r="FE156" s="143"/>
      <c r="FF156" s="143"/>
      <c r="FG156" s="143"/>
      <c r="FH156" s="143"/>
      <c r="FI156" s="143"/>
      <c r="FJ156" s="143"/>
      <c r="FK156" s="143"/>
      <c r="FL156" s="143"/>
      <c r="FM156" s="143"/>
      <c r="FN156" s="143"/>
      <c r="FO156" s="143"/>
      <c r="FP156" s="143"/>
      <c r="FQ156" s="143"/>
      <c r="FR156" s="143"/>
      <c r="FS156" s="143"/>
      <c r="FT156" s="143"/>
      <c r="FU156" s="143"/>
      <c r="FV156" s="143"/>
      <c r="FW156" s="143"/>
      <c r="FX156" s="143"/>
      <c r="FY156" s="143"/>
      <c r="FZ156" s="143"/>
      <c r="GA156" s="143"/>
      <c r="GB156" s="143"/>
      <c r="GC156" s="143"/>
      <c r="GD156" s="143"/>
      <c r="GE156" s="143"/>
      <c r="GF156" s="143"/>
      <c r="GG156" s="143"/>
      <c r="GH156" s="143"/>
      <c r="GI156" s="143"/>
      <c r="GJ156" s="143"/>
      <c r="GK156" s="143"/>
      <c r="GL156" s="143"/>
      <c r="GM156" s="143"/>
      <c r="GN156" s="143"/>
      <c r="GO156" s="143"/>
      <c r="GP156" s="143"/>
      <c r="GQ156" s="143"/>
      <c r="GR156" s="143"/>
      <c r="GS156" s="143"/>
      <c r="GT156" s="143"/>
      <c r="GU156" s="143"/>
      <c r="GV156" s="143"/>
      <c r="GW156" s="143"/>
      <c r="GX156" s="143"/>
      <c r="GY156" s="143"/>
      <c r="GZ156" s="143"/>
      <c r="HA156" s="143"/>
      <c r="HB156" s="143"/>
      <c r="HC156" s="143"/>
      <c r="HD156" s="143"/>
      <c r="HE156" s="143"/>
      <c r="HF156" s="143"/>
      <c r="HG156" s="143"/>
      <c r="HH156" s="143"/>
      <c r="HI156" s="143"/>
      <c r="HJ156" s="143"/>
      <c r="HK156" s="143"/>
      <c r="HL156" s="143"/>
      <c r="HM156" s="143"/>
      <c r="HN156" s="143"/>
      <c r="HO156" s="143"/>
      <c r="HP156" s="143"/>
      <c r="HQ156" s="143"/>
      <c r="HR156" s="143"/>
      <c r="HS156" s="143"/>
      <c r="HT156" s="143"/>
      <c r="HU156" s="143"/>
      <c r="HV156" s="143"/>
      <c r="HW156" s="143"/>
      <c r="HX156" s="143"/>
    </row>
    <row r="158" spans="2:232" x14ac:dyDescent="0.2">
      <c r="B158" s="143"/>
      <c r="C158" s="143"/>
      <c r="D158" s="143"/>
      <c r="E158" s="143"/>
      <c r="F158" s="143"/>
      <c r="G158" s="143"/>
      <c r="H158" s="143"/>
      <c r="I158" s="143"/>
      <c r="J158" s="143"/>
      <c r="K158" s="143"/>
      <c r="L158" s="143"/>
      <c r="M158" s="143"/>
      <c r="N158" s="143"/>
      <c r="O158" s="143"/>
      <c r="P158" s="143"/>
      <c r="Q158" s="143"/>
      <c r="R158" s="143"/>
      <c r="S158" s="143"/>
      <c r="T158" s="143"/>
      <c r="U158" s="143"/>
      <c r="V158" s="143"/>
      <c r="W158" s="143"/>
      <c r="X158" s="143"/>
      <c r="Y158" s="143"/>
      <c r="Z158" s="143"/>
      <c r="AA158" s="143"/>
      <c r="AB158" s="143"/>
      <c r="AC158" s="143"/>
      <c r="AD158" s="143"/>
      <c r="AE158" s="143"/>
      <c r="AF158" s="143"/>
      <c r="AG158" s="143"/>
      <c r="AH158" s="143"/>
      <c r="AI158" s="143"/>
      <c r="AJ158" s="143"/>
      <c r="AK158" s="143"/>
      <c r="AL158" s="143"/>
      <c r="AM158" s="143"/>
      <c r="AN158" s="143"/>
      <c r="AO158" s="143"/>
      <c r="AP158" s="143"/>
      <c r="AQ158" s="143"/>
      <c r="AR158" s="143"/>
      <c r="AS158" s="143"/>
      <c r="AT158" s="143"/>
      <c r="AU158" s="143"/>
      <c r="AV158" s="143"/>
      <c r="AW158" s="143"/>
      <c r="AX158" s="143"/>
      <c r="AY158" s="143"/>
      <c r="AZ158" s="143"/>
      <c r="BA158" s="143"/>
      <c r="BB158" s="143"/>
      <c r="BC158" s="143"/>
      <c r="BD158" s="143"/>
      <c r="BE158" s="143"/>
      <c r="BF158" s="143"/>
      <c r="BG158" s="143"/>
      <c r="BH158" s="143"/>
      <c r="BI158" s="143"/>
      <c r="BJ158" s="143"/>
      <c r="BK158" s="143"/>
      <c r="BL158" s="143"/>
      <c r="BM158" s="143"/>
      <c r="BN158" s="143"/>
      <c r="BO158" s="143"/>
      <c r="BP158" s="143"/>
      <c r="BQ158" s="143"/>
      <c r="BR158" s="143"/>
      <c r="BS158" s="143"/>
      <c r="BT158" s="143"/>
      <c r="BU158" s="143"/>
      <c r="BV158" s="143"/>
      <c r="BW158" s="143"/>
      <c r="BX158" s="143"/>
      <c r="BY158" s="143"/>
      <c r="BZ158" s="143"/>
      <c r="CA158" s="143"/>
      <c r="CB158" s="143"/>
      <c r="CC158" s="143"/>
      <c r="CD158" s="143"/>
      <c r="CE158" s="143"/>
      <c r="CF158" s="143"/>
      <c r="CG158" s="143"/>
      <c r="CH158" s="143"/>
      <c r="CI158" s="143"/>
      <c r="CJ158" s="143"/>
      <c r="CK158" s="143"/>
      <c r="CL158" s="143"/>
      <c r="CM158" s="143"/>
      <c r="CN158" s="143"/>
      <c r="CO158" s="143"/>
      <c r="CP158" s="143"/>
      <c r="CQ158" s="143"/>
      <c r="CR158" s="143"/>
      <c r="CS158" s="143"/>
      <c r="CT158" s="143"/>
      <c r="CU158" s="143"/>
      <c r="CV158" s="143"/>
      <c r="CW158" s="143"/>
      <c r="CX158" s="143"/>
      <c r="CY158" s="143"/>
      <c r="CZ158" s="143"/>
      <c r="DA158" s="143"/>
      <c r="DB158" s="143"/>
      <c r="DC158" s="143"/>
      <c r="DD158" s="143"/>
      <c r="DE158" s="143"/>
      <c r="DF158" s="143"/>
      <c r="DG158" s="143"/>
      <c r="DH158" s="143"/>
      <c r="DI158" s="143"/>
      <c r="DJ158" s="143"/>
      <c r="DK158" s="143"/>
      <c r="DL158" s="143"/>
      <c r="DM158" s="143"/>
      <c r="DN158" s="143"/>
      <c r="DO158" s="143"/>
      <c r="DP158" s="143"/>
      <c r="DQ158" s="143"/>
      <c r="DR158" s="143"/>
      <c r="DS158" s="143"/>
      <c r="DT158" s="143"/>
      <c r="DU158" s="143"/>
      <c r="DV158" s="143"/>
      <c r="DW158" s="143"/>
      <c r="DX158" s="143"/>
      <c r="DY158" s="143"/>
      <c r="DZ158" s="143"/>
      <c r="EA158" s="143"/>
      <c r="EB158" s="143"/>
      <c r="EC158" s="143"/>
      <c r="ED158" s="143"/>
      <c r="EE158" s="143"/>
      <c r="EF158" s="143"/>
      <c r="EG158" s="143"/>
      <c r="EH158" s="143"/>
      <c r="EI158" s="143"/>
      <c r="EJ158" s="143"/>
      <c r="EK158" s="143"/>
      <c r="EL158" s="143"/>
      <c r="EM158" s="143"/>
      <c r="EN158" s="143"/>
      <c r="EO158" s="143"/>
      <c r="EP158" s="143"/>
      <c r="EQ158" s="143"/>
      <c r="ER158" s="143"/>
      <c r="ES158" s="143"/>
      <c r="ET158" s="143"/>
      <c r="EU158" s="143"/>
      <c r="EV158" s="143"/>
      <c r="EW158" s="143"/>
      <c r="EX158" s="143"/>
      <c r="EY158" s="143"/>
      <c r="EZ158" s="143"/>
      <c r="FA158" s="143"/>
      <c r="FB158" s="143"/>
      <c r="FC158" s="143"/>
      <c r="FD158" s="143"/>
      <c r="FE158" s="143"/>
      <c r="FF158" s="143"/>
      <c r="FG158" s="143"/>
      <c r="FH158" s="143"/>
      <c r="FI158" s="143"/>
      <c r="FJ158" s="143"/>
      <c r="FK158" s="143"/>
      <c r="FL158" s="143"/>
      <c r="FM158" s="143"/>
      <c r="FN158" s="143"/>
      <c r="FO158" s="143"/>
      <c r="FP158" s="143"/>
      <c r="FQ158" s="143"/>
      <c r="FR158" s="143"/>
      <c r="FS158" s="143"/>
      <c r="FT158" s="143"/>
      <c r="FU158" s="143"/>
      <c r="FV158" s="143"/>
      <c r="FW158" s="143"/>
      <c r="FX158" s="143"/>
      <c r="FY158" s="143"/>
      <c r="FZ158" s="143"/>
      <c r="GA158" s="143"/>
      <c r="GB158" s="143"/>
      <c r="GC158" s="143"/>
      <c r="GD158" s="143"/>
      <c r="GE158" s="143"/>
      <c r="GF158" s="143"/>
      <c r="GG158" s="143"/>
      <c r="GH158" s="143"/>
      <c r="GI158" s="143"/>
      <c r="GJ158" s="143"/>
      <c r="GK158" s="143"/>
      <c r="GL158" s="143"/>
      <c r="GM158" s="143"/>
      <c r="GN158" s="143"/>
      <c r="GO158" s="143"/>
      <c r="GP158" s="143"/>
      <c r="GQ158" s="143"/>
      <c r="GR158" s="143"/>
      <c r="GS158" s="143"/>
      <c r="GT158" s="143"/>
      <c r="GU158" s="143"/>
      <c r="GV158" s="143"/>
      <c r="GW158" s="143"/>
      <c r="GX158" s="143"/>
      <c r="GY158" s="143"/>
      <c r="GZ158" s="143"/>
      <c r="HA158" s="143"/>
      <c r="HB158" s="143"/>
      <c r="HC158" s="143"/>
      <c r="HD158" s="143"/>
      <c r="HE158" s="143"/>
      <c r="HF158" s="143"/>
      <c r="HG158" s="143"/>
      <c r="HH158" s="143"/>
      <c r="HI158" s="143"/>
      <c r="HJ158" s="143"/>
      <c r="HK158" s="143"/>
      <c r="HL158" s="143"/>
      <c r="HM158" s="143"/>
      <c r="HN158" s="143"/>
      <c r="HO158" s="143"/>
      <c r="HP158" s="143"/>
      <c r="HQ158" s="143"/>
      <c r="HR158" s="143"/>
      <c r="HS158" s="143"/>
      <c r="HT158" s="143"/>
      <c r="HU158" s="143"/>
      <c r="HV158" s="143"/>
      <c r="HW158" s="143"/>
      <c r="HX158" s="143"/>
    </row>
    <row r="160" spans="2:232" x14ac:dyDescent="0.2">
      <c r="B160" s="143"/>
      <c r="C160" s="143"/>
      <c r="D160" s="143"/>
      <c r="E160" s="143"/>
      <c r="F160" s="143"/>
      <c r="G160" s="143"/>
      <c r="H160" s="143"/>
      <c r="I160" s="143"/>
      <c r="J160" s="143"/>
      <c r="K160" s="143"/>
      <c r="L160" s="143"/>
      <c r="M160" s="143"/>
      <c r="N160" s="143"/>
      <c r="O160" s="143"/>
      <c r="P160" s="143"/>
      <c r="Q160" s="143"/>
      <c r="R160" s="143"/>
      <c r="S160" s="143"/>
      <c r="T160" s="143"/>
      <c r="U160" s="143"/>
      <c r="V160" s="143"/>
      <c r="W160" s="143"/>
      <c r="X160" s="143"/>
      <c r="Y160" s="143"/>
      <c r="Z160" s="143"/>
      <c r="AA160" s="143"/>
      <c r="AB160" s="143"/>
      <c r="AC160" s="143"/>
      <c r="AD160" s="143"/>
      <c r="AE160" s="143"/>
      <c r="AF160" s="143"/>
      <c r="AG160" s="143"/>
      <c r="AH160" s="143"/>
      <c r="AI160" s="143"/>
      <c r="AJ160" s="143"/>
      <c r="AK160" s="143"/>
      <c r="AL160" s="143"/>
      <c r="AM160" s="143"/>
      <c r="AN160" s="143"/>
      <c r="AO160" s="143"/>
      <c r="AP160" s="143"/>
      <c r="AQ160" s="143"/>
      <c r="AR160" s="14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row>
    <row r="162" spans="2:232" x14ac:dyDescent="0.2">
      <c r="B162" s="143"/>
      <c r="C162" s="143"/>
      <c r="D162" s="143"/>
      <c r="E162" s="143"/>
      <c r="F162" s="143"/>
      <c r="G162" s="143"/>
      <c r="H162" s="143"/>
      <c r="I162" s="143"/>
      <c r="J162" s="143"/>
      <c r="K162" s="143"/>
      <c r="L162" s="143"/>
      <c r="M162" s="143"/>
      <c r="N162" s="143"/>
      <c r="O162" s="143"/>
      <c r="P162" s="143"/>
      <c r="Q162" s="143"/>
      <c r="R162" s="143"/>
      <c r="S162" s="143"/>
      <c r="T162" s="143"/>
      <c r="U162" s="143"/>
      <c r="V162" s="143"/>
      <c r="W162" s="143"/>
      <c r="X162" s="143"/>
      <c r="Y162" s="143"/>
      <c r="Z162" s="143"/>
      <c r="AA162" s="143"/>
      <c r="AB162" s="143"/>
      <c r="AC162" s="143"/>
      <c r="AD162" s="143"/>
      <c r="AE162" s="143"/>
      <c r="AF162" s="143"/>
      <c r="AG162" s="143"/>
      <c r="AH162" s="143"/>
      <c r="AI162" s="143"/>
      <c r="AJ162" s="143"/>
      <c r="AK162" s="143"/>
      <c r="AL162" s="143"/>
      <c r="AM162" s="143"/>
      <c r="AN162" s="143"/>
      <c r="AO162" s="143"/>
      <c r="AP162" s="143"/>
      <c r="AQ162" s="143"/>
      <c r="AR162" s="143"/>
      <c r="AS162" s="143"/>
      <c r="AT162" s="143"/>
      <c r="AU162" s="143"/>
      <c r="AV162" s="143"/>
      <c r="AW162" s="143"/>
      <c r="AX162" s="143"/>
      <c r="AY162" s="143"/>
      <c r="AZ162" s="143"/>
      <c r="BA162" s="143"/>
      <c r="BB162" s="143"/>
      <c r="BC162" s="143"/>
      <c r="BD162" s="143"/>
      <c r="BE162" s="143"/>
      <c r="BF162" s="143"/>
      <c r="BG162" s="143"/>
      <c r="BH162" s="143"/>
      <c r="BI162" s="143"/>
      <c r="BJ162" s="143"/>
      <c r="BK162" s="143"/>
      <c r="BL162" s="143"/>
      <c r="BM162" s="143"/>
      <c r="BN162" s="143"/>
      <c r="BO162" s="143"/>
      <c r="BP162" s="143"/>
      <c r="BQ162" s="143"/>
      <c r="BR162" s="143"/>
      <c r="BS162" s="143"/>
      <c r="BT162" s="143"/>
      <c r="BU162" s="143"/>
      <c r="BV162" s="143"/>
      <c r="BW162" s="143"/>
      <c r="BX162" s="143"/>
      <c r="BY162" s="143"/>
      <c r="BZ162" s="143"/>
      <c r="CA162" s="143"/>
      <c r="CB162" s="143"/>
      <c r="CC162" s="143"/>
      <c r="CD162" s="143"/>
      <c r="CE162" s="143"/>
      <c r="CF162" s="143"/>
      <c r="CG162" s="143"/>
      <c r="CH162" s="143"/>
      <c r="CI162" s="143"/>
      <c r="CJ162" s="143"/>
      <c r="CK162" s="143"/>
      <c r="CL162" s="143"/>
      <c r="CM162" s="143"/>
      <c r="CN162" s="143"/>
      <c r="CO162" s="143"/>
      <c r="CP162" s="143"/>
      <c r="CQ162" s="143"/>
      <c r="CR162" s="143"/>
      <c r="CS162" s="143"/>
      <c r="CT162" s="143"/>
      <c r="CU162" s="143"/>
      <c r="CV162" s="143"/>
      <c r="CW162" s="143"/>
      <c r="CX162" s="143"/>
      <c r="CY162" s="143"/>
      <c r="CZ162" s="143"/>
      <c r="DA162" s="143"/>
      <c r="DB162" s="143"/>
      <c r="DC162" s="143"/>
      <c r="DD162" s="143"/>
      <c r="DE162" s="143"/>
      <c r="DF162" s="143"/>
      <c r="DG162" s="143"/>
      <c r="DH162" s="143"/>
      <c r="DI162" s="143"/>
      <c r="DJ162" s="143"/>
      <c r="DK162" s="143"/>
      <c r="DL162" s="143"/>
      <c r="DM162" s="143"/>
      <c r="DN162" s="143"/>
      <c r="DO162" s="143"/>
      <c r="DP162" s="143"/>
      <c r="DQ162" s="143"/>
      <c r="DR162" s="143"/>
      <c r="DS162" s="143"/>
      <c r="DT162" s="143"/>
      <c r="DU162" s="143"/>
      <c r="DV162" s="143"/>
      <c r="DW162" s="143"/>
      <c r="DX162" s="143"/>
      <c r="DY162" s="143"/>
      <c r="DZ162" s="143"/>
      <c r="EA162" s="143"/>
      <c r="EB162" s="143"/>
      <c r="EC162" s="143"/>
      <c r="ED162" s="143"/>
      <c r="EE162" s="143"/>
      <c r="EF162" s="143"/>
      <c r="EG162" s="143"/>
      <c r="EH162" s="143"/>
      <c r="EI162" s="143"/>
      <c r="EJ162" s="143"/>
      <c r="EK162" s="143"/>
      <c r="EL162" s="143"/>
      <c r="EM162" s="143"/>
      <c r="EN162" s="143"/>
      <c r="EO162" s="143"/>
      <c r="EP162" s="143"/>
      <c r="EQ162" s="143"/>
      <c r="ER162" s="143"/>
      <c r="ES162" s="143"/>
      <c r="ET162" s="143"/>
      <c r="EU162" s="143"/>
      <c r="EV162" s="143"/>
      <c r="EW162" s="143"/>
      <c r="EX162" s="143"/>
      <c r="EY162" s="143"/>
      <c r="EZ162" s="143"/>
      <c r="FA162" s="143"/>
      <c r="FB162" s="143"/>
      <c r="FC162" s="143"/>
      <c r="FD162" s="143"/>
      <c r="FE162" s="143"/>
      <c r="FF162" s="143"/>
      <c r="FG162" s="143"/>
      <c r="FH162" s="143"/>
      <c r="FI162" s="143"/>
      <c r="FJ162" s="143"/>
      <c r="FK162" s="143"/>
      <c r="FL162" s="143"/>
      <c r="FM162" s="143"/>
      <c r="FN162" s="143"/>
      <c r="FO162" s="143"/>
      <c r="FP162" s="143"/>
      <c r="FQ162" s="143"/>
      <c r="FR162" s="143"/>
      <c r="FS162" s="143"/>
      <c r="FT162" s="143"/>
      <c r="FU162" s="143"/>
      <c r="FV162" s="143"/>
      <c r="FW162" s="143"/>
      <c r="FX162" s="143"/>
      <c r="FY162" s="143"/>
      <c r="FZ162" s="143"/>
      <c r="GA162" s="143"/>
      <c r="GB162" s="143"/>
      <c r="GC162" s="143"/>
      <c r="GD162" s="143"/>
      <c r="GE162" s="143"/>
      <c r="GF162" s="143"/>
      <c r="GG162" s="143"/>
      <c r="GH162" s="143"/>
      <c r="GI162" s="143"/>
      <c r="GJ162" s="143"/>
      <c r="GK162" s="143"/>
      <c r="GL162" s="143"/>
      <c r="GM162" s="143"/>
      <c r="GN162" s="143"/>
      <c r="GO162" s="143"/>
      <c r="GP162" s="143"/>
      <c r="GQ162" s="143"/>
      <c r="GR162" s="143"/>
      <c r="GS162" s="143"/>
      <c r="GT162" s="143"/>
      <c r="GU162" s="143"/>
      <c r="GV162" s="143"/>
      <c r="GW162" s="143"/>
      <c r="GX162" s="143"/>
      <c r="GY162" s="143"/>
      <c r="GZ162" s="143"/>
      <c r="HA162" s="143"/>
      <c r="HB162" s="143"/>
      <c r="HC162" s="143"/>
      <c r="HD162" s="143"/>
      <c r="HE162" s="143"/>
      <c r="HF162" s="143"/>
      <c r="HG162" s="143"/>
      <c r="HH162" s="143"/>
      <c r="HI162" s="143"/>
      <c r="HJ162" s="143"/>
      <c r="HK162" s="143"/>
      <c r="HL162" s="143"/>
      <c r="HM162" s="143"/>
      <c r="HN162" s="143"/>
      <c r="HO162" s="143"/>
      <c r="HP162" s="143"/>
      <c r="HQ162" s="143"/>
      <c r="HR162" s="143"/>
      <c r="HS162" s="143"/>
      <c r="HT162" s="143"/>
      <c r="HU162" s="143"/>
      <c r="HV162" s="143"/>
      <c r="HW162" s="143"/>
      <c r="HX162" s="143"/>
    </row>
  </sheetData>
  <mergeCells count="22">
    <mergeCell ref="A68:K68"/>
    <mergeCell ref="B69:C69"/>
    <mergeCell ref="D69:E69"/>
    <mergeCell ref="F69:G69"/>
    <mergeCell ref="H69:I69"/>
    <mergeCell ref="J69:K69"/>
    <mergeCell ref="A53:M53"/>
    <mergeCell ref="B54:C54"/>
    <mergeCell ref="D54:E54"/>
    <mergeCell ref="F54:G54"/>
    <mergeCell ref="H54:I54"/>
    <mergeCell ref="J54:K54"/>
    <mergeCell ref="L54:M54"/>
    <mergeCell ref="A2:C2"/>
    <mergeCell ref="A13:M13"/>
    <mergeCell ref="A14:M14"/>
    <mergeCell ref="B15:C15"/>
    <mergeCell ref="D15:E15"/>
    <mergeCell ref="F15:G15"/>
    <mergeCell ref="H15:I15"/>
    <mergeCell ref="J15:K15"/>
    <mergeCell ref="L15:M15"/>
  </mergeCells>
  <pageMargins left="0.75" right="0.75" top="1" bottom="1" header="0" footer="0"/>
  <headerFooter alignWithMargins="0"/>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5" tint="0.39997558519241921"/>
  </sheetPr>
  <dimension ref="A1:EA33"/>
  <sheetViews>
    <sheetView workbookViewId="0">
      <pane xSplit="1" topLeftCell="B1" activePane="topRight" state="frozenSplit"/>
      <selection activeCell="B1" sqref="B1"/>
      <selection pane="topRight" activeCell="B1" sqref="B1"/>
    </sheetView>
  </sheetViews>
  <sheetFormatPr baseColWidth="10" defaultRowHeight="15" x14ac:dyDescent="0.2"/>
  <cols>
    <col min="1" max="1" width="33.83203125" style="106" customWidth="1"/>
    <col min="2" max="2" width="10.83203125" style="106"/>
    <col min="3" max="4" width="5.33203125" style="106" customWidth="1"/>
    <col min="5" max="5" width="10.83203125" style="106"/>
    <col min="6" max="7" width="5.33203125" style="106" customWidth="1"/>
    <col min="8" max="8" width="10.83203125" style="106"/>
    <col min="9" max="10" width="5.33203125" style="106" customWidth="1"/>
    <col min="11" max="11" width="10.83203125" style="106"/>
    <col min="12" max="13" width="5.33203125" style="106" customWidth="1"/>
    <col min="14" max="14" width="10.83203125" style="106"/>
    <col min="15" max="16" width="5.33203125" style="106" customWidth="1"/>
    <col min="17" max="17" width="10.83203125" style="106"/>
    <col min="18" max="19" width="5.33203125" style="106" customWidth="1"/>
    <col min="20" max="20" width="10.83203125" style="106"/>
    <col min="21" max="22" width="5.33203125" style="106" customWidth="1"/>
    <col min="23" max="23" width="10.83203125" style="106"/>
    <col min="24" max="25" width="5.33203125" style="106" customWidth="1"/>
    <col min="26" max="26" width="10.83203125" style="106"/>
    <col min="27" max="28" width="5.33203125" style="106" customWidth="1"/>
    <col min="29" max="29" width="10.83203125" style="106"/>
    <col min="30" max="31" width="5.33203125" style="106" customWidth="1"/>
    <col min="32" max="32" width="10.83203125" style="106"/>
    <col min="33" max="34" width="5.33203125" style="106" customWidth="1"/>
    <col min="35" max="35" width="10.83203125" style="106"/>
    <col min="36" max="37" width="5.33203125" style="106" customWidth="1"/>
    <col min="38" max="38" width="10.83203125" style="106"/>
    <col min="39" max="40" width="5.33203125" style="106" customWidth="1"/>
    <col min="41" max="41" width="10.83203125" style="106"/>
    <col min="42" max="43" width="5.33203125" style="106" customWidth="1"/>
    <col min="44" max="44" width="10.83203125" style="106"/>
    <col min="45" max="46" width="5.33203125" style="106" customWidth="1"/>
    <col min="47" max="47" width="10.83203125" style="106"/>
    <col min="48" max="49" width="5.33203125" style="106" customWidth="1"/>
    <col min="50" max="50" width="10.83203125" style="106"/>
    <col min="51" max="52" width="5.33203125" style="106" customWidth="1"/>
    <col min="53" max="53" width="10.83203125" style="106"/>
    <col min="54" max="55" width="5.33203125" style="106" customWidth="1"/>
    <col min="56" max="56" width="10.83203125" style="106"/>
    <col min="57" max="58" width="5.33203125" style="106" customWidth="1"/>
    <col min="59" max="59" width="10.83203125" style="106"/>
    <col min="60" max="61" width="5.33203125" style="106" customWidth="1"/>
    <col min="62" max="62" width="10.83203125" style="106"/>
    <col min="63" max="64" width="5.33203125" style="106" customWidth="1"/>
    <col min="65" max="65" width="10.83203125" style="106"/>
    <col min="66" max="67" width="5.33203125" style="106" customWidth="1"/>
    <col min="68" max="68" width="10.83203125" style="106"/>
    <col min="69" max="70" width="5.33203125" style="106" customWidth="1"/>
    <col min="71" max="71" width="10.83203125" style="106"/>
    <col min="72" max="73" width="5.33203125" style="106" customWidth="1"/>
    <col min="74" max="74" width="10.83203125" style="106"/>
    <col min="75" max="76" width="5.33203125" style="106" customWidth="1"/>
    <col min="77" max="77" width="10.83203125" style="106"/>
    <col min="78" max="79" width="5.33203125" style="106" customWidth="1"/>
    <col min="80" max="80" width="10.83203125" style="106"/>
    <col min="81" max="82" width="5.33203125" style="106" customWidth="1"/>
    <col min="83" max="83" width="10.83203125" style="106"/>
    <col min="84" max="85" width="5.33203125" style="106" customWidth="1"/>
    <col min="86" max="86" width="10.83203125" style="106"/>
    <col min="87" max="88" width="5.33203125" style="106" customWidth="1"/>
    <col min="89" max="89" width="10.83203125" style="106"/>
    <col min="90" max="91" width="5.33203125" style="106" customWidth="1"/>
    <col min="92" max="92" width="10.83203125" style="106"/>
    <col min="93" max="94" width="5.33203125" style="106" customWidth="1"/>
    <col min="95" max="95" width="10.83203125" style="106"/>
    <col min="96" max="97" width="5.33203125" style="106" customWidth="1"/>
    <col min="98" max="98" width="10.83203125" style="106"/>
    <col min="99" max="100" width="5.33203125" style="106" customWidth="1"/>
    <col min="101" max="101" width="10.83203125" style="106"/>
    <col min="102" max="103" width="5.33203125" style="106" customWidth="1"/>
    <col min="104" max="104" width="10.83203125" style="106"/>
    <col min="105" max="106" width="5.33203125" style="106" customWidth="1"/>
    <col min="107" max="107" width="10.83203125" style="106"/>
    <col min="108" max="109" width="5.33203125" style="106" customWidth="1"/>
    <col min="110" max="110" width="10.83203125" style="106"/>
    <col min="111" max="112" width="5.33203125" style="106" customWidth="1"/>
    <col min="113" max="113" width="10.83203125" style="106"/>
    <col min="114" max="115" width="5.33203125" style="106" customWidth="1"/>
    <col min="116" max="116" width="10.83203125" style="106"/>
    <col min="117" max="118" width="5.33203125" style="106" customWidth="1"/>
    <col min="119" max="119" width="10.83203125" style="106"/>
    <col min="120" max="121" width="5.33203125" style="106" customWidth="1"/>
    <col min="122" max="122" width="10.83203125" style="106"/>
    <col min="123" max="124" width="5.33203125" style="106" customWidth="1"/>
    <col min="125" max="125" width="10.83203125" style="106"/>
    <col min="126" max="127" width="5.33203125" style="106" customWidth="1"/>
    <col min="128" max="128" width="10.83203125" style="106"/>
    <col min="129" max="130" width="5.33203125" style="106" customWidth="1"/>
    <col min="131" max="16384" width="10.83203125" style="106"/>
  </cols>
  <sheetData>
    <row r="1" spans="1:131" ht="36.5" customHeight="1" x14ac:dyDescent="0.2">
      <c r="A1" s="1721" t="s">
        <v>5962</v>
      </c>
      <c r="B1" s="1722" t="s">
        <v>5963</v>
      </c>
      <c r="C1" s="1723"/>
      <c r="D1" s="1724"/>
      <c r="E1" s="1722" t="s">
        <v>5964</v>
      </c>
      <c r="F1" s="1723"/>
      <c r="G1" s="1724"/>
      <c r="H1" s="1722" t="s">
        <v>5965</v>
      </c>
      <c r="I1" s="1723"/>
      <c r="J1" s="1724"/>
      <c r="K1" s="1722" t="s">
        <v>5966</v>
      </c>
      <c r="L1" s="1723"/>
      <c r="M1" s="1724"/>
      <c r="N1" s="1722" t="s">
        <v>5967</v>
      </c>
      <c r="O1" s="1723"/>
      <c r="P1" s="1724"/>
      <c r="Q1" s="1722" t="s">
        <v>5968</v>
      </c>
      <c r="R1" s="1723"/>
      <c r="S1" s="1724"/>
      <c r="T1" s="1722" t="s">
        <v>5969</v>
      </c>
      <c r="U1" s="1723"/>
      <c r="V1" s="1724"/>
      <c r="W1" s="1722" t="s">
        <v>5970</v>
      </c>
      <c r="X1" s="1723"/>
      <c r="Y1" s="1724"/>
      <c r="Z1" s="1722" t="s">
        <v>5971</v>
      </c>
      <c r="AA1" s="1723"/>
      <c r="AB1" s="1724"/>
      <c r="AC1" s="1722" t="s">
        <v>5972</v>
      </c>
      <c r="AD1" s="1723"/>
      <c r="AE1" s="1724"/>
      <c r="AF1" s="1722" t="s">
        <v>5973</v>
      </c>
      <c r="AG1" s="1723"/>
      <c r="AH1" s="1724"/>
      <c r="AI1" s="1722" t="s">
        <v>5974</v>
      </c>
      <c r="AJ1" s="1723"/>
      <c r="AK1" s="1724"/>
      <c r="AL1" s="1722" t="s">
        <v>5975</v>
      </c>
      <c r="AM1" s="1723"/>
      <c r="AN1" s="1724"/>
      <c r="AO1" s="1722" t="s">
        <v>5976</v>
      </c>
      <c r="AP1" s="1723"/>
      <c r="AQ1" s="1724"/>
      <c r="AR1" s="1722" t="s">
        <v>5977</v>
      </c>
      <c r="AS1" s="1723"/>
      <c r="AT1" s="1724"/>
      <c r="AU1" s="1722" t="s">
        <v>5978</v>
      </c>
      <c r="AV1" s="1723"/>
      <c r="AW1" s="1724"/>
      <c r="AX1" s="1722" t="s">
        <v>5979</v>
      </c>
      <c r="AY1" s="1723"/>
      <c r="AZ1" s="1724"/>
      <c r="BA1" s="1722" t="s">
        <v>5980</v>
      </c>
      <c r="BB1" s="1723"/>
      <c r="BC1" s="1724"/>
      <c r="BD1" s="1722" t="s">
        <v>5981</v>
      </c>
      <c r="BE1" s="1723"/>
      <c r="BF1" s="1724"/>
      <c r="BG1" s="1722" t="s">
        <v>5982</v>
      </c>
      <c r="BH1" s="1723"/>
      <c r="BI1" s="1724"/>
      <c r="BJ1" s="1722" t="s">
        <v>5983</v>
      </c>
      <c r="BK1" s="1723"/>
      <c r="BL1" s="1724"/>
      <c r="BM1" s="1722" t="s">
        <v>5984</v>
      </c>
      <c r="BN1" s="1723"/>
      <c r="BO1" s="1724"/>
      <c r="BP1" s="1722" t="s">
        <v>5985</v>
      </c>
      <c r="BQ1" s="1723"/>
      <c r="BR1" s="1724"/>
      <c r="BS1" s="1722" t="s">
        <v>5986</v>
      </c>
      <c r="BT1" s="1723"/>
      <c r="BU1" s="1724"/>
      <c r="BV1" s="1722" t="s">
        <v>5987</v>
      </c>
      <c r="BW1" s="1723"/>
      <c r="BX1" s="1724"/>
      <c r="BY1" s="1722"/>
      <c r="BZ1" s="1723"/>
      <c r="CA1" s="1724"/>
      <c r="CB1" s="1722"/>
      <c r="CC1" s="1723"/>
      <c r="CD1" s="1724"/>
      <c r="CE1" s="1722"/>
      <c r="CF1" s="1723"/>
      <c r="CG1" s="1724"/>
      <c r="CH1" s="1722"/>
      <c r="CI1" s="1723"/>
      <c r="CJ1" s="1724"/>
      <c r="CK1" s="1722"/>
      <c r="CL1" s="1723"/>
      <c r="CM1" s="1724"/>
      <c r="CN1" s="1722"/>
      <c r="CO1" s="1723"/>
      <c r="CP1" s="1724"/>
      <c r="CQ1" s="1722"/>
      <c r="CR1" s="1723"/>
      <c r="CS1" s="1724"/>
      <c r="CT1" s="1722"/>
      <c r="CU1" s="1723"/>
      <c r="CV1" s="1724"/>
      <c r="CW1" s="1722"/>
      <c r="CX1" s="1723"/>
      <c r="CY1" s="1724"/>
      <c r="CZ1" s="1722"/>
      <c r="DA1" s="1723"/>
      <c r="DB1" s="1724"/>
      <c r="DC1" s="1722"/>
      <c r="DD1" s="1723"/>
      <c r="DE1" s="1724"/>
      <c r="DF1" s="1722"/>
      <c r="DG1" s="1723"/>
      <c r="DH1" s="1724"/>
      <c r="DI1" s="1722"/>
      <c r="DJ1" s="1723"/>
      <c r="DK1" s="1724"/>
      <c r="DL1" s="1722"/>
      <c r="DM1" s="1723"/>
      <c r="DN1" s="1724"/>
      <c r="DO1" s="1722"/>
      <c r="DP1" s="1723"/>
      <c r="DQ1" s="1724"/>
      <c r="DR1" s="1722"/>
      <c r="DS1" s="1723"/>
      <c r="DT1" s="1724"/>
      <c r="DU1" s="1722"/>
      <c r="DV1" s="1723"/>
      <c r="DW1" s="1724"/>
      <c r="DX1" s="1722"/>
      <c r="DY1" s="1723"/>
      <c r="DZ1" s="1724"/>
      <c r="EA1" s="1725"/>
    </row>
    <row r="2" spans="1:131" x14ac:dyDescent="0.2">
      <c r="A2" s="1726" t="s">
        <v>1174</v>
      </c>
      <c r="B2" s="131">
        <f>+'1870 Tesoro'!D610</f>
        <v>620940</v>
      </c>
      <c r="C2" s="134">
        <f>+'1870 Tesoro'!E610</f>
        <v>835</v>
      </c>
      <c r="D2" s="133"/>
      <c r="E2" s="131">
        <f>+'1870 Tesoro'!D638</f>
        <v>397411</v>
      </c>
      <c r="F2" s="134">
        <f>+'1870 Tesoro'!E638</f>
        <v>411</v>
      </c>
      <c r="G2" s="133"/>
      <c r="H2" s="131">
        <f>+'1870 Tesoro'!G665</f>
        <v>1383718</v>
      </c>
      <c r="I2" s="134">
        <f>+'1870 Tesoro'!H665</f>
        <v>745</v>
      </c>
      <c r="J2" s="133"/>
      <c r="K2" s="131">
        <f>+'1870 Tesoro'!H693</f>
        <v>1137992</v>
      </c>
      <c r="L2" s="134">
        <f>+'1870 Tesoro'!I693</f>
        <v>237</v>
      </c>
      <c r="M2" s="133">
        <f>+'1870 Tesoro'!J693</f>
        <v>0.5</v>
      </c>
      <c r="N2" s="131"/>
      <c r="O2" s="134"/>
      <c r="P2" s="133"/>
      <c r="Q2" s="131">
        <f>+'1870 Tesoro'!B5</f>
        <v>1496750</v>
      </c>
      <c r="R2" s="134"/>
      <c r="S2" s="133"/>
      <c r="T2" s="131"/>
      <c r="U2" s="134"/>
      <c r="V2" s="133"/>
      <c r="W2" s="131"/>
      <c r="X2" s="134"/>
      <c r="Y2" s="133"/>
      <c r="Z2" s="131"/>
      <c r="AA2" s="134"/>
      <c r="AB2" s="133"/>
      <c r="AC2" s="131">
        <f>+'1875 Tesoro'!E49</f>
        <v>2568622</v>
      </c>
      <c r="AD2" s="134">
        <f>+'1875 Tesoro'!F49</f>
        <v>97</v>
      </c>
      <c r="AE2" s="133">
        <f>+'1875 Tesoro'!G49</f>
        <v>0.5</v>
      </c>
      <c r="AF2" s="131">
        <f>+'1875 Tesoro'!E92</f>
        <v>2406725</v>
      </c>
      <c r="AG2" s="134">
        <f>+'1875 Tesoro'!F92</f>
        <v>710</v>
      </c>
      <c r="AH2" s="133"/>
      <c r="AI2" s="131">
        <f>+'1877 Tesoro'!B5</f>
        <v>1971555</v>
      </c>
      <c r="AJ2" s="134">
        <f>+'1877 Tesoro'!C5</f>
        <v>615</v>
      </c>
      <c r="AK2" s="133"/>
      <c r="AL2" s="131">
        <f>+'1878 Tesoro'!B5</f>
        <v>2182963</v>
      </c>
      <c r="AM2" s="134">
        <f>+'1878 Tesoro'!C5</f>
        <v>980</v>
      </c>
      <c r="AN2" s="133"/>
      <c r="AO2" s="131">
        <f>+'1879 Tesoro'!B5</f>
        <v>2146719</v>
      </c>
      <c r="AP2" s="134">
        <f>+'1879 Tesoro'!C5</f>
        <v>800</v>
      </c>
      <c r="AQ2" s="133"/>
      <c r="AR2" s="131">
        <f>+'1880 Tesoro'!B63</f>
        <v>3706182</v>
      </c>
      <c r="AS2" s="134">
        <f>+'1880 Tesoro'!C63</f>
        <v>50</v>
      </c>
      <c r="AT2" s="133"/>
      <c r="AU2" s="131">
        <f>+'1880 Tesoro'!B123</f>
        <v>3633647</v>
      </c>
      <c r="AV2" s="134">
        <f>+'1880 Tesoro'!C123</f>
        <v>800</v>
      </c>
      <c r="AW2" s="133"/>
      <c r="AX2" s="131">
        <f>+'1882 Tesoro'!B27</f>
        <v>3358146</v>
      </c>
      <c r="AY2" s="134">
        <f>+'1882 Tesoro'!C27</f>
        <v>600</v>
      </c>
      <c r="AZ2" s="133"/>
      <c r="BA2" s="131">
        <f>+'1882 Tesoro'!B115</f>
        <v>3619307</v>
      </c>
      <c r="BB2" s="134">
        <f>+'1882 Tesoro'!C115</f>
        <v>325</v>
      </c>
      <c r="BC2" s="133"/>
      <c r="BD2" s="131"/>
      <c r="BE2" s="134"/>
      <c r="BF2" s="133"/>
      <c r="BG2" s="131"/>
      <c r="BH2" s="134"/>
      <c r="BI2" s="133"/>
      <c r="BJ2" s="131"/>
      <c r="BK2" s="134"/>
      <c r="BL2" s="133"/>
      <c r="BM2" s="131"/>
      <c r="BN2" s="134"/>
      <c r="BO2" s="133"/>
      <c r="BP2" s="131"/>
      <c r="BQ2" s="134"/>
      <c r="BR2" s="133"/>
      <c r="BS2" s="131"/>
      <c r="BT2" s="134"/>
      <c r="BU2" s="133"/>
      <c r="BV2" s="131"/>
      <c r="BW2" s="134"/>
      <c r="BX2" s="133"/>
      <c r="BY2" s="131"/>
      <c r="BZ2" s="134"/>
      <c r="CA2" s="133"/>
      <c r="CB2" s="131"/>
      <c r="CC2" s="134"/>
      <c r="CD2" s="133"/>
      <c r="CE2" s="131"/>
      <c r="CF2" s="134"/>
      <c r="CG2" s="133"/>
      <c r="CH2" s="131"/>
      <c r="CI2" s="134"/>
      <c r="CJ2" s="133"/>
      <c r="CK2" s="131"/>
      <c r="CL2" s="134"/>
      <c r="CM2" s="133"/>
      <c r="CN2" s="131"/>
      <c r="CO2" s="134"/>
      <c r="CP2" s="133"/>
      <c r="CQ2" s="131"/>
      <c r="CR2" s="134"/>
      <c r="CS2" s="133"/>
      <c r="CT2" s="131"/>
      <c r="CU2" s="134"/>
      <c r="CV2" s="133"/>
      <c r="CW2" s="131"/>
      <c r="CX2" s="134"/>
      <c r="CY2" s="133"/>
      <c r="CZ2" s="131"/>
      <c r="DA2" s="134"/>
      <c r="DB2" s="133"/>
      <c r="DC2" s="131"/>
      <c r="DD2" s="134"/>
      <c r="DE2" s="133"/>
      <c r="DF2" s="131"/>
      <c r="DG2" s="134"/>
      <c r="DH2" s="133"/>
      <c r="DI2" s="131"/>
      <c r="DJ2" s="134"/>
      <c r="DK2" s="133"/>
      <c r="DL2" s="131"/>
      <c r="DM2" s="134"/>
      <c r="DN2" s="133"/>
      <c r="DO2" s="131"/>
      <c r="DP2" s="134"/>
      <c r="DQ2" s="133"/>
      <c r="DR2" s="131"/>
      <c r="DS2" s="134"/>
      <c r="DT2" s="133"/>
      <c r="DU2" s="131"/>
      <c r="DV2" s="134"/>
      <c r="DW2" s="133"/>
      <c r="DX2" s="131"/>
      <c r="DY2" s="134"/>
      <c r="DZ2" s="133"/>
      <c r="EA2" s="131"/>
    </row>
    <row r="3" spans="1:131" ht="45" x14ac:dyDescent="0.2">
      <c r="A3" s="1727" t="str">
        <f>+'1875 Tesoro'!A104:D104</f>
        <v>Rentas de las aduanas de Cartajena i Carlosama, de las Administraciones de Hacienda de Popayan, Cali, Cartajena i Panamá i de la casa de la moneda de Popayan. (aproximación)</v>
      </c>
      <c r="B3" s="131"/>
      <c r="C3" s="134"/>
      <c r="D3" s="133"/>
      <c r="E3" s="131"/>
      <c r="F3" s="134"/>
      <c r="G3" s="133"/>
      <c r="H3" s="131"/>
      <c r="I3" s="134"/>
      <c r="J3" s="133"/>
      <c r="K3" s="131"/>
      <c r="L3" s="134"/>
      <c r="M3" s="133"/>
      <c r="N3" s="131"/>
      <c r="O3" s="134"/>
      <c r="P3" s="133"/>
      <c r="Q3" s="131"/>
      <c r="R3" s="134"/>
      <c r="S3" s="133"/>
      <c r="T3" s="131"/>
      <c r="U3" s="134"/>
      <c r="V3" s="133"/>
      <c r="W3" s="131"/>
      <c r="X3" s="134"/>
      <c r="Y3" s="133"/>
      <c r="Z3" s="131"/>
      <c r="AA3" s="134"/>
      <c r="AB3" s="133"/>
      <c r="AC3" s="131"/>
      <c r="AD3" s="134"/>
      <c r="AE3" s="133"/>
      <c r="AF3" s="131">
        <f>+'1875 Tesoro'!E104</f>
        <v>200000</v>
      </c>
      <c r="AG3" s="134"/>
      <c r="AH3" s="133"/>
      <c r="AI3" s="131"/>
      <c r="AJ3" s="134"/>
      <c r="AK3" s="133"/>
      <c r="AL3" s="131"/>
      <c r="AM3" s="134"/>
      <c r="AN3" s="133"/>
      <c r="AO3" s="131"/>
      <c r="AP3" s="134"/>
      <c r="AQ3" s="133"/>
      <c r="AR3" s="131"/>
      <c r="AS3" s="134"/>
      <c r="AT3" s="133"/>
      <c r="AU3" s="131"/>
      <c r="AV3" s="134"/>
      <c r="AW3" s="133"/>
      <c r="AX3" s="131"/>
      <c r="AY3" s="134"/>
      <c r="AZ3" s="133"/>
      <c r="BA3" s="131"/>
      <c r="BB3" s="134"/>
      <c r="BC3" s="133"/>
      <c r="BD3" s="131"/>
      <c r="BE3" s="134"/>
      <c r="BF3" s="133"/>
      <c r="BG3" s="131"/>
      <c r="BH3" s="134"/>
      <c r="BI3" s="133"/>
      <c r="BJ3" s="131"/>
      <c r="BK3" s="134"/>
      <c r="BL3" s="133"/>
      <c r="BM3" s="131"/>
      <c r="BN3" s="134"/>
      <c r="BO3" s="133"/>
      <c r="BP3" s="131"/>
      <c r="BQ3" s="134"/>
      <c r="BR3" s="133"/>
      <c r="BS3" s="131"/>
      <c r="BT3" s="134"/>
      <c r="BU3" s="133"/>
      <c r="BV3" s="131"/>
      <c r="BW3" s="134"/>
      <c r="BX3" s="133"/>
      <c r="BY3" s="131"/>
      <c r="BZ3" s="134"/>
      <c r="CA3" s="133"/>
      <c r="CB3" s="131"/>
      <c r="CC3" s="134"/>
      <c r="CD3" s="133"/>
      <c r="CE3" s="131"/>
      <c r="CF3" s="134"/>
      <c r="CG3" s="133"/>
      <c r="CH3" s="131"/>
      <c r="CI3" s="134"/>
      <c r="CJ3" s="133"/>
      <c r="CK3" s="131"/>
      <c r="CL3" s="134"/>
      <c r="CM3" s="133"/>
      <c r="CN3" s="131"/>
      <c r="CO3" s="134"/>
      <c r="CP3" s="133"/>
      <c r="CQ3" s="131"/>
      <c r="CR3" s="134"/>
      <c r="CS3" s="133"/>
      <c r="CT3" s="131"/>
      <c r="CU3" s="134"/>
      <c r="CV3" s="133"/>
      <c r="CW3" s="131"/>
      <c r="CX3" s="134"/>
      <c r="CY3" s="133"/>
      <c r="CZ3" s="131"/>
      <c r="DA3" s="134"/>
      <c r="DB3" s="133"/>
      <c r="DC3" s="131"/>
      <c r="DD3" s="134"/>
      <c r="DE3" s="133"/>
      <c r="DF3" s="131"/>
      <c r="DG3" s="134"/>
      <c r="DH3" s="133"/>
      <c r="DI3" s="131"/>
      <c r="DJ3" s="134"/>
      <c r="DK3" s="133"/>
      <c r="DL3" s="131"/>
      <c r="DM3" s="134"/>
      <c r="DN3" s="133"/>
      <c r="DO3" s="131"/>
      <c r="DP3" s="134"/>
      <c r="DQ3" s="133"/>
      <c r="DR3" s="131"/>
      <c r="DS3" s="134"/>
      <c r="DT3" s="133"/>
      <c r="DU3" s="131"/>
      <c r="DV3" s="134"/>
      <c r="DW3" s="133"/>
      <c r="DX3" s="131"/>
      <c r="DY3" s="134"/>
      <c r="DZ3" s="133"/>
      <c r="EA3" s="131"/>
    </row>
    <row r="4" spans="1:131" x14ac:dyDescent="0.2">
      <c r="A4" s="1726" t="str">
        <f>+'1870 Tesoro'!A6</f>
        <v>Derechos de toneladas</v>
      </c>
      <c r="B4" s="131"/>
      <c r="C4" s="134"/>
      <c r="D4" s="133"/>
      <c r="E4" s="131"/>
      <c r="F4" s="134"/>
      <c r="G4" s="133"/>
      <c r="H4" s="131"/>
      <c r="I4" s="134"/>
      <c r="J4" s="133"/>
      <c r="K4" s="131"/>
      <c r="L4" s="134"/>
      <c r="M4" s="133"/>
      <c r="N4" s="131"/>
      <c r="O4" s="134"/>
      <c r="P4" s="133"/>
      <c r="Q4" s="131">
        <f>+'1870 Tesoro'!B6</f>
        <v>7479</v>
      </c>
      <c r="R4" s="134"/>
      <c r="S4" s="133"/>
      <c r="T4" s="131"/>
      <c r="U4" s="134"/>
      <c r="V4" s="133"/>
      <c r="W4" s="131"/>
      <c r="X4" s="134"/>
      <c r="Y4" s="133"/>
      <c r="Z4" s="131"/>
      <c r="AA4" s="134"/>
      <c r="AB4" s="133"/>
      <c r="AC4" s="131"/>
      <c r="AD4" s="134"/>
      <c r="AE4" s="133"/>
      <c r="AF4" s="131"/>
      <c r="AG4" s="134"/>
      <c r="AH4" s="133"/>
      <c r="AI4" s="131"/>
      <c r="AJ4" s="134"/>
      <c r="AK4" s="133"/>
      <c r="AL4" s="131"/>
      <c r="AM4" s="134"/>
      <c r="AN4" s="133"/>
      <c r="AO4" s="131"/>
      <c r="AP4" s="134"/>
      <c r="AQ4" s="133"/>
      <c r="AR4" s="131"/>
      <c r="AS4" s="134"/>
      <c r="AT4" s="133"/>
      <c r="AU4" s="131"/>
      <c r="AV4" s="134"/>
      <c r="AW4" s="133"/>
      <c r="AX4" s="131"/>
      <c r="AY4" s="134"/>
      <c r="AZ4" s="133"/>
      <c r="BA4" s="131"/>
      <c r="BB4" s="134"/>
      <c r="BC4" s="133"/>
      <c r="BD4" s="131"/>
      <c r="BE4" s="134"/>
      <c r="BF4" s="133"/>
      <c r="BG4" s="131"/>
      <c r="BH4" s="134"/>
      <c r="BI4" s="133"/>
      <c r="BJ4" s="131"/>
      <c r="BK4" s="134"/>
      <c r="BL4" s="133"/>
      <c r="BM4" s="131"/>
      <c r="BN4" s="134"/>
      <c r="BO4" s="133"/>
      <c r="BP4" s="131"/>
      <c r="BQ4" s="134"/>
      <c r="BR4" s="133"/>
      <c r="BS4" s="131"/>
      <c r="BT4" s="134"/>
      <c r="BU4" s="133"/>
      <c r="BV4" s="131"/>
      <c r="BW4" s="134"/>
      <c r="BX4" s="133"/>
      <c r="BY4" s="131"/>
      <c r="BZ4" s="134"/>
      <c r="CA4" s="133"/>
      <c r="CB4" s="131"/>
      <c r="CC4" s="134"/>
      <c r="CD4" s="133"/>
      <c r="CE4" s="131"/>
      <c r="CF4" s="134"/>
      <c r="CG4" s="133"/>
      <c r="CH4" s="131"/>
      <c r="CI4" s="134"/>
      <c r="CJ4" s="133"/>
      <c r="CK4" s="131"/>
      <c r="CL4" s="134"/>
      <c r="CM4" s="133"/>
      <c r="CN4" s="131"/>
      <c r="CO4" s="134"/>
      <c r="CP4" s="133"/>
      <c r="CQ4" s="131"/>
      <c r="CR4" s="134"/>
      <c r="CS4" s="133"/>
      <c r="CT4" s="131"/>
      <c r="CU4" s="134"/>
      <c r="CV4" s="133"/>
      <c r="CW4" s="131"/>
      <c r="CX4" s="134"/>
      <c r="CY4" s="133"/>
      <c r="CZ4" s="131"/>
      <c r="DA4" s="134"/>
      <c r="DB4" s="133"/>
      <c r="DC4" s="131"/>
      <c r="DD4" s="134"/>
      <c r="DE4" s="133"/>
      <c r="DF4" s="131"/>
      <c r="DG4" s="134"/>
      <c r="DH4" s="133"/>
      <c r="DI4" s="131"/>
      <c r="DJ4" s="134"/>
      <c r="DK4" s="133"/>
      <c r="DL4" s="131"/>
      <c r="DM4" s="134"/>
      <c r="DN4" s="133"/>
      <c r="DO4" s="131"/>
      <c r="DP4" s="134"/>
      <c r="DQ4" s="133"/>
      <c r="DR4" s="131"/>
      <c r="DS4" s="134"/>
      <c r="DT4" s="133"/>
      <c r="DU4" s="131"/>
      <c r="DV4" s="134"/>
      <c r="DW4" s="133"/>
      <c r="DX4" s="131"/>
      <c r="DY4" s="134"/>
      <c r="DZ4" s="133"/>
      <c r="EA4" s="131"/>
    </row>
    <row r="5" spans="1:131" x14ac:dyDescent="0.2">
      <c r="A5" s="1726" t="str">
        <f>+'1870 Tesoro'!A7</f>
        <v>Salinas</v>
      </c>
      <c r="B5" s="131">
        <f>+'1870 Tesoro'!D617</f>
        <v>675081</v>
      </c>
      <c r="C5" s="134">
        <f>+'1870 Tesoro'!E617</f>
        <v>75</v>
      </c>
      <c r="D5" s="134"/>
      <c r="E5" s="131">
        <f>+'1870 Tesoro'!D645</f>
        <v>561941</v>
      </c>
      <c r="F5" s="134">
        <f>+'1870 Tesoro'!E645</f>
        <v>25</v>
      </c>
      <c r="G5" s="133"/>
      <c r="H5" s="131">
        <f>+'1870 Tesoro'!G670</f>
        <v>591568</v>
      </c>
      <c r="I5" s="134">
        <f>+'1870 Tesoro'!H670</f>
        <v>325</v>
      </c>
      <c r="J5" s="134"/>
      <c r="K5" s="131">
        <f>+'1870 Tesoro'!H698</f>
        <v>1016402</v>
      </c>
      <c r="L5" s="134">
        <f>+'1870 Tesoro'!I698</f>
        <v>225</v>
      </c>
      <c r="M5" s="134"/>
      <c r="N5" s="131"/>
      <c r="O5" s="134"/>
      <c r="P5" s="134"/>
      <c r="Q5" s="131">
        <f>+'1870 Tesoro'!B7</f>
        <v>699616</v>
      </c>
      <c r="R5" s="134"/>
      <c r="S5" s="134"/>
      <c r="T5" s="131"/>
      <c r="U5" s="134"/>
      <c r="V5" s="134"/>
      <c r="W5" s="131"/>
      <c r="X5" s="134"/>
      <c r="Y5" s="134"/>
      <c r="Z5" s="131"/>
      <c r="AA5" s="134"/>
      <c r="AB5" s="134"/>
      <c r="AC5" s="131">
        <f>+'1875 Tesoro'!E55</f>
        <v>774724</v>
      </c>
      <c r="AD5" s="134">
        <f>+'1875 Tesoro'!F55</f>
        <v>200</v>
      </c>
      <c r="AE5" s="134"/>
      <c r="AF5" s="131">
        <f>+'1875 Tesoro'!E98</f>
        <v>656926</v>
      </c>
      <c r="AG5" s="134">
        <f>+'1875 Tesoro'!F98</f>
        <v>575</v>
      </c>
      <c r="AH5" s="134"/>
      <c r="AI5" s="131">
        <f>+'1877 Tesoro'!B12</f>
        <v>728721</v>
      </c>
      <c r="AJ5" s="134">
        <f>+'1877 Tesoro'!C12</f>
        <v>355</v>
      </c>
      <c r="AK5" s="134"/>
      <c r="AL5" s="131">
        <f>+'1878 Tesoro'!B11</f>
        <v>773598</v>
      </c>
      <c r="AM5" s="134">
        <f>+'1878 Tesoro'!C11</f>
        <v>250</v>
      </c>
      <c r="AN5" s="134"/>
      <c r="AO5" s="131">
        <f>+'1879 Tesoro'!B11</f>
        <v>1049995</v>
      </c>
      <c r="AP5" s="134">
        <f>+'1879 Tesoro'!C11</f>
        <v>450</v>
      </c>
      <c r="AQ5" s="134"/>
      <c r="AR5" s="131">
        <f>+'1880 Tesoro'!B69</f>
        <v>1451557</v>
      </c>
      <c r="AS5" s="134">
        <f>+'1880 Tesoro'!C69</f>
        <v>50</v>
      </c>
      <c r="AT5" s="134"/>
      <c r="AU5" s="131">
        <f>+'1880 Tesoro'!B124</f>
        <v>1337477</v>
      </c>
      <c r="AV5" s="134">
        <f>+'1880 Tesoro'!C124</f>
        <v>200</v>
      </c>
      <c r="AW5" s="134"/>
      <c r="AX5" s="131">
        <f>+'1882 Tesoro'!B28</f>
        <v>1497028</v>
      </c>
      <c r="AY5" s="134">
        <f>+'1882 Tesoro'!C28</f>
        <v>450</v>
      </c>
      <c r="AZ5" s="134"/>
      <c r="BA5" s="131">
        <f>+'1882 Tesoro'!B116</f>
        <v>951095</v>
      </c>
      <c r="BB5" s="134">
        <f>+'1882 Tesoro'!C116</f>
        <v>450</v>
      </c>
      <c r="BC5" s="134"/>
      <c r="BD5" s="131"/>
      <c r="BE5" s="134"/>
      <c r="BF5" s="134"/>
      <c r="BG5" s="131"/>
      <c r="BH5" s="134"/>
      <c r="BI5" s="134"/>
      <c r="BJ5" s="131"/>
      <c r="BK5" s="134"/>
      <c r="BL5" s="134"/>
      <c r="BM5" s="131"/>
      <c r="BN5" s="134"/>
      <c r="BO5" s="134"/>
      <c r="BP5" s="131"/>
      <c r="BQ5" s="134"/>
      <c r="BR5" s="134"/>
      <c r="BS5" s="131"/>
      <c r="BT5" s="134"/>
      <c r="BU5" s="134"/>
      <c r="BV5" s="131"/>
      <c r="BW5" s="134"/>
      <c r="BX5" s="134"/>
      <c r="BY5" s="131"/>
      <c r="BZ5" s="134"/>
      <c r="CA5" s="134"/>
      <c r="CB5" s="131"/>
      <c r="CC5" s="134"/>
      <c r="CD5" s="134"/>
      <c r="CE5" s="131"/>
      <c r="CF5" s="134"/>
      <c r="CG5" s="134"/>
      <c r="CH5" s="131"/>
      <c r="CI5" s="134"/>
      <c r="CJ5" s="134"/>
      <c r="CK5" s="131"/>
      <c r="CL5" s="134"/>
      <c r="CM5" s="134"/>
      <c r="CN5" s="131"/>
      <c r="CO5" s="134"/>
      <c r="CP5" s="134"/>
      <c r="CQ5" s="131"/>
      <c r="CR5" s="134"/>
      <c r="CS5" s="134"/>
      <c r="CT5" s="131"/>
      <c r="CU5" s="134"/>
      <c r="CV5" s="134"/>
      <c r="CW5" s="131"/>
      <c r="CX5" s="134"/>
      <c r="CY5" s="134"/>
      <c r="CZ5" s="131"/>
      <c r="DA5" s="134"/>
      <c r="DB5" s="134"/>
      <c r="DC5" s="131"/>
      <c r="DD5" s="134"/>
      <c r="DE5" s="134"/>
      <c r="DF5" s="131"/>
      <c r="DG5" s="134"/>
      <c r="DH5" s="134"/>
      <c r="DI5" s="131"/>
      <c r="DJ5" s="134"/>
      <c r="DK5" s="134"/>
      <c r="DL5" s="131"/>
      <c r="DM5" s="134"/>
      <c r="DN5" s="134"/>
      <c r="DO5" s="131"/>
      <c r="DP5" s="134"/>
      <c r="DQ5" s="134"/>
      <c r="DR5" s="131"/>
      <c r="DS5" s="134"/>
      <c r="DT5" s="134"/>
      <c r="DU5" s="131"/>
      <c r="DV5" s="134"/>
      <c r="DW5" s="134"/>
      <c r="DX5" s="131"/>
      <c r="DY5" s="134"/>
      <c r="DZ5" s="134"/>
      <c r="EA5" s="131"/>
    </row>
    <row r="6" spans="1:131" x14ac:dyDescent="0.2">
      <c r="A6" s="1726" t="str">
        <f>+'1870 Tesoro'!A8</f>
        <v>Correos</v>
      </c>
      <c r="B6" s="131">
        <f>+'1870 Tesoro'!D614</f>
        <v>17820</v>
      </c>
      <c r="C6" s="134">
        <f>+'1870 Tesoro'!E614</f>
        <v>245</v>
      </c>
      <c r="D6" s="133"/>
      <c r="E6" s="131">
        <f>+'1870 Tesoro'!D642</f>
        <v>38655</v>
      </c>
      <c r="F6" s="134">
        <f>+'1870 Tesoro'!E642</f>
        <v>32</v>
      </c>
      <c r="G6" s="133">
        <f>+'1870 Tesoro'!F642</f>
        <v>0.5</v>
      </c>
      <c r="H6" s="131">
        <f>+'1870 Tesoro'!G667</f>
        <v>49825</v>
      </c>
      <c r="I6" s="134">
        <f>+'1870 Tesoro'!H667</f>
        <v>215</v>
      </c>
      <c r="J6" s="133"/>
      <c r="K6" s="131">
        <f>+'1870 Tesoro'!H695</f>
        <v>46121</v>
      </c>
      <c r="L6" s="134">
        <f>+'1870 Tesoro'!I695</f>
        <v>747</v>
      </c>
      <c r="M6" s="133">
        <f>+'1870 Tesoro'!J695</f>
        <v>0.5</v>
      </c>
      <c r="N6" s="131"/>
      <c r="O6" s="134"/>
      <c r="P6" s="133"/>
      <c r="Q6" s="131">
        <f>+'1870 Tesoro'!B8</f>
        <v>48995</v>
      </c>
      <c r="R6" s="134"/>
      <c r="S6" s="133"/>
      <c r="T6" s="131"/>
      <c r="U6" s="134"/>
      <c r="V6" s="133"/>
      <c r="W6" s="131"/>
      <c r="X6" s="134"/>
      <c r="Y6" s="133"/>
      <c r="Z6" s="131"/>
      <c r="AA6" s="134"/>
      <c r="AB6" s="133"/>
      <c r="AC6" s="131">
        <f>+'1875 Tesoro'!E51</f>
        <v>58903</v>
      </c>
      <c r="AD6" s="134">
        <f>+'1875 Tesoro'!F51</f>
        <v>385</v>
      </c>
      <c r="AE6" s="133"/>
      <c r="AF6" s="131">
        <f>+'1875 Tesoro'!E94</f>
        <v>43416</v>
      </c>
      <c r="AG6" s="134">
        <f>+'1875 Tesoro'!F94</f>
        <v>150</v>
      </c>
      <c r="AH6" s="133"/>
      <c r="AI6" s="131">
        <f>+'1877 Tesoro'!B10</f>
        <v>61125</v>
      </c>
      <c r="AJ6" s="134">
        <f>+'1877 Tesoro'!C10</f>
        <v>435</v>
      </c>
      <c r="AK6" s="133"/>
      <c r="AL6" s="131">
        <f>+'1878 Tesoro'!B7</f>
        <v>72914</v>
      </c>
      <c r="AM6" s="134">
        <f>+'1878 Tesoro'!C7</f>
        <v>925</v>
      </c>
      <c r="AN6" s="133"/>
      <c r="AO6" s="131">
        <f>+'1879 Tesoro'!B7</f>
        <v>35896</v>
      </c>
      <c r="AP6" s="134">
        <f>+'1879 Tesoro'!C7</f>
        <v>345</v>
      </c>
      <c r="AQ6" s="133"/>
      <c r="AR6" s="131">
        <f>+'1880 Tesoro'!B65</f>
        <v>87118</v>
      </c>
      <c r="AS6" s="134">
        <f>+'1880 Tesoro'!C65</f>
        <v>490</v>
      </c>
      <c r="AT6" s="133"/>
      <c r="AU6" s="131">
        <f>+'1880 Tesoro'!B130</f>
        <v>85532</v>
      </c>
      <c r="AV6" s="134">
        <f>+'1880 Tesoro'!C130</f>
        <v>970</v>
      </c>
      <c r="AW6" s="133"/>
      <c r="AX6" s="131">
        <f>+'1882 Tesoro'!B34</f>
        <v>94346</v>
      </c>
      <c r="AY6" s="134">
        <f>+'1882 Tesoro'!C34</f>
        <v>745</v>
      </c>
      <c r="AZ6" s="133"/>
      <c r="BA6" s="131">
        <f>+'1882 Tesoro'!B122</f>
        <v>83311</v>
      </c>
      <c r="BB6" s="134">
        <f>+'1882 Tesoro'!C122</f>
        <v>575</v>
      </c>
      <c r="BC6" s="133"/>
      <c r="BD6" s="131"/>
      <c r="BE6" s="134"/>
      <c r="BF6" s="133"/>
      <c r="BG6" s="131"/>
      <c r="BH6" s="134"/>
      <c r="BI6" s="133"/>
      <c r="BJ6" s="131"/>
      <c r="BK6" s="134"/>
      <c r="BL6" s="133"/>
      <c r="BM6" s="131"/>
      <c r="BN6" s="134"/>
      <c r="BO6" s="133"/>
      <c r="BP6" s="131"/>
      <c r="BQ6" s="134"/>
      <c r="BR6" s="133"/>
      <c r="BS6" s="131"/>
      <c r="BT6" s="134"/>
      <c r="BU6" s="133"/>
      <c r="BV6" s="131"/>
      <c r="BW6" s="134"/>
      <c r="BX6" s="133"/>
      <c r="BY6" s="131"/>
      <c r="BZ6" s="134"/>
      <c r="CA6" s="133"/>
      <c r="CB6" s="131"/>
      <c r="CC6" s="134"/>
      <c r="CD6" s="133"/>
      <c r="CE6" s="131"/>
      <c r="CF6" s="134"/>
      <c r="CG6" s="133"/>
      <c r="CH6" s="131"/>
      <c r="CI6" s="134"/>
      <c r="CJ6" s="133"/>
      <c r="CK6" s="131"/>
      <c r="CL6" s="134"/>
      <c r="CM6" s="133"/>
      <c r="CN6" s="131"/>
      <c r="CO6" s="134"/>
      <c r="CP6" s="133"/>
      <c r="CQ6" s="131"/>
      <c r="CR6" s="134"/>
      <c r="CS6" s="133"/>
      <c r="CT6" s="131"/>
      <c r="CU6" s="134"/>
      <c r="CV6" s="133"/>
      <c r="CW6" s="131"/>
      <c r="CX6" s="134"/>
      <c r="CY6" s="133"/>
      <c r="CZ6" s="131"/>
      <c r="DA6" s="134"/>
      <c r="DB6" s="133"/>
      <c r="DC6" s="131"/>
      <c r="DD6" s="134"/>
      <c r="DE6" s="133"/>
      <c r="DF6" s="131"/>
      <c r="DG6" s="134"/>
      <c r="DH6" s="133"/>
      <c r="DI6" s="131"/>
      <c r="DJ6" s="134"/>
      <c r="DK6" s="133"/>
      <c r="DL6" s="131"/>
      <c r="DM6" s="134"/>
      <c r="DN6" s="133"/>
      <c r="DO6" s="131"/>
      <c r="DP6" s="134"/>
      <c r="DQ6" s="133"/>
      <c r="DR6" s="131"/>
      <c r="DS6" s="134"/>
      <c r="DT6" s="133"/>
      <c r="DU6" s="131"/>
      <c r="DV6" s="134"/>
      <c r="DW6" s="133"/>
      <c r="DX6" s="131"/>
      <c r="DY6" s="134"/>
      <c r="DZ6" s="133"/>
      <c r="EA6" s="131"/>
    </row>
    <row r="7" spans="1:131" x14ac:dyDescent="0.2">
      <c r="A7" s="1726" t="str">
        <f>+'1870 Tesoro'!A9</f>
        <v>Amonedacion</v>
      </c>
      <c r="B7" s="131">
        <f>+'1870 Tesoro'!D611</f>
        <v>15828</v>
      </c>
      <c r="C7" s="134">
        <f>+'1870 Tesoro'!E611</f>
        <v>388</v>
      </c>
      <c r="D7" s="134"/>
      <c r="E7" s="131">
        <f>+'1870 Tesoro'!D639</f>
        <v>12683</v>
      </c>
      <c r="F7" s="134">
        <f>+'1870 Tesoro'!E639</f>
        <v>590</v>
      </c>
      <c r="G7" s="133">
        <f>+'1870 Tesoro'!F639</f>
        <v>0.5</v>
      </c>
      <c r="H7" s="131">
        <f>+'1870 Tesoro'!G666</f>
        <v>12434</v>
      </c>
      <c r="I7" s="134">
        <f>+'1870 Tesoro'!H666</f>
        <v>936</v>
      </c>
      <c r="J7" s="134"/>
      <c r="K7" s="131">
        <f>+'1870 Tesoro'!H694</f>
        <v>9276</v>
      </c>
      <c r="L7" s="134">
        <f>+'1870 Tesoro'!I694</f>
        <v>899</v>
      </c>
      <c r="M7" s="134"/>
      <c r="N7" s="131"/>
      <c r="O7" s="134"/>
      <c r="P7" s="134"/>
      <c r="Q7" s="131">
        <f>+'1870 Tesoro'!B9</f>
        <v>13559</v>
      </c>
      <c r="R7" s="134"/>
      <c r="S7" s="134"/>
      <c r="T7" s="131"/>
      <c r="U7" s="134"/>
      <c r="V7" s="134"/>
      <c r="W7" s="131"/>
      <c r="X7" s="134"/>
      <c r="Y7" s="134"/>
      <c r="Z7" s="131"/>
      <c r="AA7" s="134"/>
      <c r="AB7" s="134"/>
      <c r="AC7" s="131">
        <f>+'1875 Tesoro'!E50</f>
        <v>6859</v>
      </c>
      <c r="AD7" s="134">
        <f>+'1875 Tesoro'!F50</f>
        <v>797</v>
      </c>
      <c r="AE7" s="134"/>
      <c r="AF7" s="131">
        <f>+'1875 Tesoro'!E93</f>
        <v>5134</v>
      </c>
      <c r="AG7" s="134">
        <f>+'1875 Tesoro'!F93</f>
        <v>795</v>
      </c>
      <c r="AH7" s="134"/>
      <c r="AI7" s="131">
        <f>+'1877 Tesoro'!B13</f>
        <v>5308</v>
      </c>
      <c r="AJ7" s="134">
        <f>+'1877 Tesoro'!C13</f>
        <v>226</v>
      </c>
      <c r="AK7" s="134"/>
      <c r="AL7" s="131">
        <f>+'1878 Tesoro'!B6</f>
        <v>6485</v>
      </c>
      <c r="AM7" s="134">
        <f>+'1878 Tesoro'!C6</f>
        <v>690</v>
      </c>
      <c r="AN7" s="134"/>
      <c r="AO7" s="131">
        <f>+'1879 Tesoro'!B6</f>
        <v>4219</v>
      </c>
      <c r="AP7" s="134">
        <f>+'1879 Tesoro'!C6</f>
        <v>778</v>
      </c>
      <c r="AQ7" s="134"/>
      <c r="AR7" s="131">
        <f>+'1880 Tesoro'!B64</f>
        <v>9222</v>
      </c>
      <c r="AS7" s="134">
        <f>+'1880 Tesoro'!C64</f>
        <v>959</v>
      </c>
      <c r="AT7" s="134"/>
      <c r="AU7" s="131">
        <f>+'1880 Tesoro'!B129</f>
        <v>7618</v>
      </c>
      <c r="AV7" s="134">
        <f>+'1880 Tesoro'!C129</f>
        <v>821</v>
      </c>
      <c r="AW7" s="134"/>
      <c r="AX7" s="131">
        <f>+'1882 Tesoro'!B33</f>
        <v>17007</v>
      </c>
      <c r="AY7" s="134">
        <f>+'1882 Tesoro'!C33</f>
        <v>731</v>
      </c>
      <c r="AZ7" s="134"/>
      <c r="BA7" s="131">
        <f>+'1882 Tesoro'!B121</f>
        <v>3621</v>
      </c>
      <c r="BB7" s="134">
        <f>+'1882 Tesoro'!C121</f>
        <v>69</v>
      </c>
      <c r="BC7" s="134"/>
      <c r="BD7" s="131"/>
      <c r="BE7" s="134"/>
      <c r="BF7" s="134"/>
      <c r="BG7" s="131"/>
      <c r="BH7" s="134"/>
      <c r="BI7" s="134"/>
      <c r="BJ7" s="131"/>
      <c r="BK7" s="134"/>
      <c r="BL7" s="134"/>
      <c r="BM7" s="131"/>
      <c r="BN7" s="134"/>
      <c r="BO7" s="134"/>
      <c r="BP7" s="131"/>
      <c r="BQ7" s="134"/>
      <c r="BR7" s="134"/>
      <c r="BS7" s="131"/>
      <c r="BT7" s="134"/>
      <c r="BU7" s="134"/>
      <c r="BV7" s="131"/>
      <c r="BW7" s="134"/>
      <c r="BX7" s="134"/>
      <c r="BY7" s="131"/>
      <c r="BZ7" s="134"/>
      <c r="CA7" s="134"/>
      <c r="CB7" s="131"/>
      <c r="CC7" s="134"/>
      <c r="CD7" s="134"/>
      <c r="CE7" s="131"/>
      <c r="CF7" s="134"/>
      <c r="CG7" s="134"/>
      <c r="CH7" s="131"/>
      <c r="CI7" s="134"/>
      <c r="CJ7" s="134"/>
      <c r="CK7" s="131"/>
      <c r="CL7" s="134"/>
      <c r="CM7" s="134"/>
      <c r="CN7" s="131"/>
      <c r="CO7" s="134"/>
      <c r="CP7" s="134"/>
      <c r="CQ7" s="131"/>
      <c r="CR7" s="134"/>
      <c r="CS7" s="134"/>
      <c r="CT7" s="131"/>
      <c r="CU7" s="134"/>
      <c r="CV7" s="134"/>
      <c r="CW7" s="131"/>
      <c r="CX7" s="134"/>
      <c r="CY7" s="134"/>
      <c r="CZ7" s="131"/>
      <c r="DA7" s="134"/>
      <c r="DB7" s="134"/>
      <c r="DC7" s="131"/>
      <c r="DD7" s="134"/>
      <c r="DE7" s="134"/>
      <c r="DF7" s="131"/>
      <c r="DG7" s="134"/>
      <c r="DH7" s="134"/>
      <c r="DI7" s="131"/>
      <c r="DJ7" s="134"/>
      <c r="DK7" s="134"/>
      <c r="DL7" s="131"/>
      <c r="DM7" s="134"/>
      <c r="DN7" s="134"/>
      <c r="DO7" s="131"/>
      <c r="DP7" s="134"/>
      <c r="DQ7" s="134"/>
      <c r="DR7" s="131"/>
      <c r="DS7" s="134"/>
      <c r="DT7" s="134"/>
      <c r="DU7" s="131"/>
      <c r="DV7" s="134"/>
      <c r="DW7" s="134"/>
      <c r="DX7" s="131"/>
      <c r="DY7" s="134"/>
      <c r="DZ7" s="134"/>
      <c r="EA7" s="131"/>
    </row>
    <row r="8" spans="1:131" x14ac:dyDescent="0.2">
      <c r="A8" s="1726" t="str">
        <f>+'1870 Tesoro'!A10</f>
        <v>Internacion de sales</v>
      </c>
      <c r="B8" s="131"/>
      <c r="C8" s="134"/>
      <c r="D8" s="133"/>
      <c r="E8" s="131"/>
      <c r="F8" s="134"/>
      <c r="G8" s="133"/>
      <c r="H8" s="131"/>
      <c r="I8" s="134"/>
      <c r="J8" s="133"/>
      <c r="K8" s="131"/>
      <c r="L8" s="134"/>
      <c r="M8" s="133"/>
      <c r="N8" s="131"/>
      <c r="O8" s="134"/>
      <c r="P8" s="133"/>
      <c r="Q8" s="131">
        <f>+'1870 Tesoro'!B10</f>
        <v>3779</v>
      </c>
      <c r="R8" s="134"/>
      <c r="S8" s="133"/>
      <c r="T8" s="131"/>
      <c r="U8" s="134"/>
      <c r="V8" s="133"/>
      <c r="W8" s="131"/>
      <c r="X8" s="134"/>
      <c r="Y8" s="133"/>
      <c r="Z8" s="131"/>
      <c r="AA8" s="134"/>
      <c r="AB8" s="133"/>
      <c r="AC8" s="131"/>
      <c r="AD8" s="134"/>
      <c r="AE8" s="133"/>
      <c r="AF8" s="131"/>
      <c r="AG8" s="134"/>
      <c r="AH8" s="133"/>
      <c r="AI8" s="131"/>
      <c r="AJ8" s="134"/>
      <c r="AK8" s="133"/>
      <c r="AL8" s="131"/>
      <c r="AM8" s="134"/>
      <c r="AN8" s="133"/>
      <c r="AO8" s="131"/>
      <c r="AP8" s="134"/>
      <c r="AQ8" s="133"/>
      <c r="AR8" s="131"/>
      <c r="AS8" s="134"/>
      <c r="AT8" s="133"/>
      <c r="AU8" s="131"/>
      <c r="AV8" s="134"/>
      <c r="AW8" s="133"/>
      <c r="AX8" s="131"/>
      <c r="AY8" s="134"/>
      <c r="AZ8" s="133"/>
      <c r="BA8" s="131"/>
      <c r="BB8" s="134"/>
      <c r="BC8" s="133"/>
      <c r="BD8" s="131"/>
      <c r="BE8" s="134"/>
      <c r="BF8" s="133"/>
      <c r="BG8" s="131"/>
      <c r="BH8" s="134"/>
      <c r="BI8" s="133"/>
      <c r="BJ8" s="131"/>
      <c r="BK8" s="134"/>
      <c r="BL8" s="133"/>
      <c r="BM8" s="131"/>
      <c r="BN8" s="134"/>
      <c r="BO8" s="133"/>
      <c r="BP8" s="131"/>
      <c r="BQ8" s="134"/>
      <c r="BR8" s="133"/>
      <c r="BS8" s="131"/>
      <c r="BT8" s="134"/>
      <c r="BU8" s="133"/>
      <c r="BV8" s="131"/>
      <c r="BW8" s="134"/>
      <c r="BX8" s="133"/>
      <c r="BY8" s="131"/>
      <c r="BZ8" s="134"/>
      <c r="CA8" s="133"/>
      <c r="CB8" s="131"/>
      <c r="CC8" s="134"/>
      <c r="CD8" s="133"/>
      <c r="CE8" s="131"/>
      <c r="CF8" s="134"/>
      <c r="CG8" s="133"/>
      <c r="CH8" s="131"/>
      <c r="CI8" s="134"/>
      <c r="CJ8" s="133"/>
      <c r="CK8" s="131"/>
      <c r="CL8" s="134"/>
      <c r="CM8" s="133"/>
      <c r="CN8" s="131"/>
      <c r="CO8" s="134"/>
      <c r="CP8" s="133"/>
      <c r="CQ8" s="131"/>
      <c r="CR8" s="134"/>
      <c r="CS8" s="133"/>
      <c r="CT8" s="131"/>
      <c r="CU8" s="134"/>
      <c r="CV8" s="133"/>
      <c r="CW8" s="131"/>
      <c r="CX8" s="134"/>
      <c r="CY8" s="133"/>
      <c r="CZ8" s="131"/>
      <c r="DA8" s="134"/>
      <c r="DB8" s="133"/>
      <c r="DC8" s="131"/>
      <c r="DD8" s="134"/>
      <c r="DE8" s="133"/>
      <c r="DF8" s="131"/>
      <c r="DG8" s="134"/>
      <c r="DH8" s="133"/>
      <c r="DI8" s="131"/>
      <c r="DJ8" s="134"/>
      <c r="DK8" s="133"/>
      <c r="DL8" s="131"/>
      <c r="DM8" s="134"/>
      <c r="DN8" s="133"/>
      <c r="DO8" s="131"/>
      <c r="DP8" s="134"/>
      <c r="DQ8" s="133"/>
      <c r="DR8" s="131"/>
      <c r="DS8" s="134"/>
      <c r="DT8" s="133"/>
      <c r="DU8" s="131"/>
      <c r="DV8" s="134"/>
      <c r="DW8" s="133"/>
      <c r="DX8" s="131"/>
      <c r="DY8" s="134"/>
      <c r="DZ8" s="133"/>
      <c r="EA8" s="131"/>
    </row>
    <row r="9" spans="1:131" x14ac:dyDescent="0.2">
      <c r="A9" s="1726" t="str">
        <f>+'1870 Tesoro'!A11</f>
        <v>Bienes nacionales</v>
      </c>
      <c r="B9" s="131">
        <f>+'1870 Tesoro'!D613</f>
        <v>55901</v>
      </c>
      <c r="C9" s="134">
        <f>+'1870 Tesoro'!E613</f>
        <v>96</v>
      </c>
      <c r="D9" s="133"/>
      <c r="E9" s="131">
        <f>+'1870 Tesoro'!D641</f>
        <v>113262</v>
      </c>
      <c r="F9" s="134">
        <f>+'1870 Tesoro'!E641</f>
        <v>552</v>
      </c>
      <c r="G9" s="133">
        <f>+'1870 Tesoro'!F641</f>
        <v>0.5</v>
      </c>
      <c r="H9" s="131">
        <f>+'1870 Tesoro'!G668</f>
        <v>167257</v>
      </c>
      <c r="I9" s="134">
        <f>+'1870 Tesoro'!H668</f>
        <v>997</v>
      </c>
      <c r="J9" s="133">
        <f>+'1870 Tesoro'!I668</f>
        <v>0.5</v>
      </c>
      <c r="K9" s="131">
        <f>+'1870 Tesoro'!H696</f>
        <v>108945</v>
      </c>
      <c r="L9" s="134">
        <f>+'1870 Tesoro'!I696</f>
        <v>762</v>
      </c>
      <c r="M9" s="133">
        <f>+'1870 Tesoro'!J696</f>
        <v>0.5</v>
      </c>
      <c r="N9" s="131"/>
      <c r="O9" s="134"/>
      <c r="P9" s="133"/>
      <c r="Q9" s="131">
        <f>+'1870 Tesoro'!B11</f>
        <v>33000</v>
      </c>
      <c r="R9" s="134"/>
      <c r="S9" s="133"/>
      <c r="T9" s="131"/>
      <c r="U9" s="134"/>
      <c r="V9" s="133"/>
      <c r="W9" s="131"/>
      <c r="X9" s="134"/>
      <c r="Y9" s="133"/>
      <c r="Z9" s="131"/>
      <c r="AA9" s="134"/>
      <c r="AB9" s="133"/>
      <c r="AC9" s="131">
        <f>+'1875 Tesoro'!E53</f>
        <v>76363</v>
      </c>
      <c r="AD9" s="134">
        <f>+'1875 Tesoro'!F53</f>
        <v>200</v>
      </c>
      <c r="AE9" s="133"/>
      <c r="AF9" s="131">
        <f>+'1875 Tesoro'!E96</f>
        <v>48381</v>
      </c>
      <c r="AG9" s="134">
        <f>+'1875 Tesoro'!F96</f>
        <v>600</v>
      </c>
      <c r="AH9" s="133"/>
      <c r="AI9" s="131">
        <f>+'1877 Tesoro'!B7</f>
        <v>21710</v>
      </c>
      <c r="AJ9" s="134">
        <f>+'1877 Tesoro'!C7</f>
        <v>275</v>
      </c>
      <c r="AK9" s="133"/>
      <c r="AL9" s="131">
        <f>+'1878 Tesoro'!B9</f>
        <v>58854</v>
      </c>
      <c r="AM9" s="134">
        <f>+'1878 Tesoro'!C9</f>
        <v>550</v>
      </c>
      <c r="AN9" s="133"/>
      <c r="AO9" s="131">
        <f>+'1879 Tesoro'!B9</f>
        <v>52397</v>
      </c>
      <c r="AP9" s="134">
        <f>+'1879 Tesoro'!C9</f>
        <v>875</v>
      </c>
      <c r="AQ9" s="133"/>
      <c r="AR9" s="131">
        <f>+'1880 Tesoro'!B67</f>
        <v>7890</v>
      </c>
      <c r="AS9" s="134">
        <f>+'1880 Tesoro'!C67</f>
        <v>475</v>
      </c>
      <c r="AT9" s="133"/>
      <c r="AU9" s="131">
        <f>+'1880 Tesoro'!B125</f>
        <v>39758</v>
      </c>
      <c r="AV9" s="134">
        <f>+'1880 Tesoro'!C125</f>
        <v>615</v>
      </c>
      <c r="AW9" s="133"/>
      <c r="AX9" s="131">
        <f>+'1882 Tesoro'!B29</f>
        <v>9292</v>
      </c>
      <c r="AY9" s="134">
        <f>+'1882 Tesoro'!C29</f>
        <v>338</v>
      </c>
      <c r="AZ9" s="133"/>
      <c r="BA9" s="131">
        <f>+'1882 Tesoro'!B117</f>
        <v>11766</v>
      </c>
      <c r="BB9" s="134">
        <f>+'1882 Tesoro'!C117</f>
        <v>550</v>
      </c>
      <c r="BC9" s="133"/>
      <c r="BD9" s="131"/>
      <c r="BE9" s="134"/>
      <c r="BF9" s="133"/>
      <c r="BG9" s="131"/>
      <c r="BH9" s="134"/>
      <c r="BI9" s="133"/>
      <c r="BJ9" s="131"/>
      <c r="BK9" s="134"/>
      <c r="BL9" s="133"/>
      <c r="BM9" s="131"/>
      <c r="BN9" s="134"/>
      <c r="BO9" s="133"/>
      <c r="BP9" s="131"/>
      <c r="BQ9" s="134"/>
      <c r="BR9" s="133"/>
      <c r="BS9" s="131"/>
      <c r="BT9" s="134"/>
      <c r="BU9" s="133"/>
      <c r="BV9" s="131"/>
      <c r="BW9" s="134"/>
      <c r="BX9" s="133"/>
      <c r="BY9" s="131"/>
      <c r="BZ9" s="134"/>
      <c r="CA9" s="133"/>
      <c r="CB9" s="131"/>
      <c r="CC9" s="134"/>
      <c r="CD9" s="133"/>
      <c r="CE9" s="131"/>
      <c r="CF9" s="134"/>
      <c r="CG9" s="133"/>
      <c r="CH9" s="131"/>
      <c r="CI9" s="134"/>
      <c r="CJ9" s="133"/>
      <c r="CK9" s="131"/>
      <c r="CL9" s="134"/>
      <c r="CM9" s="133"/>
      <c r="CN9" s="131"/>
      <c r="CO9" s="134"/>
      <c r="CP9" s="133"/>
      <c r="CQ9" s="131"/>
      <c r="CR9" s="134"/>
      <c r="CS9" s="133"/>
      <c r="CT9" s="131"/>
      <c r="CU9" s="134"/>
      <c r="CV9" s="133"/>
      <c r="CW9" s="131"/>
      <c r="CX9" s="134"/>
      <c r="CY9" s="133"/>
      <c r="CZ9" s="131"/>
      <c r="DA9" s="134"/>
      <c r="DB9" s="133"/>
      <c r="DC9" s="131"/>
      <c r="DD9" s="134"/>
      <c r="DE9" s="133"/>
      <c r="DF9" s="131"/>
      <c r="DG9" s="134"/>
      <c r="DH9" s="133"/>
      <c r="DI9" s="131"/>
      <c r="DJ9" s="134"/>
      <c r="DK9" s="133"/>
      <c r="DL9" s="131"/>
      <c r="DM9" s="134"/>
      <c r="DN9" s="133"/>
      <c r="DO9" s="131"/>
      <c r="DP9" s="134"/>
      <c r="DQ9" s="133"/>
      <c r="DR9" s="131"/>
      <c r="DS9" s="134"/>
      <c r="DT9" s="133"/>
      <c r="DU9" s="131"/>
      <c r="DV9" s="134"/>
      <c r="DW9" s="133"/>
      <c r="DX9" s="131"/>
      <c r="DY9" s="134"/>
      <c r="DZ9" s="133"/>
      <c r="EA9" s="131"/>
    </row>
    <row r="10" spans="1:131" x14ac:dyDescent="0.2">
      <c r="A10" s="1726" t="str">
        <f>+'1870 Tesoro'!A12</f>
        <v>Bienes desamortizados</v>
      </c>
      <c r="B10" s="131">
        <f>+'1870 Tesoro'!D612</f>
        <v>158970</v>
      </c>
      <c r="C10" s="134">
        <f>+'1870 Tesoro'!E612</f>
        <v>635</v>
      </c>
      <c r="D10" s="133"/>
      <c r="E10" s="131">
        <f>+'1870 Tesoro'!D640</f>
        <v>395265</v>
      </c>
      <c r="F10" s="134">
        <f>+'1870 Tesoro'!E640</f>
        <v>550</v>
      </c>
      <c r="G10" s="133"/>
      <c r="H10" s="131">
        <f>+'1870 Tesoro'!G671</f>
        <v>3215452</v>
      </c>
      <c r="I10" s="134">
        <f>+'1870 Tesoro'!H671</f>
        <v>167</v>
      </c>
      <c r="J10" s="133">
        <f>+'1870 Tesoro'!I671</f>
        <v>0.5</v>
      </c>
      <c r="K10" s="131">
        <f>+'1870 Tesoro'!H699</f>
        <v>3155236</v>
      </c>
      <c r="L10" s="134">
        <f>+'1870 Tesoro'!I699</f>
        <v>832</v>
      </c>
      <c r="M10" s="133">
        <f>+'1870 Tesoro'!J699</f>
        <v>0.5</v>
      </c>
      <c r="N10" s="131"/>
      <c r="O10" s="134"/>
      <c r="P10" s="133"/>
      <c r="Q10" s="131">
        <f>+'1870 Tesoro'!B12</f>
        <v>1258503</v>
      </c>
      <c r="R10" s="134"/>
      <c r="S10" s="133"/>
      <c r="T10" s="131"/>
      <c r="U10" s="134"/>
      <c r="V10" s="133"/>
      <c r="W10" s="131"/>
      <c r="X10" s="134"/>
      <c r="Y10" s="133"/>
      <c r="Z10" s="131"/>
      <c r="AA10" s="134"/>
      <c r="AB10" s="133"/>
      <c r="AC10" s="131">
        <f>+'1875 Tesoro'!E56</f>
        <v>31648</v>
      </c>
      <c r="AD10" s="134">
        <f>+'1875 Tesoro'!F56</f>
        <v>720</v>
      </c>
      <c r="AE10" s="133"/>
      <c r="AF10" s="131">
        <f>+'1875 Tesoro'!E99</f>
        <v>145994</v>
      </c>
      <c r="AG10" s="134">
        <f>+'1875 Tesoro'!F99</f>
        <v>475</v>
      </c>
      <c r="AH10" s="133"/>
      <c r="AI10" s="131">
        <f>+'1877 Tesoro'!B11</f>
        <v>20899</v>
      </c>
      <c r="AJ10" s="134">
        <f>+'1877 Tesoro'!C11</f>
        <v>425</v>
      </c>
      <c r="AK10" s="133"/>
      <c r="AL10" s="131">
        <f>+'1878 Tesoro'!B12</f>
        <v>25411</v>
      </c>
      <c r="AM10" s="134">
        <f>+'1878 Tesoro'!C12</f>
        <v>575</v>
      </c>
      <c r="AN10" s="133"/>
      <c r="AO10" s="131">
        <f>+'1879 Tesoro'!B12</f>
        <v>37502</v>
      </c>
      <c r="AP10" s="134">
        <f>+'1879 Tesoro'!C12</f>
        <v>900</v>
      </c>
      <c r="AQ10" s="133"/>
      <c r="AR10" s="131">
        <f>+'1880 Tesoro'!B70</f>
        <v>82987</v>
      </c>
      <c r="AS10" s="134">
        <f>+'1880 Tesoro'!C70</f>
        <v>925</v>
      </c>
      <c r="AT10" s="133"/>
      <c r="AU10" s="131">
        <f>+'1880 Tesoro'!B128</f>
        <v>12395</v>
      </c>
      <c r="AV10" s="134">
        <f>+'1880 Tesoro'!C128</f>
        <v>200</v>
      </c>
      <c r="AW10" s="133"/>
      <c r="AX10" s="131">
        <f>+'1882 Tesoro'!B32</f>
        <v>18310</v>
      </c>
      <c r="AY10" s="134">
        <f>+'1882 Tesoro'!C32</f>
        <v>800</v>
      </c>
      <c r="AZ10" s="133"/>
      <c r="BA10" s="131">
        <f>+'1882 Tesoro'!B120</f>
        <v>18263</v>
      </c>
      <c r="BB10" s="134">
        <f>+'1882 Tesoro'!C120</f>
        <v>425</v>
      </c>
      <c r="BC10" s="133"/>
      <c r="BD10" s="131"/>
      <c r="BE10" s="134"/>
      <c r="BF10" s="133"/>
      <c r="BG10" s="131"/>
      <c r="BH10" s="134"/>
      <c r="BI10" s="133"/>
      <c r="BJ10" s="131"/>
      <c r="BK10" s="134"/>
      <c r="BL10" s="133"/>
      <c r="BM10" s="131"/>
      <c r="BN10" s="134"/>
      <c r="BO10" s="133"/>
      <c r="BP10" s="131"/>
      <c r="BQ10" s="134"/>
      <c r="BR10" s="133"/>
      <c r="BS10" s="131"/>
      <c r="BT10" s="134"/>
      <c r="BU10" s="133"/>
      <c r="BV10" s="131"/>
      <c r="BW10" s="134"/>
      <c r="BX10" s="133"/>
      <c r="BY10" s="131"/>
      <c r="BZ10" s="134"/>
      <c r="CA10" s="133"/>
      <c r="CB10" s="131"/>
      <c r="CC10" s="134"/>
      <c r="CD10" s="133"/>
      <c r="CE10" s="131"/>
      <c r="CF10" s="134"/>
      <c r="CG10" s="133"/>
      <c r="CH10" s="131"/>
      <c r="CI10" s="134"/>
      <c r="CJ10" s="133"/>
      <c r="CK10" s="131"/>
      <c r="CL10" s="134"/>
      <c r="CM10" s="133"/>
      <c r="CN10" s="131"/>
      <c r="CO10" s="134"/>
      <c r="CP10" s="133"/>
      <c r="CQ10" s="131"/>
      <c r="CR10" s="134"/>
      <c r="CS10" s="133"/>
      <c r="CT10" s="131"/>
      <c r="CU10" s="134"/>
      <c r="CV10" s="133"/>
      <c r="CW10" s="131"/>
      <c r="CX10" s="134"/>
      <c r="CY10" s="133"/>
      <c r="CZ10" s="131"/>
      <c r="DA10" s="134"/>
      <c r="DB10" s="133"/>
      <c r="DC10" s="131"/>
      <c r="DD10" s="134"/>
      <c r="DE10" s="133"/>
      <c r="DF10" s="131"/>
      <c r="DG10" s="134"/>
      <c r="DH10" s="133"/>
      <c r="DI10" s="131"/>
      <c r="DJ10" s="134"/>
      <c r="DK10" s="133"/>
      <c r="DL10" s="131"/>
      <c r="DM10" s="134"/>
      <c r="DN10" s="133"/>
      <c r="DO10" s="131"/>
      <c r="DP10" s="134"/>
      <c r="DQ10" s="133"/>
      <c r="DR10" s="131"/>
      <c r="DS10" s="134"/>
      <c r="DT10" s="133"/>
      <c r="DU10" s="131"/>
      <c r="DV10" s="134"/>
      <c r="DW10" s="133"/>
      <c r="DX10" s="131"/>
      <c r="DY10" s="134"/>
      <c r="DZ10" s="133"/>
      <c r="EA10" s="131"/>
    </row>
    <row r="11" spans="1:131" x14ac:dyDescent="0.2">
      <c r="A11" s="1726" t="s">
        <v>1991</v>
      </c>
      <c r="B11" s="131"/>
      <c r="C11" s="134"/>
      <c r="D11" s="133"/>
      <c r="E11" s="131"/>
      <c r="F11" s="134"/>
      <c r="G11" s="133"/>
      <c r="H11" s="131"/>
      <c r="I11" s="134"/>
      <c r="J11" s="133"/>
      <c r="K11" s="131"/>
      <c r="L11" s="134"/>
      <c r="M11" s="133"/>
      <c r="N11" s="131"/>
      <c r="O11" s="134"/>
      <c r="P11" s="133"/>
      <c r="Q11" s="131">
        <f>+'1870 Tesoro'!B13</f>
        <v>193549</v>
      </c>
      <c r="R11" s="134"/>
      <c r="S11" s="133"/>
      <c r="T11" s="131"/>
      <c r="U11" s="134"/>
      <c r="V11" s="133"/>
      <c r="W11" s="131"/>
      <c r="X11" s="134"/>
      <c r="Y11" s="133"/>
      <c r="Z11" s="131"/>
      <c r="AA11" s="134"/>
      <c r="AB11" s="133"/>
      <c r="AC11" s="131">
        <f>+'1875 Tesoro'!E54</f>
        <v>225000</v>
      </c>
      <c r="AD11" s="134"/>
      <c r="AE11" s="133"/>
      <c r="AF11" s="131">
        <f>+'1875 Tesoro'!E97</f>
        <v>112500</v>
      </c>
      <c r="AG11" s="134"/>
      <c r="AH11" s="133"/>
      <c r="AI11" s="131">
        <f>+'1877 Tesoro'!B8</f>
        <v>168750</v>
      </c>
      <c r="AJ11" s="134"/>
      <c r="AK11" s="133"/>
      <c r="AL11" s="131">
        <f>+'1878 Tesoro'!B10</f>
        <v>225000</v>
      </c>
      <c r="AM11" s="134">
        <f>+'1878 Tesoro'!C10</f>
        <v>0</v>
      </c>
      <c r="AN11" s="133"/>
      <c r="AO11" s="131">
        <f>+'1879 Tesoro'!B10</f>
        <v>250000</v>
      </c>
      <c r="AP11" s="134">
        <f>+'1879 Tesoro'!C10</f>
        <v>0</v>
      </c>
      <c r="AQ11" s="133"/>
      <c r="AR11" s="131">
        <f>+'1880 Tesoro'!B68</f>
        <v>250000</v>
      </c>
      <c r="AS11" s="134"/>
      <c r="AT11" s="133"/>
      <c r="AU11" s="131">
        <f>+'1880 Tesoro'!B126</f>
        <v>250000</v>
      </c>
      <c r="AV11" s="134"/>
      <c r="AW11" s="133"/>
      <c r="AX11" s="131">
        <f>+'1882 Tesoro'!B30</f>
        <v>193750</v>
      </c>
      <c r="AY11" s="134"/>
      <c r="AZ11" s="133"/>
      <c r="BA11" s="131">
        <f>+'1882 Tesoro'!B118</f>
        <v>112500</v>
      </c>
      <c r="BB11" s="134">
        <f>+'1882 Tesoro'!C118</f>
        <v>0</v>
      </c>
      <c r="BC11" s="133"/>
      <c r="BD11" s="131"/>
      <c r="BE11" s="134"/>
      <c r="BF11" s="133"/>
      <c r="BG11" s="131"/>
      <c r="BH11" s="134"/>
      <c r="BI11" s="133"/>
      <c r="BJ11" s="131"/>
      <c r="BK11" s="134"/>
      <c r="BL11" s="133"/>
      <c r="BM11" s="131"/>
      <c r="BN11" s="134"/>
      <c r="BO11" s="133"/>
      <c r="BP11" s="131"/>
      <c r="BQ11" s="134"/>
      <c r="BR11" s="133"/>
      <c r="BS11" s="131"/>
      <c r="BT11" s="134"/>
      <c r="BU11" s="133"/>
      <c r="BV11" s="131"/>
      <c r="BW11" s="134"/>
      <c r="BX11" s="133"/>
      <c r="BY11" s="131"/>
      <c r="BZ11" s="134"/>
      <c r="CA11" s="133"/>
      <c r="CB11" s="131"/>
      <c r="CC11" s="134"/>
      <c r="CD11" s="133"/>
      <c r="CE11" s="131"/>
      <c r="CF11" s="134"/>
      <c r="CG11" s="133"/>
      <c r="CH11" s="131"/>
      <c r="CI11" s="134"/>
      <c r="CJ11" s="133"/>
      <c r="CK11" s="131"/>
      <c r="CL11" s="134"/>
      <c r="CM11" s="133"/>
      <c r="CN11" s="131"/>
      <c r="CO11" s="134"/>
      <c r="CP11" s="133"/>
      <c r="CQ11" s="131"/>
      <c r="CR11" s="134"/>
      <c r="CS11" s="133"/>
      <c r="CT11" s="131"/>
      <c r="CU11" s="134"/>
      <c r="CV11" s="133"/>
      <c r="CW11" s="131"/>
      <c r="CX11" s="134"/>
      <c r="CY11" s="133"/>
      <c r="CZ11" s="131"/>
      <c r="DA11" s="134"/>
      <c r="DB11" s="133"/>
      <c r="DC11" s="131"/>
      <c r="DD11" s="134"/>
      <c r="DE11" s="133"/>
      <c r="DF11" s="131"/>
      <c r="DG11" s="134"/>
      <c r="DH11" s="133"/>
      <c r="DI11" s="131"/>
      <c r="DJ11" s="134"/>
      <c r="DK11" s="133"/>
      <c r="DL11" s="131"/>
      <c r="DM11" s="134"/>
      <c r="DN11" s="133"/>
      <c r="DO11" s="131"/>
      <c r="DP11" s="134"/>
      <c r="DQ11" s="133"/>
      <c r="DR11" s="131"/>
      <c r="DS11" s="134"/>
      <c r="DT11" s="133"/>
      <c r="DU11" s="131"/>
      <c r="DV11" s="134"/>
      <c r="DW11" s="133"/>
      <c r="DX11" s="131"/>
      <c r="DY11" s="134"/>
      <c r="DZ11" s="133"/>
      <c r="EA11" s="131"/>
    </row>
    <row r="12" spans="1:131" x14ac:dyDescent="0.2">
      <c r="A12" s="1726" t="str">
        <f>+'1878 Tesoro'!A14</f>
        <v>Ferrocarril de Bolívar</v>
      </c>
      <c r="B12" s="131"/>
      <c r="C12" s="134"/>
      <c r="D12" s="133"/>
      <c r="E12" s="131"/>
      <c r="F12" s="134"/>
      <c r="G12" s="133"/>
      <c r="H12" s="131"/>
      <c r="I12" s="134"/>
      <c r="J12" s="133"/>
      <c r="K12" s="131"/>
      <c r="L12" s="134"/>
      <c r="M12" s="133"/>
      <c r="N12" s="131"/>
      <c r="O12" s="134"/>
      <c r="P12" s="133"/>
      <c r="Q12" s="131"/>
      <c r="R12" s="134"/>
      <c r="S12" s="133"/>
      <c r="T12" s="131"/>
      <c r="U12" s="134"/>
      <c r="V12" s="133"/>
      <c r="W12" s="131"/>
      <c r="X12" s="134"/>
      <c r="Y12" s="133"/>
      <c r="Z12" s="131"/>
      <c r="AA12" s="134"/>
      <c r="AB12" s="133"/>
      <c r="AC12" s="131"/>
      <c r="AD12" s="134"/>
      <c r="AE12" s="133"/>
      <c r="AF12" s="131"/>
      <c r="AG12" s="134"/>
      <c r="AH12" s="133"/>
      <c r="AI12" s="131"/>
      <c r="AJ12" s="134"/>
      <c r="AK12" s="133"/>
      <c r="AL12" s="131">
        <f>+'1878 Tesoro'!B14</f>
        <v>92233</v>
      </c>
      <c r="AM12" s="134">
        <f>+'1878 Tesoro'!C14</f>
        <v>300</v>
      </c>
      <c r="AN12" s="133"/>
      <c r="AO12" s="131">
        <f>+'1879 Tesoro'!B14</f>
        <v>92796</v>
      </c>
      <c r="AP12" s="134">
        <f>+'1879 Tesoro'!C14</f>
        <v>900</v>
      </c>
      <c r="AQ12" s="133"/>
      <c r="AR12" s="131">
        <f>+'1880 Tesoro'!B72</f>
        <v>129953</v>
      </c>
      <c r="AS12" s="134">
        <f>+'1880 Tesoro'!C72</f>
        <v>850</v>
      </c>
      <c r="AT12" s="133"/>
      <c r="AU12" s="131">
        <f>+'1880 Tesoro'!B127</f>
        <v>137975</v>
      </c>
      <c r="AV12" s="134">
        <f>+'1880 Tesoro'!C127</f>
        <v>500</v>
      </c>
      <c r="AW12" s="133"/>
      <c r="AX12" s="131">
        <f>+'1882 Tesoro'!B31</f>
        <v>129955</v>
      </c>
      <c r="AY12" s="134">
        <f>+'1882 Tesoro'!C31</f>
        <v>650</v>
      </c>
      <c r="AZ12" s="133"/>
      <c r="BA12" s="131">
        <f>+'1882 Tesoro'!B119</f>
        <v>162022</v>
      </c>
      <c r="BB12" s="134">
        <f>+'1882 Tesoro'!C119</f>
        <v>650</v>
      </c>
      <c r="BC12" s="133"/>
      <c r="BD12" s="131"/>
      <c r="BE12" s="134"/>
      <c r="BF12" s="133"/>
      <c r="BG12" s="131"/>
      <c r="BH12" s="134"/>
      <c r="BI12" s="133"/>
      <c r="BJ12" s="131"/>
      <c r="BK12" s="134"/>
      <c r="BL12" s="133"/>
      <c r="BM12" s="131"/>
      <c r="BN12" s="134"/>
      <c r="BO12" s="133"/>
      <c r="BP12" s="131"/>
      <c r="BQ12" s="134"/>
      <c r="BR12" s="133"/>
      <c r="BS12" s="131"/>
      <c r="BT12" s="134"/>
      <c r="BU12" s="133"/>
      <c r="BV12" s="131"/>
      <c r="BW12" s="134"/>
      <c r="BX12" s="133"/>
      <c r="BY12" s="131"/>
      <c r="BZ12" s="134"/>
      <c r="CA12" s="133"/>
      <c r="CB12" s="131"/>
      <c r="CC12" s="134"/>
      <c r="CD12" s="133"/>
      <c r="CE12" s="131"/>
      <c r="CF12" s="134"/>
      <c r="CG12" s="133"/>
      <c r="CH12" s="131"/>
      <c r="CI12" s="134"/>
      <c r="CJ12" s="133"/>
      <c r="CK12" s="131"/>
      <c r="CL12" s="134"/>
      <c r="CM12" s="133"/>
      <c r="CN12" s="131"/>
      <c r="CO12" s="134"/>
      <c r="CP12" s="133"/>
      <c r="CQ12" s="131"/>
      <c r="CR12" s="134"/>
      <c r="CS12" s="133"/>
      <c r="CT12" s="131"/>
      <c r="CU12" s="134"/>
      <c r="CV12" s="133"/>
      <c r="CW12" s="131"/>
      <c r="CX12" s="134"/>
      <c r="CY12" s="133"/>
      <c r="CZ12" s="131"/>
      <c r="DA12" s="134"/>
      <c r="DB12" s="133"/>
      <c r="DC12" s="131"/>
      <c r="DD12" s="134"/>
      <c r="DE12" s="133"/>
      <c r="DF12" s="131"/>
      <c r="DG12" s="134"/>
      <c r="DH12" s="133"/>
      <c r="DI12" s="131"/>
      <c r="DJ12" s="134"/>
      <c r="DK12" s="133"/>
      <c r="DL12" s="131"/>
      <c r="DM12" s="134"/>
      <c r="DN12" s="133"/>
      <c r="DO12" s="131"/>
      <c r="DP12" s="134"/>
      <c r="DQ12" s="133"/>
      <c r="DR12" s="131"/>
      <c r="DS12" s="134"/>
      <c r="DT12" s="133"/>
      <c r="DU12" s="131"/>
      <c r="DV12" s="134"/>
      <c r="DW12" s="133"/>
      <c r="DX12" s="131"/>
      <c r="DY12" s="134"/>
      <c r="DZ12" s="133"/>
      <c r="EA12" s="131"/>
    </row>
    <row r="13" spans="1:131" x14ac:dyDescent="0.2">
      <c r="A13" s="1726" t="str">
        <f>+'1870 Tesoro'!A14</f>
        <v>Ingresos varios</v>
      </c>
      <c r="B13" s="131"/>
      <c r="C13" s="134"/>
      <c r="D13" s="133"/>
      <c r="E13" s="131"/>
      <c r="F13" s="134"/>
      <c r="G13" s="133"/>
      <c r="H13" s="131"/>
      <c r="I13" s="134"/>
      <c r="J13" s="133"/>
      <c r="K13" s="131"/>
      <c r="L13" s="134"/>
      <c r="M13" s="133"/>
      <c r="N13" s="131"/>
      <c r="O13" s="134"/>
      <c r="P13" s="133"/>
      <c r="Q13" s="131">
        <f>+'1870 Tesoro'!B14</f>
        <v>3290</v>
      </c>
      <c r="R13" s="134"/>
      <c r="S13" s="133"/>
      <c r="T13" s="131"/>
      <c r="U13" s="134"/>
      <c r="V13" s="133"/>
      <c r="W13" s="131"/>
      <c r="X13" s="134"/>
      <c r="Y13" s="133"/>
      <c r="Z13" s="131"/>
      <c r="AA13" s="134"/>
      <c r="AB13" s="133"/>
      <c r="AC13" s="131"/>
      <c r="AD13" s="134"/>
      <c r="AE13" s="133"/>
      <c r="AF13" s="131"/>
      <c r="AG13" s="134"/>
      <c r="AH13" s="133"/>
      <c r="AI13" s="131">
        <f>+'1877 Tesoro'!B9</f>
        <v>5270</v>
      </c>
      <c r="AJ13" s="134">
        <f>+'1877 Tesoro'!C9</f>
        <v>675</v>
      </c>
      <c r="AK13" s="133"/>
      <c r="AL13" s="131">
        <f>+'1878 Tesoro'!B13</f>
        <v>10869</v>
      </c>
      <c r="AM13" s="134">
        <f>+'1878 Tesoro'!C13</f>
        <v>956</v>
      </c>
      <c r="AN13" s="133"/>
      <c r="AO13" s="131">
        <f>+'1879 Tesoro'!B13</f>
        <v>279379</v>
      </c>
      <c r="AP13" s="134">
        <f>+'1879 Tesoro'!C13</f>
        <v>800</v>
      </c>
      <c r="AQ13" s="133"/>
      <c r="AR13" s="131">
        <f>+'1880 Tesoro'!B71</f>
        <v>809375</v>
      </c>
      <c r="AS13" s="134">
        <f>+'1880 Tesoro'!C71</f>
        <v>275</v>
      </c>
      <c r="AT13" s="133"/>
      <c r="AU13" s="131">
        <f>+'1880 Tesoro'!B132</f>
        <v>327073</v>
      </c>
      <c r="AV13" s="134">
        <f>+'1880 Tesoro'!C132</f>
        <v>399</v>
      </c>
      <c r="AW13" s="133"/>
      <c r="AX13" s="131"/>
      <c r="AY13" s="134"/>
      <c r="AZ13" s="133"/>
      <c r="BA13" s="131"/>
      <c r="BB13" s="134"/>
      <c r="BC13" s="133"/>
      <c r="BD13" s="131"/>
      <c r="BE13" s="134"/>
      <c r="BF13" s="133"/>
      <c r="BG13" s="131"/>
      <c r="BH13" s="134"/>
      <c r="BI13" s="133"/>
      <c r="BJ13" s="131"/>
      <c r="BK13" s="134"/>
      <c r="BL13" s="133"/>
      <c r="BM13" s="131"/>
      <c r="BN13" s="134"/>
      <c r="BO13" s="133"/>
      <c r="BP13" s="131"/>
      <c r="BQ13" s="134"/>
      <c r="BR13" s="133"/>
      <c r="BS13" s="131"/>
      <c r="BT13" s="134"/>
      <c r="BU13" s="133"/>
      <c r="BV13" s="131"/>
      <c r="BW13" s="134"/>
      <c r="BX13" s="133"/>
      <c r="BY13" s="131"/>
      <c r="BZ13" s="134"/>
      <c r="CA13" s="133"/>
      <c r="CB13" s="131"/>
      <c r="CC13" s="134"/>
      <c r="CD13" s="133"/>
      <c r="CE13" s="131"/>
      <c r="CF13" s="134"/>
      <c r="CG13" s="133"/>
      <c r="CH13" s="131"/>
      <c r="CI13" s="134"/>
      <c r="CJ13" s="133"/>
      <c r="CK13" s="131"/>
      <c r="CL13" s="134"/>
      <c r="CM13" s="133"/>
      <c r="CN13" s="131"/>
      <c r="CO13" s="134"/>
      <c r="CP13" s="133"/>
      <c r="CQ13" s="131"/>
      <c r="CR13" s="134"/>
      <c r="CS13" s="133"/>
      <c r="CT13" s="131"/>
      <c r="CU13" s="134"/>
      <c r="CV13" s="133"/>
      <c r="CW13" s="131"/>
      <c r="CX13" s="134"/>
      <c r="CY13" s="133"/>
      <c r="CZ13" s="131"/>
      <c r="DA13" s="134"/>
      <c r="DB13" s="133"/>
      <c r="DC13" s="131"/>
      <c r="DD13" s="134"/>
      <c r="DE13" s="133"/>
      <c r="DF13" s="131"/>
      <c r="DG13" s="134"/>
      <c r="DH13" s="133"/>
      <c r="DI13" s="131"/>
      <c r="DJ13" s="134"/>
      <c r="DK13" s="133"/>
      <c r="DL13" s="131"/>
      <c r="DM13" s="134"/>
      <c r="DN13" s="133"/>
      <c r="DO13" s="131"/>
      <c r="DP13" s="134"/>
      <c r="DQ13" s="133"/>
      <c r="DR13" s="131"/>
      <c r="DS13" s="134"/>
      <c r="DT13" s="133"/>
      <c r="DU13" s="131"/>
      <c r="DV13" s="134"/>
      <c r="DW13" s="133"/>
      <c r="DX13" s="131"/>
      <c r="DY13" s="134"/>
      <c r="DZ13" s="133"/>
      <c r="EA13" s="131"/>
    </row>
    <row r="14" spans="1:131" x14ac:dyDescent="0.2">
      <c r="A14" s="1726" t="str">
        <f>+'1870 Tesoro'!A15</f>
        <v>Aprovechamientos</v>
      </c>
      <c r="B14" s="131">
        <f>+'1870 Tesoro'!D618</f>
        <v>26799</v>
      </c>
      <c r="C14" s="134">
        <f>+'1870 Tesoro'!E618</f>
        <v>364</v>
      </c>
      <c r="D14" s="133"/>
      <c r="E14" s="131">
        <f>+'1870 Tesoro'!D646</f>
        <v>10916</v>
      </c>
      <c r="F14" s="134">
        <f>+'1870 Tesoro'!E646</f>
        <v>459</v>
      </c>
      <c r="G14" s="133">
        <f>+'1870 Tesoro'!F646</f>
        <v>0.5</v>
      </c>
      <c r="H14" s="131">
        <f>+'1870 Tesoro'!G672</f>
        <v>124328</v>
      </c>
      <c r="I14" s="134">
        <f>+'1870 Tesoro'!H672</f>
        <v>487</v>
      </c>
      <c r="J14" s="133"/>
      <c r="K14" s="131">
        <f>+'1870 Tesoro'!H700</f>
        <v>32133</v>
      </c>
      <c r="L14" s="134">
        <f>+'1870 Tesoro'!I700</f>
        <v>165</v>
      </c>
      <c r="M14" s="133">
        <f>+'1870 Tesoro'!J700</f>
        <v>0.5</v>
      </c>
      <c r="N14" s="131"/>
      <c r="O14" s="134"/>
      <c r="P14" s="133"/>
      <c r="Q14" s="131">
        <f>+'1870 Tesoro'!B15</f>
        <v>178980</v>
      </c>
      <c r="R14" s="134"/>
      <c r="S14" s="133"/>
      <c r="T14" s="131"/>
      <c r="U14" s="134"/>
      <c r="V14" s="133"/>
      <c r="W14" s="131"/>
      <c r="X14" s="134"/>
      <c r="Y14" s="133"/>
      <c r="Z14" s="131"/>
      <c r="AA14" s="134"/>
      <c r="AB14" s="133"/>
      <c r="AC14" s="131">
        <f>+'1875 Tesoro'!E60</f>
        <v>708626</v>
      </c>
      <c r="AD14" s="134">
        <f>+'1875 Tesoro'!F60</f>
        <v>249</v>
      </c>
      <c r="AE14" s="133">
        <f>+'1875 Tesoro'!G60</f>
        <v>0.5</v>
      </c>
      <c r="AF14" s="131">
        <f>+'1875 Tesoro'!E101</f>
        <v>810822</v>
      </c>
      <c r="AG14" s="134">
        <f>+'1875 Tesoro'!F101</f>
        <v>12</v>
      </c>
      <c r="AH14" s="133"/>
      <c r="AI14" s="131">
        <f>+'1877 Tesoro'!B6</f>
        <v>688576</v>
      </c>
      <c r="AJ14" s="134">
        <f>+'1877 Tesoro'!C6</f>
        <v>674</v>
      </c>
      <c r="AK14" s="133"/>
      <c r="AL14" s="131">
        <f>+'1878 Tesoro'!B15</f>
        <v>424293</v>
      </c>
      <c r="AM14" s="134">
        <f>+'1878 Tesoro'!C15</f>
        <v>789</v>
      </c>
      <c r="AN14" s="133"/>
      <c r="AO14" s="131"/>
      <c r="AP14" s="134"/>
      <c r="AQ14" s="133"/>
      <c r="AR14" s="131"/>
      <c r="AS14" s="134"/>
      <c r="AT14" s="133"/>
      <c r="AU14" s="131"/>
      <c r="AV14" s="134"/>
      <c r="AW14" s="133"/>
      <c r="AX14" s="131"/>
      <c r="AY14" s="134"/>
      <c r="AZ14" s="133"/>
      <c r="BA14" s="131"/>
      <c r="BB14" s="134"/>
      <c r="BC14" s="133"/>
      <c r="BD14" s="131"/>
      <c r="BE14" s="134"/>
      <c r="BF14" s="133"/>
      <c r="BG14" s="131"/>
      <c r="BH14" s="134"/>
      <c r="BI14" s="133"/>
      <c r="BJ14" s="131"/>
      <c r="BK14" s="134"/>
      <c r="BL14" s="133"/>
      <c r="BM14" s="131"/>
      <c r="BN14" s="134"/>
      <c r="BO14" s="133"/>
      <c r="BP14" s="131"/>
      <c r="BQ14" s="134"/>
      <c r="BR14" s="133"/>
      <c r="BS14" s="131"/>
      <c r="BT14" s="134"/>
      <c r="BU14" s="133"/>
      <c r="BV14" s="131"/>
      <c r="BW14" s="134"/>
      <c r="BX14" s="133"/>
      <c r="BY14" s="131"/>
      <c r="BZ14" s="134"/>
      <c r="CA14" s="133"/>
      <c r="CB14" s="131"/>
      <c r="CC14" s="134"/>
      <c r="CD14" s="133"/>
      <c r="CE14" s="131"/>
      <c r="CF14" s="134"/>
      <c r="CG14" s="133"/>
      <c r="CH14" s="131"/>
      <c r="CI14" s="134"/>
      <c r="CJ14" s="133"/>
      <c r="CK14" s="131"/>
      <c r="CL14" s="134"/>
      <c r="CM14" s="133"/>
      <c r="CN14" s="131"/>
      <c r="CO14" s="134"/>
      <c r="CP14" s="133"/>
      <c r="CQ14" s="131"/>
      <c r="CR14" s="134"/>
      <c r="CS14" s="133"/>
      <c r="CT14" s="131"/>
      <c r="CU14" s="134"/>
      <c r="CV14" s="133"/>
      <c r="CW14" s="131"/>
      <c r="CX14" s="134"/>
      <c r="CY14" s="133"/>
      <c r="CZ14" s="131"/>
      <c r="DA14" s="134"/>
      <c r="DB14" s="133"/>
      <c r="DC14" s="131"/>
      <c r="DD14" s="134"/>
      <c r="DE14" s="133"/>
      <c r="DF14" s="131"/>
      <c r="DG14" s="134"/>
      <c r="DH14" s="133"/>
      <c r="DI14" s="131"/>
      <c r="DJ14" s="134"/>
      <c r="DK14" s="133"/>
      <c r="DL14" s="131"/>
      <c r="DM14" s="134"/>
      <c r="DN14" s="133"/>
      <c r="DO14" s="131"/>
      <c r="DP14" s="134"/>
      <c r="DQ14" s="133"/>
      <c r="DR14" s="131"/>
      <c r="DS14" s="134"/>
      <c r="DT14" s="133"/>
      <c r="DU14" s="131"/>
      <c r="DV14" s="134"/>
      <c r="DW14" s="133"/>
      <c r="DX14" s="131"/>
      <c r="DY14" s="134"/>
      <c r="DZ14" s="133"/>
      <c r="EA14" s="131"/>
    </row>
    <row r="15" spans="1:131" x14ac:dyDescent="0.2">
      <c r="A15" s="1726" t="str">
        <f>+'1870 Tesoro'!A644</f>
        <v>Empresa de ferrocarril</v>
      </c>
      <c r="B15" s="164"/>
      <c r="C15" s="134"/>
      <c r="D15" s="134"/>
      <c r="E15" s="164">
        <f>+'1870 Tesoro'!D644</f>
        <v>30836</v>
      </c>
      <c r="F15" s="134">
        <f>+'1870 Tesoro'!E644</f>
        <v>610</v>
      </c>
      <c r="G15" s="133"/>
      <c r="H15" s="164">
        <f>+'1870 Tesoro'!G669</f>
        <v>55150</v>
      </c>
      <c r="I15" s="134"/>
      <c r="J15" s="134"/>
      <c r="K15" s="164">
        <f>+'1870 Tesoro'!H697</f>
        <v>1107260</v>
      </c>
      <c r="L15" s="134">
        <f>+'1870 Tesoro'!I697</f>
        <v>390</v>
      </c>
      <c r="M15" s="134"/>
      <c r="N15" s="164"/>
      <c r="O15" s="134"/>
      <c r="P15" s="134"/>
      <c r="Q15" s="164"/>
      <c r="R15" s="134"/>
      <c r="S15" s="134"/>
      <c r="T15" s="164"/>
      <c r="U15" s="134"/>
      <c r="V15" s="134"/>
      <c r="W15" s="164"/>
      <c r="X15" s="134"/>
      <c r="Y15" s="134"/>
      <c r="Z15" s="164"/>
      <c r="AA15" s="134"/>
      <c r="AB15" s="134"/>
      <c r="AC15" s="131"/>
      <c r="AD15" s="134"/>
      <c r="AE15" s="134"/>
      <c r="AF15" s="131"/>
      <c r="AG15" s="134"/>
      <c r="AH15" s="134"/>
      <c r="AI15" s="131"/>
      <c r="AJ15" s="134"/>
      <c r="AK15" s="134"/>
      <c r="AL15" s="131"/>
      <c r="AM15" s="134"/>
      <c r="AN15" s="134"/>
      <c r="AO15" s="131"/>
      <c r="AP15" s="134"/>
      <c r="AQ15" s="134"/>
      <c r="AR15" s="131"/>
      <c r="AS15" s="134"/>
      <c r="AT15" s="134"/>
      <c r="AU15" s="131"/>
      <c r="AV15" s="134"/>
      <c r="AW15" s="134"/>
      <c r="AX15" s="131"/>
      <c r="AY15" s="134"/>
      <c r="AZ15" s="134"/>
      <c r="BA15" s="131"/>
      <c r="BB15" s="134"/>
      <c r="BC15" s="134"/>
      <c r="BD15" s="164"/>
      <c r="BE15" s="134"/>
      <c r="BF15" s="134"/>
      <c r="BG15" s="164"/>
      <c r="BH15" s="134"/>
      <c r="BI15" s="134"/>
      <c r="BJ15" s="164"/>
      <c r="BK15" s="134"/>
      <c r="BL15" s="134"/>
      <c r="BM15" s="164"/>
      <c r="BN15" s="134"/>
      <c r="BO15" s="134"/>
      <c r="BP15" s="164"/>
      <c r="BQ15" s="134"/>
      <c r="BR15" s="134"/>
      <c r="BS15" s="164"/>
      <c r="BT15" s="134"/>
      <c r="BU15" s="134"/>
      <c r="BV15" s="164"/>
      <c r="BW15" s="134"/>
      <c r="BX15" s="134"/>
      <c r="BY15" s="164"/>
      <c r="BZ15" s="134"/>
      <c r="CA15" s="134"/>
      <c r="CB15" s="164"/>
      <c r="CC15" s="134"/>
      <c r="CD15" s="134"/>
      <c r="CE15" s="164"/>
      <c r="CF15" s="134"/>
      <c r="CG15" s="134"/>
      <c r="CH15" s="164"/>
      <c r="CI15" s="134"/>
      <c r="CJ15" s="134"/>
      <c r="CK15" s="164"/>
      <c r="CL15" s="134"/>
      <c r="CM15" s="134"/>
      <c r="CN15" s="164"/>
      <c r="CO15" s="134"/>
      <c r="CP15" s="134"/>
      <c r="CQ15" s="164"/>
      <c r="CR15" s="134"/>
      <c r="CS15" s="134"/>
      <c r="CT15" s="164"/>
      <c r="CU15" s="134"/>
      <c r="CV15" s="134"/>
      <c r="CW15" s="164"/>
      <c r="CX15" s="134"/>
      <c r="CY15" s="134"/>
      <c r="CZ15" s="164"/>
      <c r="DA15" s="134"/>
      <c r="DB15" s="134"/>
      <c r="DC15" s="164"/>
      <c r="DD15" s="134"/>
      <c r="DE15" s="134"/>
      <c r="DF15" s="164"/>
      <c r="DG15" s="134"/>
      <c r="DH15" s="134"/>
      <c r="DI15" s="164"/>
      <c r="DJ15" s="134"/>
      <c r="DK15" s="134"/>
      <c r="DL15" s="164"/>
      <c r="DM15" s="134"/>
      <c r="DN15" s="134"/>
      <c r="DO15" s="164"/>
      <c r="DP15" s="134"/>
      <c r="DQ15" s="134"/>
      <c r="DR15" s="164"/>
      <c r="DS15" s="134"/>
      <c r="DT15" s="134"/>
      <c r="DU15" s="164"/>
      <c r="DV15" s="134"/>
      <c r="DW15" s="134"/>
      <c r="DX15" s="164"/>
      <c r="DY15" s="134"/>
      <c r="DZ15" s="134"/>
      <c r="EA15" s="164"/>
    </row>
    <row r="16" spans="1:131" x14ac:dyDescent="0.2">
      <c r="A16" s="1726" t="str">
        <f>+'1875 Tesoro'!A52:D52</f>
        <v>Telégrafo</v>
      </c>
      <c r="B16" s="164"/>
      <c r="C16" s="134"/>
      <c r="D16" s="133"/>
      <c r="E16" s="164"/>
      <c r="F16" s="134"/>
      <c r="G16" s="133"/>
      <c r="H16" s="164"/>
      <c r="I16" s="134"/>
      <c r="J16" s="133"/>
      <c r="K16" s="164"/>
      <c r="L16" s="134"/>
      <c r="M16" s="133"/>
      <c r="N16" s="164"/>
      <c r="O16" s="134"/>
      <c r="P16" s="133"/>
      <c r="Q16" s="164"/>
      <c r="R16" s="134"/>
      <c r="S16" s="133"/>
      <c r="T16" s="164"/>
      <c r="U16" s="134"/>
      <c r="V16" s="133"/>
      <c r="W16" s="164"/>
      <c r="X16" s="134"/>
      <c r="Y16" s="133"/>
      <c r="Z16" s="164"/>
      <c r="AA16" s="134"/>
      <c r="AB16" s="133"/>
      <c r="AC16" s="131">
        <f>+'1875 Tesoro'!E52</f>
        <v>11636</v>
      </c>
      <c r="AD16" s="134">
        <f>+'1875 Tesoro'!F52</f>
        <v>825</v>
      </c>
      <c r="AE16" s="133"/>
      <c r="AF16" s="131">
        <f>+'1875 Tesoro'!E95</f>
        <v>14717</v>
      </c>
      <c r="AG16" s="134">
        <f>+'1875 Tesoro'!F95</f>
        <v>200</v>
      </c>
      <c r="AH16" s="133"/>
      <c r="AI16" s="131">
        <f>+'1877 Tesoro'!B14</f>
        <v>23070</v>
      </c>
      <c r="AJ16" s="134">
        <f>+'1877 Tesoro'!C14</f>
        <v>995</v>
      </c>
      <c r="AK16" s="133"/>
      <c r="AL16" s="131">
        <f>+'1878 Tesoro'!B8</f>
        <v>28688</v>
      </c>
      <c r="AM16" s="134">
        <f>+'1878 Tesoro'!C8</f>
        <v>785</v>
      </c>
      <c r="AN16" s="133"/>
      <c r="AO16" s="131">
        <f>+'1879 Tesoro'!B8</f>
        <v>7513</v>
      </c>
      <c r="AP16" s="134">
        <f>+'1879 Tesoro'!C8</f>
        <v>895</v>
      </c>
      <c r="AQ16" s="133"/>
      <c r="AR16" s="131">
        <f>+'1880 Tesoro'!B66</f>
        <v>22438</v>
      </c>
      <c r="AS16" s="134">
        <f>+'1880 Tesoro'!C66</f>
        <v>385</v>
      </c>
      <c r="AT16" s="133"/>
      <c r="AU16" s="131">
        <f>+'1880 Tesoro'!B131</f>
        <v>23299</v>
      </c>
      <c r="AV16" s="134">
        <f>+'1880 Tesoro'!C131</f>
        <v>700</v>
      </c>
      <c r="AW16" s="133"/>
      <c r="AX16" s="131">
        <f>+'1882 Tesoro'!B35</f>
        <v>27870</v>
      </c>
      <c r="AY16" s="134">
        <f>+'1882 Tesoro'!C35</f>
        <v>750</v>
      </c>
      <c r="AZ16" s="133"/>
      <c r="BA16" s="131">
        <f>+'1882 Tesoro'!B123</f>
        <v>33430</v>
      </c>
      <c r="BB16" s="134">
        <f>+'1882 Tesoro'!C123</f>
        <v>250</v>
      </c>
      <c r="BC16" s="133"/>
      <c r="BD16" s="164"/>
      <c r="BE16" s="134"/>
      <c r="BF16" s="133"/>
      <c r="BG16" s="164"/>
      <c r="BH16" s="134"/>
      <c r="BI16" s="133"/>
      <c r="BJ16" s="164"/>
      <c r="BK16" s="134"/>
      <c r="BL16" s="133"/>
      <c r="BM16" s="164"/>
      <c r="BN16" s="134"/>
      <c r="BO16" s="133"/>
      <c r="BP16" s="164"/>
      <c r="BQ16" s="134"/>
      <c r="BR16" s="133"/>
      <c r="BS16" s="164"/>
      <c r="BT16" s="134"/>
      <c r="BU16" s="133"/>
      <c r="BV16" s="164"/>
      <c r="BW16" s="134"/>
      <c r="BX16" s="133"/>
      <c r="BY16" s="164"/>
      <c r="BZ16" s="134"/>
      <c r="CA16" s="133"/>
      <c r="CB16" s="164"/>
      <c r="CC16" s="134"/>
      <c r="CD16" s="133"/>
      <c r="CE16" s="164"/>
      <c r="CF16" s="134"/>
      <c r="CG16" s="133"/>
      <c r="CH16" s="164"/>
      <c r="CI16" s="134"/>
      <c r="CJ16" s="133"/>
      <c r="CK16" s="164"/>
      <c r="CL16" s="134"/>
      <c r="CM16" s="133"/>
      <c r="CN16" s="164"/>
      <c r="CO16" s="134"/>
      <c r="CP16" s="133"/>
      <c r="CQ16" s="164"/>
      <c r="CR16" s="134"/>
      <c r="CS16" s="133"/>
      <c r="CT16" s="164"/>
      <c r="CU16" s="134"/>
      <c r="CV16" s="133"/>
      <c r="CW16" s="164"/>
      <c r="CX16" s="134"/>
      <c r="CY16" s="133"/>
      <c r="CZ16" s="164"/>
      <c r="DA16" s="134"/>
      <c r="DB16" s="133"/>
      <c r="DC16" s="164"/>
      <c r="DD16" s="134"/>
      <c r="DE16" s="133"/>
      <c r="DF16" s="164"/>
      <c r="DG16" s="134"/>
      <c r="DH16" s="133"/>
      <c r="DI16" s="164"/>
      <c r="DJ16" s="134"/>
      <c r="DK16" s="133"/>
      <c r="DL16" s="164"/>
      <c r="DM16" s="134"/>
      <c r="DN16" s="133"/>
      <c r="DO16" s="164"/>
      <c r="DP16" s="134"/>
      <c r="DQ16" s="133"/>
      <c r="DR16" s="164"/>
      <c r="DS16" s="134"/>
      <c r="DT16" s="133"/>
      <c r="DU16" s="164"/>
      <c r="DV16" s="134"/>
      <c r="DW16" s="133"/>
      <c r="DX16" s="164"/>
      <c r="DY16" s="134"/>
      <c r="DZ16" s="133"/>
      <c r="EA16" s="164"/>
    </row>
    <row r="17" spans="1:131" x14ac:dyDescent="0.2">
      <c r="A17" s="1726" t="str">
        <f>+'1875 Tesoro'!A57:D57</f>
        <v>Derecho de internacion de sales</v>
      </c>
      <c r="B17" s="164"/>
      <c r="C17" s="134"/>
      <c r="D17" s="133"/>
      <c r="E17" s="164"/>
      <c r="F17" s="134"/>
      <c r="G17" s="133"/>
      <c r="H17" s="164"/>
      <c r="I17" s="134"/>
      <c r="J17" s="133"/>
      <c r="K17" s="164"/>
      <c r="L17" s="134"/>
      <c r="M17" s="133"/>
      <c r="N17" s="164"/>
      <c r="O17" s="134"/>
      <c r="P17" s="133"/>
      <c r="Q17" s="164"/>
      <c r="R17" s="134"/>
      <c r="S17" s="133"/>
      <c r="T17" s="164"/>
      <c r="U17" s="134"/>
      <c r="V17" s="133"/>
      <c r="W17" s="164"/>
      <c r="X17" s="134"/>
      <c r="Y17" s="133"/>
      <c r="Z17" s="164"/>
      <c r="AA17" s="134"/>
      <c r="AB17" s="133"/>
      <c r="AC17" s="131">
        <f>+'1875 Tesoro'!E57</f>
        <v>890</v>
      </c>
      <c r="AD17" s="134">
        <f>+'1875 Tesoro'!F57</f>
        <v>900</v>
      </c>
      <c r="AE17" s="133"/>
      <c r="AF17" s="131"/>
      <c r="AG17" s="134"/>
      <c r="AH17" s="133"/>
      <c r="AI17" s="131"/>
      <c r="AJ17" s="134"/>
      <c r="AK17" s="133"/>
      <c r="AL17" s="131"/>
      <c r="AM17" s="134"/>
      <c r="AN17" s="133"/>
      <c r="AO17" s="131"/>
      <c r="AP17" s="134"/>
      <c r="AQ17" s="133"/>
      <c r="AR17" s="131"/>
      <c r="AS17" s="134"/>
      <c r="AT17" s="133"/>
      <c r="AU17" s="131"/>
      <c r="AV17" s="134"/>
      <c r="AW17" s="133"/>
      <c r="AX17" s="131">
        <f>+'1882 Tesoro'!B38</f>
        <v>159049</v>
      </c>
      <c r="AY17" s="134">
        <f>+'1882 Tesoro'!C38</f>
        <v>550</v>
      </c>
      <c r="AZ17" s="133"/>
      <c r="BA17" s="131">
        <f>+'1882 Tesoro'!B126</f>
        <v>434206</v>
      </c>
      <c r="BB17" s="134">
        <f>+'1882 Tesoro'!C126</f>
        <v>0</v>
      </c>
      <c r="BC17" s="133"/>
      <c r="BD17" s="164"/>
      <c r="BE17" s="134"/>
      <c r="BF17" s="133"/>
      <c r="BG17" s="164"/>
      <c r="BH17" s="134"/>
      <c r="BI17" s="133"/>
      <c r="BJ17" s="164"/>
      <c r="BK17" s="134"/>
      <c r="BL17" s="133"/>
      <c r="BM17" s="164"/>
      <c r="BN17" s="134"/>
      <c r="BO17" s="133"/>
      <c r="BP17" s="164"/>
      <c r="BQ17" s="134"/>
      <c r="BR17" s="133"/>
      <c r="BS17" s="164"/>
      <c r="BT17" s="134"/>
      <c r="BU17" s="133"/>
      <c r="BV17" s="164"/>
      <c r="BW17" s="134"/>
      <c r="BX17" s="133"/>
      <c r="BY17" s="164"/>
      <c r="BZ17" s="134"/>
      <c r="CA17" s="133"/>
      <c r="CB17" s="164"/>
      <c r="CC17" s="134"/>
      <c r="CD17" s="133"/>
      <c r="CE17" s="164"/>
      <c r="CF17" s="134"/>
      <c r="CG17" s="133"/>
      <c r="CH17" s="164"/>
      <c r="CI17" s="134"/>
      <c r="CJ17" s="133"/>
      <c r="CK17" s="164"/>
      <c r="CL17" s="134"/>
      <c r="CM17" s="133"/>
      <c r="CN17" s="164"/>
      <c r="CO17" s="134"/>
      <c r="CP17" s="133"/>
      <c r="CQ17" s="164"/>
      <c r="CR17" s="134"/>
      <c r="CS17" s="133"/>
      <c r="CT17" s="164"/>
      <c r="CU17" s="134"/>
      <c r="CV17" s="133"/>
      <c r="CW17" s="164"/>
      <c r="CX17" s="134"/>
      <c r="CY17" s="133"/>
      <c r="CZ17" s="164"/>
      <c r="DA17" s="134"/>
      <c r="DB17" s="133"/>
      <c r="DC17" s="164"/>
      <c r="DD17" s="134"/>
      <c r="DE17" s="133"/>
      <c r="DF17" s="164"/>
      <c r="DG17" s="134"/>
      <c r="DH17" s="133"/>
      <c r="DI17" s="164"/>
      <c r="DJ17" s="134"/>
      <c r="DK17" s="133"/>
      <c r="DL17" s="164"/>
      <c r="DM17" s="134"/>
      <c r="DN17" s="133"/>
      <c r="DO17" s="164"/>
      <c r="DP17" s="134"/>
      <c r="DQ17" s="133"/>
      <c r="DR17" s="164"/>
      <c r="DS17" s="134"/>
      <c r="DT17" s="133"/>
      <c r="DU17" s="164"/>
      <c r="DV17" s="134"/>
      <c r="DW17" s="133"/>
      <c r="DX17" s="164"/>
      <c r="DY17" s="134"/>
      <c r="DZ17" s="133"/>
      <c r="EA17" s="164"/>
    </row>
    <row r="18" spans="1:131" x14ac:dyDescent="0.2">
      <c r="A18" s="1726" t="str">
        <f>+'1875 Tesoro'!A58:D58</f>
        <v>Venta de bienes desamortizados</v>
      </c>
      <c r="B18" s="164"/>
      <c r="C18" s="134"/>
      <c r="D18" s="133"/>
      <c r="E18" s="164"/>
      <c r="F18" s="134"/>
      <c r="G18" s="133"/>
      <c r="H18" s="164"/>
      <c r="I18" s="134"/>
      <c r="J18" s="133"/>
      <c r="K18" s="164"/>
      <c r="L18" s="134"/>
      <c r="M18" s="133"/>
      <c r="N18" s="164"/>
      <c r="O18" s="134"/>
      <c r="P18" s="133"/>
      <c r="Q18" s="164"/>
      <c r="R18" s="134"/>
      <c r="S18" s="133"/>
      <c r="T18" s="164"/>
      <c r="U18" s="134"/>
      <c r="V18" s="133"/>
      <c r="W18" s="164"/>
      <c r="X18" s="134"/>
      <c r="Y18" s="133"/>
      <c r="Z18" s="164"/>
      <c r="AA18" s="134"/>
      <c r="AB18" s="133"/>
      <c r="AC18" s="131">
        <f>+'1875 Tesoro'!E58</f>
        <v>392233</v>
      </c>
      <c r="AD18" s="134">
        <f>+'1875 Tesoro'!F58</f>
        <v>855</v>
      </c>
      <c r="AE18" s="133"/>
      <c r="AF18" s="131"/>
      <c r="AG18" s="134"/>
      <c r="AH18" s="133"/>
      <c r="AI18" s="131">
        <f>+'1877 Tesoro'!B15</f>
        <v>108211</v>
      </c>
      <c r="AJ18" s="134">
        <f>+'1877 Tesoro'!C15</f>
        <v>250</v>
      </c>
      <c r="AK18" s="133"/>
      <c r="AL18" s="131">
        <f>+'1878 Tesoro'!B16</f>
        <v>50458</v>
      </c>
      <c r="AM18" s="134">
        <f>+'1878 Tesoro'!C16</f>
        <v>325</v>
      </c>
      <c r="AN18" s="133"/>
      <c r="AO18" s="131"/>
      <c r="AP18" s="134"/>
      <c r="AQ18" s="133"/>
      <c r="AR18" s="131"/>
      <c r="AS18" s="134"/>
      <c r="AT18" s="133"/>
      <c r="AU18" s="131"/>
      <c r="AV18" s="134"/>
      <c r="AW18" s="133"/>
      <c r="AX18" s="131"/>
      <c r="AY18" s="134"/>
      <c r="AZ18" s="133"/>
      <c r="BA18" s="131"/>
      <c r="BB18" s="134"/>
      <c r="BC18" s="133"/>
      <c r="BD18" s="164"/>
      <c r="BE18" s="134"/>
      <c r="BF18" s="133"/>
      <c r="BG18" s="164"/>
      <c r="BH18" s="134"/>
      <c r="BI18" s="133"/>
      <c r="BJ18" s="164"/>
      <c r="BK18" s="134"/>
      <c r="BL18" s="133"/>
      <c r="BM18" s="164"/>
      <c r="BN18" s="134"/>
      <c r="BO18" s="133"/>
      <c r="BP18" s="164"/>
      <c r="BQ18" s="134"/>
      <c r="BR18" s="133"/>
      <c r="BS18" s="164"/>
      <c r="BT18" s="134"/>
      <c r="BU18" s="133"/>
      <c r="BV18" s="164"/>
      <c r="BW18" s="134"/>
      <c r="BX18" s="133"/>
      <c r="BY18" s="164"/>
      <c r="BZ18" s="134"/>
      <c r="CA18" s="133"/>
      <c r="CB18" s="164"/>
      <c r="CC18" s="134"/>
      <c r="CD18" s="133"/>
      <c r="CE18" s="164"/>
      <c r="CF18" s="134"/>
      <c r="CG18" s="133"/>
      <c r="CH18" s="164"/>
      <c r="CI18" s="134"/>
      <c r="CJ18" s="133"/>
      <c r="CK18" s="164"/>
      <c r="CL18" s="134"/>
      <c r="CM18" s="133"/>
      <c r="CN18" s="164"/>
      <c r="CO18" s="134"/>
      <c r="CP18" s="133"/>
      <c r="CQ18" s="164"/>
      <c r="CR18" s="134"/>
      <c r="CS18" s="133"/>
      <c r="CT18" s="164"/>
      <c r="CU18" s="134"/>
      <c r="CV18" s="133"/>
      <c r="CW18" s="164"/>
      <c r="CX18" s="134"/>
      <c r="CY18" s="133"/>
      <c r="CZ18" s="164"/>
      <c r="DA18" s="134"/>
      <c r="DB18" s="133"/>
      <c r="DC18" s="164"/>
      <c r="DD18" s="134"/>
      <c r="DE18" s="133"/>
      <c r="DF18" s="164"/>
      <c r="DG18" s="134"/>
      <c r="DH18" s="133"/>
      <c r="DI18" s="164"/>
      <c r="DJ18" s="134"/>
      <c r="DK18" s="133"/>
      <c r="DL18" s="164"/>
      <c r="DM18" s="134"/>
      <c r="DN18" s="133"/>
      <c r="DO18" s="164"/>
      <c r="DP18" s="134"/>
      <c r="DQ18" s="133"/>
      <c r="DR18" s="164"/>
      <c r="DS18" s="134"/>
      <c r="DT18" s="133"/>
      <c r="DU18" s="164"/>
      <c r="DV18" s="134"/>
      <c r="DW18" s="133"/>
      <c r="DX18" s="164"/>
      <c r="DY18" s="134"/>
      <c r="DZ18" s="133"/>
      <c r="EA18" s="164"/>
    </row>
    <row r="19" spans="1:131" x14ac:dyDescent="0.2">
      <c r="A19" s="1726" t="str">
        <f>+'1875 Tesoro'!A59:D59</f>
        <v>Ingresos varios</v>
      </c>
      <c r="B19" s="164"/>
      <c r="C19" s="134"/>
      <c r="D19" s="133"/>
      <c r="E19" s="164"/>
      <c r="F19" s="134"/>
      <c r="G19" s="133"/>
      <c r="H19" s="164"/>
      <c r="I19" s="134"/>
      <c r="J19" s="133"/>
      <c r="K19" s="164"/>
      <c r="L19" s="134"/>
      <c r="M19" s="133"/>
      <c r="N19" s="164"/>
      <c r="O19" s="134"/>
      <c r="P19" s="133"/>
      <c r="Q19" s="164"/>
      <c r="R19" s="134"/>
      <c r="S19" s="133"/>
      <c r="T19" s="164"/>
      <c r="U19" s="134"/>
      <c r="V19" s="133"/>
      <c r="W19" s="164"/>
      <c r="X19" s="134"/>
      <c r="Y19" s="133"/>
      <c r="Z19" s="164"/>
      <c r="AA19" s="134"/>
      <c r="AB19" s="133"/>
      <c r="AC19" s="131">
        <f>+'1875 Tesoro'!E59</f>
        <v>50</v>
      </c>
      <c r="AD19" s="134">
        <f>+'1875 Tesoro'!F59</f>
        <v>0</v>
      </c>
      <c r="AE19" s="133"/>
      <c r="AF19" s="131">
        <f>+'1875 Tesoro'!E100</f>
        <v>7910</v>
      </c>
      <c r="AG19" s="134">
        <f>+'1875 Tesoro'!F100</f>
        <v>225</v>
      </c>
      <c r="AH19" s="133"/>
      <c r="AI19" s="131"/>
      <c r="AJ19" s="134"/>
      <c r="AK19" s="133"/>
      <c r="AL19" s="131"/>
      <c r="AM19" s="134"/>
      <c r="AN19" s="133"/>
      <c r="AO19" s="131"/>
      <c r="AP19" s="134"/>
      <c r="AQ19" s="133"/>
      <c r="AR19" s="131"/>
      <c r="AS19" s="134"/>
      <c r="AT19" s="133"/>
      <c r="AU19" s="131"/>
      <c r="AV19" s="134"/>
      <c r="AW19" s="133"/>
      <c r="AX19" s="131">
        <f>+'1882 Tesoro'!B37</f>
        <v>335036</v>
      </c>
      <c r="AY19" s="134">
        <f>+'1882 Tesoro'!C37</f>
        <v>220</v>
      </c>
      <c r="AZ19" s="133">
        <f>+'1882 Tesoro'!D37</f>
        <v>0.5</v>
      </c>
      <c r="BA19" s="131">
        <f>+'1882 Tesoro'!B128</f>
        <v>649631</v>
      </c>
      <c r="BB19" s="134">
        <f>+'1882 Tesoro'!C128</f>
        <v>138</v>
      </c>
      <c r="BC19" s="133"/>
      <c r="BD19" s="164"/>
      <c r="BE19" s="134"/>
      <c r="BF19" s="133"/>
      <c r="BG19" s="164"/>
      <c r="BH19" s="134"/>
      <c r="BI19" s="133"/>
      <c r="BJ19" s="164"/>
      <c r="BK19" s="134"/>
      <c r="BL19" s="133"/>
      <c r="BM19" s="164"/>
      <c r="BN19" s="134"/>
      <c r="BO19" s="133"/>
      <c r="BP19" s="164"/>
      <c r="BQ19" s="134"/>
      <c r="BR19" s="133"/>
      <c r="BS19" s="164"/>
      <c r="BT19" s="134"/>
      <c r="BU19" s="133"/>
      <c r="BV19" s="164"/>
      <c r="BW19" s="134"/>
      <c r="BX19" s="133"/>
      <c r="BY19" s="164"/>
      <c r="BZ19" s="134"/>
      <c r="CA19" s="133"/>
      <c r="CB19" s="164"/>
      <c r="CC19" s="134"/>
      <c r="CD19" s="133"/>
      <c r="CE19" s="164"/>
      <c r="CF19" s="134"/>
      <c r="CG19" s="133"/>
      <c r="CH19" s="164"/>
      <c r="CI19" s="134"/>
      <c r="CJ19" s="133"/>
      <c r="CK19" s="164"/>
      <c r="CL19" s="134"/>
      <c r="CM19" s="133"/>
      <c r="CN19" s="164"/>
      <c r="CO19" s="134"/>
      <c r="CP19" s="133"/>
      <c r="CQ19" s="164"/>
      <c r="CR19" s="134"/>
      <c r="CS19" s="133"/>
      <c r="CT19" s="164"/>
      <c r="CU19" s="134"/>
      <c r="CV19" s="133"/>
      <c r="CW19" s="164"/>
      <c r="CX19" s="134"/>
      <c r="CY19" s="133"/>
      <c r="CZ19" s="164"/>
      <c r="DA19" s="134"/>
      <c r="DB19" s="133"/>
      <c r="DC19" s="164"/>
      <c r="DD19" s="134"/>
      <c r="DE19" s="133"/>
      <c r="DF19" s="164"/>
      <c r="DG19" s="134"/>
      <c r="DH19" s="133"/>
      <c r="DI19" s="164"/>
      <c r="DJ19" s="134"/>
      <c r="DK19" s="133"/>
      <c r="DL19" s="164"/>
      <c r="DM19" s="134"/>
      <c r="DN19" s="133"/>
      <c r="DO19" s="164"/>
      <c r="DP19" s="134"/>
      <c r="DQ19" s="133"/>
      <c r="DR19" s="164"/>
      <c r="DS19" s="134"/>
      <c r="DT19" s="133"/>
      <c r="DU19" s="164"/>
      <c r="DV19" s="134"/>
      <c r="DW19" s="133"/>
      <c r="DX19" s="164"/>
      <c r="DY19" s="134"/>
      <c r="DZ19" s="133"/>
      <c r="EA19" s="164"/>
    </row>
    <row r="20" spans="1:131" x14ac:dyDescent="0.2">
      <c r="A20" s="1726" t="str">
        <f>+'1879 Tesoro'!A15</f>
        <v>Peaje nacional</v>
      </c>
      <c r="B20" s="164"/>
      <c r="C20" s="134"/>
      <c r="D20" s="133"/>
      <c r="E20" s="164"/>
      <c r="F20" s="134"/>
      <c r="G20" s="133"/>
      <c r="H20" s="164"/>
      <c r="I20" s="134"/>
      <c r="J20" s="133"/>
      <c r="K20" s="164"/>
      <c r="L20" s="134"/>
      <c r="M20" s="133"/>
      <c r="N20" s="164"/>
      <c r="O20" s="134"/>
      <c r="P20" s="133"/>
      <c r="Q20" s="164"/>
      <c r="R20" s="134"/>
      <c r="S20" s="133"/>
      <c r="T20" s="164"/>
      <c r="U20" s="134"/>
      <c r="V20" s="133"/>
      <c r="W20" s="164"/>
      <c r="X20" s="134"/>
      <c r="Y20" s="133"/>
      <c r="Z20" s="164"/>
      <c r="AA20" s="134"/>
      <c r="AB20" s="133"/>
      <c r="AC20" s="131"/>
      <c r="AD20" s="134"/>
      <c r="AE20" s="133"/>
      <c r="AF20" s="131"/>
      <c r="AG20" s="134"/>
      <c r="AH20" s="133"/>
      <c r="AI20" s="131"/>
      <c r="AJ20" s="134"/>
      <c r="AK20" s="133"/>
      <c r="AL20" s="131"/>
      <c r="AM20" s="134"/>
      <c r="AN20" s="133"/>
      <c r="AO20" s="131">
        <f>+'1879 Tesoro'!B15</f>
        <v>13758</v>
      </c>
      <c r="AP20" s="134">
        <f>+'1879 Tesoro'!C15</f>
        <v>350</v>
      </c>
      <c r="AQ20" s="133"/>
      <c r="AR20" s="131"/>
      <c r="AS20" s="134"/>
      <c r="AT20" s="133"/>
      <c r="AU20" s="131"/>
      <c r="AV20" s="134"/>
      <c r="AW20" s="133"/>
      <c r="AX20" s="131"/>
      <c r="AY20" s="134"/>
      <c r="AZ20" s="133"/>
      <c r="BA20" s="131"/>
      <c r="BB20" s="134"/>
      <c r="BC20" s="133"/>
      <c r="BD20" s="164"/>
      <c r="BE20" s="134"/>
      <c r="BF20" s="133"/>
      <c r="BG20" s="164"/>
      <c r="BH20" s="134"/>
      <c r="BI20" s="133"/>
      <c r="BJ20" s="164"/>
      <c r="BK20" s="134"/>
      <c r="BL20" s="133"/>
      <c r="BM20" s="164"/>
      <c r="BN20" s="134"/>
      <c r="BO20" s="133"/>
      <c r="BP20" s="164"/>
      <c r="BQ20" s="134"/>
      <c r="BR20" s="133"/>
      <c r="BS20" s="164"/>
      <c r="BT20" s="134"/>
      <c r="BU20" s="133"/>
      <c r="BV20" s="164"/>
      <c r="BW20" s="134"/>
      <c r="BX20" s="133"/>
      <c r="BY20" s="164"/>
      <c r="BZ20" s="134"/>
      <c r="CA20" s="133"/>
      <c r="CB20" s="164"/>
      <c r="CC20" s="134"/>
      <c r="CD20" s="133"/>
      <c r="CE20" s="164"/>
      <c r="CF20" s="134"/>
      <c r="CG20" s="133"/>
      <c r="CH20" s="164"/>
      <c r="CI20" s="134"/>
      <c r="CJ20" s="133"/>
      <c r="CK20" s="164"/>
      <c r="CL20" s="134"/>
      <c r="CM20" s="133"/>
      <c r="CN20" s="164"/>
      <c r="CO20" s="134"/>
      <c r="CP20" s="133"/>
      <c r="CQ20" s="164"/>
      <c r="CR20" s="134"/>
      <c r="CS20" s="133"/>
      <c r="CT20" s="164"/>
      <c r="CU20" s="134"/>
      <c r="CV20" s="133"/>
      <c r="CW20" s="164"/>
      <c r="CX20" s="134"/>
      <c r="CY20" s="133"/>
      <c r="CZ20" s="164"/>
      <c r="DA20" s="134"/>
      <c r="DB20" s="133"/>
      <c r="DC20" s="164"/>
      <c r="DD20" s="134"/>
      <c r="DE20" s="133"/>
      <c r="DF20" s="164"/>
      <c r="DG20" s="134"/>
      <c r="DH20" s="133"/>
      <c r="DI20" s="164"/>
      <c r="DJ20" s="134"/>
      <c r="DK20" s="133"/>
      <c r="DL20" s="164"/>
      <c r="DM20" s="134"/>
      <c r="DN20" s="133"/>
      <c r="DO20" s="164"/>
      <c r="DP20" s="134"/>
      <c r="DQ20" s="133"/>
      <c r="DR20" s="164"/>
      <c r="DS20" s="134"/>
      <c r="DT20" s="133"/>
      <c r="DU20" s="164"/>
      <c r="DV20" s="134"/>
      <c r="DW20" s="133"/>
      <c r="DX20" s="164"/>
      <c r="DY20" s="134"/>
      <c r="DZ20" s="133"/>
      <c r="EA20" s="164"/>
    </row>
    <row r="21" spans="1:131" x14ac:dyDescent="0.2">
      <c r="A21" s="1726" t="str">
        <f>+'1880 Tesoro'!A133</f>
        <v>Peaje del Magdalena</v>
      </c>
      <c r="B21" s="164"/>
      <c r="C21" s="134"/>
      <c r="D21" s="133"/>
      <c r="E21" s="164"/>
      <c r="F21" s="134"/>
      <c r="G21" s="133"/>
      <c r="H21" s="164"/>
      <c r="I21" s="134"/>
      <c r="J21" s="133"/>
      <c r="K21" s="164"/>
      <c r="L21" s="134"/>
      <c r="M21" s="133"/>
      <c r="N21" s="164"/>
      <c r="O21" s="134"/>
      <c r="P21" s="133"/>
      <c r="Q21" s="164"/>
      <c r="R21" s="134"/>
      <c r="S21" s="133"/>
      <c r="T21" s="164"/>
      <c r="U21" s="134"/>
      <c r="V21" s="133"/>
      <c r="W21" s="164"/>
      <c r="X21" s="134"/>
      <c r="Y21" s="133"/>
      <c r="Z21" s="164"/>
      <c r="AA21" s="134"/>
      <c r="AB21" s="133"/>
      <c r="AC21" s="131"/>
      <c r="AD21" s="134"/>
      <c r="AE21" s="133"/>
      <c r="AF21" s="131"/>
      <c r="AG21" s="134"/>
      <c r="AH21" s="133"/>
      <c r="AI21" s="131"/>
      <c r="AJ21" s="134"/>
      <c r="AK21" s="133"/>
      <c r="AL21" s="131"/>
      <c r="AM21" s="134"/>
      <c r="AN21" s="133"/>
      <c r="AO21" s="131"/>
      <c r="AP21" s="134"/>
      <c r="AQ21" s="133"/>
      <c r="AR21" s="131"/>
      <c r="AS21" s="134"/>
      <c r="AT21" s="133"/>
      <c r="AU21" s="131">
        <f>+'1880 Tesoro'!B133</f>
        <v>9989</v>
      </c>
      <c r="AV21" s="134">
        <f>+'1880 Tesoro'!C133</f>
        <v>800</v>
      </c>
      <c r="AW21" s="133"/>
      <c r="AX21" s="131">
        <f>+'1882 Tesoro'!B36</f>
        <v>36181</v>
      </c>
      <c r="AY21" s="134">
        <f>+'1882 Tesoro'!C36</f>
        <v>450</v>
      </c>
      <c r="AZ21" s="133"/>
      <c r="BA21" s="131">
        <f>+'1882 Tesoro'!B124</f>
        <v>425</v>
      </c>
      <c r="BB21" s="134">
        <f>+'1882 Tesoro'!C124</f>
        <v>650</v>
      </c>
      <c r="BC21" s="133"/>
      <c r="BD21" s="164"/>
      <c r="BE21" s="134"/>
      <c r="BF21" s="133"/>
      <c r="BG21" s="164"/>
      <c r="BH21" s="134"/>
      <c r="BI21" s="133"/>
      <c r="BJ21" s="164"/>
      <c r="BK21" s="134"/>
      <c r="BL21" s="133"/>
      <c r="BM21" s="164"/>
      <c r="BN21" s="134"/>
      <c r="BO21" s="133"/>
      <c r="BP21" s="164"/>
      <c r="BQ21" s="134"/>
      <c r="BR21" s="133"/>
      <c r="BS21" s="164"/>
      <c r="BT21" s="134"/>
      <c r="BU21" s="133"/>
      <c r="BV21" s="164"/>
      <c r="BW21" s="134"/>
      <c r="BX21" s="133"/>
      <c r="BY21" s="164"/>
      <c r="BZ21" s="134"/>
      <c r="CA21" s="133"/>
      <c r="CB21" s="164"/>
      <c r="CC21" s="134"/>
      <c r="CD21" s="133"/>
      <c r="CE21" s="164"/>
      <c r="CF21" s="134"/>
      <c r="CG21" s="133"/>
      <c r="CH21" s="164"/>
      <c r="CI21" s="134"/>
      <c r="CJ21" s="133"/>
      <c r="CK21" s="164"/>
      <c r="CL21" s="134"/>
      <c r="CM21" s="133"/>
      <c r="CN21" s="164"/>
      <c r="CO21" s="134"/>
      <c r="CP21" s="133"/>
      <c r="CQ21" s="164"/>
      <c r="CR21" s="134"/>
      <c r="CS21" s="133"/>
      <c r="CT21" s="164"/>
      <c r="CU21" s="134"/>
      <c r="CV21" s="133"/>
      <c r="CW21" s="164"/>
      <c r="CX21" s="134"/>
      <c r="CY21" s="133"/>
      <c r="CZ21" s="164"/>
      <c r="DA21" s="134"/>
      <c r="DB21" s="133"/>
      <c r="DC21" s="164"/>
      <c r="DD21" s="134"/>
      <c r="DE21" s="133"/>
      <c r="DF21" s="164"/>
      <c r="DG21" s="134"/>
      <c r="DH21" s="133"/>
      <c r="DI21" s="164"/>
      <c r="DJ21" s="134"/>
      <c r="DK21" s="133"/>
      <c r="DL21" s="164"/>
      <c r="DM21" s="134"/>
      <c r="DN21" s="133"/>
      <c r="DO21" s="164"/>
      <c r="DP21" s="134"/>
      <c r="DQ21" s="133"/>
      <c r="DR21" s="164"/>
      <c r="DS21" s="134"/>
      <c r="DT21" s="133"/>
      <c r="DU21" s="164"/>
      <c r="DV21" s="134"/>
      <c r="DW21" s="133"/>
      <c r="DX21" s="164"/>
      <c r="DY21" s="134"/>
      <c r="DZ21" s="133"/>
      <c r="EA21" s="164"/>
    </row>
    <row r="22" spans="1:131" x14ac:dyDescent="0.2">
      <c r="A22" s="1726" t="str">
        <f>+'1882 Tesoro'!A39</f>
        <v>Pasajes de los rios navegables</v>
      </c>
      <c r="B22" s="164"/>
      <c r="C22" s="134"/>
      <c r="D22" s="133"/>
      <c r="E22" s="164"/>
      <c r="F22" s="134"/>
      <c r="G22" s="133"/>
      <c r="H22" s="164"/>
      <c r="I22" s="134"/>
      <c r="J22" s="133"/>
      <c r="K22" s="164"/>
      <c r="L22" s="134"/>
      <c r="M22" s="133"/>
      <c r="N22" s="164"/>
      <c r="O22" s="134"/>
      <c r="P22" s="133"/>
      <c r="Q22" s="164"/>
      <c r="R22" s="134"/>
      <c r="S22" s="133"/>
      <c r="T22" s="164"/>
      <c r="U22" s="134"/>
      <c r="V22" s="133"/>
      <c r="W22" s="164"/>
      <c r="X22" s="134"/>
      <c r="Y22" s="133"/>
      <c r="Z22" s="164"/>
      <c r="AA22" s="134"/>
      <c r="AB22" s="133"/>
      <c r="AC22" s="131"/>
      <c r="AD22" s="134"/>
      <c r="AE22" s="133"/>
      <c r="AF22" s="131"/>
      <c r="AG22" s="134"/>
      <c r="AH22" s="133"/>
      <c r="AI22" s="131"/>
      <c r="AJ22" s="134"/>
      <c r="AK22" s="133"/>
      <c r="AL22" s="131"/>
      <c r="AM22" s="134"/>
      <c r="AN22" s="133"/>
      <c r="AO22" s="131"/>
      <c r="AP22" s="134"/>
      <c r="AQ22" s="133"/>
      <c r="AR22" s="131"/>
      <c r="AS22" s="134"/>
      <c r="AT22" s="133"/>
      <c r="AU22" s="131"/>
      <c r="AV22" s="134"/>
      <c r="AW22" s="133"/>
      <c r="AX22" s="131">
        <f>+'1882 Tesoro'!B39</f>
        <v>1736</v>
      </c>
      <c r="AY22" s="134">
        <f>+'1882 Tesoro'!C39</f>
        <v>250</v>
      </c>
      <c r="AZ22" s="133"/>
      <c r="BA22" s="131">
        <f>+'1882 Tesoro'!B125</f>
        <v>8502</v>
      </c>
      <c r="BB22" s="134">
        <f>+'1882 Tesoro'!C125</f>
        <v>450</v>
      </c>
      <c r="BC22" s="133"/>
      <c r="BD22" s="164"/>
      <c r="BE22" s="134"/>
      <c r="BF22" s="133"/>
      <c r="BG22" s="164"/>
      <c r="BH22" s="134"/>
      <c r="BI22" s="133"/>
      <c r="BJ22" s="164"/>
      <c r="BK22" s="134"/>
      <c r="BL22" s="133"/>
      <c r="BM22" s="164"/>
      <c r="BN22" s="134"/>
      <c r="BO22" s="133"/>
      <c r="BP22" s="164"/>
      <c r="BQ22" s="134"/>
      <c r="BR22" s="133"/>
      <c r="BS22" s="164"/>
      <c r="BT22" s="134"/>
      <c r="BU22" s="133"/>
      <c r="BV22" s="164"/>
      <c r="BW22" s="134"/>
      <c r="BX22" s="133"/>
      <c r="BY22" s="164"/>
      <c r="BZ22" s="134"/>
      <c r="CA22" s="133"/>
      <c r="CB22" s="164"/>
      <c r="CC22" s="134"/>
      <c r="CD22" s="133"/>
      <c r="CE22" s="164"/>
      <c r="CF22" s="134"/>
      <c r="CG22" s="133"/>
      <c r="CH22" s="164"/>
      <c r="CI22" s="134"/>
      <c r="CJ22" s="133"/>
      <c r="CK22" s="164"/>
      <c r="CL22" s="134"/>
      <c r="CM22" s="133"/>
      <c r="CN22" s="164"/>
      <c r="CO22" s="134"/>
      <c r="CP22" s="133"/>
      <c r="CQ22" s="164"/>
      <c r="CR22" s="134"/>
      <c r="CS22" s="133"/>
      <c r="CT22" s="164"/>
      <c r="CU22" s="134"/>
      <c r="CV22" s="133"/>
      <c r="CW22" s="164"/>
      <c r="CX22" s="134"/>
      <c r="CY22" s="133"/>
      <c r="CZ22" s="164"/>
      <c r="DA22" s="134"/>
      <c r="DB22" s="133"/>
      <c r="DC22" s="164"/>
      <c r="DD22" s="134"/>
      <c r="DE22" s="133"/>
      <c r="DF22" s="164"/>
      <c r="DG22" s="134"/>
      <c r="DH22" s="133"/>
      <c r="DI22" s="164"/>
      <c r="DJ22" s="134"/>
      <c r="DK22" s="133"/>
      <c r="DL22" s="164"/>
      <c r="DM22" s="134"/>
      <c r="DN22" s="133"/>
      <c r="DO22" s="164"/>
      <c r="DP22" s="134"/>
      <c r="DQ22" s="133"/>
      <c r="DR22" s="164"/>
      <c r="DS22" s="134"/>
      <c r="DT22" s="133"/>
      <c r="DU22" s="164"/>
      <c r="DV22" s="134"/>
      <c r="DW22" s="133"/>
      <c r="DX22" s="164"/>
      <c r="DY22" s="134"/>
      <c r="DZ22" s="133"/>
      <c r="EA22" s="164"/>
    </row>
    <row r="23" spans="1:131" x14ac:dyDescent="0.2">
      <c r="A23" s="1726" t="str">
        <f>+'1882 Tesoro'!A127</f>
        <v>Timbre nacional</v>
      </c>
      <c r="B23" s="164"/>
      <c r="C23" s="134"/>
      <c r="D23" s="133"/>
      <c r="E23" s="164"/>
      <c r="F23" s="134"/>
      <c r="G23" s="133"/>
      <c r="H23" s="164"/>
      <c r="I23" s="134"/>
      <c r="J23" s="133"/>
      <c r="K23" s="164"/>
      <c r="L23" s="134"/>
      <c r="M23" s="133"/>
      <c r="N23" s="164"/>
      <c r="O23" s="134"/>
      <c r="P23" s="133"/>
      <c r="Q23" s="164"/>
      <c r="R23" s="134"/>
      <c r="S23" s="133"/>
      <c r="T23" s="164"/>
      <c r="U23" s="134"/>
      <c r="V23" s="133"/>
      <c r="W23" s="164"/>
      <c r="X23" s="134"/>
      <c r="Y23" s="133"/>
      <c r="Z23" s="164"/>
      <c r="AA23" s="134"/>
      <c r="AB23" s="133"/>
      <c r="AC23" s="131"/>
      <c r="AD23" s="134"/>
      <c r="AE23" s="133"/>
      <c r="AF23" s="131"/>
      <c r="AG23" s="134"/>
      <c r="AH23" s="133"/>
      <c r="AI23" s="131"/>
      <c r="AJ23" s="134"/>
      <c r="AK23" s="133"/>
      <c r="AL23" s="131"/>
      <c r="AM23" s="134"/>
      <c r="AN23" s="133"/>
      <c r="AO23" s="131"/>
      <c r="AP23" s="134"/>
      <c r="AQ23" s="133"/>
      <c r="AR23" s="131"/>
      <c r="AS23" s="134"/>
      <c r="AT23" s="133"/>
      <c r="AU23" s="131"/>
      <c r="AV23" s="134"/>
      <c r="AW23" s="133"/>
      <c r="AX23" s="131"/>
      <c r="AY23" s="134"/>
      <c r="AZ23" s="133"/>
      <c r="BA23" s="131">
        <f>+'1882 Tesoro'!B127</f>
        <v>48728</v>
      </c>
      <c r="BB23" s="134">
        <f>+'1882 Tesoro'!C127</f>
        <v>200</v>
      </c>
      <c r="BC23" s="133"/>
      <c r="BD23" s="164"/>
      <c r="BE23" s="134"/>
      <c r="BF23" s="133"/>
      <c r="BG23" s="164"/>
      <c r="BH23" s="134"/>
      <c r="BI23" s="133"/>
      <c r="BJ23" s="164"/>
      <c r="BK23" s="134"/>
      <c r="BL23" s="133"/>
      <c r="BM23" s="164"/>
      <c r="BN23" s="134"/>
      <c r="BO23" s="133"/>
      <c r="BP23" s="164"/>
      <c r="BQ23" s="134"/>
      <c r="BR23" s="133"/>
      <c r="BS23" s="164"/>
      <c r="BT23" s="134"/>
      <c r="BU23" s="133"/>
      <c r="BV23" s="164"/>
      <c r="BW23" s="134"/>
      <c r="BX23" s="133"/>
      <c r="BY23" s="164"/>
      <c r="BZ23" s="134"/>
      <c r="CA23" s="133"/>
      <c r="CB23" s="164"/>
      <c r="CC23" s="134"/>
      <c r="CD23" s="133"/>
      <c r="CE23" s="164"/>
      <c r="CF23" s="134"/>
      <c r="CG23" s="133"/>
      <c r="CH23" s="164"/>
      <c r="CI23" s="134"/>
      <c r="CJ23" s="133"/>
      <c r="CK23" s="164"/>
      <c r="CL23" s="134"/>
      <c r="CM23" s="133"/>
      <c r="CN23" s="164"/>
      <c r="CO23" s="134"/>
      <c r="CP23" s="133"/>
      <c r="CQ23" s="164"/>
      <c r="CR23" s="134"/>
      <c r="CS23" s="133"/>
      <c r="CT23" s="164"/>
      <c r="CU23" s="134"/>
      <c r="CV23" s="133"/>
      <c r="CW23" s="164"/>
      <c r="CX23" s="134"/>
      <c r="CY23" s="133"/>
      <c r="CZ23" s="164"/>
      <c r="DA23" s="134"/>
      <c r="DB23" s="133"/>
      <c r="DC23" s="164"/>
      <c r="DD23" s="134"/>
      <c r="DE23" s="133"/>
      <c r="DF23" s="164"/>
      <c r="DG23" s="134"/>
      <c r="DH23" s="133"/>
      <c r="DI23" s="164"/>
      <c r="DJ23" s="134"/>
      <c r="DK23" s="133"/>
      <c r="DL23" s="164"/>
      <c r="DM23" s="134"/>
      <c r="DN23" s="133"/>
      <c r="DO23" s="164"/>
      <c r="DP23" s="134"/>
      <c r="DQ23" s="133"/>
      <c r="DR23" s="164"/>
      <c r="DS23" s="134"/>
      <c r="DT23" s="133"/>
      <c r="DU23" s="164"/>
      <c r="DV23" s="134"/>
      <c r="DW23" s="133"/>
      <c r="DX23" s="164"/>
      <c r="DY23" s="134"/>
      <c r="DZ23" s="133"/>
      <c r="EA23" s="164"/>
    </row>
    <row r="24" spans="1:131" ht="37" x14ac:dyDescent="0.2">
      <c r="A24" s="1726" t="s">
        <v>5988</v>
      </c>
      <c r="B24" s="164"/>
      <c r="C24" s="134"/>
      <c r="D24" s="133"/>
      <c r="E24" s="164"/>
      <c r="F24" s="134"/>
      <c r="G24" s="133"/>
      <c r="H24" s="164"/>
      <c r="I24" s="134"/>
      <c r="J24" s="133"/>
      <c r="K24" s="164"/>
      <c r="L24" s="134"/>
      <c r="M24" s="133"/>
      <c r="N24" s="164"/>
      <c r="O24" s="134"/>
      <c r="P24" s="133"/>
      <c r="Q24" s="164"/>
      <c r="R24" s="134"/>
      <c r="S24" s="133"/>
      <c r="T24" s="164"/>
      <c r="U24" s="134"/>
      <c r="V24" s="133"/>
      <c r="W24" s="164"/>
      <c r="X24" s="134"/>
      <c r="Y24" s="133"/>
      <c r="Z24" s="164"/>
      <c r="AA24" s="134"/>
      <c r="AB24" s="133"/>
      <c r="AC24" s="131">
        <f>+'1875 Tesoro'!E70</f>
        <v>213733</v>
      </c>
      <c r="AD24" s="134">
        <f>+'1875 Tesoro'!F70</f>
        <v>750</v>
      </c>
      <c r="AE24" s="133"/>
      <c r="AF24" s="131">
        <f>+'1875 Tesoro'!E113</f>
        <v>205521</v>
      </c>
      <c r="AG24" s="134">
        <f>+'1875 Tesoro'!F113</f>
        <v>475</v>
      </c>
      <c r="AH24" s="133"/>
      <c r="AI24" s="131">
        <f>+'1877 Tesoro'!E33</f>
        <v>212238</v>
      </c>
      <c r="AJ24" s="134">
        <f>+'1877 Tesoro'!F33</f>
        <v>145</v>
      </c>
      <c r="AK24" s="133"/>
      <c r="AL24" s="131">
        <f>+'1878 Tesoro'!E26</f>
        <v>78856</v>
      </c>
      <c r="AM24" s="134">
        <f>+'1878 Tesoro'!F26</f>
        <v>740</v>
      </c>
      <c r="AN24" s="133"/>
      <c r="AO24" s="131"/>
      <c r="AP24" s="134"/>
      <c r="AQ24" s="133"/>
      <c r="AR24" s="131"/>
      <c r="AS24" s="134"/>
      <c r="AT24" s="133"/>
      <c r="AU24" s="131"/>
      <c r="AV24" s="134"/>
      <c r="AW24" s="133"/>
      <c r="AX24" s="131"/>
      <c r="AY24" s="134"/>
      <c r="AZ24" s="133"/>
      <c r="BA24" s="131"/>
      <c r="BB24" s="134"/>
      <c r="BC24" s="133"/>
      <c r="BD24" s="164"/>
      <c r="BE24" s="134"/>
      <c r="BF24" s="133"/>
      <c r="BG24" s="164"/>
      <c r="BH24" s="134"/>
      <c r="BI24" s="133"/>
      <c r="BJ24" s="164"/>
      <c r="BK24" s="134"/>
      <c r="BL24" s="133"/>
      <c r="BM24" s="164"/>
      <c r="BN24" s="134"/>
      <c r="BO24" s="133"/>
      <c r="BP24" s="164"/>
      <c r="BQ24" s="134"/>
      <c r="BR24" s="133"/>
      <c r="BS24" s="164"/>
      <c r="BT24" s="134"/>
      <c r="BU24" s="133"/>
      <c r="BV24" s="164"/>
      <c r="BW24" s="134"/>
      <c r="BX24" s="133"/>
      <c r="BY24" s="164"/>
      <c r="BZ24" s="134"/>
      <c r="CA24" s="133"/>
      <c r="CB24" s="164"/>
      <c r="CC24" s="134"/>
      <c r="CD24" s="133"/>
      <c r="CE24" s="164"/>
      <c r="CF24" s="134"/>
      <c r="CG24" s="133"/>
      <c r="CH24" s="164"/>
      <c r="CI24" s="134"/>
      <c r="CJ24" s="133"/>
      <c r="CK24" s="164"/>
      <c r="CL24" s="134"/>
      <c r="CM24" s="133"/>
      <c r="CN24" s="164"/>
      <c r="CO24" s="134"/>
      <c r="CP24" s="133"/>
      <c r="CQ24" s="164"/>
      <c r="CR24" s="134"/>
      <c r="CS24" s="133"/>
      <c r="CT24" s="164"/>
      <c r="CU24" s="134"/>
      <c r="CV24" s="133"/>
      <c r="CW24" s="164"/>
      <c r="CX24" s="134"/>
      <c r="CY24" s="133"/>
      <c r="CZ24" s="164"/>
      <c r="DA24" s="134"/>
      <c r="DB24" s="133"/>
      <c r="DC24" s="164"/>
      <c r="DD24" s="134"/>
      <c r="DE24" s="133"/>
      <c r="DF24" s="164"/>
      <c r="DG24" s="134"/>
      <c r="DH24" s="133"/>
      <c r="DI24" s="164"/>
      <c r="DJ24" s="134"/>
      <c r="DK24" s="133"/>
      <c r="DL24" s="164"/>
      <c r="DM24" s="134"/>
      <c r="DN24" s="133"/>
      <c r="DO24" s="164"/>
      <c r="DP24" s="134"/>
      <c r="DQ24" s="133"/>
      <c r="DR24" s="164"/>
      <c r="DS24" s="134"/>
      <c r="DT24" s="133"/>
      <c r="DU24" s="164"/>
      <c r="DV24" s="134"/>
      <c r="DW24" s="133"/>
      <c r="DX24" s="164"/>
      <c r="DY24" s="134"/>
      <c r="DZ24" s="133"/>
      <c r="EA24" s="164"/>
    </row>
    <row r="25" spans="1:131" ht="25" x14ac:dyDescent="0.2">
      <c r="A25" s="1726" t="str">
        <f>+'1875 Tesoro'!A115:D115</f>
        <v>Reconocimientos a favor del Tesoro en próroga de la vijencia. (aproximación)</v>
      </c>
      <c r="B25" s="164"/>
      <c r="C25" s="134"/>
      <c r="D25" s="133"/>
      <c r="E25" s="164"/>
      <c r="F25" s="134"/>
      <c r="G25" s="133"/>
      <c r="H25" s="164"/>
      <c r="I25" s="134"/>
      <c r="J25" s="133"/>
      <c r="K25" s="164"/>
      <c r="L25" s="134"/>
      <c r="M25" s="133"/>
      <c r="N25" s="164"/>
      <c r="O25" s="134"/>
      <c r="P25" s="133"/>
      <c r="Q25" s="164"/>
      <c r="R25" s="134"/>
      <c r="S25" s="133"/>
      <c r="T25" s="164"/>
      <c r="U25" s="134"/>
      <c r="V25" s="133"/>
      <c r="W25" s="164"/>
      <c r="X25" s="134"/>
      <c r="Y25" s="133"/>
      <c r="Z25" s="164"/>
      <c r="AA25" s="134"/>
      <c r="AB25" s="133"/>
      <c r="AC25" s="131"/>
      <c r="AD25" s="134"/>
      <c r="AE25" s="133"/>
      <c r="AF25" s="131">
        <f>+'1875 Tesoro'!E115</f>
        <v>200000</v>
      </c>
      <c r="AG25" s="134"/>
      <c r="AH25" s="133"/>
      <c r="AI25" s="131"/>
      <c r="AJ25" s="134"/>
      <c r="AK25" s="133"/>
      <c r="AL25" s="131"/>
      <c r="AM25" s="134"/>
      <c r="AN25" s="133"/>
      <c r="AO25" s="131"/>
      <c r="AP25" s="134"/>
      <c r="AQ25" s="133"/>
      <c r="AR25" s="131"/>
      <c r="AS25" s="134"/>
      <c r="AT25" s="133"/>
      <c r="AU25" s="131"/>
      <c r="AV25" s="134"/>
      <c r="AW25" s="133"/>
      <c r="AX25" s="131"/>
      <c r="AY25" s="134"/>
      <c r="AZ25" s="133"/>
      <c r="BA25" s="131"/>
      <c r="BB25" s="134"/>
      <c r="BC25" s="133"/>
      <c r="BD25" s="164"/>
      <c r="BE25" s="134"/>
      <c r="BF25" s="133"/>
      <c r="BG25" s="164"/>
      <c r="BH25" s="134"/>
      <c r="BI25" s="133"/>
      <c r="BJ25" s="164"/>
      <c r="BK25" s="134"/>
      <c r="BL25" s="133"/>
      <c r="BM25" s="164"/>
      <c r="BN25" s="134"/>
      <c r="BO25" s="133"/>
      <c r="BP25" s="164"/>
      <c r="BQ25" s="134"/>
      <c r="BR25" s="133"/>
      <c r="BS25" s="164"/>
      <c r="BT25" s="134"/>
      <c r="BU25" s="133"/>
      <c r="BV25" s="164"/>
      <c r="BW25" s="134"/>
      <c r="BX25" s="133"/>
      <c r="BY25" s="164"/>
      <c r="BZ25" s="134"/>
      <c r="CA25" s="133"/>
      <c r="CB25" s="164"/>
      <c r="CC25" s="134"/>
      <c r="CD25" s="133"/>
      <c r="CE25" s="164"/>
      <c r="CF25" s="134"/>
      <c r="CG25" s="133"/>
      <c r="CH25" s="164"/>
      <c r="CI25" s="134"/>
      <c r="CJ25" s="133"/>
      <c r="CK25" s="164"/>
      <c r="CL25" s="134"/>
      <c r="CM25" s="133"/>
      <c r="CN25" s="164"/>
      <c r="CO25" s="134"/>
      <c r="CP25" s="133"/>
      <c r="CQ25" s="164"/>
      <c r="CR25" s="134"/>
      <c r="CS25" s="133"/>
      <c r="CT25" s="164"/>
      <c r="CU25" s="134"/>
      <c r="CV25" s="133"/>
      <c r="CW25" s="164"/>
      <c r="CX25" s="134"/>
      <c r="CY25" s="133"/>
      <c r="CZ25" s="164"/>
      <c r="DA25" s="134"/>
      <c r="DB25" s="133"/>
      <c r="DC25" s="164"/>
      <c r="DD25" s="134"/>
      <c r="DE25" s="133"/>
      <c r="DF25" s="164"/>
      <c r="DG25" s="134"/>
      <c r="DH25" s="133"/>
      <c r="DI25" s="164"/>
      <c r="DJ25" s="134"/>
      <c r="DK25" s="133"/>
      <c r="DL25" s="164"/>
      <c r="DM25" s="134"/>
      <c r="DN25" s="133"/>
      <c r="DO25" s="164"/>
      <c r="DP25" s="134"/>
      <c r="DQ25" s="133"/>
      <c r="DR25" s="164"/>
      <c r="DS25" s="134"/>
      <c r="DT25" s="133"/>
      <c r="DU25" s="164"/>
      <c r="DV25" s="134"/>
      <c r="DW25" s="133"/>
      <c r="DX25" s="164"/>
      <c r="DY25" s="134"/>
      <c r="DZ25" s="133"/>
      <c r="EA25" s="164"/>
    </row>
    <row r="26" spans="1:131" ht="37" x14ac:dyDescent="0.2">
      <c r="A26" s="1726" t="str">
        <f>+'1875 Tesoro'!A74:D74</f>
        <v>Recaudado en documentos de crédito público i los aprovechamientos del Tesoro en la amortizacion de documentos de esta misma clase:</v>
      </c>
      <c r="B26" s="164"/>
      <c r="C26" s="134"/>
      <c r="D26" s="133"/>
      <c r="E26" s="164"/>
      <c r="F26" s="134"/>
      <c r="G26" s="133"/>
      <c r="H26" s="164"/>
      <c r="I26" s="134"/>
      <c r="J26" s="133"/>
      <c r="K26" s="164"/>
      <c r="L26" s="134"/>
      <c r="M26" s="133"/>
      <c r="N26" s="164"/>
      <c r="O26" s="134"/>
      <c r="P26" s="133"/>
      <c r="Q26" s="164"/>
      <c r="R26" s="134"/>
      <c r="S26" s="133"/>
      <c r="T26" s="164"/>
      <c r="U26" s="134"/>
      <c r="V26" s="133"/>
      <c r="W26" s="164"/>
      <c r="X26" s="134"/>
      <c r="Y26" s="133"/>
      <c r="Z26" s="164"/>
      <c r="AA26" s="134"/>
      <c r="AB26" s="133"/>
      <c r="AC26" s="131">
        <f>+'1875 Tesoro'!E77</f>
        <v>1103859</v>
      </c>
      <c r="AD26" s="134">
        <f>+'1875 Tesoro'!F77</f>
        <v>725</v>
      </c>
      <c r="AE26" s="133"/>
      <c r="AF26" s="131">
        <f>+'1875 Tesoro'!E120</f>
        <v>944068</v>
      </c>
      <c r="AG26" s="134">
        <f>+'1875 Tesoro'!F120</f>
        <v>815</v>
      </c>
      <c r="AH26" s="133"/>
      <c r="AI26" s="131">
        <f>+'1877 Tesoro'!E39</f>
        <v>770146</v>
      </c>
      <c r="AJ26" s="134">
        <f>+'1877 Tesoro'!F39</f>
        <v>940</v>
      </c>
      <c r="AK26" s="133"/>
      <c r="AL26" s="131">
        <f>+'1878 Tesoro'!E35</f>
        <v>480868</v>
      </c>
      <c r="AM26" s="134">
        <f>+'1878 Tesoro'!F35</f>
        <v>545</v>
      </c>
      <c r="AN26" s="133"/>
      <c r="AO26" s="131"/>
      <c r="AP26" s="134"/>
      <c r="AQ26" s="133"/>
      <c r="AR26" s="131"/>
      <c r="AS26" s="134"/>
      <c r="AT26" s="133"/>
      <c r="AU26" s="131"/>
      <c r="AV26" s="134"/>
      <c r="AW26" s="133"/>
      <c r="AX26" s="131"/>
      <c r="AY26" s="134"/>
      <c r="AZ26" s="133"/>
      <c r="BA26" s="131"/>
      <c r="BB26" s="134"/>
      <c r="BC26" s="133"/>
      <c r="BD26" s="164"/>
      <c r="BE26" s="134"/>
      <c r="BF26" s="133"/>
      <c r="BG26" s="164"/>
      <c r="BH26" s="134"/>
      <c r="BI26" s="133"/>
      <c r="BJ26" s="164"/>
      <c r="BK26" s="134"/>
      <c r="BL26" s="133"/>
      <c r="BM26" s="164"/>
      <c r="BN26" s="134"/>
      <c r="BO26" s="133"/>
      <c r="BP26" s="164"/>
      <c r="BQ26" s="134"/>
      <c r="BR26" s="133"/>
      <c r="BS26" s="164"/>
      <c r="BT26" s="134"/>
      <c r="BU26" s="133"/>
      <c r="BV26" s="164"/>
      <c r="BW26" s="134"/>
      <c r="BX26" s="133"/>
      <c r="BY26" s="164"/>
      <c r="BZ26" s="134"/>
      <c r="CA26" s="133"/>
      <c r="CB26" s="164"/>
      <c r="CC26" s="134"/>
      <c r="CD26" s="133"/>
      <c r="CE26" s="164"/>
      <c r="CF26" s="134"/>
      <c r="CG26" s="133"/>
      <c r="CH26" s="164"/>
      <c r="CI26" s="134"/>
      <c r="CJ26" s="133"/>
      <c r="CK26" s="164"/>
      <c r="CL26" s="134"/>
      <c r="CM26" s="133"/>
      <c r="CN26" s="164"/>
      <c r="CO26" s="134"/>
      <c r="CP26" s="133"/>
      <c r="CQ26" s="164"/>
      <c r="CR26" s="134"/>
      <c r="CS26" s="133"/>
      <c r="CT26" s="164"/>
      <c r="CU26" s="134"/>
      <c r="CV26" s="133"/>
      <c r="CW26" s="164"/>
      <c r="CX26" s="134"/>
      <c r="CY26" s="133"/>
      <c r="CZ26" s="164"/>
      <c r="DA26" s="134"/>
      <c r="DB26" s="133"/>
      <c r="DC26" s="164"/>
      <c r="DD26" s="134"/>
      <c r="DE26" s="133"/>
      <c r="DF26" s="164"/>
      <c r="DG26" s="134"/>
      <c r="DH26" s="133"/>
      <c r="DI26" s="164"/>
      <c r="DJ26" s="134"/>
      <c r="DK26" s="133"/>
      <c r="DL26" s="164"/>
      <c r="DM26" s="134"/>
      <c r="DN26" s="133"/>
      <c r="DO26" s="164"/>
      <c r="DP26" s="134"/>
      <c r="DQ26" s="133"/>
      <c r="DR26" s="164"/>
      <c r="DS26" s="134"/>
      <c r="DT26" s="133"/>
      <c r="DU26" s="164"/>
      <c r="DV26" s="134"/>
      <c r="DW26" s="133"/>
      <c r="DX26" s="164"/>
      <c r="DY26" s="134"/>
      <c r="DZ26" s="133"/>
      <c r="EA26" s="164"/>
    </row>
    <row r="27" spans="1:131" ht="14.5" customHeight="1" x14ac:dyDescent="0.2">
      <c r="A27" s="1726" t="s">
        <v>5989</v>
      </c>
      <c r="B27" s="164"/>
      <c r="C27" s="134"/>
      <c r="D27" s="133"/>
      <c r="E27" s="164"/>
      <c r="F27" s="134"/>
      <c r="G27" s="133"/>
      <c r="H27" s="164"/>
      <c r="I27" s="134"/>
      <c r="J27" s="133"/>
      <c r="K27" s="164"/>
      <c r="L27" s="134"/>
      <c r="M27" s="133"/>
      <c r="N27" s="164"/>
      <c r="O27" s="134"/>
      <c r="P27" s="133"/>
      <c r="Q27" s="164"/>
      <c r="R27" s="134"/>
      <c r="S27" s="133"/>
      <c r="T27" s="164"/>
      <c r="U27" s="134"/>
      <c r="V27" s="133"/>
      <c r="W27" s="164"/>
      <c r="X27" s="134"/>
      <c r="Y27" s="133"/>
      <c r="Z27" s="164"/>
      <c r="AA27" s="134"/>
      <c r="AB27" s="133"/>
      <c r="AC27" s="131">
        <f>+'1875 Tesoro'!E83</f>
        <v>736162</v>
      </c>
      <c r="AD27" s="134">
        <f>+'1875 Tesoro'!F83</f>
        <v>834</v>
      </c>
      <c r="AE27" s="133">
        <f>+'1875 Tesoro'!G83</f>
        <v>0.5</v>
      </c>
      <c r="AF27" s="131"/>
      <c r="AG27" s="134"/>
      <c r="AH27" s="133"/>
      <c r="AI27" s="131">
        <f>+'1877 Tesoro'!E43</f>
        <v>762701</v>
      </c>
      <c r="AJ27" s="134">
        <f>+'1877 Tesoro'!F43</f>
        <v>888</v>
      </c>
      <c r="AK27" s="133">
        <f>+'1877 Tesoro'!G43</f>
        <v>0.5</v>
      </c>
      <c r="AL27" s="131">
        <f>+'1878 Tesoro'!E40</f>
        <v>485442</v>
      </c>
      <c r="AM27" s="134">
        <f>+'1878 Tesoro'!F40</f>
        <v>398</v>
      </c>
      <c r="AN27" s="133">
        <f>+'1878 Tesoro'!G40</f>
        <v>0.5</v>
      </c>
      <c r="AO27" s="131"/>
      <c r="AP27" s="134"/>
      <c r="AQ27" s="133"/>
      <c r="AR27" s="131"/>
      <c r="AS27" s="134"/>
      <c r="AT27" s="133"/>
      <c r="AU27" s="131"/>
      <c r="AV27" s="134"/>
      <c r="AW27" s="133"/>
      <c r="AX27" s="131"/>
      <c r="AY27" s="134"/>
      <c r="AZ27" s="133"/>
      <c r="BA27" s="131"/>
      <c r="BB27" s="134"/>
      <c r="BC27" s="133"/>
      <c r="BD27" s="164"/>
      <c r="BE27" s="134"/>
      <c r="BF27" s="133"/>
      <c r="BG27" s="164"/>
      <c r="BH27" s="134"/>
      <c r="BI27" s="133"/>
      <c r="BJ27" s="164"/>
      <c r="BK27" s="134"/>
      <c r="BL27" s="133"/>
      <c r="BM27" s="164"/>
      <c r="BN27" s="134"/>
      <c r="BO27" s="133"/>
      <c r="BP27" s="164"/>
      <c r="BQ27" s="134"/>
      <c r="BR27" s="133"/>
      <c r="BS27" s="164"/>
      <c r="BT27" s="134"/>
      <c r="BU27" s="133"/>
      <c r="BV27" s="164"/>
      <c r="BW27" s="134"/>
      <c r="BX27" s="133"/>
      <c r="BY27" s="164"/>
      <c r="BZ27" s="134"/>
      <c r="CA27" s="133"/>
      <c r="CB27" s="164"/>
      <c r="CC27" s="134"/>
      <c r="CD27" s="133"/>
      <c r="CE27" s="164"/>
      <c r="CF27" s="134"/>
      <c r="CG27" s="133"/>
      <c r="CH27" s="164"/>
      <c r="CI27" s="134"/>
      <c r="CJ27" s="133"/>
      <c r="CK27" s="164"/>
      <c r="CL27" s="134"/>
      <c r="CM27" s="133"/>
      <c r="CN27" s="164"/>
      <c r="CO27" s="134"/>
      <c r="CP27" s="133"/>
      <c r="CQ27" s="164"/>
      <c r="CR27" s="134"/>
      <c r="CS27" s="133"/>
      <c r="CT27" s="164"/>
      <c r="CU27" s="134"/>
      <c r="CV27" s="133"/>
      <c r="CW27" s="164"/>
      <c r="CX27" s="134"/>
      <c r="CY27" s="133"/>
      <c r="CZ27" s="164"/>
      <c r="DA27" s="134"/>
      <c r="DB27" s="133"/>
      <c r="DC27" s="164"/>
      <c r="DD27" s="134"/>
      <c r="DE27" s="133"/>
      <c r="DF27" s="164"/>
      <c r="DG27" s="134"/>
      <c r="DH27" s="133"/>
      <c r="DI27" s="164"/>
      <c r="DJ27" s="134"/>
      <c r="DK27" s="133"/>
      <c r="DL27" s="164"/>
      <c r="DM27" s="134"/>
      <c r="DN27" s="133"/>
      <c r="DO27" s="164"/>
      <c r="DP27" s="134"/>
      <c r="DQ27" s="133"/>
      <c r="DR27" s="164"/>
      <c r="DS27" s="134"/>
      <c r="DT27" s="133"/>
      <c r="DU27" s="164"/>
      <c r="DV27" s="134"/>
      <c r="DW27" s="133"/>
      <c r="DX27" s="164"/>
      <c r="DY27" s="134"/>
      <c r="DZ27" s="133"/>
      <c r="EA27" s="164"/>
    </row>
    <row r="28" spans="1:131" ht="25" x14ac:dyDescent="0.2">
      <c r="A28" s="1726" t="str">
        <f>+'1877 Tesoro'!A17</f>
        <v>Cuentas de algunas oficinas de Hacienda que no se recibieron a tiempo</v>
      </c>
      <c r="B28" s="164"/>
      <c r="C28" s="134"/>
      <c r="D28" s="133"/>
      <c r="E28" s="164"/>
      <c r="F28" s="134"/>
      <c r="G28" s="133"/>
      <c r="H28" s="164"/>
      <c r="I28" s="134"/>
      <c r="J28" s="133"/>
      <c r="K28" s="164"/>
      <c r="L28" s="134"/>
      <c r="M28" s="133"/>
      <c r="N28" s="164"/>
      <c r="O28" s="134"/>
      <c r="P28" s="133"/>
      <c r="Q28" s="164"/>
      <c r="R28" s="134"/>
      <c r="S28" s="133"/>
      <c r="T28" s="164"/>
      <c r="U28" s="134"/>
      <c r="V28" s="133"/>
      <c r="W28" s="164"/>
      <c r="X28" s="134"/>
      <c r="Y28" s="133"/>
      <c r="Z28" s="164"/>
      <c r="AA28" s="134"/>
      <c r="AB28" s="133"/>
      <c r="AC28" s="131"/>
      <c r="AD28" s="134"/>
      <c r="AE28" s="133"/>
      <c r="AF28" s="131"/>
      <c r="AG28" s="134"/>
      <c r="AH28" s="133"/>
      <c r="AI28" s="131">
        <f>+'1877 Tesoro'!E23</f>
        <v>292363</v>
      </c>
      <c r="AJ28" s="134">
        <f>+'1877 Tesoro'!F23</f>
        <v>745</v>
      </c>
      <c r="AK28" s="133"/>
      <c r="AL28" s="131"/>
      <c r="AM28" s="134"/>
      <c r="AN28" s="133"/>
      <c r="AO28" s="131"/>
      <c r="AP28" s="134"/>
      <c r="AQ28" s="133"/>
      <c r="AR28" s="131"/>
      <c r="AS28" s="134"/>
      <c r="AT28" s="133"/>
      <c r="AU28" s="131"/>
      <c r="AV28" s="134"/>
      <c r="AW28" s="133"/>
      <c r="AX28" s="131"/>
      <c r="AY28" s="134"/>
      <c r="AZ28" s="133"/>
      <c r="BA28" s="131"/>
      <c r="BB28" s="134"/>
      <c r="BC28" s="133"/>
      <c r="BD28" s="164"/>
      <c r="BE28" s="134"/>
      <c r="BF28" s="133"/>
      <c r="BG28" s="164"/>
      <c r="BH28" s="134"/>
      <c r="BI28" s="133"/>
      <c r="BJ28" s="164"/>
      <c r="BK28" s="134"/>
      <c r="BL28" s="133"/>
      <c r="BM28" s="164"/>
      <c r="BN28" s="134"/>
      <c r="BO28" s="133"/>
      <c r="BP28" s="164"/>
      <c r="BQ28" s="134"/>
      <c r="BR28" s="133"/>
      <c r="BS28" s="164"/>
      <c r="BT28" s="134"/>
      <c r="BU28" s="133"/>
      <c r="BV28" s="164"/>
      <c r="BW28" s="134"/>
      <c r="BX28" s="133"/>
      <c r="BY28" s="164"/>
      <c r="BZ28" s="134"/>
      <c r="CA28" s="133"/>
      <c r="CB28" s="164"/>
      <c r="CC28" s="134"/>
      <c r="CD28" s="133"/>
      <c r="CE28" s="164"/>
      <c r="CF28" s="134"/>
      <c r="CG28" s="133"/>
      <c r="CH28" s="164"/>
      <c r="CI28" s="134"/>
      <c r="CJ28" s="133"/>
      <c r="CK28" s="164"/>
      <c r="CL28" s="134"/>
      <c r="CM28" s="133"/>
      <c r="CN28" s="164"/>
      <c r="CO28" s="134"/>
      <c r="CP28" s="133"/>
      <c r="CQ28" s="164"/>
      <c r="CR28" s="134"/>
      <c r="CS28" s="133"/>
      <c r="CT28" s="164"/>
      <c r="CU28" s="134"/>
      <c r="CV28" s="133"/>
      <c r="CW28" s="164"/>
      <c r="CX28" s="134"/>
      <c r="CY28" s="133"/>
      <c r="CZ28" s="164"/>
      <c r="DA28" s="134"/>
      <c r="DB28" s="133"/>
      <c r="DC28" s="164"/>
      <c r="DD28" s="134"/>
      <c r="DE28" s="133"/>
      <c r="DF28" s="164"/>
      <c r="DG28" s="134"/>
      <c r="DH28" s="133"/>
      <c r="DI28" s="164"/>
      <c r="DJ28" s="134"/>
      <c r="DK28" s="133"/>
      <c r="DL28" s="164"/>
      <c r="DM28" s="134"/>
      <c r="DN28" s="133"/>
      <c r="DO28" s="164"/>
      <c r="DP28" s="134"/>
      <c r="DQ28" s="133"/>
      <c r="DR28" s="164"/>
      <c r="DS28" s="134"/>
      <c r="DT28" s="133"/>
      <c r="DU28" s="164"/>
      <c r="DV28" s="134"/>
      <c r="DW28" s="133"/>
      <c r="DX28" s="164"/>
      <c r="DY28" s="134"/>
      <c r="DZ28" s="133"/>
      <c r="EA28" s="164"/>
    </row>
    <row r="29" spans="1:131" x14ac:dyDescent="0.2">
      <c r="A29" s="1726" t="s">
        <v>5990</v>
      </c>
      <c r="B29" s="164"/>
      <c r="C29" s="134"/>
      <c r="D29" s="133"/>
      <c r="E29" s="164"/>
      <c r="F29" s="134"/>
      <c r="G29" s="133"/>
      <c r="H29" s="164"/>
      <c r="I29" s="134"/>
      <c r="J29" s="133"/>
      <c r="K29" s="164"/>
      <c r="L29" s="134"/>
      <c r="M29" s="133"/>
      <c r="N29" s="164"/>
      <c r="O29" s="134"/>
      <c r="P29" s="133"/>
      <c r="Q29" s="164"/>
      <c r="R29" s="134"/>
      <c r="S29" s="133"/>
      <c r="T29" s="164"/>
      <c r="U29" s="134"/>
      <c r="V29" s="133"/>
      <c r="W29" s="164"/>
      <c r="X29" s="134"/>
      <c r="Y29" s="133"/>
      <c r="Z29" s="164"/>
      <c r="AA29" s="134"/>
      <c r="AB29" s="133"/>
      <c r="AC29" s="131"/>
      <c r="AD29" s="134"/>
      <c r="AE29" s="133"/>
      <c r="AF29" s="131"/>
      <c r="AG29" s="134"/>
      <c r="AH29" s="133"/>
      <c r="AI29" s="131">
        <f>+'1877 Tesoro'!E48</f>
        <v>13477</v>
      </c>
      <c r="AJ29" s="134">
        <f>+'1877 Tesoro'!F48</f>
        <v>385</v>
      </c>
      <c r="AK29" s="133"/>
      <c r="AL29" s="131">
        <f>+'1878 Tesoro'!E42</f>
        <v>103992</v>
      </c>
      <c r="AM29" s="134">
        <f>+'1878 Tesoro'!F42</f>
        <v>880</v>
      </c>
      <c r="AN29" s="133"/>
      <c r="AO29" s="131"/>
      <c r="AP29" s="134"/>
      <c r="AQ29" s="133"/>
      <c r="AR29" s="131"/>
      <c r="AS29" s="134"/>
      <c r="AT29" s="133"/>
      <c r="AU29" s="131"/>
      <c r="AV29" s="134"/>
      <c r="AW29" s="133"/>
      <c r="AX29" s="131"/>
      <c r="AY29" s="134"/>
      <c r="AZ29" s="133"/>
      <c r="BA29" s="131"/>
      <c r="BB29" s="134"/>
      <c r="BC29" s="133"/>
      <c r="BD29" s="164"/>
      <c r="BE29" s="134"/>
      <c r="BF29" s="133"/>
      <c r="BG29" s="164"/>
      <c r="BH29" s="134"/>
      <c r="BI29" s="133"/>
      <c r="BJ29" s="164"/>
      <c r="BK29" s="134"/>
      <c r="BL29" s="133"/>
      <c r="BM29" s="164"/>
      <c r="BN29" s="134"/>
      <c r="BO29" s="133"/>
      <c r="BP29" s="164"/>
      <c r="BQ29" s="134"/>
      <c r="BR29" s="133"/>
      <c r="BS29" s="164"/>
      <c r="BT29" s="134"/>
      <c r="BU29" s="133"/>
      <c r="BV29" s="164"/>
      <c r="BW29" s="134"/>
      <c r="BX29" s="133"/>
      <c r="BY29" s="164"/>
      <c r="BZ29" s="134"/>
      <c r="CA29" s="133"/>
      <c r="CB29" s="164"/>
      <c r="CC29" s="134"/>
      <c r="CD29" s="133"/>
      <c r="CE29" s="164"/>
      <c r="CF29" s="134"/>
      <c r="CG29" s="133"/>
      <c r="CH29" s="164"/>
      <c r="CI29" s="134"/>
      <c r="CJ29" s="133"/>
      <c r="CK29" s="164"/>
      <c r="CL29" s="134"/>
      <c r="CM29" s="133"/>
      <c r="CN29" s="164"/>
      <c r="CO29" s="134"/>
      <c r="CP29" s="133"/>
      <c r="CQ29" s="164"/>
      <c r="CR29" s="134"/>
      <c r="CS29" s="133"/>
      <c r="CT29" s="164"/>
      <c r="CU29" s="134"/>
      <c r="CV29" s="133"/>
      <c r="CW29" s="164"/>
      <c r="CX29" s="134"/>
      <c r="CY29" s="133"/>
      <c r="CZ29" s="164"/>
      <c r="DA29" s="134"/>
      <c r="DB29" s="133"/>
      <c r="DC29" s="164"/>
      <c r="DD29" s="134"/>
      <c r="DE29" s="133"/>
      <c r="DF29" s="164"/>
      <c r="DG29" s="134"/>
      <c r="DH29" s="133"/>
      <c r="DI29" s="164"/>
      <c r="DJ29" s="134"/>
      <c r="DK29" s="133"/>
      <c r="DL29" s="164"/>
      <c r="DM29" s="134"/>
      <c r="DN29" s="133"/>
      <c r="DO29" s="164"/>
      <c r="DP29" s="134"/>
      <c r="DQ29" s="133"/>
      <c r="DR29" s="164"/>
      <c r="DS29" s="134"/>
      <c r="DT29" s="133"/>
      <c r="DU29" s="164"/>
      <c r="DV29" s="134"/>
      <c r="DW29" s="133"/>
      <c r="DX29" s="164"/>
      <c r="DY29" s="134"/>
      <c r="DZ29" s="133"/>
      <c r="EA29" s="164"/>
    </row>
    <row r="30" spans="1:131" ht="25" x14ac:dyDescent="0.2">
      <c r="A30" s="1726" t="s">
        <v>5991</v>
      </c>
      <c r="B30" s="164"/>
      <c r="C30" s="134"/>
      <c r="D30" s="133"/>
      <c r="E30" s="164"/>
      <c r="F30" s="134"/>
      <c r="G30" s="133"/>
      <c r="H30" s="164"/>
      <c r="I30" s="134"/>
      <c r="J30" s="133"/>
      <c r="K30" s="164"/>
      <c r="L30" s="134"/>
      <c r="M30" s="133"/>
      <c r="N30" s="164"/>
      <c r="O30" s="134"/>
      <c r="P30" s="133"/>
      <c r="Q30" s="164"/>
      <c r="R30" s="134"/>
      <c r="S30" s="133"/>
      <c r="T30" s="164"/>
      <c r="U30" s="134"/>
      <c r="V30" s="133"/>
      <c r="W30" s="164"/>
      <c r="X30" s="134"/>
      <c r="Y30" s="133"/>
      <c r="Z30" s="164"/>
      <c r="AA30" s="134"/>
      <c r="AB30" s="133"/>
      <c r="AC30" s="131"/>
      <c r="AD30" s="134"/>
      <c r="AE30" s="133"/>
      <c r="AF30" s="131"/>
      <c r="AG30" s="134"/>
      <c r="AH30" s="133"/>
      <c r="AI30" s="131">
        <f>+'1877 Tesoro'!E45</f>
        <v>373145</v>
      </c>
      <c r="AJ30" s="134">
        <f>+'1877 Tesoro'!F45</f>
        <v>725</v>
      </c>
      <c r="AK30" s="133"/>
      <c r="AL30" s="131">
        <f>+'1878 Tesoro'!E41</f>
        <v>191447</v>
      </c>
      <c r="AM30" s="134">
        <f>+'1878 Tesoro'!F41</f>
        <v>40</v>
      </c>
      <c r="AN30" s="133"/>
      <c r="AO30" s="131"/>
      <c r="AP30" s="134"/>
      <c r="AQ30" s="133"/>
      <c r="AR30" s="131">
        <f>+'1880 Tesoro'!E61</f>
        <v>442209</v>
      </c>
      <c r="AS30" s="134">
        <f>+'1880 Tesoro'!F61</f>
        <v>1600</v>
      </c>
      <c r="AT30" s="133"/>
      <c r="AU30" s="131">
        <f>+'1880 Tesoro'!E139</f>
        <v>723043</v>
      </c>
      <c r="AV30" s="134">
        <f>+'1880 Tesoro'!F139</f>
        <v>845</v>
      </c>
      <c r="AW30" s="133"/>
      <c r="AX30" s="131">
        <f>+'1882 Tesoro'!B25</f>
        <v>150407</v>
      </c>
      <c r="AY30" s="134">
        <f>+'1882 Tesoro'!C25</f>
        <v>650</v>
      </c>
      <c r="AZ30" s="133"/>
      <c r="BA30" s="131">
        <f>+'1882 Tesoro'!E133</f>
        <v>315113</v>
      </c>
      <c r="BB30" s="134">
        <f>+'1882 Tesoro'!F133</f>
        <v>945</v>
      </c>
      <c r="BC30" s="133"/>
      <c r="BD30" s="164"/>
      <c r="BE30" s="134"/>
      <c r="BF30" s="133"/>
      <c r="BG30" s="164"/>
      <c r="BH30" s="134"/>
      <c r="BI30" s="133"/>
      <c r="BJ30" s="164"/>
      <c r="BK30" s="134"/>
      <c r="BL30" s="133"/>
      <c r="BM30" s="164"/>
      <c r="BN30" s="134"/>
      <c r="BO30" s="133"/>
      <c r="BP30" s="164"/>
      <c r="BQ30" s="134"/>
      <c r="BR30" s="133"/>
      <c r="BS30" s="164"/>
      <c r="BT30" s="134"/>
      <c r="BU30" s="133"/>
      <c r="BV30" s="164"/>
      <c r="BW30" s="134"/>
      <c r="BX30" s="133"/>
      <c r="BY30" s="164"/>
      <c r="BZ30" s="134"/>
      <c r="CA30" s="133"/>
      <c r="CB30" s="164"/>
      <c r="CC30" s="134"/>
      <c r="CD30" s="133"/>
      <c r="CE30" s="164"/>
      <c r="CF30" s="134"/>
      <c r="CG30" s="133"/>
      <c r="CH30" s="164"/>
      <c r="CI30" s="134"/>
      <c r="CJ30" s="133"/>
      <c r="CK30" s="164"/>
      <c r="CL30" s="134"/>
      <c r="CM30" s="133"/>
      <c r="CN30" s="164"/>
      <c r="CO30" s="134"/>
      <c r="CP30" s="133"/>
      <c r="CQ30" s="164"/>
      <c r="CR30" s="134"/>
      <c r="CS30" s="133"/>
      <c r="CT30" s="164"/>
      <c r="CU30" s="134"/>
      <c r="CV30" s="133"/>
      <c r="CW30" s="164"/>
      <c r="CX30" s="134"/>
      <c r="CY30" s="133"/>
      <c r="CZ30" s="164"/>
      <c r="DA30" s="134"/>
      <c r="DB30" s="133"/>
      <c r="DC30" s="164"/>
      <c r="DD30" s="134"/>
      <c r="DE30" s="133"/>
      <c r="DF30" s="164"/>
      <c r="DG30" s="134"/>
      <c r="DH30" s="133"/>
      <c r="DI30" s="164"/>
      <c r="DJ30" s="134"/>
      <c r="DK30" s="133"/>
      <c r="DL30" s="164"/>
      <c r="DM30" s="134"/>
      <c r="DN30" s="133"/>
      <c r="DO30" s="164"/>
      <c r="DP30" s="134"/>
      <c r="DQ30" s="133"/>
      <c r="DR30" s="164"/>
      <c r="DS30" s="134"/>
      <c r="DT30" s="133"/>
      <c r="DU30" s="164"/>
      <c r="DV30" s="134"/>
      <c r="DW30" s="133"/>
      <c r="DX30" s="164"/>
      <c r="DY30" s="134"/>
      <c r="DZ30" s="133"/>
      <c r="EA30" s="164"/>
    </row>
    <row r="31" spans="1:131" x14ac:dyDescent="0.2">
      <c r="A31" s="1726" t="s">
        <v>5992</v>
      </c>
      <c r="B31" s="164"/>
      <c r="C31" s="134"/>
      <c r="D31" s="133"/>
      <c r="E31" s="164"/>
      <c r="F31" s="134"/>
      <c r="G31" s="133"/>
      <c r="H31" s="164"/>
      <c r="I31" s="134"/>
      <c r="J31" s="133"/>
      <c r="K31" s="164"/>
      <c r="L31" s="134"/>
      <c r="M31" s="133"/>
      <c r="N31" s="164"/>
      <c r="O31" s="134"/>
      <c r="P31" s="133"/>
      <c r="Q31" s="164"/>
      <c r="R31" s="134"/>
      <c r="S31" s="133"/>
      <c r="T31" s="164"/>
      <c r="U31" s="134"/>
      <c r="V31" s="133"/>
      <c r="W31" s="164"/>
      <c r="X31" s="134"/>
      <c r="Y31" s="133"/>
      <c r="Z31" s="164"/>
      <c r="AA31" s="134"/>
      <c r="AB31" s="133"/>
      <c r="AC31" s="131"/>
      <c r="AD31" s="134"/>
      <c r="AE31" s="133"/>
      <c r="AF31" s="131"/>
      <c r="AG31" s="134"/>
      <c r="AH31" s="133"/>
      <c r="AI31" s="131"/>
      <c r="AJ31" s="134"/>
      <c r="AK31" s="133"/>
      <c r="AL31" s="131"/>
      <c r="AM31" s="134"/>
      <c r="AN31" s="133"/>
      <c r="AO31" s="131"/>
      <c r="AP31" s="134"/>
      <c r="AQ31" s="133"/>
      <c r="AR31" s="131"/>
      <c r="AS31" s="134"/>
      <c r="AT31" s="133"/>
      <c r="AU31" s="131">
        <f>+'1880 Tesoro'!E134</f>
        <v>2455</v>
      </c>
      <c r="AV31" s="134">
        <f>+'1880 Tesoro'!F134</f>
        <v>700</v>
      </c>
      <c r="AW31" s="133"/>
      <c r="AX31" s="131"/>
      <c r="AY31" s="134"/>
      <c r="AZ31" s="133"/>
      <c r="BA31" s="131">
        <f>+'1882 Tesoro'!B114</f>
        <v>132</v>
      </c>
      <c r="BB31" s="134">
        <f>+'1882 Tesoro'!C114</f>
        <v>550</v>
      </c>
      <c r="BC31" s="133"/>
      <c r="BD31" s="164"/>
      <c r="BE31" s="134"/>
      <c r="BF31" s="133"/>
      <c r="BG31" s="164"/>
      <c r="BH31" s="134"/>
      <c r="BI31" s="133"/>
      <c r="BJ31" s="164"/>
      <c r="BK31" s="134"/>
      <c r="BL31" s="133"/>
      <c r="BM31" s="164"/>
      <c r="BN31" s="134"/>
      <c r="BO31" s="133"/>
      <c r="BP31" s="164"/>
      <c r="BQ31" s="134"/>
      <c r="BR31" s="133"/>
      <c r="BS31" s="164"/>
      <c r="BT31" s="134"/>
      <c r="BU31" s="133"/>
      <c r="BV31" s="164"/>
      <c r="BW31" s="134"/>
      <c r="BX31" s="133"/>
      <c r="BY31" s="164"/>
      <c r="BZ31" s="134"/>
      <c r="CA31" s="133"/>
      <c r="CB31" s="164"/>
      <c r="CC31" s="134"/>
      <c r="CD31" s="133"/>
      <c r="CE31" s="164"/>
      <c r="CF31" s="134"/>
      <c r="CG31" s="133"/>
      <c r="CH31" s="164"/>
      <c r="CI31" s="134"/>
      <c r="CJ31" s="133"/>
      <c r="CK31" s="164"/>
      <c r="CL31" s="134"/>
      <c r="CM31" s="133"/>
      <c r="CN31" s="164"/>
      <c r="CO31" s="134"/>
      <c r="CP31" s="133"/>
      <c r="CQ31" s="164"/>
      <c r="CR31" s="134"/>
      <c r="CS31" s="133"/>
      <c r="CT31" s="164"/>
      <c r="CU31" s="134"/>
      <c r="CV31" s="133"/>
      <c r="CW31" s="164"/>
      <c r="CX31" s="134"/>
      <c r="CY31" s="133"/>
      <c r="CZ31" s="164"/>
      <c r="DA31" s="134"/>
      <c r="DB31" s="133"/>
      <c r="DC31" s="164"/>
      <c r="DD31" s="134"/>
      <c r="DE31" s="133"/>
      <c r="DF31" s="164"/>
      <c r="DG31" s="134"/>
      <c r="DH31" s="133"/>
      <c r="DI31" s="164"/>
      <c r="DJ31" s="134"/>
      <c r="DK31" s="133"/>
      <c r="DL31" s="164"/>
      <c r="DM31" s="134"/>
      <c r="DN31" s="133"/>
      <c r="DO31" s="164"/>
      <c r="DP31" s="134"/>
      <c r="DQ31" s="133"/>
      <c r="DR31" s="164"/>
      <c r="DS31" s="134"/>
      <c r="DT31" s="133"/>
      <c r="DU31" s="164"/>
      <c r="DV31" s="134"/>
      <c r="DW31" s="133"/>
      <c r="DX31" s="164"/>
      <c r="DY31" s="134"/>
      <c r="DZ31" s="133"/>
      <c r="EA31" s="164"/>
    </row>
    <row r="32" spans="1:131" s="1731" customFormat="1" x14ac:dyDescent="0.2">
      <c r="A32" s="272" t="s">
        <v>1170</v>
      </c>
      <c r="B32" s="1728">
        <f>+'1870 Tesoro'!D619</f>
        <v>1571341</v>
      </c>
      <c r="C32" s="1729">
        <f>+'1870 Tesoro'!E619</f>
        <v>638</v>
      </c>
      <c r="D32" s="1730"/>
      <c r="E32" s="1728">
        <f>+'1870 Tesoro'!D647</f>
        <v>1560972</v>
      </c>
      <c r="F32" s="1729">
        <f>+'1870 Tesoro'!E647</f>
        <v>261</v>
      </c>
      <c r="G32" s="1730"/>
      <c r="H32" s="1728">
        <f>+'1870 Tesoro'!G673</f>
        <v>5599735</v>
      </c>
      <c r="I32" s="1729">
        <f>+'1870 Tesoro'!H673</f>
        <v>873</v>
      </c>
      <c r="J32" s="1730"/>
      <c r="K32" s="1728">
        <f>+'1870 Tesoro'!H701</f>
        <v>6613369</v>
      </c>
      <c r="L32" s="1729">
        <f>+'1870 Tesoro'!I701</f>
        <v>259</v>
      </c>
      <c r="M32" s="1730">
        <f>+'1870 Tesoro'!J701</f>
        <v>0.5</v>
      </c>
      <c r="N32" s="1728"/>
      <c r="O32" s="1729"/>
      <c r="P32" s="1730"/>
      <c r="Q32" s="1728">
        <f>+'1870 Tesoro'!B16</f>
        <v>3937500</v>
      </c>
      <c r="R32" s="1729"/>
      <c r="S32" s="1730"/>
      <c r="T32" s="1728"/>
      <c r="U32" s="1729"/>
      <c r="V32" s="1730"/>
      <c r="W32" s="1728"/>
      <c r="X32" s="1729"/>
      <c r="Y32" s="1730"/>
      <c r="Z32" s="1728"/>
      <c r="AA32" s="1729"/>
      <c r="AB32" s="1730"/>
      <c r="AC32" s="1728">
        <f>+'1875 Tesoro'!E85</f>
        <v>4701596</v>
      </c>
      <c r="AD32" s="1729">
        <f>+'1875 Tesoro'!F85</f>
        <v>88</v>
      </c>
      <c r="AE32" s="1730">
        <f>+'1875 Tesoro'!G85</f>
        <v>0.5</v>
      </c>
      <c r="AF32" s="1728">
        <f>+'1875 Tesoro'!E122</f>
        <v>3913981</v>
      </c>
      <c r="AG32" s="1729">
        <f>+'1875 Tesoro'!F122</f>
        <v>402</v>
      </c>
      <c r="AH32" s="1730"/>
      <c r="AI32" s="1728">
        <f>+'1877 Tesoro'!E49</f>
        <v>4686979</v>
      </c>
      <c r="AJ32" s="1729">
        <f>+'1877 Tesoro'!F49</f>
        <v>873</v>
      </c>
      <c r="AK32" s="1730">
        <f>+'1877 Tesoro'!G49</f>
        <v>0.5</v>
      </c>
      <c r="AL32" s="1728">
        <f>+'1878 Tesoro'!E43</f>
        <v>4330643</v>
      </c>
      <c r="AM32" s="1729">
        <f>+'1878 Tesoro'!F43</f>
        <v>638</v>
      </c>
      <c r="AN32" s="1730">
        <f>+'1878 Tesoro'!G43</f>
        <v>0.5</v>
      </c>
      <c r="AO32" s="1728">
        <f>+'1879 Tesoro'!E15</f>
        <v>3970181</v>
      </c>
      <c r="AP32" s="1729">
        <f>+'1879 Tesoro'!F15</f>
        <v>93</v>
      </c>
      <c r="AQ32" s="1730"/>
      <c r="AR32" s="1728">
        <f>+'1880 Tesoro'!E74</f>
        <v>6998937</v>
      </c>
      <c r="AS32" s="1729">
        <f>+'1880 Tesoro'!F74</f>
        <v>59</v>
      </c>
      <c r="AT32" s="1730"/>
      <c r="AU32" s="1728">
        <f>+'1880 Tesoro'!E140</f>
        <v>6585357</v>
      </c>
      <c r="AV32" s="1729">
        <f>+'1880 Tesoro'!F140</f>
        <v>150</v>
      </c>
      <c r="AW32" s="1730"/>
      <c r="AX32" s="1728">
        <f>+'1882 Tesoro'!E25</f>
        <v>6028120</v>
      </c>
      <c r="AY32" s="1729">
        <f>+'1882 Tesoro'!F25</f>
        <v>184</v>
      </c>
      <c r="AZ32" s="1730">
        <f>+'1882 Tesoro'!G25</f>
        <v>0.5</v>
      </c>
      <c r="BA32" s="1728">
        <f>+'1882 Tesoro'!E134</f>
        <v>6451793</v>
      </c>
      <c r="BB32" s="1729">
        <f>+'1882 Tesoro'!F134</f>
        <v>127</v>
      </c>
      <c r="BC32" s="1730"/>
      <c r="BD32" s="1728"/>
      <c r="BE32" s="1729"/>
      <c r="BF32" s="1730"/>
      <c r="BG32" s="1728"/>
      <c r="BH32" s="1729"/>
      <c r="BI32" s="1730"/>
      <c r="BJ32" s="1728"/>
      <c r="BK32" s="1729"/>
      <c r="BL32" s="1730"/>
      <c r="BM32" s="1728"/>
      <c r="BN32" s="1729"/>
      <c r="BO32" s="1730"/>
      <c r="BP32" s="1728"/>
      <c r="BQ32" s="1729"/>
      <c r="BR32" s="1730"/>
      <c r="BS32" s="1728"/>
      <c r="BT32" s="1729"/>
      <c r="BU32" s="1730"/>
      <c r="BV32" s="1728"/>
      <c r="BW32" s="1729"/>
      <c r="BX32" s="1730"/>
      <c r="BY32" s="1728"/>
      <c r="BZ32" s="1729"/>
      <c r="CA32" s="1730"/>
      <c r="CB32" s="1728"/>
      <c r="CC32" s="1729"/>
      <c r="CD32" s="1730"/>
      <c r="CE32" s="1728"/>
      <c r="CF32" s="1729"/>
      <c r="CG32" s="1730"/>
      <c r="CH32" s="1728"/>
      <c r="CI32" s="1729"/>
      <c r="CJ32" s="1730"/>
      <c r="CK32" s="1728"/>
      <c r="CL32" s="1729"/>
      <c r="CM32" s="1730"/>
      <c r="CN32" s="1728"/>
      <c r="CO32" s="1729"/>
      <c r="CP32" s="1730"/>
      <c r="CQ32" s="1728"/>
      <c r="CR32" s="1729"/>
      <c r="CS32" s="1730"/>
      <c r="CT32" s="1728"/>
      <c r="CU32" s="1729"/>
      <c r="CV32" s="1730"/>
      <c r="CW32" s="1728"/>
      <c r="CX32" s="1729"/>
      <c r="CY32" s="1730"/>
      <c r="CZ32" s="1728"/>
      <c r="DA32" s="1729"/>
      <c r="DB32" s="1730"/>
      <c r="DC32" s="1728"/>
      <c r="DD32" s="1729"/>
      <c r="DE32" s="1730"/>
      <c r="DF32" s="1728"/>
      <c r="DG32" s="1729"/>
      <c r="DH32" s="1730"/>
      <c r="DI32" s="1728"/>
      <c r="DJ32" s="1729"/>
      <c r="DK32" s="1730"/>
      <c r="DL32" s="1728"/>
      <c r="DM32" s="1729"/>
      <c r="DN32" s="1730"/>
      <c r="DO32" s="1728"/>
      <c r="DP32" s="1729"/>
      <c r="DQ32" s="1730"/>
      <c r="DR32" s="1728"/>
      <c r="DS32" s="1729"/>
      <c r="DT32" s="1730"/>
      <c r="DU32" s="1728"/>
      <c r="DV32" s="1729"/>
      <c r="DW32" s="1730"/>
      <c r="DX32" s="1728"/>
      <c r="DY32" s="1729"/>
      <c r="DZ32" s="1730"/>
      <c r="EA32" s="1728"/>
    </row>
    <row r="33" spans="2:131" s="1732" customFormat="1" x14ac:dyDescent="0.2">
      <c r="B33" s="393">
        <f>+SUM(B2:B31)</f>
        <v>1571339</v>
      </c>
      <c r="C33" s="1732">
        <f>+SUM(C2:C31)</f>
        <v>2638</v>
      </c>
      <c r="D33" s="1078"/>
      <c r="E33" s="393">
        <f>+SUM(E2:E31)</f>
        <v>1560969</v>
      </c>
      <c r="F33" s="1733">
        <f t="shared" ref="F33:M33" si="0">+SUM(F2:F31)</f>
        <v>3229</v>
      </c>
      <c r="G33" s="1078">
        <f t="shared" si="0"/>
        <v>2</v>
      </c>
      <c r="H33" s="393">
        <f t="shared" si="0"/>
        <v>5599732</v>
      </c>
      <c r="I33" s="1732">
        <f t="shared" si="0"/>
        <v>3872</v>
      </c>
      <c r="J33" s="1078">
        <f t="shared" si="0"/>
        <v>1</v>
      </c>
      <c r="K33" s="393">
        <f t="shared" si="0"/>
        <v>6613365</v>
      </c>
      <c r="L33" s="1732">
        <f t="shared" si="0"/>
        <v>4257</v>
      </c>
      <c r="M33" s="1078">
        <f t="shared" si="0"/>
        <v>2.5</v>
      </c>
      <c r="N33" s="393"/>
      <c r="P33" s="1078"/>
      <c r="Q33" s="393">
        <f>+SUM(Q2:Q14)</f>
        <v>3937500</v>
      </c>
      <c r="S33" s="1078"/>
      <c r="T33" s="393"/>
      <c r="V33" s="1078"/>
      <c r="W33" s="393"/>
      <c r="Y33" s="1078"/>
      <c r="Z33" s="393"/>
      <c r="AB33" s="1078"/>
      <c r="AC33" s="393">
        <f>+SUM(AC2:AC19)+AC24-AC26+AC27</f>
        <v>4701590</v>
      </c>
      <c r="AD33" s="1732">
        <f>+SUM(AD2:AD19)+AD24-AD26+AD27</f>
        <v>6087</v>
      </c>
      <c r="AE33" s="1078">
        <f>+SUM(AE2:AE19)+AE24-AE26+AE27</f>
        <v>1.5</v>
      </c>
      <c r="AF33" s="393">
        <f>+SUM(AF2:AF25)-AF26</f>
        <v>3913978</v>
      </c>
      <c r="AG33" s="1732">
        <f>+SUM(AG2:AG25)-AG26</f>
        <v>3402</v>
      </c>
      <c r="AH33" s="1078"/>
      <c r="AI33" s="393">
        <f>+SUM(AI2:AI18)+AI28+AI24-AI26+AI27+AI29+AI30</f>
        <v>4686973</v>
      </c>
      <c r="AJ33" s="1732">
        <f>+SUM(AJ2:AJ18)+AJ28+AJ24-AJ26+AJ27+AJ29+AJ30</f>
        <v>6873</v>
      </c>
      <c r="AK33" s="1078">
        <f>+SUM(AK2:AK18)+AK28+AK24-AK26+AK27+AK29+AK30</f>
        <v>0.5</v>
      </c>
      <c r="AL33" s="393">
        <f>+SUM(AL2:AL24)-AL26+AL27+AL30+AL29</f>
        <v>4330635</v>
      </c>
      <c r="AM33" s="1732">
        <f t="shared" ref="AM33:AN33" si="1">+SUM(AM2:AM24)-AM26+AM27+AM30+AM29</f>
        <v>8638</v>
      </c>
      <c r="AN33" s="1078">
        <f t="shared" si="1"/>
        <v>0.5</v>
      </c>
      <c r="AO33" s="393">
        <f>+SUM(AO2:AO31)</f>
        <v>3970174</v>
      </c>
      <c r="AP33" s="1732">
        <f t="shared" ref="AP33:AS33" si="2">+SUM(AP2:AP31)</f>
        <v>7093</v>
      </c>
      <c r="AQ33" s="1078"/>
      <c r="AR33" s="393">
        <f>+SUM(AR2:AR31)</f>
        <v>6998931</v>
      </c>
      <c r="AS33" s="1734">
        <f t="shared" si="2"/>
        <v>6059</v>
      </c>
      <c r="AT33" s="1078"/>
      <c r="AU33" s="393">
        <f>+SUM(AU2:AU21)-AU31+AU30</f>
        <v>6585351</v>
      </c>
      <c r="AV33" s="1734">
        <f>+SUM(AV2:AV21)-AV31+AV30</f>
        <v>6150</v>
      </c>
      <c r="AW33" s="1078"/>
      <c r="AX33" s="393">
        <f>+SUM(AX2:AX31)</f>
        <v>6028113</v>
      </c>
      <c r="AY33" s="1734">
        <f t="shared" ref="AY33:AZ33" si="3">+SUM(AY2:AY31)</f>
        <v>7184</v>
      </c>
      <c r="AZ33" s="1078">
        <f t="shared" si="3"/>
        <v>0.5</v>
      </c>
      <c r="BA33" s="393">
        <f>+SUM(BA2:BA30)-BA31</f>
        <v>6451788</v>
      </c>
      <c r="BB33" s="1734">
        <f t="shared" ref="BB33" si="4">+SUM(BB2:BB30)-BB31</f>
        <v>5127</v>
      </c>
      <c r="BC33" s="1078"/>
      <c r="BD33" s="393"/>
      <c r="BF33" s="1078"/>
      <c r="BG33" s="393"/>
      <c r="BI33" s="1078"/>
      <c r="BJ33" s="393"/>
      <c r="BL33" s="1078"/>
      <c r="BM33" s="393"/>
      <c r="BO33" s="1078"/>
      <c r="BP33" s="393"/>
      <c r="BR33" s="1078"/>
      <c r="BS33" s="393"/>
      <c r="BU33" s="1078"/>
      <c r="BV33" s="393"/>
      <c r="BX33" s="1078"/>
      <c r="BY33" s="393"/>
      <c r="CA33" s="1078"/>
      <c r="CB33" s="393"/>
      <c r="CD33" s="1078"/>
      <c r="CE33" s="393"/>
      <c r="CG33" s="1078"/>
      <c r="CH33" s="393"/>
      <c r="CJ33" s="1078"/>
      <c r="CK33" s="393"/>
      <c r="CM33" s="1078"/>
      <c r="CN33" s="393"/>
      <c r="CP33" s="1078"/>
      <c r="CQ33" s="393"/>
      <c r="CS33" s="1078"/>
      <c r="CT33" s="393"/>
      <c r="CV33" s="1078"/>
      <c r="CW33" s="393"/>
      <c r="CY33" s="1078"/>
      <c r="CZ33" s="393"/>
      <c r="DB33" s="1078"/>
      <c r="DC33" s="393"/>
      <c r="DE33" s="1078"/>
      <c r="DF33" s="393"/>
      <c r="DH33" s="1078"/>
      <c r="DI33" s="393"/>
      <c r="DK33" s="1078"/>
      <c r="DL33" s="393"/>
      <c r="DN33" s="1078"/>
      <c r="DO33" s="393"/>
      <c r="DQ33" s="1078"/>
      <c r="DR33" s="393"/>
      <c r="DT33" s="1078"/>
      <c r="DU33" s="393"/>
      <c r="DW33" s="1078"/>
      <c r="DX33" s="393"/>
      <c r="DZ33" s="1078"/>
      <c r="EA33" s="393"/>
    </row>
  </sheetData>
  <mergeCells count="43">
    <mergeCell ref="DX1:DZ1"/>
    <mergeCell ref="DF1:DH1"/>
    <mergeCell ref="DI1:DK1"/>
    <mergeCell ref="DL1:DN1"/>
    <mergeCell ref="DO1:DQ1"/>
    <mergeCell ref="DR1:DT1"/>
    <mergeCell ref="DU1:DW1"/>
    <mergeCell ref="CN1:CP1"/>
    <mergeCell ref="CQ1:CS1"/>
    <mergeCell ref="CT1:CV1"/>
    <mergeCell ref="CW1:CY1"/>
    <mergeCell ref="CZ1:DB1"/>
    <mergeCell ref="DC1:DE1"/>
    <mergeCell ref="BV1:BX1"/>
    <mergeCell ref="BY1:CA1"/>
    <mergeCell ref="CB1:CD1"/>
    <mergeCell ref="CE1:CG1"/>
    <mergeCell ref="CH1:CJ1"/>
    <mergeCell ref="CK1:CM1"/>
    <mergeCell ref="BD1:BF1"/>
    <mergeCell ref="BG1:BI1"/>
    <mergeCell ref="BJ1:BL1"/>
    <mergeCell ref="BM1:BO1"/>
    <mergeCell ref="BP1:BR1"/>
    <mergeCell ref="BS1:BU1"/>
    <mergeCell ref="AL1:AN1"/>
    <mergeCell ref="AO1:AQ1"/>
    <mergeCell ref="AR1:AT1"/>
    <mergeCell ref="AU1:AW1"/>
    <mergeCell ref="AX1:AZ1"/>
    <mergeCell ref="BA1:BC1"/>
    <mergeCell ref="T1:V1"/>
    <mergeCell ref="W1:Y1"/>
    <mergeCell ref="Z1:AB1"/>
    <mergeCell ref="AC1:AE1"/>
    <mergeCell ref="AF1:AH1"/>
    <mergeCell ref="AI1:AK1"/>
    <mergeCell ref="B1:D1"/>
    <mergeCell ref="E1:G1"/>
    <mergeCell ref="H1:J1"/>
    <mergeCell ref="K1:M1"/>
    <mergeCell ref="N1:P1"/>
    <mergeCell ref="Q1:S1"/>
  </mergeCells>
  <pageMargins left="0.7" right="0.7" top="0.75" bottom="0.75" header="0.3" footer="0.3"/>
  <legacyDrawing r:id="rId1"/>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5" tint="0.39997558519241921"/>
  </sheetPr>
  <dimension ref="A1:BX37"/>
  <sheetViews>
    <sheetView workbookViewId="0">
      <pane xSplit="1" topLeftCell="B1" activePane="topRight" state="frozenSplit"/>
      <selection activeCell="B1" sqref="B1"/>
      <selection pane="topRight" activeCell="B1" sqref="B1"/>
    </sheetView>
  </sheetViews>
  <sheetFormatPr baseColWidth="10" defaultRowHeight="15" x14ac:dyDescent="0.2"/>
  <cols>
    <col min="1" max="1" width="39.6640625" style="106" customWidth="1"/>
    <col min="2" max="2" width="10.83203125" style="106"/>
    <col min="3" max="3" width="6.5" style="106" customWidth="1"/>
    <col min="4" max="4" width="5.1640625" style="106" customWidth="1"/>
    <col min="5" max="5" width="10.83203125" style="106"/>
    <col min="6" max="6" width="6.5" style="106" customWidth="1"/>
    <col min="7" max="7" width="5.1640625" style="106" customWidth="1"/>
    <col min="8" max="8" width="10.83203125" style="106"/>
    <col min="9" max="9" width="6.5" style="106" customWidth="1"/>
    <col min="10" max="10" width="5.1640625" style="106" customWidth="1"/>
    <col min="11" max="11" width="10.83203125" style="106"/>
    <col min="12" max="12" width="6.5" style="106" customWidth="1"/>
    <col min="13" max="13" width="5.1640625" style="106" customWidth="1"/>
    <col min="14" max="14" width="10.83203125" style="106"/>
    <col min="15" max="15" width="6.5" style="106" customWidth="1"/>
    <col min="16" max="16" width="5.1640625" style="106" customWidth="1"/>
    <col min="17" max="17" width="10.83203125" style="106"/>
    <col min="18" max="18" width="6.5" style="106" customWidth="1"/>
    <col min="19" max="19" width="5.1640625" style="106" customWidth="1"/>
    <col min="20" max="20" width="10.83203125" style="106"/>
    <col min="21" max="21" width="6.5" style="106" customWidth="1"/>
    <col min="22" max="22" width="5.1640625" style="106" customWidth="1"/>
    <col min="23" max="23" width="10.83203125" style="106"/>
    <col min="24" max="24" width="6.5" style="106" customWidth="1"/>
    <col min="25" max="25" width="5.1640625" style="106" customWidth="1"/>
    <col min="26" max="26" width="10.83203125" style="106"/>
    <col min="27" max="27" width="6.5" style="106" customWidth="1"/>
    <col min="28" max="28" width="5.1640625" style="106" customWidth="1"/>
    <col min="29" max="29" width="10.83203125" style="107"/>
    <col min="30" max="30" width="6.5" style="106" customWidth="1"/>
    <col min="31" max="31" width="5.1640625" style="106" customWidth="1"/>
    <col min="32" max="32" width="10.83203125" style="107"/>
    <col min="33" max="33" width="6.5" style="106" customWidth="1"/>
    <col min="34" max="34" width="5.1640625" style="106" customWidth="1"/>
    <col min="35" max="35" width="10.83203125" style="107"/>
    <col min="36" max="36" width="6.5" style="106" customWidth="1"/>
    <col min="37" max="37" width="5.1640625" style="106" customWidth="1"/>
    <col min="38" max="38" width="10.83203125" style="107"/>
    <col min="39" max="39" width="6.5" style="106" customWidth="1"/>
    <col min="40" max="40" width="5.1640625" style="106" customWidth="1"/>
    <col min="41" max="41" width="10.83203125" style="107"/>
    <col min="42" max="42" width="6.5" style="106" customWidth="1"/>
    <col min="43" max="43" width="5.1640625" style="106" customWidth="1"/>
    <col min="44" max="44" width="10.83203125" style="107"/>
    <col min="45" max="45" width="6.5" style="106" customWidth="1"/>
    <col min="46" max="46" width="5.1640625" style="106" customWidth="1"/>
    <col min="47" max="47" width="10.83203125" style="107"/>
    <col min="48" max="48" width="6.5" style="106" customWidth="1"/>
    <col min="49" max="49" width="5.1640625" style="106" customWidth="1"/>
    <col min="50" max="50" width="10.83203125" style="107"/>
    <col min="51" max="51" width="6.5" style="106" customWidth="1"/>
    <col min="52" max="52" width="5.1640625" style="106" customWidth="1"/>
    <col min="53" max="53" width="10.83203125" style="107"/>
    <col min="54" max="54" width="6.5" style="106" customWidth="1"/>
    <col min="55" max="55" width="5.1640625" style="106" customWidth="1"/>
    <col min="56" max="56" width="10.83203125" style="106"/>
    <col min="57" max="57" width="6.5" style="106" customWidth="1"/>
    <col min="58" max="58" width="5.1640625" style="106" customWidth="1"/>
    <col min="59" max="59" width="10.83203125" style="106"/>
    <col min="60" max="60" width="6.5" style="106" customWidth="1"/>
    <col min="61" max="61" width="5.1640625" style="106" customWidth="1"/>
    <col min="62" max="62" width="10.83203125" style="106"/>
    <col min="63" max="63" width="6.5" style="106" customWidth="1"/>
    <col min="64" max="64" width="5.1640625" style="106" customWidth="1"/>
    <col min="65" max="65" width="10.83203125" style="106"/>
    <col min="66" max="66" width="6.5" style="106" customWidth="1"/>
    <col min="67" max="67" width="5.1640625" style="106" customWidth="1"/>
    <col min="68" max="68" width="10.83203125" style="106"/>
    <col min="69" max="69" width="6.5" style="106" customWidth="1"/>
    <col min="70" max="70" width="5.1640625" style="106" customWidth="1"/>
    <col min="71" max="71" width="10.83203125" style="106"/>
    <col min="72" max="72" width="6.5" style="106" customWidth="1"/>
    <col min="73" max="73" width="5.1640625" style="106" customWidth="1"/>
    <col min="74" max="74" width="10.83203125" style="106"/>
    <col min="75" max="75" width="6.5" style="106" customWidth="1"/>
    <col min="76" max="76" width="5.1640625" style="106" customWidth="1"/>
    <col min="77" max="16384" width="10.83203125" style="106"/>
  </cols>
  <sheetData>
    <row r="1" spans="1:76" ht="39.5" customHeight="1" x14ac:dyDescent="0.2">
      <c r="A1" s="1725" t="s">
        <v>1935</v>
      </c>
      <c r="B1" s="1722" t="s">
        <v>5963</v>
      </c>
      <c r="C1" s="1723"/>
      <c r="D1" s="1724"/>
      <c r="E1" s="1722" t="s">
        <v>5964</v>
      </c>
      <c r="F1" s="1723"/>
      <c r="G1" s="1724"/>
      <c r="H1" s="1722" t="s">
        <v>5965</v>
      </c>
      <c r="I1" s="1723"/>
      <c r="J1" s="1724"/>
      <c r="K1" s="1722" t="s">
        <v>5966</v>
      </c>
      <c r="L1" s="1723"/>
      <c r="M1" s="1724"/>
      <c r="N1" s="1722" t="s">
        <v>5967</v>
      </c>
      <c r="O1" s="1723"/>
      <c r="P1" s="1724"/>
      <c r="Q1" s="1722" t="s">
        <v>5968</v>
      </c>
      <c r="R1" s="1723"/>
      <c r="S1" s="1724"/>
      <c r="T1" s="1722" t="s">
        <v>5969</v>
      </c>
      <c r="U1" s="1723"/>
      <c r="V1" s="1724"/>
      <c r="W1" s="1722" t="s">
        <v>5970</v>
      </c>
      <c r="X1" s="1723"/>
      <c r="Y1" s="1724"/>
      <c r="Z1" s="1722" t="s">
        <v>5971</v>
      </c>
      <c r="AA1" s="1723"/>
      <c r="AB1" s="1724"/>
      <c r="AC1" s="1722" t="s">
        <v>5972</v>
      </c>
      <c r="AD1" s="1723"/>
      <c r="AE1" s="1724"/>
      <c r="AF1" s="1722" t="s">
        <v>5973</v>
      </c>
      <c r="AG1" s="1723"/>
      <c r="AH1" s="1724"/>
      <c r="AI1" s="1722" t="s">
        <v>5974</v>
      </c>
      <c r="AJ1" s="1723"/>
      <c r="AK1" s="1724"/>
      <c r="AL1" s="1722" t="s">
        <v>5975</v>
      </c>
      <c r="AM1" s="1723"/>
      <c r="AN1" s="1724"/>
      <c r="AO1" s="1722" t="s">
        <v>5976</v>
      </c>
      <c r="AP1" s="1723"/>
      <c r="AQ1" s="1724"/>
      <c r="AR1" s="1722" t="s">
        <v>5977</v>
      </c>
      <c r="AS1" s="1723"/>
      <c r="AT1" s="1724"/>
      <c r="AU1" s="1722" t="s">
        <v>5978</v>
      </c>
      <c r="AV1" s="1723"/>
      <c r="AW1" s="1724"/>
      <c r="AX1" s="1722" t="s">
        <v>5979</v>
      </c>
      <c r="AY1" s="1723"/>
      <c r="AZ1" s="1724"/>
      <c r="BA1" s="1722" t="s">
        <v>5980</v>
      </c>
      <c r="BB1" s="1723"/>
      <c r="BC1" s="1724"/>
      <c r="BD1" s="1722" t="s">
        <v>5981</v>
      </c>
      <c r="BE1" s="1723"/>
      <c r="BF1" s="1724"/>
      <c r="BG1" s="1722" t="s">
        <v>5982</v>
      </c>
      <c r="BH1" s="1723"/>
      <c r="BI1" s="1724"/>
      <c r="BJ1" s="1722" t="s">
        <v>5983</v>
      </c>
      <c r="BK1" s="1723"/>
      <c r="BL1" s="1724"/>
      <c r="BM1" s="1722" t="s">
        <v>5984</v>
      </c>
      <c r="BN1" s="1723"/>
      <c r="BO1" s="1724"/>
      <c r="BP1" s="1722" t="s">
        <v>5985</v>
      </c>
      <c r="BQ1" s="1723"/>
      <c r="BR1" s="1724"/>
      <c r="BS1" s="1722" t="s">
        <v>5986</v>
      </c>
      <c r="BT1" s="1723"/>
      <c r="BU1" s="1724"/>
      <c r="BV1" s="1722" t="s">
        <v>5987</v>
      </c>
      <c r="BW1" s="1723"/>
      <c r="BX1" s="1724"/>
    </row>
    <row r="2" spans="1:76" x14ac:dyDescent="0.2">
      <c r="A2" s="1735" t="s">
        <v>5993</v>
      </c>
      <c r="B2" s="958">
        <f>+'1870 Tesoro'!D628</f>
        <v>338326</v>
      </c>
      <c r="C2" s="1736">
        <f>+'1870 Tesoro'!E628</f>
        <v>750</v>
      </c>
      <c r="D2" s="1737"/>
      <c r="E2" s="958">
        <f>+'1870 Tesoro'!G655</f>
        <v>349169</v>
      </c>
      <c r="F2" s="1736">
        <f>+'1870 Tesoro'!H655</f>
        <v>787</v>
      </c>
      <c r="G2" s="1737">
        <f>+'1870 Tesoro'!I655</f>
        <v>0.5</v>
      </c>
      <c r="H2" s="958">
        <f>+'1870 Tesoro'!D684</f>
        <v>174971</v>
      </c>
      <c r="I2" s="1736">
        <f>+'1870 Tesoro'!E684</f>
        <v>125</v>
      </c>
      <c r="J2" s="1737"/>
      <c r="K2" s="958">
        <f>+'1870 Tesoro'!H713</f>
        <v>144591</v>
      </c>
      <c r="L2" s="1736">
        <f>+'1870 Tesoro'!I713</f>
        <v>845</v>
      </c>
      <c r="M2" s="1737"/>
      <c r="N2" s="958"/>
      <c r="O2" s="1736"/>
      <c r="P2" s="1737"/>
      <c r="Q2" s="958">
        <f>+'1870 Tesoro'!E50</f>
        <v>236729</v>
      </c>
      <c r="R2" s="1736">
        <f>+'1870 Tesoro'!F50</f>
        <v>25</v>
      </c>
      <c r="S2" s="1737"/>
      <c r="T2" s="958"/>
      <c r="U2" s="1736"/>
      <c r="V2" s="1737"/>
      <c r="W2" s="958"/>
      <c r="X2" s="1736"/>
      <c r="Y2" s="1737"/>
      <c r="Z2" s="958"/>
      <c r="AA2" s="1736"/>
      <c r="AB2" s="1737"/>
      <c r="AC2" s="145">
        <f>+'1875 Tesoro'!B17</f>
        <v>1553210</v>
      </c>
      <c r="AD2" s="1736">
        <f>+'1875 Tesoro'!C17</f>
        <v>43</v>
      </c>
      <c r="AE2" s="1737"/>
      <c r="AF2" s="145">
        <f>+'1875 Tesoro'!B38</f>
        <v>1479203</v>
      </c>
      <c r="AG2" s="1736">
        <f>+'1875 Tesoro'!C38</f>
        <v>63</v>
      </c>
      <c r="AH2" s="1737">
        <f>+'1875 Tesoro'!D38</f>
        <v>0.5</v>
      </c>
      <c r="AI2" s="145">
        <f>+'1877 Tesoro'!B55</f>
        <v>1449009</v>
      </c>
      <c r="AJ2" s="1736">
        <f>+'1877 Tesoro'!C55</f>
        <v>875</v>
      </c>
      <c r="AK2" s="1737"/>
      <c r="AL2" s="145">
        <f>+'1878 Tesoro'!B58</f>
        <v>683142</v>
      </c>
      <c r="AM2" s="1736">
        <f>+'1878 Tesoro'!C58</f>
        <v>400</v>
      </c>
      <c r="AN2" s="1737"/>
      <c r="AO2" s="145">
        <f>+'1879 Tesoro'!B71</f>
        <v>310023</v>
      </c>
      <c r="AP2" s="1736">
        <f>+'1879 Tesoro'!C71</f>
        <v>500</v>
      </c>
      <c r="AQ2" s="1737"/>
      <c r="AR2" s="145">
        <f>+'1880 Tesoro'!B94</f>
        <v>1385682</v>
      </c>
      <c r="AS2" s="1736">
        <f>+'1880 Tesoro'!C94</f>
        <v>450</v>
      </c>
      <c r="AT2" s="1737"/>
      <c r="AU2" s="145">
        <f>+'1880 Tesoro'!B161</f>
        <v>2009449</v>
      </c>
      <c r="AV2" s="1736">
        <f>+'1880 Tesoro'!C161</f>
        <v>675</v>
      </c>
      <c r="AW2" s="1737"/>
      <c r="AX2" s="145">
        <f>+'1882 Tesoro'!B71</f>
        <v>1299792</v>
      </c>
      <c r="AY2" s="1736">
        <f>+'1882 Tesoro'!C71</f>
        <v>865</v>
      </c>
      <c r="AZ2" s="1737"/>
      <c r="BA2" s="145">
        <f>+'1882 Tesoro'!B152</f>
        <v>766000</v>
      </c>
      <c r="BB2" s="1736">
        <f>+'1882 Tesoro'!C152</f>
        <v>350</v>
      </c>
      <c r="BC2" s="1737"/>
      <c r="BD2" s="958"/>
      <c r="BE2" s="1736"/>
      <c r="BF2" s="1737"/>
      <c r="BG2" s="958"/>
      <c r="BH2" s="1736"/>
      <c r="BI2" s="1737"/>
      <c r="BJ2" s="958"/>
      <c r="BK2" s="1736"/>
      <c r="BL2" s="1737"/>
      <c r="BM2" s="958"/>
      <c r="BN2" s="1736"/>
      <c r="BO2" s="1737"/>
      <c r="BP2" s="958"/>
      <c r="BQ2" s="1736"/>
      <c r="BR2" s="1737"/>
      <c r="BS2" s="958"/>
      <c r="BT2" s="1736"/>
      <c r="BU2" s="1737"/>
      <c r="BV2" s="958"/>
      <c r="BW2" s="1736"/>
      <c r="BX2" s="1737"/>
    </row>
    <row r="3" spans="1:76" ht="24.5" customHeight="1" x14ac:dyDescent="0.2">
      <c r="A3" s="1726" t="str">
        <f>+'1870 Tesoro'!A106:D106</f>
        <v>Liquidado a favor de la deuda nacional i otro compromisos</v>
      </c>
      <c r="B3" s="131"/>
      <c r="C3" s="145"/>
      <c r="D3" s="133"/>
      <c r="E3" s="131"/>
      <c r="F3" s="145"/>
      <c r="G3" s="133"/>
      <c r="H3" s="131"/>
      <c r="I3" s="145"/>
      <c r="J3" s="133"/>
      <c r="K3" s="131"/>
      <c r="L3" s="145"/>
      <c r="M3" s="133"/>
      <c r="N3" s="131"/>
      <c r="O3" s="145"/>
      <c r="P3" s="133"/>
      <c r="Q3" s="131">
        <f>+'1870 Tesoro'!E106</f>
        <v>2674439</v>
      </c>
      <c r="R3" s="145"/>
      <c r="S3" s="133"/>
      <c r="T3" s="131"/>
      <c r="U3" s="145"/>
      <c r="V3" s="133"/>
      <c r="W3" s="131"/>
      <c r="X3" s="145"/>
      <c r="Y3" s="133"/>
      <c r="Z3" s="131"/>
      <c r="AA3" s="145"/>
      <c r="AB3" s="133"/>
      <c r="AC3" s="145"/>
      <c r="AD3" s="145"/>
      <c r="AE3" s="133"/>
      <c r="AF3" s="145"/>
      <c r="AG3" s="145"/>
      <c r="AH3" s="133"/>
      <c r="AI3" s="145"/>
      <c r="AJ3" s="145"/>
      <c r="AK3" s="133"/>
      <c r="AL3" s="145"/>
      <c r="AM3" s="145"/>
      <c r="AN3" s="133"/>
      <c r="AO3" s="145"/>
      <c r="AP3" s="145"/>
      <c r="AQ3" s="133"/>
      <c r="AR3" s="145"/>
      <c r="AS3" s="145"/>
      <c r="AT3" s="133"/>
      <c r="AU3" s="145"/>
      <c r="AV3" s="145"/>
      <c r="AW3" s="133"/>
      <c r="AX3" s="145"/>
      <c r="AY3" s="145"/>
      <c r="AZ3" s="133"/>
      <c r="BA3" s="145"/>
      <c r="BB3" s="145"/>
      <c r="BC3" s="133"/>
      <c r="BD3" s="131"/>
      <c r="BE3" s="145"/>
      <c r="BF3" s="133"/>
      <c r="BG3" s="131"/>
      <c r="BH3" s="145"/>
      <c r="BI3" s="133"/>
      <c r="BJ3" s="131"/>
      <c r="BK3" s="145"/>
      <c r="BL3" s="133"/>
      <c r="BM3" s="131"/>
      <c r="BN3" s="145"/>
      <c r="BO3" s="133"/>
      <c r="BP3" s="131"/>
      <c r="BQ3" s="145"/>
      <c r="BR3" s="133"/>
      <c r="BS3" s="131"/>
      <c r="BT3" s="145"/>
      <c r="BU3" s="133"/>
      <c r="BV3" s="131"/>
      <c r="BW3" s="145"/>
      <c r="BX3" s="133"/>
    </row>
    <row r="4" spans="1:76" x14ac:dyDescent="0.2">
      <c r="A4" s="1735" t="s">
        <v>5994</v>
      </c>
      <c r="B4" s="478">
        <f>+'1870 Tesoro'!D627</f>
        <v>30875</v>
      </c>
      <c r="C4" s="569">
        <f>+'1870 Tesoro'!E627</f>
        <v>880</v>
      </c>
      <c r="D4" s="1738"/>
      <c r="E4" s="478">
        <f>+'1870 Tesoro'!G654</f>
        <v>34585</v>
      </c>
      <c r="F4" s="569">
        <f>+'1870 Tesoro'!H654</f>
        <v>450</v>
      </c>
      <c r="G4" s="1738"/>
      <c r="H4" s="478">
        <f>+'1870 Tesoro'!D683</f>
        <v>170448</v>
      </c>
      <c r="I4" s="569">
        <f>+'1870 Tesoro'!E683</f>
        <v>950</v>
      </c>
      <c r="J4" s="1738"/>
      <c r="K4" s="478">
        <f>+'1870 Tesoro'!H714</f>
        <v>237423</v>
      </c>
      <c r="L4" s="569">
        <f>+'1870 Tesoro'!I714</f>
        <v>530</v>
      </c>
      <c r="M4" s="1738"/>
      <c r="N4" s="478"/>
      <c r="O4" s="569"/>
      <c r="P4" s="1738"/>
      <c r="Q4" s="478">
        <f>+'1870 Tesoro'!E54</f>
        <v>39953</v>
      </c>
      <c r="R4" s="569">
        <f>+'1870 Tesoro'!F54</f>
        <v>65</v>
      </c>
      <c r="S4" s="1738"/>
      <c r="T4" s="478"/>
      <c r="U4" s="569"/>
      <c r="V4" s="1738"/>
      <c r="W4" s="478"/>
      <c r="X4" s="569"/>
      <c r="Y4" s="1738"/>
      <c r="Z4" s="478"/>
      <c r="AA4" s="569"/>
      <c r="AB4" s="1738"/>
      <c r="AC4" s="145">
        <f>+'1875 Tesoro'!B14</f>
        <v>54742</v>
      </c>
      <c r="AD4" s="569">
        <f>+'1875 Tesoro'!C14</f>
        <v>95</v>
      </c>
      <c r="AE4" s="1738"/>
      <c r="AF4" s="145">
        <f>+'1875 Tesoro'!B35</f>
        <v>45725</v>
      </c>
      <c r="AG4" s="569">
        <f>+'1875 Tesoro'!C35</f>
        <v>75</v>
      </c>
      <c r="AH4" s="1738"/>
      <c r="AI4" s="145">
        <f>+'1877 Tesoro'!B56</f>
        <v>75202</v>
      </c>
      <c r="AJ4" s="569">
        <f>+'1877 Tesoro'!C56</f>
        <v>175</v>
      </c>
      <c r="AK4" s="1738"/>
      <c r="AL4" s="145">
        <f>+'1878 Tesoro'!B59</f>
        <v>67407</v>
      </c>
      <c r="AM4" s="569">
        <f>+'1878 Tesoro'!C59</f>
        <v>205</v>
      </c>
      <c r="AN4" s="1738"/>
      <c r="AO4" s="145">
        <f>+'1879 Tesoro'!B72</f>
        <v>43962</v>
      </c>
      <c r="AP4" s="569">
        <f>+'1879 Tesoro'!C72</f>
        <v>275</v>
      </c>
      <c r="AQ4" s="1738"/>
      <c r="AR4" s="145">
        <f>+'1880 Tesoro'!B95</f>
        <v>59699</v>
      </c>
      <c r="AS4" s="569">
        <f>+'1880 Tesoro'!C95</f>
        <v>100</v>
      </c>
      <c r="AT4" s="1738"/>
      <c r="AU4" s="145">
        <f>+'1880 Tesoro'!B160</f>
        <v>130305</v>
      </c>
      <c r="AV4" s="569">
        <f>+'1880 Tesoro'!C160</f>
        <v>650</v>
      </c>
      <c r="AW4" s="1738"/>
      <c r="AX4" s="145">
        <f>+'1882 Tesoro'!B70</f>
        <v>63444</v>
      </c>
      <c r="AY4" s="569">
        <f>+'1882 Tesoro'!C70</f>
        <v>500</v>
      </c>
      <c r="AZ4" s="1738"/>
      <c r="BA4" s="145">
        <f>+'1882 Tesoro'!B151</f>
        <v>86907</v>
      </c>
      <c r="BB4" s="569">
        <f>+'1882 Tesoro'!C151</f>
        <v>600</v>
      </c>
      <c r="BC4" s="1738"/>
      <c r="BD4" s="478"/>
      <c r="BE4" s="569"/>
      <c r="BF4" s="1738"/>
      <c r="BG4" s="478"/>
      <c r="BH4" s="569"/>
      <c r="BI4" s="1738"/>
      <c r="BJ4" s="478"/>
      <c r="BK4" s="569"/>
      <c r="BL4" s="1738"/>
      <c r="BM4" s="478"/>
      <c r="BN4" s="569"/>
      <c r="BO4" s="1738"/>
      <c r="BP4" s="478"/>
      <c r="BQ4" s="569"/>
      <c r="BR4" s="1738"/>
      <c r="BS4" s="478"/>
      <c r="BT4" s="569"/>
      <c r="BU4" s="1738"/>
      <c r="BV4" s="478"/>
      <c r="BW4" s="569"/>
      <c r="BX4" s="1738"/>
    </row>
    <row r="5" spans="1:76" x14ac:dyDescent="0.2">
      <c r="A5" s="1735" t="s">
        <v>5995</v>
      </c>
      <c r="B5" s="478"/>
      <c r="C5" s="569"/>
      <c r="D5" s="1738"/>
      <c r="E5" s="478"/>
      <c r="F5" s="569"/>
      <c r="G5" s="1738"/>
      <c r="H5" s="478"/>
      <c r="I5" s="569"/>
      <c r="J5" s="1738"/>
      <c r="K5" s="478"/>
      <c r="L5" s="569"/>
      <c r="M5" s="1738"/>
      <c r="N5" s="478"/>
      <c r="O5" s="569"/>
      <c r="P5" s="1738"/>
      <c r="Q5" s="478">
        <f>+'1870 Tesoro'!E57</f>
        <v>17600</v>
      </c>
      <c r="R5" s="569"/>
      <c r="S5" s="1738"/>
      <c r="T5" s="478"/>
      <c r="U5" s="569"/>
      <c r="V5" s="1738"/>
      <c r="W5" s="478"/>
      <c r="X5" s="569"/>
      <c r="Y5" s="1738"/>
      <c r="Z5" s="478"/>
      <c r="AA5" s="569"/>
      <c r="AB5" s="1738"/>
      <c r="AC5" s="145">
        <f>+'1875 Tesoro'!B15</f>
        <v>9027</v>
      </c>
      <c r="AD5" s="569">
        <f>+'1875 Tesoro'!C15</f>
        <v>0</v>
      </c>
      <c r="AE5" s="1738"/>
      <c r="AF5" s="145">
        <f>+'1875 Tesoro'!B36</f>
        <v>6748</v>
      </c>
      <c r="AG5" s="569">
        <f>+'1875 Tesoro'!C36</f>
        <v>25</v>
      </c>
      <c r="AH5" s="1738"/>
      <c r="AI5" s="145"/>
      <c r="AJ5" s="569"/>
      <c r="AK5" s="1738"/>
      <c r="AL5" s="145"/>
      <c r="AM5" s="569"/>
      <c r="AN5" s="1738"/>
      <c r="AO5" s="145"/>
      <c r="AP5" s="569"/>
      <c r="AQ5" s="1738"/>
      <c r="AR5" s="145"/>
      <c r="AS5" s="569"/>
      <c r="AT5" s="1738"/>
      <c r="AU5" s="145"/>
      <c r="AV5" s="569"/>
      <c r="AW5" s="1738"/>
      <c r="AX5" s="145"/>
      <c r="AY5" s="569"/>
      <c r="AZ5" s="1738"/>
      <c r="BA5" s="145">
        <f>+'1882 Tesoro'!B153</f>
        <v>20496</v>
      </c>
      <c r="BB5" s="569">
        <f>+'1882 Tesoro'!C153</f>
        <v>700</v>
      </c>
      <c r="BC5" s="1738"/>
      <c r="BD5" s="478"/>
      <c r="BE5" s="569"/>
      <c r="BF5" s="1738"/>
      <c r="BG5" s="478"/>
      <c r="BH5" s="569"/>
      <c r="BI5" s="1738"/>
      <c r="BJ5" s="478"/>
      <c r="BK5" s="569"/>
      <c r="BL5" s="1738"/>
      <c r="BM5" s="478"/>
      <c r="BN5" s="569"/>
      <c r="BO5" s="1738"/>
      <c r="BP5" s="478"/>
      <c r="BQ5" s="569"/>
      <c r="BR5" s="1738"/>
      <c r="BS5" s="478"/>
      <c r="BT5" s="569"/>
      <c r="BU5" s="1738"/>
      <c r="BV5" s="478"/>
      <c r="BW5" s="569"/>
      <c r="BX5" s="1738"/>
    </row>
    <row r="6" spans="1:76" x14ac:dyDescent="0.2">
      <c r="A6" s="1735" t="s">
        <v>5996</v>
      </c>
      <c r="B6" s="958">
        <f>+'1870 Tesoro'!D626</f>
        <v>9268</v>
      </c>
      <c r="C6" s="1736">
        <f>+'1870 Tesoro'!E626</f>
        <v>895</v>
      </c>
      <c r="D6" s="1737"/>
      <c r="E6" s="958">
        <f>+'1870 Tesoro'!G653</f>
        <v>8590</v>
      </c>
      <c r="F6" s="1736">
        <f>+'1870 Tesoro'!H653</f>
        <v>120</v>
      </c>
      <c r="G6" s="1737"/>
      <c r="H6" s="958">
        <f>+'1870 Tesoro'!D680</f>
        <v>33536</v>
      </c>
      <c r="I6" s="1736">
        <f>+'1870 Tesoro'!E680</f>
        <v>980</v>
      </c>
      <c r="J6" s="1737"/>
      <c r="K6" s="958">
        <f>+'1870 Tesoro'!H711</f>
        <v>37717</v>
      </c>
      <c r="L6" s="1736">
        <f>+'1870 Tesoro'!I711</f>
        <v>800</v>
      </c>
      <c r="M6" s="1737"/>
      <c r="N6" s="958"/>
      <c r="O6" s="1736"/>
      <c r="P6" s="1737"/>
      <c r="Q6" s="958">
        <f>+'1870 Tesoro'!E59</f>
        <v>35896</v>
      </c>
      <c r="R6" s="1736">
        <f>+'1870 Tesoro'!F59</f>
        <v>40</v>
      </c>
      <c r="S6" s="1737"/>
      <c r="T6" s="958"/>
      <c r="U6" s="1736"/>
      <c r="V6" s="1737"/>
      <c r="W6" s="958"/>
      <c r="X6" s="1736"/>
      <c r="Y6" s="1737"/>
      <c r="Z6" s="958"/>
      <c r="AA6" s="1736"/>
      <c r="AB6" s="1737"/>
      <c r="AC6" s="145">
        <f>+'1875 Tesoro'!B16</f>
        <v>77648</v>
      </c>
      <c r="AD6" s="1736">
        <f>+'1875 Tesoro'!C16</f>
        <v>25</v>
      </c>
      <c r="AE6" s="1737"/>
      <c r="AF6" s="145">
        <f>+'1875 Tesoro'!B37</f>
        <v>93882</v>
      </c>
      <c r="AG6" s="1736">
        <f>+'1875 Tesoro'!C37</f>
        <v>20</v>
      </c>
      <c r="AH6" s="1737"/>
      <c r="AI6" s="145">
        <f>+'1877 Tesoro'!B58</f>
        <v>68909</v>
      </c>
      <c r="AJ6" s="1736">
        <f>+'1877 Tesoro'!C58</f>
        <v>700</v>
      </c>
      <c r="AK6" s="1737"/>
      <c r="AL6" s="145">
        <f>+'1878 Tesoro'!B61</f>
        <v>48580</v>
      </c>
      <c r="AM6" s="1736">
        <f>+'1878 Tesoro'!C61</f>
        <v>200</v>
      </c>
      <c r="AN6" s="1737"/>
      <c r="AO6" s="145">
        <f>+'1879 Tesoro'!B74</f>
        <v>5058</v>
      </c>
      <c r="AP6" s="1736">
        <f>+'1879 Tesoro'!C74</f>
        <v>600</v>
      </c>
      <c r="AQ6" s="1737"/>
      <c r="AR6" s="145">
        <f>+'1880 Tesoro'!B97</f>
        <v>41221</v>
      </c>
      <c r="AS6" s="1736">
        <f>+'1880 Tesoro'!C97</f>
        <v>400</v>
      </c>
      <c r="AT6" s="1737"/>
      <c r="AU6" s="145">
        <f>+'1880 Tesoro'!B163</f>
        <v>72282</v>
      </c>
      <c r="AV6" s="1736">
        <f>+'1880 Tesoro'!C163</f>
        <v>300</v>
      </c>
      <c r="AW6" s="1737"/>
      <c r="AX6" s="145">
        <f>+'1882 Tesoro'!B73</f>
        <v>99928</v>
      </c>
      <c r="AY6" s="1736">
        <f>+'1882 Tesoro'!C73</f>
        <v>900</v>
      </c>
      <c r="AZ6" s="1737"/>
      <c r="BA6" s="145">
        <f>+'1882 Tesoro'!B156</f>
        <v>102481</v>
      </c>
      <c r="BB6" s="1736">
        <f>+'1882 Tesoro'!C156</f>
        <v>900</v>
      </c>
      <c r="BC6" s="1737"/>
      <c r="BD6" s="958"/>
      <c r="BE6" s="1736"/>
      <c r="BF6" s="1737"/>
      <c r="BG6" s="958"/>
      <c r="BH6" s="1736"/>
      <c r="BI6" s="1737"/>
      <c r="BJ6" s="958"/>
      <c r="BK6" s="1736"/>
      <c r="BL6" s="1737"/>
      <c r="BM6" s="958"/>
      <c r="BN6" s="1736"/>
      <c r="BO6" s="1737"/>
      <c r="BP6" s="958"/>
      <c r="BQ6" s="1736"/>
      <c r="BR6" s="1737"/>
      <c r="BS6" s="958"/>
      <c r="BT6" s="1736"/>
      <c r="BU6" s="1737"/>
      <c r="BV6" s="958"/>
      <c r="BW6" s="1736"/>
      <c r="BX6" s="1737"/>
    </row>
    <row r="7" spans="1:76" x14ac:dyDescent="0.2">
      <c r="A7" s="1735" t="s">
        <v>5997</v>
      </c>
      <c r="B7" s="958">
        <f>+'1870 Tesoro'!D622</f>
        <v>202852</v>
      </c>
      <c r="C7" s="1736">
        <f>+'1870 Tesoro'!E622</f>
        <v>800</v>
      </c>
      <c r="D7" s="1737"/>
      <c r="E7" s="958">
        <f>+'1870 Tesoro'!G650</f>
        <v>230344</v>
      </c>
      <c r="F7" s="1736">
        <f>+'1870 Tesoro'!H650</f>
        <v>995</v>
      </c>
      <c r="G7" s="1737"/>
      <c r="H7" s="958">
        <f>+'1870 Tesoro'!D676</f>
        <v>194846</v>
      </c>
      <c r="I7" s="1736">
        <f>+'1870 Tesoro'!E676</f>
        <v>10</v>
      </c>
      <c r="J7" s="1737"/>
      <c r="K7" s="958">
        <f>+'1870 Tesoro'!H704</f>
        <v>187856</v>
      </c>
      <c r="L7" s="1736">
        <f>+'1870 Tesoro'!I704</f>
        <v>365</v>
      </c>
      <c r="M7" s="1737"/>
      <c r="N7" s="958"/>
      <c r="O7" s="1736"/>
      <c r="P7" s="1737"/>
      <c r="Q7" s="958">
        <f>+'1870 Tesoro'!E66</f>
        <v>165768</v>
      </c>
      <c r="R7" s="1736">
        <f>+'1870 Tesoro'!F66</f>
        <v>40</v>
      </c>
      <c r="S7" s="1737"/>
      <c r="T7" s="958"/>
      <c r="U7" s="1736"/>
      <c r="V7" s="1737"/>
      <c r="W7" s="958"/>
      <c r="X7" s="1736"/>
      <c r="Y7" s="1737"/>
      <c r="Z7" s="958"/>
      <c r="AA7" s="1736"/>
      <c r="AB7" s="1737"/>
      <c r="AC7" s="145">
        <f>+'1875 Tesoro'!B8</f>
        <v>250181</v>
      </c>
      <c r="AD7" s="1736">
        <f>+'1875 Tesoro'!C8</f>
        <v>80</v>
      </c>
      <c r="AE7" s="1737"/>
      <c r="AF7" s="145">
        <f>+'1875 Tesoro'!B28</f>
        <v>220844</v>
      </c>
      <c r="AG7" s="1736">
        <f>+'1875 Tesoro'!C28</f>
        <v>87</v>
      </c>
      <c r="AH7" s="1737">
        <f>+'1875 Tesoro'!D28</f>
        <v>0.5</v>
      </c>
      <c r="AI7" s="145">
        <f>+'1877 Tesoro'!B59</f>
        <v>249914</v>
      </c>
      <c r="AJ7" s="1736">
        <f>+'1877 Tesoro'!C59</f>
        <v>550</v>
      </c>
      <c r="AK7" s="1737"/>
      <c r="AL7" s="145">
        <f>+'1878 Tesoro'!B49</f>
        <v>227528</v>
      </c>
      <c r="AM7" s="1736">
        <f>+'1878 Tesoro'!C49</f>
        <v>550</v>
      </c>
      <c r="AN7" s="1737"/>
      <c r="AO7" s="145">
        <f>+'1879 Tesoro'!B62</f>
        <v>176776</v>
      </c>
      <c r="AP7" s="1736">
        <f>+'1879 Tesoro'!C62</f>
        <v>250</v>
      </c>
      <c r="AQ7" s="1737"/>
      <c r="AR7" s="145">
        <f>+'1880 Tesoro'!B85</f>
        <v>237648</v>
      </c>
      <c r="AS7" s="1736">
        <f>+'1880 Tesoro'!C85</f>
        <v>200</v>
      </c>
      <c r="AT7" s="1737"/>
      <c r="AU7" s="145">
        <f>+'1880 Tesoro'!B151</f>
        <v>282085</v>
      </c>
      <c r="AV7" s="1736">
        <f>+'1880 Tesoro'!C151</f>
        <v>200</v>
      </c>
      <c r="AW7" s="1737"/>
      <c r="AX7" s="141">
        <f>+'1882 Tesoro'!B61</f>
        <v>283500</v>
      </c>
      <c r="AY7" s="1736">
        <f>+'1882 Tesoro'!C61</f>
        <v>550</v>
      </c>
      <c r="AZ7" s="1737"/>
      <c r="BA7" s="141">
        <f>+'1882 Tesoro'!B144</f>
        <v>240046</v>
      </c>
      <c r="BB7" s="1736">
        <f>+'1882 Tesoro'!C144</f>
        <v>950</v>
      </c>
      <c r="BC7" s="1737"/>
      <c r="BD7" s="958"/>
      <c r="BE7" s="1736"/>
      <c r="BF7" s="1737"/>
      <c r="BG7" s="958"/>
      <c r="BH7" s="1736"/>
      <c r="BI7" s="1737"/>
      <c r="BJ7" s="958"/>
      <c r="BK7" s="1736"/>
      <c r="BL7" s="1737"/>
      <c r="BM7" s="958"/>
      <c r="BN7" s="1736"/>
      <c r="BO7" s="1737"/>
      <c r="BP7" s="958"/>
      <c r="BQ7" s="1736"/>
      <c r="BR7" s="1737"/>
      <c r="BS7" s="958"/>
      <c r="BT7" s="1736"/>
      <c r="BU7" s="1737"/>
      <c r="BV7" s="958"/>
      <c r="BW7" s="1736"/>
      <c r="BX7" s="1737"/>
    </row>
    <row r="8" spans="1:76" x14ac:dyDescent="0.2">
      <c r="A8" s="1735" t="s">
        <v>5998</v>
      </c>
      <c r="B8" s="131">
        <f>+'1870 Tesoro'!D625</f>
        <v>11635</v>
      </c>
      <c r="C8" s="145">
        <f>+'1870 Tesoro'!E625</f>
        <v>35</v>
      </c>
      <c r="D8" s="133"/>
      <c r="E8" s="131">
        <f>+'1870 Tesoro'!G652</f>
        <v>37263</v>
      </c>
      <c r="F8" s="145">
        <f>+'1870 Tesoro'!H652</f>
        <v>660</v>
      </c>
      <c r="G8" s="133"/>
      <c r="H8" s="131">
        <f>+'1870 Tesoro'!D679</f>
        <v>4382</v>
      </c>
      <c r="I8" s="145">
        <f>+'1870 Tesoro'!E679</f>
        <v>750</v>
      </c>
      <c r="J8" s="133"/>
      <c r="K8" s="131">
        <f>+'1870 Tesoro'!H705</f>
        <v>53940</v>
      </c>
      <c r="L8" s="145">
        <f>+'1870 Tesoro'!I705</f>
        <v>400</v>
      </c>
      <c r="M8" s="133"/>
      <c r="N8" s="131"/>
      <c r="O8" s="145"/>
      <c r="P8" s="133"/>
      <c r="Q8" s="131">
        <f>+'1870 Tesoro'!E70</f>
        <v>37759</v>
      </c>
      <c r="R8" s="145">
        <f>+'1870 Tesoro'!F70</f>
        <v>67</v>
      </c>
      <c r="S8" s="133"/>
      <c r="T8" s="131"/>
      <c r="U8" s="145"/>
      <c r="V8" s="133"/>
      <c r="W8" s="131"/>
      <c r="X8" s="145"/>
      <c r="Y8" s="133"/>
      <c r="Z8" s="131"/>
      <c r="AA8" s="145"/>
      <c r="AB8" s="133"/>
      <c r="AC8" s="145">
        <f>+'1875 Tesoro'!B10</f>
        <v>79556</v>
      </c>
      <c r="AD8" s="145">
        <f>+'1875 Tesoro'!C10</f>
        <v>5</v>
      </c>
      <c r="AE8" s="133"/>
      <c r="AF8" s="145">
        <f>+'1875 Tesoro'!B30</f>
        <v>84253</v>
      </c>
      <c r="AG8" s="145">
        <f>+'1875 Tesoro'!C30</f>
        <v>67</v>
      </c>
      <c r="AH8" s="133">
        <f>+'1875 Tesoro'!D30</f>
        <v>0.5</v>
      </c>
      <c r="AI8" s="145">
        <f>+'1877 Tesoro'!B61</f>
        <v>60046</v>
      </c>
      <c r="AJ8" s="145">
        <f>+'1877 Tesoro'!C61</f>
        <v>350</v>
      </c>
      <c r="AK8" s="133"/>
      <c r="AL8" s="145">
        <f>+'1878 Tesoro'!B51</f>
        <v>71855</v>
      </c>
      <c r="AM8" s="145">
        <f>+'1878 Tesoro'!C51</f>
        <v>750</v>
      </c>
      <c r="AN8" s="133"/>
      <c r="AO8" s="145">
        <f>+'1879 Tesoro'!B64</f>
        <v>50557</v>
      </c>
      <c r="AP8" s="145">
        <f>+'1879 Tesoro'!C64</f>
        <v>750</v>
      </c>
      <c r="AQ8" s="133"/>
      <c r="AR8" s="145">
        <f>+'1880 Tesoro'!B87</f>
        <v>145457</v>
      </c>
      <c r="AS8" s="145">
        <f>+'1880 Tesoro'!C87</f>
        <v>750</v>
      </c>
      <c r="AT8" s="133"/>
      <c r="AU8" s="145">
        <f>+'1880 Tesoro'!B153</f>
        <v>540090</v>
      </c>
      <c r="AV8" s="145">
        <f>+'1880 Tesoro'!C153</f>
        <v>50</v>
      </c>
      <c r="AW8" s="133"/>
      <c r="AX8" s="141">
        <f>+'1882 Tesoro'!B62</f>
        <v>239057</v>
      </c>
      <c r="AY8" s="145">
        <f>+'1882 Tesoro'!C62</f>
        <v>150</v>
      </c>
      <c r="AZ8" s="133"/>
      <c r="BA8" s="141">
        <f>+'1882 Tesoro'!B148</f>
        <v>360597</v>
      </c>
      <c r="BB8" s="145">
        <f>+'1882 Tesoro'!C148</f>
        <v>450</v>
      </c>
      <c r="BC8" s="133"/>
      <c r="BD8" s="131"/>
      <c r="BE8" s="145"/>
      <c r="BF8" s="133"/>
      <c r="BG8" s="131"/>
      <c r="BH8" s="145"/>
      <c r="BI8" s="133"/>
      <c r="BJ8" s="131"/>
      <c r="BK8" s="145"/>
      <c r="BL8" s="133"/>
      <c r="BM8" s="131"/>
      <c r="BN8" s="145"/>
      <c r="BO8" s="133"/>
      <c r="BP8" s="131"/>
      <c r="BQ8" s="145"/>
      <c r="BR8" s="133"/>
      <c r="BS8" s="131"/>
      <c r="BT8" s="145"/>
      <c r="BU8" s="133"/>
      <c r="BV8" s="131"/>
      <c r="BW8" s="145"/>
      <c r="BX8" s="133"/>
    </row>
    <row r="9" spans="1:76" x14ac:dyDescent="0.2">
      <c r="A9" s="1735" t="s">
        <v>5999</v>
      </c>
      <c r="B9" s="958">
        <f>+'1870 Tesoro'!D623</f>
        <v>13685</v>
      </c>
      <c r="C9" s="1736">
        <f>+'1870 Tesoro'!E623</f>
        <v>860</v>
      </c>
      <c r="D9" s="1737"/>
      <c r="E9" s="958">
        <f>+'1870 Tesoro'!G651</f>
        <v>17607</v>
      </c>
      <c r="F9" s="1736"/>
      <c r="G9" s="1737"/>
      <c r="H9" s="958">
        <f>+'1870 Tesoro'!D678</f>
        <v>19341</v>
      </c>
      <c r="I9" s="1736">
        <f>+'1870 Tesoro'!E678</f>
        <v>300</v>
      </c>
      <c r="J9" s="1737"/>
      <c r="K9" s="958">
        <f>+'1870 Tesoro'!H706</f>
        <v>24461</v>
      </c>
      <c r="L9" s="1736">
        <f>+'1870 Tesoro'!I706</f>
        <v>800</v>
      </c>
      <c r="M9" s="1737"/>
      <c r="N9" s="958"/>
      <c r="O9" s="1736"/>
      <c r="P9" s="1737"/>
      <c r="Q9" s="958">
        <f>+'1870 Tesoro'!E74</f>
        <v>21923</v>
      </c>
      <c r="R9" s="1736">
        <f>+'1870 Tesoro'!F74</f>
        <v>10</v>
      </c>
      <c r="S9" s="1737"/>
      <c r="T9" s="958"/>
      <c r="U9" s="1736"/>
      <c r="V9" s="1737"/>
      <c r="W9" s="958"/>
      <c r="X9" s="1736"/>
      <c r="Y9" s="1737"/>
      <c r="Z9" s="958"/>
      <c r="AA9" s="1736"/>
      <c r="AB9" s="1737"/>
      <c r="AC9" s="145">
        <f>+'1875 Tesoro'!B9</f>
        <v>31096</v>
      </c>
      <c r="AD9" s="1736">
        <f>+'1875 Tesoro'!C9</f>
        <v>67</v>
      </c>
      <c r="AE9" s="1737">
        <f>+'1875 Tesoro'!D9</f>
        <v>0.5</v>
      </c>
      <c r="AF9" s="145">
        <f>+'1875 Tesoro'!B29</f>
        <v>29402</v>
      </c>
      <c r="AG9" s="1736"/>
      <c r="AH9" s="1737"/>
      <c r="AI9" s="145">
        <f>+'1877 Tesoro'!B60</f>
        <v>22430</v>
      </c>
      <c r="AJ9" s="1736">
        <f>+'1877 Tesoro'!C60</f>
        <v>300</v>
      </c>
      <c r="AK9" s="1737"/>
      <c r="AL9" s="145">
        <f>+'1878 Tesoro'!B50</f>
        <v>21416</v>
      </c>
      <c r="AM9" s="1736">
        <f>+'1878 Tesoro'!C50</f>
        <v>750</v>
      </c>
      <c r="AN9" s="1737"/>
      <c r="AO9" s="145">
        <f>+'1879 Tesoro'!B63</f>
        <v>32106</v>
      </c>
      <c r="AP9" s="1736">
        <f>+'1879 Tesoro'!C63</f>
        <v>950</v>
      </c>
      <c r="AQ9" s="1737"/>
      <c r="AR9" s="145">
        <f>+'1880 Tesoro'!B86</f>
        <v>23291</v>
      </c>
      <c r="AS9" s="1736">
        <f>+'1880 Tesoro'!C86</f>
        <v>300</v>
      </c>
      <c r="AT9" s="1737"/>
      <c r="AU9" s="145">
        <f>+'1880 Tesoro'!B152</f>
        <v>23117</v>
      </c>
      <c r="AV9" s="1736">
        <f>+'1880 Tesoro'!C152</f>
        <v>700</v>
      </c>
      <c r="AW9" s="1737"/>
      <c r="AX9" s="141">
        <f>+'1882 Tesoro'!B63</f>
        <v>27934</v>
      </c>
      <c r="AY9" s="1736">
        <f>+'1882 Tesoro'!C63</f>
        <v>750</v>
      </c>
      <c r="AZ9" s="1737"/>
      <c r="BA9" s="141">
        <f>+'1882 Tesoro'!B145</f>
        <v>34699</v>
      </c>
      <c r="BB9" s="1736">
        <f>+'1882 Tesoro'!C145</f>
        <v>600</v>
      </c>
      <c r="BC9" s="1737"/>
      <c r="BD9" s="958"/>
      <c r="BE9" s="1736"/>
      <c r="BF9" s="1737"/>
      <c r="BG9" s="958"/>
      <c r="BH9" s="1736"/>
      <c r="BI9" s="1737"/>
      <c r="BJ9" s="958"/>
      <c r="BK9" s="1736"/>
      <c r="BL9" s="1737"/>
      <c r="BM9" s="958"/>
      <c r="BN9" s="1736"/>
      <c r="BO9" s="1737"/>
      <c r="BP9" s="958"/>
      <c r="BQ9" s="1736"/>
      <c r="BR9" s="1737"/>
      <c r="BS9" s="958"/>
      <c r="BT9" s="1736"/>
      <c r="BU9" s="1737"/>
      <c r="BV9" s="958"/>
      <c r="BW9" s="1736"/>
      <c r="BX9" s="1737"/>
    </row>
    <row r="10" spans="1:76" x14ac:dyDescent="0.2">
      <c r="A10" s="1735" t="s">
        <v>6000</v>
      </c>
      <c r="B10" s="958"/>
      <c r="C10" s="1736"/>
      <c r="D10" s="1737"/>
      <c r="E10" s="958"/>
      <c r="F10" s="1736"/>
      <c r="G10" s="1737"/>
      <c r="H10" s="958">
        <f>+'1870 Tesoro'!D677</f>
        <v>839</v>
      </c>
      <c r="I10" s="1736">
        <f>+'1870 Tesoro'!E677</f>
        <v>800</v>
      </c>
      <c r="J10" s="1737"/>
      <c r="K10" s="958"/>
      <c r="L10" s="1736"/>
      <c r="M10" s="1737"/>
      <c r="N10" s="958"/>
      <c r="O10" s="1736"/>
      <c r="P10" s="1737"/>
      <c r="Q10" s="958">
        <f>+'1870 Tesoro'!E77</f>
        <v>28773</v>
      </c>
      <c r="R10" s="1736">
        <f>+'1870 Tesoro'!F77</f>
        <v>95</v>
      </c>
      <c r="S10" s="1737"/>
      <c r="T10" s="958"/>
      <c r="U10" s="1736"/>
      <c r="V10" s="1737"/>
      <c r="W10" s="958"/>
      <c r="X10" s="1736"/>
      <c r="Y10" s="1737"/>
      <c r="Z10" s="958"/>
      <c r="AA10" s="1736"/>
      <c r="AB10" s="1737"/>
      <c r="AC10" s="145">
        <f>+'1875 Tesoro'!B11</f>
        <v>115776</v>
      </c>
      <c r="AD10" s="1736">
        <f>+'1875 Tesoro'!C11</f>
        <v>87</v>
      </c>
      <c r="AE10" s="1737">
        <f>+'1875 Tesoro'!D11</f>
        <v>0.5</v>
      </c>
      <c r="AF10" s="145">
        <f>+'1875 Tesoro'!B31</f>
        <v>86820</v>
      </c>
      <c r="AG10" s="1736">
        <f>+'1875 Tesoro'!C31</f>
        <v>80</v>
      </c>
      <c r="AH10" s="1737"/>
      <c r="AI10" s="145">
        <f>+'1877 Tesoro'!B62</f>
        <v>164793</v>
      </c>
      <c r="AJ10" s="1736">
        <f>+'1877 Tesoro'!C62</f>
        <v>650</v>
      </c>
      <c r="AK10" s="1737"/>
      <c r="AL10" s="145">
        <f>+'1878 Tesoro'!B52</f>
        <v>100302</v>
      </c>
      <c r="AM10" s="1736">
        <f>+'1878 Tesoro'!C52</f>
        <v>900</v>
      </c>
      <c r="AN10" s="1737"/>
      <c r="AO10" s="145">
        <f>+'1879 Tesoro'!B65</f>
        <v>25009</v>
      </c>
      <c r="AP10" s="1736">
        <f>+'1879 Tesoro'!C65</f>
        <v>710</v>
      </c>
      <c r="AQ10" s="1737"/>
      <c r="AR10" s="145">
        <f>+'1880 Tesoro'!B88</f>
        <v>110529</v>
      </c>
      <c r="AS10" s="1736">
        <f>+'1880 Tesoro'!C88</f>
        <v>450</v>
      </c>
      <c r="AT10" s="1737"/>
      <c r="AU10" s="145">
        <f>+'1880 Tesoro'!B154</f>
        <v>154592</v>
      </c>
      <c r="AV10" s="1736">
        <f>+'1880 Tesoro'!C154</f>
        <v>60</v>
      </c>
      <c r="AW10" s="1737"/>
      <c r="AX10" s="145">
        <f>+'1882 Tesoro'!B64</f>
        <v>124342</v>
      </c>
      <c r="AY10" s="145">
        <f>+'1882 Tesoro'!C64</f>
        <v>850</v>
      </c>
      <c r="AZ10" s="1737"/>
      <c r="BA10" s="145">
        <f>+'1882 Tesoro'!B150</f>
        <v>146376</v>
      </c>
      <c r="BB10" s="145">
        <f>+'1882 Tesoro'!C150</f>
        <v>0</v>
      </c>
      <c r="BC10" s="1737"/>
      <c r="BD10" s="958"/>
      <c r="BE10" s="1736"/>
      <c r="BF10" s="1737"/>
      <c r="BG10" s="958"/>
      <c r="BH10" s="1736"/>
      <c r="BI10" s="1737"/>
      <c r="BJ10" s="958"/>
      <c r="BK10" s="1736"/>
      <c r="BL10" s="1737"/>
      <c r="BM10" s="958"/>
      <c r="BN10" s="1736"/>
      <c r="BO10" s="1737"/>
      <c r="BP10" s="958"/>
      <c r="BQ10" s="1736"/>
      <c r="BR10" s="1737"/>
      <c r="BS10" s="958"/>
      <c r="BT10" s="1736"/>
      <c r="BU10" s="1737"/>
      <c r="BV10" s="958"/>
      <c r="BW10" s="1736"/>
      <c r="BX10" s="1737"/>
    </row>
    <row r="11" spans="1:76" x14ac:dyDescent="0.2">
      <c r="A11" s="1735" t="s">
        <v>6001</v>
      </c>
      <c r="B11" s="958">
        <f>+'1870 Tesoro'!D624</f>
        <v>13840</v>
      </c>
      <c r="C11" s="1736"/>
      <c r="D11" s="1737"/>
      <c r="E11" s="958"/>
      <c r="F11" s="1736"/>
      <c r="G11" s="1737"/>
      <c r="H11" s="958"/>
      <c r="I11" s="1736"/>
      <c r="J11" s="1737"/>
      <c r="K11" s="958">
        <f>+'1870 Tesoro'!H707</f>
        <v>433</v>
      </c>
      <c r="L11" s="1736">
        <f>+'1870 Tesoro'!I707</f>
        <v>500</v>
      </c>
      <c r="M11" s="1737"/>
      <c r="N11" s="958"/>
      <c r="O11" s="1736"/>
      <c r="P11" s="1737"/>
      <c r="Q11" s="958">
        <f>+'1870 Tesoro'!E79</f>
        <v>53999</v>
      </c>
      <c r="R11" s="1736">
        <f>+'1870 Tesoro'!F79</f>
        <v>60</v>
      </c>
      <c r="S11" s="1737"/>
      <c r="T11" s="958"/>
      <c r="U11" s="1736"/>
      <c r="V11" s="1737"/>
      <c r="W11" s="958"/>
      <c r="X11" s="1736"/>
      <c r="Y11" s="1737"/>
      <c r="Z11" s="958"/>
      <c r="AA11" s="1736"/>
      <c r="AB11" s="1737"/>
      <c r="AC11" s="145">
        <f>+'1875 Tesoro'!B12</f>
        <v>49862</v>
      </c>
      <c r="AD11" s="1736">
        <f>+'1875 Tesoro'!C12</f>
        <v>20</v>
      </c>
      <c r="AE11" s="1737"/>
      <c r="AF11" s="145">
        <f>+'1875 Tesoro'!B32</f>
        <v>48181</v>
      </c>
      <c r="AG11" s="1736">
        <f>+'1875 Tesoro'!C32</f>
        <v>15</v>
      </c>
      <c r="AH11" s="1737"/>
      <c r="AI11" s="145">
        <f>+'1877 Tesoro'!B63</f>
        <v>45039</v>
      </c>
      <c r="AJ11" s="1736">
        <f>+'1877 Tesoro'!C63</f>
        <v>800</v>
      </c>
      <c r="AK11" s="1737"/>
      <c r="AL11" s="145">
        <f>+'1878 Tesoro'!B53</f>
        <v>41433</v>
      </c>
      <c r="AM11" s="1736">
        <f>+'1878 Tesoro'!C53</f>
        <v>150</v>
      </c>
      <c r="AN11" s="1737"/>
      <c r="AO11" s="145">
        <f>+'1879 Tesoro'!B66</f>
        <v>75333</v>
      </c>
      <c r="AP11" s="1736">
        <f>+'1879 Tesoro'!C66</f>
        <v>550</v>
      </c>
      <c r="AQ11" s="1737"/>
      <c r="AR11" s="145">
        <f>+'1880 Tesoro'!B89</f>
        <v>111429</v>
      </c>
      <c r="AS11" s="1736">
        <f>+'1880 Tesoro'!C89</f>
        <v>250</v>
      </c>
      <c r="AT11" s="1737"/>
      <c r="AU11" s="145">
        <f>+'1880 Tesoro'!B155</f>
        <v>126510</v>
      </c>
      <c r="AV11" s="1736">
        <f>+'1880 Tesoro'!C155</f>
        <v>150</v>
      </c>
      <c r="AW11" s="1737"/>
      <c r="AX11" s="145">
        <f>+'1882 Tesoro'!B65</f>
        <v>68630</v>
      </c>
      <c r="AY11" s="1736">
        <f>+'1882 Tesoro'!C65</f>
        <v>150</v>
      </c>
      <c r="AZ11" s="1737"/>
      <c r="BA11" s="145">
        <f>+'1882 Tesoro'!B147</f>
        <v>70268</v>
      </c>
      <c r="BB11" s="1736">
        <f>+'1882 Tesoro'!C147</f>
        <v>200</v>
      </c>
      <c r="BC11" s="1737"/>
      <c r="BD11" s="958"/>
      <c r="BE11" s="1736"/>
      <c r="BF11" s="1737"/>
      <c r="BG11" s="958"/>
      <c r="BH11" s="1736"/>
      <c r="BI11" s="1737"/>
      <c r="BJ11" s="958"/>
      <c r="BK11" s="1736"/>
      <c r="BL11" s="1737"/>
      <c r="BM11" s="958"/>
      <c r="BN11" s="1736"/>
      <c r="BO11" s="1737"/>
      <c r="BP11" s="958"/>
      <c r="BQ11" s="1736"/>
      <c r="BR11" s="1737"/>
      <c r="BS11" s="958"/>
      <c r="BT11" s="1736"/>
      <c r="BU11" s="1737"/>
      <c r="BV11" s="958"/>
      <c r="BW11" s="1736"/>
      <c r="BX11" s="1737"/>
    </row>
    <row r="12" spans="1:76" x14ac:dyDescent="0.2">
      <c r="A12" s="1735" t="s">
        <v>6002</v>
      </c>
      <c r="B12" s="131">
        <f>+'1870 Tesoro'!D629</f>
        <v>300361</v>
      </c>
      <c r="C12" s="145">
        <f>+'1870 Tesoro'!E629</f>
        <v>790</v>
      </c>
      <c r="D12" s="133">
        <f>+'1870 Tesoro'!F629</f>
        <v>0.5</v>
      </c>
      <c r="E12" s="131">
        <f>+'1870 Tesoro'!G656</f>
        <v>319915</v>
      </c>
      <c r="F12" s="145">
        <f>+'1870 Tesoro'!H656</f>
        <v>52</v>
      </c>
      <c r="G12" s="133"/>
      <c r="H12" s="131">
        <f>+'1870 Tesoro'!D681</f>
        <v>265282</v>
      </c>
      <c r="I12" s="145">
        <f>+'1870 Tesoro'!E681</f>
        <v>922</v>
      </c>
      <c r="J12" s="133">
        <f>+'1870 Tesoro'!F681</f>
        <v>0.5</v>
      </c>
      <c r="K12" s="131">
        <f>+'1870 Tesoro'!H709</f>
        <v>376181</v>
      </c>
      <c r="L12" s="145">
        <f>+'1870 Tesoro'!I709</f>
        <v>122</v>
      </c>
      <c r="M12" s="133">
        <f>+'1870 Tesoro'!J709</f>
        <v>0.5</v>
      </c>
      <c r="N12" s="131"/>
      <c r="O12" s="145"/>
      <c r="P12" s="133"/>
      <c r="Q12" s="131">
        <f>+'1870 Tesoro'!E89</f>
        <v>401777</v>
      </c>
      <c r="R12" s="145">
        <f>+'1870 Tesoro'!F89</f>
        <v>12</v>
      </c>
      <c r="S12" s="133">
        <f>+'1870 Tesoro'!G89</f>
        <v>0.5</v>
      </c>
      <c r="T12" s="131"/>
      <c r="U12" s="145"/>
      <c r="V12" s="133"/>
      <c r="W12" s="131"/>
      <c r="X12" s="145"/>
      <c r="Y12" s="133"/>
      <c r="Z12" s="131"/>
      <c r="AA12" s="145"/>
      <c r="AB12" s="133"/>
      <c r="AC12" s="145">
        <f>+'1875 Tesoro'!B5</f>
        <v>571600</v>
      </c>
      <c r="AD12" s="145">
        <f>+'1875 Tesoro'!C5</f>
        <v>17</v>
      </c>
      <c r="AE12" s="133">
        <f>+'1875 Tesoro'!D5</f>
        <v>0.5</v>
      </c>
      <c r="AF12" s="145">
        <f>+'1875 Tesoro'!B26</f>
        <v>260469</v>
      </c>
      <c r="AG12" s="145">
        <f>+'1875 Tesoro'!C26</f>
        <v>54</v>
      </c>
      <c r="AH12" s="133">
        <f>+'1875 Tesoro'!D26</f>
        <v>0.5</v>
      </c>
      <c r="AI12" s="145">
        <f>+'1877 Tesoro'!B66</f>
        <v>549565</v>
      </c>
      <c r="AJ12" s="145">
        <f>+'1877 Tesoro'!C66</f>
        <v>835</v>
      </c>
      <c r="AK12" s="133"/>
      <c r="AL12" s="145">
        <f>+'1878 Tesoro'!B56</f>
        <v>201894</v>
      </c>
      <c r="AM12" s="145">
        <f>+'1878 Tesoro'!C56</f>
        <v>165</v>
      </c>
      <c r="AN12" s="133"/>
      <c r="AO12" s="145">
        <f>+'1879 Tesoro'!B69</f>
        <v>412419</v>
      </c>
      <c r="AP12" s="145">
        <f>+'1879 Tesoro'!C69</f>
        <v>613</v>
      </c>
      <c r="AQ12" s="133"/>
      <c r="AR12" s="145">
        <f>+'1880 Tesoro'!B91</f>
        <v>317814</v>
      </c>
      <c r="AS12" s="145">
        <f>+'1880 Tesoro'!C91</f>
        <v>55</v>
      </c>
      <c r="AT12" s="133"/>
      <c r="AU12" s="145">
        <f>+'1880 Tesoro'!B158</f>
        <v>801210</v>
      </c>
      <c r="AV12" s="145">
        <f>+'1880 Tesoro'!C158</f>
        <v>290</v>
      </c>
      <c r="AW12" s="133"/>
      <c r="AX12" s="145">
        <f>+'1882 Tesoro'!B68</f>
        <v>486086</v>
      </c>
      <c r="AY12" s="145">
        <f>+'1882 Tesoro'!C68</f>
        <v>0</v>
      </c>
      <c r="AZ12" s="133"/>
      <c r="BA12" s="145">
        <f>+'1882 Tesoro'!B154</f>
        <v>520682</v>
      </c>
      <c r="BB12" s="145">
        <f>+'1882 Tesoro'!C154</f>
        <v>525</v>
      </c>
      <c r="BC12" s="133"/>
      <c r="BD12" s="131"/>
      <c r="BE12" s="145"/>
      <c r="BF12" s="133"/>
      <c r="BG12" s="131"/>
      <c r="BH12" s="145"/>
      <c r="BI12" s="133"/>
      <c r="BJ12" s="131"/>
      <c r="BK12" s="145"/>
      <c r="BL12" s="133"/>
      <c r="BM12" s="131"/>
      <c r="BN12" s="145"/>
      <c r="BO12" s="133"/>
      <c r="BP12" s="131"/>
      <c r="BQ12" s="145"/>
      <c r="BR12" s="133"/>
      <c r="BS12" s="131"/>
      <c r="BT12" s="145"/>
      <c r="BU12" s="133"/>
      <c r="BV12" s="131"/>
      <c r="BW12" s="145"/>
      <c r="BX12" s="133"/>
    </row>
    <row r="13" spans="1:76" x14ac:dyDescent="0.2">
      <c r="A13" s="1735" t="s">
        <v>6003</v>
      </c>
      <c r="B13" s="958"/>
      <c r="C13" s="1736"/>
      <c r="D13" s="1737"/>
      <c r="E13" s="958"/>
      <c r="F13" s="1736"/>
      <c r="G13" s="1737"/>
      <c r="H13" s="958"/>
      <c r="I13" s="1736"/>
      <c r="J13" s="1737"/>
      <c r="K13" s="958">
        <f>+'1870 Tesoro'!H710</f>
        <v>47548</v>
      </c>
      <c r="L13" s="1736">
        <f>+'1870 Tesoro'!I710</f>
        <v>375</v>
      </c>
      <c r="M13" s="1737"/>
      <c r="N13" s="958"/>
      <c r="O13" s="1736"/>
      <c r="P13" s="1737"/>
      <c r="Q13" s="958">
        <f>+'1870 Tesoro'!E92</f>
        <v>8184</v>
      </c>
      <c r="R13" s="1736">
        <f>+'1870 Tesoro'!F92</f>
        <v>55</v>
      </c>
      <c r="S13" s="1737"/>
      <c r="T13" s="958"/>
      <c r="U13" s="1736"/>
      <c r="V13" s="1737"/>
      <c r="W13" s="958"/>
      <c r="X13" s="1736"/>
      <c r="Y13" s="1737"/>
      <c r="Z13" s="958"/>
      <c r="AA13" s="1736"/>
      <c r="AB13" s="1737"/>
      <c r="AC13" s="145">
        <f>+'1875 Tesoro'!B6</f>
        <v>168288</v>
      </c>
      <c r="AD13" s="1736">
        <f>+'1875 Tesoro'!C6</f>
        <v>97</v>
      </c>
      <c r="AE13" s="1737">
        <f>+'1875 Tesoro'!D6</f>
        <v>0.5</v>
      </c>
      <c r="AF13" s="145">
        <f>+'1875 Tesoro'!B27</f>
        <v>53176</v>
      </c>
      <c r="AG13" s="1736">
        <f>+'1875 Tesoro'!C27</f>
        <v>97</v>
      </c>
      <c r="AH13" s="1737">
        <f>+'1875 Tesoro'!D27</f>
        <v>0.5</v>
      </c>
      <c r="AI13" s="145">
        <f>+'1877 Tesoro'!B67</f>
        <v>146990</v>
      </c>
      <c r="AJ13" s="1736">
        <f>+'1877 Tesoro'!C67</f>
        <v>250</v>
      </c>
      <c r="AK13" s="1737"/>
      <c r="AL13" s="145">
        <f>+'1878 Tesoro'!B57</f>
        <v>209515</v>
      </c>
      <c r="AM13" s="1736">
        <f>+'1878 Tesoro'!C57</f>
        <v>350</v>
      </c>
      <c r="AN13" s="1737"/>
      <c r="AO13" s="145">
        <f>+'1879 Tesoro'!B70</f>
        <v>3039</v>
      </c>
      <c r="AP13" s="1736">
        <f>+'1879 Tesoro'!C70</f>
        <v>650</v>
      </c>
      <c r="AQ13" s="1737"/>
      <c r="AR13" s="145">
        <f>+'1880 Tesoro'!B92</f>
        <v>68423</v>
      </c>
      <c r="AS13" s="1736">
        <f>+'1880 Tesoro'!C92</f>
        <v>600</v>
      </c>
      <c r="AT13" s="1737"/>
      <c r="AU13" s="145">
        <f>+'1880 Tesoro'!B159</f>
        <v>143256</v>
      </c>
      <c r="AV13" s="1736">
        <f>+'1880 Tesoro'!C159</f>
        <v>800</v>
      </c>
      <c r="AW13" s="1737"/>
      <c r="AX13" s="145">
        <f>+'1882 Tesoro'!B69</f>
        <v>164973</v>
      </c>
      <c r="AY13" s="1736">
        <f>+'1882 Tesoro'!C69</f>
        <v>200</v>
      </c>
      <c r="AZ13" s="1737"/>
      <c r="BA13" s="145">
        <f>+'1882 Tesoro'!B155</f>
        <v>747774</v>
      </c>
      <c r="BB13" s="1736">
        <f>+'1882 Tesoro'!C155</f>
        <v>0</v>
      </c>
      <c r="BC13" s="1737"/>
      <c r="BD13" s="958"/>
      <c r="BE13" s="1736"/>
      <c r="BF13" s="1737"/>
      <c r="BG13" s="958"/>
      <c r="BH13" s="1736"/>
      <c r="BI13" s="1737"/>
      <c r="BJ13" s="958"/>
      <c r="BK13" s="1736"/>
      <c r="BL13" s="1737"/>
      <c r="BM13" s="958"/>
      <c r="BN13" s="1736"/>
      <c r="BO13" s="1737"/>
      <c r="BP13" s="958"/>
      <c r="BQ13" s="1736"/>
      <c r="BR13" s="1737"/>
      <c r="BS13" s="958"/>
      <c r="BT13" s="1736"/>
      <c r="BU13" s="1737"/>
      <c r="BV13" s="958"/>
      <c r="BW13" s="1736"/>
      <c r="BX13" s="1737"/>
    </row>
    <row r="14" spans="1:76" x14ac:dyDescent="0.2">
      <c r="A14" s="1735" t="s">
        <v>6004</v>
      </c>
      <c r="B14" s="958"/>
      <c r="C14" s="1736"/>
      <c r="D14" s="1737"/>
      <c r="E14" s="958"/>
      <c r="F14" s="1736"/>
      <c r="G14" s="1737"/>
      <c r="H14" s="958"/>
      <c r="I14" s="1736"/>
      <c r="J14" s="1737"/>
      <c r="K14" s="958">
        <f>+'1870 Tesoro'!H712</f>
        <v>57428</v>
      </c>
      <c r="L14" s="1736">
        <f>+'1870 Tesoro'!I712</f>
        <v>570</v>
      </c>
      <c r="M14" s="1737"/>
      <c r="N14" s="958"/>
      <c r="O14" s="1736"/>
      <c r="P14" s="1737"/>
      <c r="Q14" s="958">
        <f>+'1870 Tesoro'!E95</f>
        <v>107699</v>
      </c>
      <c r="R14" s="1736">
        <f>+'1870 Tesoro'!F95</f>
        <v>80</v>
      </c>
      <c r="S14" s="1737"/>
      <c r="T14" s="958"/>
      <c r="U14" s="1736"/>
      <c r="V14" s="1737"/>
      <c r="W14" s="958"/>
      <c r="X14" s="1736"/>
      <c r="Y14" s="1737"/>
      <c r="Z14" s="958"/>
      <c r="AA14" s="1736"/>
      <c r="AB14" s="1737"/>
      <c r="AC14" s="145">
        <f>+'1875 Tesoro'!B7</f>
        <v>252263</v>
      </c>
      <c r="AD14" s="1736">
        <f>+'1875 Tesoro'!C7</f>
        <v>39</v>
      </c>
      <c r="AE14" s="1737">
        <f>+'1875 Tesoro'!D7</f>
        <v>0.5</v>
      </c>
      <c r="AF14" s="145">
        <f>+'1875 Tesoro'!B34</f>
        <v>128750</v>
      </c>
      <c r="AG14" s="1736">
        <f>+'1875 Tesoro'!C34</f>
        <v>72</v>
      </c>
      <c r="AH14" s="1737">
        <f>+'1875 Tesoro'!D34</f>
        <v>0.5</v>
      </c>
      <c r="AI14" s="145">
        <f>+'1877 Tesoro'!B65</f>
        <v>255513</v>
      </c>
      <c r="AJ14" s="1736">
        <f>+'1877 Tesoro'!C65</f>
        <v>600</v>
      </c>
      <c r="AK14" s="1737"/>
      <c r="AL14" s="145">
        <f>+'1878 Tesoro'!B55</f>
        <v>210098</v>
      </c>
      <c r="AM14" s="1736">
        <f>+'1878 Tesoro'!C55</f>
        <v>955</v>
      </c>
      <c r="AN14" s="1737"/>
      <c r="AO14" s="145">
        <f>+'1879 Tesoro'!B68</f>
        <v>140914</v>
      </c>
      <c r="AP14" s="1736">
        <f>+'1879 Tesoro'!C68</f>
        <v>315</v>
      </c>
      <c r="AQ14" s="1737"/>
      <c r="AR14" s="145">
        <f>+'1880 Tesoro'!B93</f>
        <v>180639</v>
      </c>
      <c r="AS14" s="1736">
        <f>+'1880 Tesoro'!C93</f>
        <v>780</v>
      </c>
      <c r="AT14" s="1737"/>
      <c r="AU14" s="145">
        <f>+'1880 Tesoro'!B157</f>
        <v>302826</v>
      </c>
      <c r="AV14" s="1736">
        <f>+'1880 Tesoro'!C157</f>
        <v>635</v>
      </c>
      <c r="AW14" s="1737"/>
      <c r="AX14" s="145">
        <f>+'1882 Tesoro'!B67</f>
        <v>224887</v>
      </c>
      <c r="AY14" s="1736">
        <f>+'1882 Tesoro'!C67</f>
        <v>200</v>
      </c>
      <c r="AZ14" s="1737"/>
      <c r="BA14" s="145">
        <f>+'1882 Tesoro'!B157</f>
        <v>248251</v>
      </c>
      <c r="BB14" s="1736">
        <f>+'1882 Tesoro'!C157</f>
        <v>0</v>
      </c>
      <c r="BC14" s="1737"/>
      <c r="BD14" s="958"/>
      <c r="BE14" s="1736"/>
      <c r="BF14" s="1737"/>
      <c r="BG14" s="958"/>
      <c r="BH14" s="1736"/>
      <c r="BI14" s="1737"/>
      <c r="BJ14" s="958"/>
      <c r="BK14" s="1736"/>
      <c r="BL14" s="1737"/>
      <c r="BM14" s="958"/>
      <c r="BN14" s="1736"/>
      <c r="BO14" s="1737"/>
      <c r="BP14" s="958"/>
      <c r="BQ14" s="1736"/>
      <c r="BR14" s="1737"/>
      <c r="BS14" s="958"/>
      <c r="BT14" s="1736"/>
      <c r="BU14" s="1737"/>
      <c r="BV14" s="958"/>
      <c r="BW14" s="1736"/>
      <c r="BX14" s="1737"/>
    </row>
    <row r="15" spans="1:76" x14ac:dyDescent="0.2">
      <c r="A15" s="1735" t="s">
        <v>6005</v>
      </c>
      <c r="B15" s="958">
        <f>+'1870 Tesoro'!D630</f>
        <v>402687</v>
      </c>
      <c r="C15" s="1736">
        <f>+'1870 Tesoro'!E630</f>
        <v>515</v>
      </c>
      <c r="D15" s="1737"/>
      <c r="E15" s="958">
        <f>+'1870 Tesoro'!G657</f>
        <v>275929</v>
      </c>
      <c r="F15" s="1736">
        <f>+'1870 Tesoro'!H657</f>
        <v>155</v>
      </c>
      <c r="G15" s="1737"/>
      <c r="H15" s="958">
        <f>+'1870 Tesoro'!D685</f>
        <v>439871</v>
      </c>
      <c r="I15" s="1736">
        <f>+'1870 Tesoro'!E685</f>
        <v>220</v>
      </c>
      <c r="J15" s="1737"/>
      <c r="K15" s="958">
        <f>+'1870 Tesoro'!H708</f>
        <v>488358</v>
      </c>
      <c r="L15" s="1736">
        <f>+'1870 Tesoro'!I708</f>
        <v>510</v>
      </c>
      <c r="M15" s="1737"/>
      <c r="N15" s="958"/>
      <c r="O15" s="1736"/>
      <c r="P15" s="1737"/>
      <c r="Q15" s="958">
        <f>+'1870 Tesoro'!E101</f>
        <v>416830</v>
      </c>
      <c r="R15" s="1736">
        <f>+'1870 Tesoro'!F101</f>
        <v>25</v>
      </c>
      <c r="S15" s="1737"/>
      <c r="T15" s="958"/>
      <c r="U15" s="1736"/>
      <c r="V15" s="1737"/>
      <c r="W15" s="958"/>
      <c r="X15" s="1736"/>
      <c r="Y15" s="1737"/>
      <c r="Z15" s="958"/>
      <c r="AA15" s="1736"/>
      <c r="AB15" s="1737"/>
      <c r="AC15" s="145"/>
      <c r="AD15" s="1736"/>
      <c r="AE15" s="1737"/>
      <c r="AF15" s="145"/>
      <c r="AG15" s="1736"/>
      <c r="AH15" s="1737"/>
      <c r="AI15" s="145"/>
      <c r="AJ15" s="1736"/>
      <c r="AK15" s="1737"/>
      <c r="AL15" s="145"/>
      <c r="AM15" s="1736"/>
      <c r="AN15" s="1737"/>
      <c r="AO15" s="145"/>
      <c r="AP15" s="1736"/>
      <c r="AQ15" s="1737"/>
      <c r="AR15" s="145"/>
      <c r="AS15" s="1736"/>
      <c r="AT15" s="1737"/>
      <c r="AU15" s="145"/>
      <c r="AV15" s="1736"/>
      <c r="AW15" s="1737"/>
      <c r="AX15" s="145"/>
      <c r="AY15" s="1736"/>
      <c r="AZ15" s="1737"/>
      <c r="BA15" s="145">
        <f>+'1882 Tesoro'!B149</f>
        <v>820230</v>
      </c>
      <c r="BB15" s="1736">
        <f>+'1882 Tesoro'!C149</f>
        <v>25</v>
      </c>
      <c r="BC15" s="1737"/>
      <c r="BD15" s="958"/>
      <c r="BE15" s="1736"/>
      <c r="BF15" s="1737"/>
      <c r="BG15" s="958"/>
      <c r="BH15" s="1736"/>
      <c r="BI15" s="1737"/>
      <c r="BJ15" s="958"/>
      <c r="BK15" s="1736"/>
      <c r="BL15" s="1737"/>
      <c r="BM15" s="958"/>
      <c r="BN15" s="1736"/>
      <c r="BO15" s="1737"/>
      <c r="BP15" s="958"/>
      <c r="BQ15" s="1736"/>
      <c r="BR15" s="1737"/>
      <c r="BS15" s="958"/>
      <c r="BT15" s="1736"/>
      <c r="BU15" s="1737"/>
      <c r="BV15" s="958"/>
      <c r="BW15" s="1736"/>
      <c r="BX15" s="1737"/>
    </row>
    <row r="16" spans="1:76" x14ac:dyDescent="0.2">
      <c r="A16" s="1735" t="s">
        <v>1830</v>
      </c>
      <c r="B16" s="958"/>
      <c r="C16" s="1736"/>
      <c r="D16" s="1737"/>
      <c r="E16" s="958"/>
      <c r="F16" s="1736"/>
      <c r="G16" s="1737"/>
      <c r="H16" s="958"/>
      <c r="I16" s="1736"/>
      <c r="J16" s="1737"/>
      <c r="K16" s="958"/>
      <c r="L16" s="1736"/>
      <c r="M16" s="1737"/>
      <c r="N16" s="958"/>
      <c r="O16" s="1736"/>
      <c r="P16" s="1737"/>
      <c r="Q16" s="958"/>
      <c r="R16" s="1736"/>
      <c r="S16" s="1737"/>
      <c r="T16" s="958"/>
      <c r="U16" s="1736"/>
      <c r="V16" s="1737"/>
      <c r="W16" s="958"/>
      <c r="X16" s="1736"/>
      <c r="Y16" s="1737"/>
      <c r="Z16" s="958"/>
      <c r="AA16" s="1736"/>
      <c r="AB16" s="1737"/>
      <c r="AC16" s="145">
        <f>+'1875 Tesoro'!B13</f>
        <v>512706</v>
      </c>
      <c r="AD16" s="1736">
        <f>+'1875 Tesoro'!C13</f>
        <v>68</v>
      </c>
      <c r="AE16" s="1737"/>
      <c r="AF16" s="145">
        <f>+'1875 Tesoro'!B33</f>
        <v>162145</v>
      </c>
      <c r="AG16" s="1736">
        <f>+'1875 Tesoro'!C33</f>
        <v>92</v>
      </c>
      <c r="AH16" s="1737">
        <f>+'1875 Tesoro'!D33</f>
        <v>0.5</v>
      </c>
      <c r="AI16" s="145">
        <f>+'1877 Tesoro'!B64</f>
        <v>471020</v>
      </c>
      <c r="AJ16" s="1736">
        <f>+'1877 Tesoro'!C64</f>
        <v>650</v>
      </c>
      <c r="AK16" s="1737"/>
      <c r="AL16" s="145">
        <f>+'1878 Tesoro'!B54</f>
        <v>191641</v>
      </c>
      <c r="AM16" s="1736"/>
      <c r="AN16" s="1737"/>
      <c r="AO16" s="145">
        <f>+'1879 Tesoro'!B67</f>
        <v>820023</v>
      </c>
      <c r="AP16" s="1736">
        <f>+'1879 Tesoro'!C67</f>
        <v>460</v>
      </c>
      <c r="AQ16" s="1737"/>
      <c r="AR16" s="145">
        <f>+'1880 Tesoro'!B90</f>
        <v>985023</v>
      </c>
      <c r="AS16" s="1736">
        <f>+'1880 Tesoro'!C90</f>
        <v>800</v>
      </c>
      <c r="AT16" s="1737"/>
      <c r="AU16" s="145">
        <f>+'1880 Tesoro'!B156</f>
        <v>923323</v>
      </c>
      <c r="AV16" s="1736">
        <f>+'1880 Tesoro'!C156</f>
        <v>810</v>
      </c>
      <c r="AW16" s="1737"/>
      <c r="AX16" s="145">
        <f>+'1882 Tesoro'!B66</f>
        <v>472514</v>
      </c>
      <c r="AY16" s="1736">
        <f>+'1882 Tesoro'!C66</f>
        <v>950</v>
      </c>
      <c r="AZ16" s="1737"/>
      <c r="BA16" s="145"/>
      <c r="BB16" s="1736"/>
      <c r="BC16" s="1737"/>
      <c r="BD16" s="958"/>
      <c r="BE16" s="1736"/>
      <c r="BF16" s="1737"/>
      <c r="BG16" s="958"/>
      <c r="BH16" s="1736"/>
      <c r="BI16" s="1737"/>
      <c r="BJ16" s="958"/>
      <c r="BK16" s="1736"/>
      <c r="BL16" s="1737"/>
      <c r="BM16" s="958"/>
      <c r="BN16" s="1736"/>
      <c r="BO16" s="1737"/>
      <c r="BP16" s="958"/>
      <c r="BQ16" s="1736"/>
      <c r="BR16" s="1737"/>
      <c r="BS16" s="958"/>
      <c r="BT16" s="1736"/>
      <c r="BU16" s="1737"/>
      <c r="BV16" s="958"/>
      <c r="BW16" s="1736"/>
      <c r="BX16" s="1737"/>
    </row>
    <row r="17" spans="1:76" x14ac:dyDescent="0.2">
      <c r="A17" s="1726" t="str">
        <f>+'1875 Tesoro'!A18</f>
        <v>Vijencias económicas espiradas</v>
      </c>
      <c r="B17" s="131"/>
      <c r="C17" s="145"/>
      <c r="D17" s="133"/>
      <c r="E17" s="131"/>
      <c r="F17" s="145"/>
      <c r="G17" s="133"/>
      <c r="H17" s="131"/>
      <c r="I17" s="145"/>
      <c r="J17" s="133"/>
      <c r="K17" s="131"/>
      <c r="L17" s="145"/>
      <c r="M17" s="133"/>
      <c r="N17" s="131"/>
      <c r="O17" s="145"/>
      <c r="P17" s="133"/>
      <c r="Q17" s="131"/>
      <c r="R17" s="145"/>
      <c r="S17" s="133"/>
      <c r="T17" s="131"/>
      <c r="U17" s="145"/>
      <c r="V17" s="133"/>
      <c r="W17" s="131"/>
      <c r="X17" s="145"/>
      <c r="Y17" s="133"/>
      <c r="Z17" s="131"/>
      <c r="AA17" s="145"/>
      <c r="AB17" s="133"/>
      <c r="AC17" s="131">
        <f>+'1875 Tesoro'!B18</f>
        <v>668</v>
      </c>
      <c r="AD17" s="145">
        <f>+'1875 Tesoro'!C18</f>
        <v>75</v>
      </c>
      <c r="AE17" s="133">
        <f>+'1875 Tesoro'!D18</f>
        <v>0.5</v>
      </c>
      <c r="AF17" s="131"/>
      <c r="AG17" s="145"/>
      <c r="AH17" s="133"/>
      <c r="AI17" s="131"/>
      <c r="AJ17" s="145"/>
      <c r="AK17" s="133"/>
      <c r="AL17" s="131"/>
      <c r="AM17" s="145"/>
      <c r="AN17" s="133"/>
      <c r="AO17" s="131"/>
      <c r="AP17" s="145"/>
      <c r="AQ17" s="133"/>
      <c r="AR17" s="131"/>
      <c r="AS17" s="145"/>
      <c r="AT17" s="133"/>
      <c r="AU17" s="131"/>
      <c r="AV17" s="145"/>
      <c r="AW17" s="133"/>
      <c r="AX17" s="131"/>
      <c r="AY17" s="145"/>
      <c r="AZ17" s="133"/>
      <c r="BA17" s="131"/>
      <c r="BB17" s="145"/>
      <c r="BC17" s="133"/>
      <c r="BD17" s="131"/>
      <c r="BE17" s="145"/>
      <c r="BF17" s="133"/>
      <c r="BG17" s="131"/>
      <c r="BH17" s="145"/>
      <c r="BI17" s="133"/>
      <c r="BJ17" s="131"/>
      <c r="BK17" s="145"/>
      <c r="BL17" s="133"/>
      <c r="BM17" s="131"/>
      <c r="BN17" s="145"/>
      <c r="BO17" s="133"/>
      <c r="BP17" s="131"/>
      <c r="BQ17" s="145"/>
      <c r="BR17" s="133"/>
      <c r="BS17" s="131"/>
      <c r="BT17" s="145"/>
      <c r="BU17" s="133"/>
      <c r="BV17" s="131"/>
      <c r="BW17" s="145"/>
      <c r="BX17" s="133"/>
    </row>
    <row r="18" spans="1:76" x14ac:dyDescent="0.2">
      <c r="A18" s="1726" t="str">
        <f>+'1875 Tesoro'!A19</f>
        <v>Deducido Pagos a bienes desamortizados</v>
      </c>
      <c r="B18" s="164"/>
      <c r="C18" s="134"/>
      <c r="D18" s="133"/>
      <c r="E18" s="164"/>
      <c r="F18" s="134"/>
      <c r="G18" s="133"/>
      <c r="H18" s="164"/>
      <c r="I18" s="134"/>
      <c r="J18" s="133"/>
      <c r="K18" s="164"/>
      <c r="L18" s="134"/>
      <c r="M18" s="133"/>
      <c r="N18" s="164"/>
      <c r="O18" s="134"/>
      <c r="P18" s="133"/>
      <c r="Q18" s="164"/>
      <c r="R18" s="134"/>
      <c r="S18" s="133"/>
      <c r="T18" s="164"/>
      <c r="U18" s="134"/>
      <c r="V18" s="133"/>
      <c r="W18" s="164"/>
      <c r="X18" s="134"/>
      <c r="Y18" s="133"/>
      <c r="Z18" s="164"/>
      <c r="AA18" s="134"/>
      <c r="AB18" s="133"/>
      <c r="AC18" s="131">
        <f>+'1875 Tesoro'!B19</f>
        <v>202659</v>
      </c>
      <c r="AD18" s="134">
        <f>+'1875 Tesoro'!C19</f>
        <v>7</v>
      </c>
      <c r="AE18" s="133">
        <f>+'1875 Tesoro'!D19</f>
        <v>0.5</v>
      </c>
      <c r="AF18" s="131"/>
      <c r="AG18" s="134"/>
      <c r="AH18" s="133"/>
      <c r="AI18" s="131">
        <f>+'1877 Tesoro'!B57</f>
        <v>18601</v>
      </c>
      <c r="AJ18" s="134">
        <f>+'1877 Tesoro'!C57</f>
        <v>750</v>
      </c>
      <c r="AK18" s="133"/>
      <c r="AL18" s="131">
        <f>+'1878 Tesoro'!B60</f>
        <v>8589</v>
      </c>
      <c r="AM18" s="134">
        <f>+'1878 Tesoro'!C60</f>
        <v>550</v>
      </c>
      <c r="AN18" s="133"/>
      <c r="AO18" s="131">
        <f>+'1879 Tesoro'!B73</f>
        <v>3727</v>
      </c>
      <c r="AP18" s="134">
        <f>+'1879 Tesoro'!C73</f>
        <v>400</v>
      </c>
      <c r="AQ18" s="133"/>
      <c r="AR18" s="131">
        <f>+'1880 Tesoro'!B96</f>
        <v>4949</v>
      </c>
      <c r="AS18" s="134">
        <f>+'1880 Tesoro'!C96</f>
        <v>850</v>
      </c>
      <c r="AT18" s="133"/>
      <c r="AU18" s="131">
        <f>+'1880 Tesoro'!B162</f>
        <v>4977</v>
      </c>
      <c r="AV18" s="134">
        <f>+'1880 Tesoro'!C162</f>
        <v>600</v>
      </c>
      <c r="AW18" s="133"/>
      <c r="AX18" s="131">
        <f>+'1882 Tesoro'!B72</f>
        <v>7273</v>
      </c>
      <c r="AY18" s="134">
        <f>+'1882 Tesoro'!C72</f>
        <v>400</v>
      </c>
      <c r="AZ18" s="133"/>
      <c r="BA18" s="131"/>
      <c r="BB18" s="134"/>
      <c r="BC18" s="133"/>
      <c r="BD18" s="164"/>
      <c r="BE18" s="134"/>
      <c r="BF18" s="133"/>
      <c r="BG18" s="164"/>
      <c r="BH18" s="134"/>
      <c r="BI18" s="133"/>
      <c r="BJ18" s="164"/>
      <c r="BK18" s="134"/>
      <c r="BL18" s="133"/>
      <c r="BM18" s="164"/>
      <c r="BN18" s="134"/>
      <c r="BO18" s="133"/>
      <c r="BP18" s="164"/>
      <c r="BQ18" s="134"/>
      <c r="BR18" s="133"/>
      <c r="BS18" s="164"/>
      <c r="BT18" s="134"/>
      <c r="BU18" s="133"/>
      <c r="BV18" s="164"/>
      <c r="BW18" s="134"/>
      <c r="BX18" s="133"/>
    </row>
    <row r="19" spans="1:76" x14ac:dyDescent="0.2">
      <c r="A19" s="1726" t="str">
        <f>+'1882 Tesoro'!A146</f>
        <v>Territorios nacionales</v>
      </c>
      <c r="B19" s="164"/>
      <c r="C19" s="134"/>
      <c r="D19" s="133"/>
      <c r="E19" s="164"/>
      <c r="F19" s="134"/>
      <c r="G19" s="133"/>
      <c r="H19" s="164"/>
      <c r="I19" s="134"/>
      <c r="J19" s="133"/>
      <c r="K19" s="164"/>
      <c r="L19" s="134"/>
      <c r="M19" s="133"/>
      <c r="N19" s="164"/>
      <c r="O19" s="134"/>
      <c r="P19" s="133"/>
      <c r="Q19" s="164"/>
      <c r="R19" s="134"/>
      <c r="S19" s="133"/>
      <c r="T19" s="164"/>
      <c r="U19" s="134"/>
      <c r="V19" s="133"/>
      <c r="W19" s="164"/>
      <c r="X19" s="134"/>
      <c r="Y19" s="133"/>
      <c r="Z19" s="164"/>
      <c r="AA19" s="134"/>
      <c r="AB19" s="133"/>
      <c r="AC19" s="131"/>
      <c r="AD19" s="134"/>
      <c r="AE19" s="133"/>
      <c r="AF19" s="131"/>
      <c r="AG19" s="134"/>
      <c r="AH19" s="133"/>
      <c r="AI19" s="131"/>
      <c r="AJ19" s="134"/>
      <c r="AK19" s="133"/>
      <c r="AL19" s="131"/>
      <c r="AM19" s="134"/>
      <c r="AN19" s="133"/>
      <c r="AO19" s="131"/>
      <c r="AP19" s="134"/>
      <c r="AQ19" s="133"/>
      <c r="AR19" s="131"/>
      <c r="AS19" s="134"/>
      <c r="AT19" s="133"/>
      <c r="AU19" s="131"/>
      <c r="AV19" s="134"/>
      <c r="AW19" s="133"/>
      <c r="AX19" s="131"/>
      <c r="AY19" s="134"/>
      <c r="AZ19" s="133"/>
      <c r="BA19" s="131">
        <f>+'1882 Tesoro'!B146</f>
        <v>5713</v>
      </c>
      <c r="BB19" s="134">
        <f>+'1882 Tesoro'!C146</f>
        <v>700</v>
      </c>
      <c r="BC19" s="133"/>
      <c r="BD19" s="164"/>
      <c r="BE19" s="134"/>
      <c r="BF19" s="133"/>
      <c r="BG19" s="164"/>
      <c r="BH19" s="134"/>
      <c r="BI19" s="133"/>
      <c r="BJ19" s="164"/>
      <c r="BK19" s="134"/>
      <c r="BL19" s="133"/>
      <c r="BM19" s="164"/>
      <c r="BN19" s="134"/>
      <c r="BO19" s="133"/>
      <c r="BP19" s="164"/>
      <c r="BQ19" s="134"/>
      <c r="BR19" s="133"/>
      <c r="BS19" s="164"/>
      <c r="BT19" s="134"/>
      <c r="BU19" s="133"/>
      <c r="BV19" s="164"/>
      <c r="BW19" s="134"/>
      <c r="BX19" s="133"/>
    </row>
    <row r="20" spans="1:76" ht="25" x14ac:dyDescent="0.2">
      <c r="A20" s="1726" t="str">
        <f>+'1875 Tesoro'!A41</f>
        <v>Saldos que en 31 de agosto último quedaron pendientes a cargo del Tesoro, según la cuenta de Ordenacion de gastos</v>
      </c>
      <c r="B20" s="164"/>
      <c r="C20" s="134"/>
      <c r="D20" s="133"/>
      <c r="E20" s="164"/>
      <c r="F20" s="134"/>
      <c r="G20" s="133"/>
      <c r="H20" s="164"/>
      <c r="I20" s="134"/>
      <c r="J20" s="133"/>
      <c r="K20" s="164"/>
      <c r="L20" s="134"/>
      <c r="M20" s="133"/>
      <c r="N20" s="164"/>
      <c r="O20" s="134"/>
      <c r="P20" s="133"/>
      <c r="Q20" s="164"/>
      <c r="R20" s="134"/>
      <c r="S20" s="133"/>
      <c r="T20" s="164"/>
      <c r="U20" s="134"/>
      <c r="V20" s="133"/>
      <c r="W20" s="164"/>
      <c r="X20" s="134"/>
      <c r="Y20" s="133"/>
      <c r="Z20" s="164"/>
      <c r="AA20" s="134"/>
      <c r="AB20" s="133"/>
      <c r="AC20" s="131"/>
      <c r="AD20" s="134"/>
      <c r="AE20" s="133"/>
      <c r="AF20" s="131">
        <f>+'1875 Tesoro'!B41</f>
        <v>279328</v>
      </c>
      <c r="AG20" s="134">
        <f>+'1875 Tesoro'!C41</f>
        <v>30</v>
      </c>
      <c r="AH20" s="133"/>
      <c r="AI20" s="131"/>
      <c r="AJ20" s="134"/>
      <c r="AK20" s="133"/>
      <c r="AL20" s="131"/>
      <c r="AM20" s="134"/>
      <c r="AN20" s="133"/>
      <c r="AO20" s="131"/>
      <c r="AP20" s="134"/>
      <c r="AQ20" s="133"/>
      <c r="AR20" s="131">
        <f>+'1880 Tesoro'!E99</f>
        <v>260908</v>
      </c>
      <c r="AS20" s="134">
        <f>+'1880 Tesoro'!F99</f>
        <v>450</v>
      </c>
      <c r="AT20" s="133"/>
      <c r="AU20" s="131"/>
      <c r="AV20" s="134"/>
      <c r="AW20" s="133"/>
      <c r="AX20" s="131"/>
      <c r="AY20" s="134"/>
      <c r="AZ20" s="133"/>
      <c r="BA20" s="131"/>
      <c r="BB20" s="134"/>
      <c r="BC20" s="133"/>
      <c r="BD20" s="164"/>
      <c r="BE20" s="134"/>
      <c r="BF20" s="133"/>
      <c r="BG20" s="164"/>
      <c r="BH20" s="134"/>
      <c r="BI20" s="133"/>
      <c r="BJ20" s="164"/>
      <c r="BK20" s="134"/>
      <c r="BL20" s="133"/>
      <c r="BM20" s="164"/>
      <c r="BN20" s="134"/>
      <c r="BO20" s="133"/>
      <c r="BP20" s="164"/>
      <c r="BQ20" s="134"/>
      <c r="BR20" s="133"/>
      <c r="BS20" s="164"/>
      <c r="BT20" s="134"/>
      <c r="BU20" s="133"/>
      <c r="BV20" s="164"/>
      <c r="BW20" s="134"/>
      <c r="BX20" s="133"/>
    </row>
    <row r="21" spans="1:76" ht="21.5" customHeight="1" x14ac:dyDescent="0.2">
      <c r="A21" s="1726" t="str">
        <f>+'1875 Tesoro'!A42</f>
        <v>Saldos por pagar que no han sido cubiertos</v>
      </c>
      <c r="B21" s="164"/>
      <c r="C21" s="134"/>
      <c r="D21" s="133"/>
      <c r="E21" s="164"/>
      <c r="F21" s="134"/>
      <c r="G21" s="133"/>
      <c r="H21" s="164"/>
      <c r="I21" s="134"/>
      <c r="J21" s="133"/>
      <c r="K21" s="164"/>
      <c r="L21" s="134"/>
      <c r="M21" s="133"/>
      <c r="N21" s="164"/>
      <c r="O21" s="134"/>
      <c r="P21" s="133"/>
      <c r="Q21" s="164"/>
      <c r="R21" s="134"/>
      <c r="S21" s="133"/>
      <c r="T21" s="164"/>
      <c r="U21" s="134"/>
      <c r="V21" s="133"/>
      <c r="W21" s="164"/>
      <c r="X21" s="134"/>
      <c r="Y21" s="133"/>
      <c r="Z21" s="164"/>
      <c r="AA21" s="134"/>
      <c r="AB21" s="133"/>
      <c r="AC21" s="131"/>
      <c r="AD21" s="134"/>
      <c r="AE21" s="133"/>
      <c r="AF21" s="131">
        <f>+'1875 Tesoro'!B42</f>
        <v>750000</v>
      </c>
      <c r="AG21" s="134"/>
      <c r="AH21" s="133"/>
      <c r="AI21" s="131"/>
      <c r="AJ21" s="134"/>
      <c r="AK21" s="133"/>
      <c r="AL21" s="131"/>
      <c r="AM21" s="134"/>
      <c r="AN21" s="133"/>
      <c r="AO21" s="131"/>
      <c r="AP21" s="134"/>
      <c r="AQ21" s="133"/>
      <c r="AR21" s="131"/>
      <c r="AS21" s="134"/>
      <c r="AT21" s="133"/>
      <c r="AU21" s="131"/>
      <c r="AV21" s="134"/>
      <c r="AW21" s="133"/>
      <c r="AX21" s="131"/>
      <c r="AY21" s="134"/>
      <c r="AZ21" s="133"/>
      <c r="BA21" s="131"/>
      <c r="BB21" s="134"/>
      <c r="BC21" s="133"/>
      <c r="BD21" s="164"/>
      <c r="BE21" s="134"/>
      <c r="BF21" s="133"/>
      <c r="BG21" s="164"/>
      <c r="BH21" s="134"/>
      <c r="BI21" s="133"/>
      <c r="BJ21" s="164"/>
      <c r="BK21" s="134"/>
      <c r="BL21" s="133"/>
      <c r="BM21" s="164"/>
      <c r="BN21" s="134"/>
      <c r="BO21" s="133"/>
      <c r="BP21" s="164"/>
      <c r="BQ21" s="134"/>
      <c r="BR21" s="133"/>
      <c r="BS21" s="164"/>
      <c r="BT21" s="134"/>
      <c r="BU21" s="133"/>
      <c r="BV21" s="164"/>
      <c r="BW21" s="134"/>
      <c r="BX21" s="133"/>
    </row>
    <row r="22" spans="1:76" ht="25" x14ac:dyDescent="0.2">
      <c r="A22" s="1726" t="s">
        <v>6006</v>
      </c>
      <c r="B22" s="164"/>
      <c r="C22" s="134"/>
      <c r="D22" s="133"/>
      <c r="E22" s="164"/>
      <c r="F22" s="134"/>
      <c r="G22" s="133"/>
      <c r="H22" s="164"/>
      <c r="I22" s="134"/>
      <c r="J22" s="133"/>
      <c r="K22" s="164"/>
      <c r="L22" s="134"/>
      <c r="M22" s="133"/>
      <c r="N22" s="164"/>
      <c r="O22" s="134"/>
      <c r="P22" s="133"/>
      <c r="Q22" s="164"/>
      <c r="R22" s="134"/>
      <c r="S22" s="133"/>
      <c r="T22" s="164"/>
      <c r="U22" s="134"/>
      <c r="V22" s="133"/>
      <c r="W22" s="164"/>
      <c r="X22" s="134"/>
      <c r="Y22" s="133"/>
      <c r="Z22" s="164"/>
      <c r="AA22" s="134"/>
      <c r="AB22" s="133"/>
      <c r="AC22" s="131"/>
      <c r="AD22" s="134"/>
      <c r="AE22" s="133"/>
      <c r="AF22" s="131"/>
      <c r="AG22" s="134"/>
      <c r="AH22" s="133"/>
      <c r="AI22" s="131">
        <f>+'1877 Tesoro'!E69</f>
        <v>296182</v>
      </c>
      <c r="AJ22" s="134">
        <f>+'1877 Tesoro'!F69</f>
        <v>132</v>
      </c>
      <c r="AK22" s="133"/>
      <c r="AL22" s="131">
        <f>+'1878 Tesoro'!E63</f>
        <v>426257</v>
      </c>
      <c r="AM22" s="134">
        <f>+'1878 Tesoro'!F63</f>
        <v>689</v>
      </c>
      <c r="AN22" s="133"/>
      <c r="AO22" s="131"/>
      <c r="AP22" s="134"/>
      <c r="AQ22" s="133"/>
      <c r="AR22" s="131">
        <f>+'1880 Tesoro'!E102</f>
        <v>884689</v>
      </c>
      <c r="AS22" s="134">
        <f>+'1880 Tesoro'!F102</f>
        <v>248</v>
      </c>
      <c r="AT22" s="133">
        <f>+'1880 Tesoro'!G102</f>
        <v>0.5</v>
      </c>
      <c r="AU22" s="131"/>
      <c r="AV22" s="134"/>
      <c r="AW22" s="133"/>
      <c r="AX22" s="131"/>
      <c r="AY22" s="134"/>
      <c r="AZ22" s="133"/>
      <c r="BA22" s="131"/>
      <c r="BB22" s="134"/>
      <c r="BC22" s="133"/>
      <c r="BD22" s="164"/>
      <c r="BE22" s="134"/>
      <c r="BF22" s="133"/>
      <c r="BG22" s="164"/>
      <c r="BH22" s="134"/>
      <c r="BI22" s="133"/>
      <c r="BJ22" s="164"/>
      <c r="BK22" s="134"/>
      <c r="BL22" s="133"/>
      <c r="BM22" s="164"/>
      <c r="BN22" s="134"/>
      <c r="BO22" s="133"/>
      <c r="BP22" s="164"/>
      <c r="BQ22" s="134"/>
      <c r="BR22" s="133"/>
      <c r="BS22" s="164"/>
      <c r="BT22" s="134"/>
      <c r="BU22" s="133"/>
      <c r="BV22" s="164"/>
      <c r="BW22" s="134"/>
      <c r="BX22" s="133"/>
    </row>
    <row r="23" spans="1:76" x14ac:dyDescent="0.2">
      <c r="A23" s="1726" t="s">
        <v>6007</v>
      </c>
      <c r="B23" s="164"/>
      <c r="C23" s="134"/>
      <c r="D23" s="133"/>
      <c r="E23" s="164"/>
      <c r="F23" s="134"/>
      <c r="G23" s="133"/>
      <c r="H23" s="164"/>
      <c r="I23" s="134"/>
      <c r="J23" s="133"/>
      <c r="K23" s="164"/>
      <c r="L23" s="134"/>
      <c r="M23" s="133"/>
      <c r="N23" s="164"/>
      <c r="O23" s="134"/>
      <c r="P23" s="133"/>
      <c r="Q23" s="164"/>
      <c r="R23" s="134"/>
      <c r="S23" s="133"/>
      <c r="T23" s="164"/>
      <c r="U23" s="134"/>
      <c r="V23" s="133"/>
      <c r="W23" s="164"/>
      <c r="X23" s="134"/>
      <c r="Y23" s="133"/>
      <c r="Z23" s="164"/>
      <c r="AA23" s="134"/>
      <c r="AB23" s="133"/>
      <c r="AC23" s="131"/>
      <c r="AD23" s="134"/>
      <c r="AE23" s="133"/>
      <c r="AF23" s="131"/>
      <c r="AG23" s="134"/>
      <c r="AH23" s="133"/>
      <c r="AI23" s="131"/>
      <c r="AJ23" s="134"/>
      <c r="AK23" s="133"/>
      <c r="AL23" s="131">
        <f>+'1878 Tesoro'!E64</f>
        <v>494111</v>
      </c>
      <c r="AM23" s="134">
        <f>+'1878 Tesoro'!F64</f>
        <v>386</v>
      </c>
      <c r="AN23" s="133"/>
      <c r="AO23" s="131"/>
      <c r="AP23" s="134"/>
      <c r="AQ23" s="133"/>
      <c r="AR23" s="131"/>
      <c r="AS23" s="134"/>
      <c r="AT23" s="133"/>
      <c r="AU23" s="131">
        <f>+'1880 Tesoro'!E170</f>
        <v>933693</v>
      </c>
      <c r="AV23" s="134">
        <f>+'1880 Tesoro'!F170</f>
        <v>150</v>
      </c>
      <c r="AW23" s="133"/>
      <c r="AX23" s="131"/>
      <c r="AY23" s="134"/>
      <c r="AZ23" s="133"/>
      <c r="BA23" s="131"/>
      <c r="BB23" s="134"/>
      <c r="BC23" s="133"/>
      <c r="BD23" s="164"/>
      <c r="BE23" s="134"/>
      <c r="BF23" s="133"/>
      <c r="BG23" s="164"/>
      <c r="BH23" s="134"/>
      <c r="BI23" s="133"/>
      <c r="BJ23" s="164"/>
      <c r="BK23" s="134"/>
      <c r="BL23" s="133"/>
      <c r="BM23" s="164"/>
      <c r="BN23" s="134"/>
      <c r="BO23" s="133"/>
      <c r="BP23" s="164"/>
      <c r="BQ23" s="134"/>
      <c r="BR23" s="133"/>
      <c r="BS23" s="164"/>
      <c r="BT23" s="134"/>
      <c r="BU23" s="133"/>
      <c r="BV23" s="164"/>
      <c r="BW23" s="134"/>
      <c r="BX23" s="133"/>
    </row>
    <row r="24" spans="1:76" x14ac:dyDescent="0.2">
      <c r="A24" s="1726" t="str">
        <f>+'1879 Tesoro'!A77:D77</f>
        <v>Por cuenta de otras vijencias</v>
      </c>
      <c r="B24" s="164"/>
      <c r="C24" s="134"/>
      <c r="D24" s="133"/>
      <c r="E24" s="164"/>
      <c r="F24" s="134"/>
      <c r="G24" s="133"/>
      <c r="H24" s="164"/>
      <c r="I24" s="134"/>
      <c r="J24" s="133"/>
      <c r="K24" s="164"/>
      <c r="L24" s="134"/>
      <c r="M24" s="133"/>
      <c r="N24" s="164"/>
      <c r="O24" s="134"/>
      <c r="P24" s="133"/>
      <c r="Q24" s="164"/>
      <c r="R24" s="134"/>
      <c r="S24" s="133"/>
      <c r="T24" s="164"/>
      <c r="U24" s="134"/>
      <c r="V24" s="133"/>
      <c r="W24" s="164"/>
      <c r="X24" s="134"/>
      <c r="Y24" s="133"/>
      <c r="Z24" s="164"/>
      <c r="AA24" s="134"/>
      <c r="AB24" s="133"/>
      <c r="AC24" s="131"/>
      <c r="AD24" s="134"/>
      <c r="AE24" s="133"/>
      <c r="AF24" s="131"/>
      <c r="AG24" s="134"/>
      <c r="AH24" s="133"/>
      <c r="AI24" s="131"/>
      <c r="AJ24" s="134"/>
      <c r="AK24" s="133"/>
      <c r="AM24" s="134"/>
      <c r="AN24" s="133"/>
      <c r="AO24" s="107">
        <f>+'1879 Tesoro'!E77</f>
        <v>298359</v>
      </c>
      <c r="AP24" s="134">
        <f>+'1879 Tesoro'!F77</f>
        <v>285</v>
      </c>
      <c r="AQ24" s="133"/>
      <c r="AR24" s="107">
        <f>+'1880 Tesoro'!E103</f>
        <v>83559</v>
      </c>
      <c r="AS24" s="134">
        <f>+'1880 Tesoro'!F103</f>
        <v>900</v>
      </c>
      <c r="AT24" s="133"/>
      <c r="AV24" s="134"/>
      <c r="AW24" s="133"/>
      <c r="AX24" s="107">
        <f>+'1882 Tesoro'!E59</f>
        <v>658269</v>
      </c>
      <c r="AY24" s="134">
        <f>+'1882 Tesoro'!F59</f>
        <v>1192</v>
      </c>
      <c r="AZ24" s="133">
        <f>+'1882 Tesoro'!G59</f>
        <v>0.5</v>
      </c>
      <c r="BA24" s="107">
        <f>+'1882 Tesoro'!B141</f>
        <v>540367</v>
      </c>
      <c r="BB24" s="134">
        <f>+'1882 Tesoro'!C141</f>
        <v>265</v>
      </c>
      <c r="BC24" s="133"/>
      <c r="BD24" s="164"/>
      <c r="BE24" s="134"/>
      <c r="BF24" s="133"/>
      <c r="BG24" s="164"/>
      <c r="BH24" s="134"/>
      <c r="BI24" s="133"/>
      <c r="BJ24" s="164"/>
      <c r="BK24" s="134"/>
      <c r="BL24" s="133"/>
      <c r="BM24" s="164"/>
      <c r="BN24" s="134"/>
      <c r="BO24" s="133"/>
      <c r="BP24" s="164"/>
      <c r="BQ24" s="134"/>
      <c r="BR24" s="133"/>
      <c r="BS24" s="164"/>
      <c r="BT24" s="134"/>
      <c r="BU24" s="133"/>
      <c r="BV24" s="164"/>
      <c r="BW24" s="134"/>
      <c r="BX24" s="133"/>
    </row>
    <row r="25" spans="1:76" x14ac:dyDescent="0.2">
      <c r="A25" s="1726" t="str">
        <f>+'1879 Tesoro'!A78:D78</f>
        <v>Abono al emprésito de G. M. Totten</v>
      </c>
      <c r="B25" s="164"/>
      <c r="C25" s="134"/>
      <c r="D25" s="133"/>
      <c r="E25" s="164"/>
      <c r="F25" s="134"/>
      <c r="G25" s="133"/>
      <c r="H25" s="164"/>
      <c r="I25" s="134"/>
      <c r="J25" s="133"/>
      <c r="K25" s="164"/>
      <c r="L25" s="134"/>
      <c r="M25" s="133"/>
      <c r="N25" s="164"/>
      <c r="O25" s="134"/>
      <c r="P25" s="133"/>
      <c r="Q25" s="164"/>
      <c r="R25" s="134"/>
      <c r="S25" s="133"/>
      <c r="T25" s="164"/>
      <c r="U25" s="134"/>
      <c r="V25" s="133"/>
      <c r="W25" s="164"/>
      <c r="X25" s="134"/>
      <c r="Y25" s="133"/>
      <c r="Z25" s="164"/>
      <c r="AA25" s="134"/>
      <c r="AB25" s="133"/>
      <c r="AC25" s="131"/>
      <c r="AD25" s="134"/>
      <c r="AE25" s="133"/>
      <c r="AF25" s="131"/>
      <c r="AG25" s="134"/>
      <c r="AH25" s="133"/>
      <c r="AI25" s="131"/>
      <c r="AJ25" s="134"/>
      <c r="AK25" s="133"/>
      <c r="AM25" s="134"/>
      <c r="AN25" s="133"/>
      <c r="AO25" s="107">
        <f>+'1879 Tesoro'!E78</f>
        <v>225000</v>
      </c>
      <c r="AP25" s="134">
        <f>+'1879 Tesoro'!F78</f>
        <v>0</v>
      </c>
      <c r="AQ25" s="133"/>
      <c r="AS25" s="134"/>
      <c r="AT25" s="133"/>
      <c r="AV25" s="134"/>
      <c r="AW25" s="133"/>
      <c r="AY25" s="134"/>
      <c r="AZ25" s="133"/>
      <c r="BB25" s="134"/>
      <c r="BC25" s="133"/>
      <c r="BD25" s="164"/>
      <c r="BE25" s="134"/>
      <c r="BF25" s="133"/>
      <c r="BG25" s="164"/>
      <c r="BH25" s="134"/>
      <c r="BI25" s="133"/>
      <c r="BJ25" s="164"/>
      <c r="BK25" s="134"/>
      <c r="BL25" s="133"/>
      <c r="BM25" s="164"/>
      <c r="BN25" s="134"/>
      <c r="BO25" s="133"/>
      <c r="BP25" s="164"/>
      <c r="BQ25" s="134"/>
      <c r="BR25" s="133"/>
      <c r="BS25" s="164"/>
      <c r="BT25" s="134"/>
      <c r="BU25" s="133"/>
      <c r="BV25" s="164"/>
      <c r="BW25" s="134"/>
      <c r="BX25" s="133"/>
    </row>
    <row r="26" spans="1:76" x14ac:dyDescent="0.2">
      <c r="A26" s="1726" t="str">
        <f>+'1879 Tesoro'!A79:D79</f>
        <v>Emprésito del Banco de Bogotá</v>
      </c>
      <c r="B26" s="164"/>
      <c r="C26" s="134"/>
      <c r="D26" s="133"/>
      <c r="E26" s="164"/>
      <c r="F26" s="134"/>
      <c r="G26" s="133"/>
      <c r="H26" s="164"/>
      <c r="I26" s="134"/>
      <c r="J26" s="133"/>
      <c r="K26" s="164"/>
      <c r="L26" s="134"/>
      <c r="M26" s="133"/>
      <c r="N26" s="164"/>
      <c r="O26" s="134"/>
      <c r="P26" s="133"/>
      <c r="Q26" s="164"/>
      <c r="R26" s="134"/>
      <c r="S26" s="133"/>
      <c r="T26" s="164"/>
      <c r="U26" s="134"/>
      <c r="V26" s="133"/>
      <c r="W26" s="164"/>
      <c r="X26" s="134"/>
      <c r="Y26" s="133"/>
      <c r="Z26" s="164"/>
      <c r="AA26" s="134"/>
      <c r="AB26" s="133"/>
      <c r="AC26" s="131"/>
      <c r="AD26" s="134"/>
      <c r="AE26" s="133"/>
      <c r="AF26" s="131"/>
      <c r="AG26" s="134"/>
      <c r="AH26" s="133"/>
      <c r="AI26" s="131"/>
      <c r="AJ26" s="134"/>
      <c r="AK26" s="133"/>
      <c r="AM26" s="134"/>
      <c r="AN26" s="133"/>
      <c r="AO26" s="107">
        <f>+'1879 Tesoro'!E79</f>
        <v>300000</v>
      </c>
      <c r="AP26" s="134">
        <f>+'1879 Tesoro'!F79</f>
        <v>0</v>
      </c>
      <c r="AQ26" s="133"/>
      <c r="AS26" s="134"/>
      <c r="AT26" s="133"/>
      <c r="AV26" s="134"/>
      <c r="AW26" s="133"/>
      <c r="AY26" s="134"/>
      <c r="AZ26" s="133"/>
      <c r="BB26" s="134"/>
      <c r="BC26" s="133"/>
      <c r="BD26" s="164"/>
      <c r="BE26" s="134"/>
      <c r="BF26" s="133"/>
      <c r="BG26" s="164"/>
      <c r="BH26" s="134"/>
      <c r="BI26" s="133"/>
      <c r="BJ26" s="164"/>
      <c r="BK26" s="134"/>
      <c r="BL26" s="133"/>
      <c r="BM26" s="164"/>
      <c r="BN26" s="134"/>
      <c r="BO26" s="133"/>
      <c r="BP26" s="164"/>
      <c r="BQ26" s="134"/>
      <c r="BR26" s="133"/>
      <c r="BS26" s="164"/>
      <c r="BT26" s="134"/>
      <c r="BU26" s="133"/>
      <c r="BV26" s="164"/>
      <c r="BW26" s="134"/>
      <c r="BX26" s="133"/>
    </row>
    <row r="27" spans="1:76" x14ac:dyDescent="0.2">
      <c r="A27" s="1726" t="str">
        <f>+'1880 Tesoro'!A104:D104</f>
        <v>Por cuenta de emprésitos</v>
      </c>
      <c r="B27" s="164"/>
      <c r="C27" s="134"/>
      <c r="D27" s="133"/>
      <c r="E27" s="164"/>
      <c r="F27" s="134"/>
      <c r="G27" s="133"/>
      <c r="H27" s="164"/>
      <c r="I27" s="134"/>
      <c r="J27" s="133"/>
      <c r="K27" s="164"/>
      <c r="L27" s="134"/>
      <c r="M27" s="133"/>
      <c r="N27" s="164"/>
      <c r="O27" s="134"/>
      <c r="P27" s="133"/>
      <c r="Q27" s="164"/>
      <c r="R27" s="134"/>
      <c r="S27" s="133"/>
      <c r="T27" s="164"/>
      <c r="U27" s="134"/>
      <c r="V27" s="133"/>
      <c r="W27" s="164"/>
      <c r="X27" s="134"/>
      <c r="Y27" s="133"/>
      <c r="Z27" s="164"/>
      <c r="AA27" s="134"/>
      <c r="AB27" s="133"/>
      <c r="AC27" s="131"/>
      <c r="AD27" s="134"/>
      <c r="AE27" s="133"/>
      <c r="AF27" s="131"/>
      <c r="AG27" s="134"/>
      <c r="AH27" s="133"/>
      <c r="AI27" s="131"/>
      <c r="AJ27" s="134"/>
      <c r="AK27" s="133"/>
      <c r="AM27" s="134"/>
      <c r="AN27" s="133"/>
      <c r="AP27" s="134"/>
      <c r="AQ27" s="133"/>
      <c r="AS27" s="134"/>
      <c r="AT27" s="133"/>
      <c r="AV27" s="134"/>
      <c r="AW27" s="133"/>
      <c r="AY27" s="134"/>
      <c r="AZ27" s="133"/>
      <c r="BB27" s="134"/>
      <c r="BC27" s="133"/>
      <c r="BD27" s="164"/>
      <c r="BE27" s="134"/>
      <c r="BF27" s="133"/>
      <c r="BG27" s="164"/>
      <c r="BH27" s="134"/>
      <c r="BI27" s="133"/>
      <c r="BJ27" s="164"/>
      <c r="BK27" s="134"/>
      <c r="BL27" s="133"/>
      <c r="BM27" s="164"/>
      <c r="BN27" s="134"/>
      <c r="BO27" s="133"/>
      <c r="BP27" s="164"/>
      <c r="BQ27" s="134"/>
      <c r="BR27" s="133"/>
      <c r="BS27" s="164"/>
      <c r="BT27" s="134"/>
      <c r="BU27" s="133"/>
      <c r="BV27" s="164"/>
      <c r="BW27" s="134"/>
      <c r="BX27" s="133"/>
    </row>
    <row r="28" spans="1:76" ht="28.25" customHeight="1" x14ac:dyDescent="0.2">
      <c r="A28" s="1726" t="str">
        <f>+'1879 Tesoro'!A80:D80</f>
        <v>Remesas a los Habilitados de la Guardia Colombiana</v>
      </c>
      <c r="B28" s="164"/>
      <c r="C28" s="134"/>
      <c r="D28" s="133"/>
      <c r="E28" s="164"/>
      <c r="F28" s="134"/>
      <c r="G28" s="133"/>
      <c r="H28" s="164"/>
      <c r="I28" s="134"/>
      <c r="J28" s="133"/>
      <c r="K28" s="164"/>
      <c r="L28" s="134"/>
      <c r="M28" s="133"/>
      <c r="N28" s="164"/>
      <c r="O28" s="134"/>
      <c r="P28" s="133"/>
      <c r="Q28" s="164"/>
      <c r="R28" s="134"/>
      <c r="S28" s="133"/>
      <c r="T28" s="164"/>
      <c r="U28" s="134"/>
      <c r="V28" s="133"/>
      <c r="W28" s="164"/>
      <c r="X28" s="134"/>
      <c r="Y28" s="133"/>
      <c r="Z28" s="164"/>
      <c r="AA28" s="134"/>
      <c r="AB28" s="133"/>
      <c r="AC28" s="131"/>
      <c r="AD28" s="134"/>
      <c r="AE28" s="133"/>
      <c r="AF28" s="131"/>
      <c r="AG28" s="134"/>
      <c r="AH28" s="133"/>
      <c r="AI28" s="131"/>
      <c r="AJ28" s="134"/>
      <c r="AK28" s="133"/>
      <c r="AM28" s="134"/>
      <c r="AN28" s="133"/>
      <c r="AO28" s="107">
        <f>+'1879 Tesoro'!E80</f>
        <v>1972240</v>
      </c>
      <c r="AP28" s="134">
        <f>+'1879 Tesoro'!F80</f>
        <v>630</v>
      </c>
      <c r="AQ28" s="133"/>
      <c r="AR28" s="107">
        <f>+'1880 Tesoro'!E104</f>
        <v>475851</v>
      </c>
      <c r="AS28" s="134">
        <f>+'1880 Tesoro'!F104</f>
        <v>0</v>
      </c>
      <c r="AT28" s="133"/>
      <c r="AU28" s="107">
        <f>+'1880 Tesoro'!E172</f>
        <v>16807</v>
      </c>
      <c r="AV28" s="134">
        <f>+'1880 Tesoro'!F172</f>
        <v>943</v>
      </c>
      <c r="AW28" s="133">
        <f>+'1880 Tesoro'!G172</f>
        <v>0.5</v>
      </c>
      <c r="AY28" s="134"/>
      <c r="AZ28" s="133"/>
      <c r="BB28" s="134"/>
      <c r="BC28" s="133"/>
      <c r="BD28" s="164"/>
      <c r="BE28" s="134"/>
      <c r="BF28" s="133"/>
      <c r="BG28" s="164"/>
      <c r="BH28" s="134"/>
      <c r="BI28" s="133"/>
      <c r="BJ28" s="164"/>
      <c r="BK28" s="134"/>
      <c r="BL28" s="133"/>
      <c r="BM28" s="164"/>
      <c r="BN28" s="134"/>
      <c r="BO28" s="133"/>
      <c r="BP28" s="164"/>
      <c r="BQ28" s="134"/>
      <c r="BR28" s="133"/>
      <c r="BS28" s="164"/>
      <c r="BT28" s="134"/>
      <c r="BU28" s="133"/>
      <c r="BV28" s="164"/>
      <c r="BW28" s="134"/>
      <c r="BX28" s="133"/>
    </row>
    <row r="29" spans="1:76" x14ac:dyDescent="0.2">
      <c r="A29" s="1726" t="str">
        <f>+'1879 Tesoro'!A81:D81</f>
        <v>Amortizacion de la Deuda interior</v>
      </c>
      <c r="B29" s="164"/>
      <c r="C29" s="134"/>
      <c r="D29" s="133"/>
      <c r="E29" s="164"/>
      <c r="F29" s="134"/>
      <c r="G29" s="133"/>
      <c r="H29" s="164"/>
      <c r="I29" s="134"/>
      <c r="J29" s="133"/>
      <c r="K29" s="164"/>
      <c r="L29" s="134"/>
      <c r="M29" s="133"/>
      <c r="N29" s="164"/>
      <c r="O29" s="134"/>
      <c r="P29" s="133"/>
      <c r="Q29" s="164"/>
      <c r="R29" s="134"/>
      <c r="S29" s="133"/>
      <c r="T29" s="164"/>
      <c r="U29" s="134"/>
      <c r="V29" s="133"/>
      <c r="W29" s="164"/>
      <c r="X29" s="134"/>
      <c r="Y29" s="133"/>
      <c r="Z29" s="164"/>
      <c r="AA29" s="134"/>
      <c r="AB29" s="133"/>
      <c r="AC29" s="131"/>
      <c r="AD29" s="134"/>
      <c r="AE29" s="133"/>
      <c r="AF29" s="131"/>
      <c r="AG29" s="134"/>
      <c r="AH29" s="133"/>
      <c r="AI29" s="131"/>
      <c r="AJ29" s="134"/>
      <c r="AK29" s="133"/>
      <c r="AM29" s="134"/>
      <c r="AN29" s="133"/>
      <c r="AO29" s="107">
        <f>+'1879 Tesoro'!E81</f>
        <v>218299</v>
      </c>
      <c r="AP29" s="134">
        <f>+'1879 Tesoro'!F81</f>
        <v>975</v>
      </c>
      <c r="AQ29" s="133"/>
      <c r="AR29" s="107">
        <f>+'1880 Tesoro'!E106</f>
        <v>1645278</v>
      </c>
      <c r="AS29" s="134">
        <f>+'1880 Tesoro'!F106</f>
        <v>725</v>
      </c>
      <c r="AT29" s="133"/>
      <c r="AV29" s="134"/>
      <c r="AW29" s="133"/>
      <c r="AY29" s="134"/>
      <c r="AZ29" s="133"/>
      <c r="BB29" s="134"/>
      <c r="BC29" s="133"/>
      <c r="BD29" s="164"/>
      <c r="BE29" s="134"/>
      <c r="BF29" s="133"/>
      <c r="BG29" s="164"/>
      <c r="BH29" s="134"/>
      <c r="BI29" s="133"/>
      <c r="BJ29" s="164"/>
      <c r="BK29" s="134"/>
      <c r="BL29" s="133"/>
      <c r="BM29" s="164"/>
      <c r="BN29" s="134"/>
      <c r="BO29" s="133"/>
      <c r="BP29" s="164"/>
      <c r="BQ29" s="134"/>
      <c r="BR29" s="133"/>
      <c r="BS29" s="164"/>
      <c r="BT29" s="134"/>
      <c r="BU29" s="133"/>
      <c r="BV29" s="164"/>
      <c r="BW29" s="134"/>
      <c r="BX29" s="133"/>
    </row>
    <row r="30" spans="1:76" x14ac:dyDescent="0.2">
      <c r="A30" s="1726" t="str">
        <f>+'1879 Tesoro'!A82:D82</f>
        <v>Id                                 id.       esterior</v>
      </c>
      <c r="B30" s="164"/>
      <c r="C30" s="134"/>
      <c r="D30" s="133"/>
      <c r="E30" s="164"/>
      <c r="F30" s="134"/>
      <c r="G30" s="133"/>
      <c r="H30" s="164"/>
      <c r="I30" s="134"/>
      <c r="J30" s="133"/>
      <c r="K30" s="164"/>
      <c r="L30" s="134"/>
      <c r="M30" s="133"/>
      <c r="N30" s="164"/>
      <c r="O30" s="134"/>
      <c r="P30" s="133"/>
      <c r="Q30" s="164"/>
      <c r="R30" s="134"/>
      <c r="S30" s="133"/>
      <c r="T30" s="164"/>
      <c r="U30" s="134"/>
      <c r="V30" s="133"/>
      <c r="W30" s="164"/>
      <c r="X30" s="134"/>
      <c r="Y30" s="133"/>
      <c r="Z30" s="164"/>
      <c r="AA30" s="134"/>
      <c r="AB30" s="133"/>
      <c r="AC30" s="131"/>
      <c r="AD30" s="134"/>
      <c r="AE30" s="133"/>
      <c r="AF30" s="131"/>
      <c r="AG30" s="134"/>
      <c r="AH30" s="133"/>
      <c r="AI30" s="131"/>
      <c r="AJ30" s="134"/>
      <c r="AK30" s="133"/>
      <c r="AM30" s="134"/>
      <c r="AN30" s="133"/>
      <c r="AO30" s="107">
        <f>+'1879 Tesoro'!E82</f>
        <v>10320</v>
      </c>
      <c r="AP30" s="134">
        <f>+'1879 Tesoro'!F82</f>
        <v>0</v>
      </c>
      <c r="AQ30" s="133"/>
      <c r="AR30" s="107">
        <f>+'1880 Tesoro'!E105</f>
        <v>93752</v>
      </c>
      <c r="AS30" s="134">
        <f>+'1880 Tesoro'!F105</f>
        <v>500</v>
      </c>
      <c r="AT30" s="133"/>
      <c r="AV30" s="134"/>
      <c r="AW30" s="133"/>
      <c r="AY30" s="134"/>
      <c r="AZ30" s="133"/>
      <c r="BB30" s="134"/>
      <c r="BC30" s="133"/>
      <c r="BD30" s="164"/>
      <c r="BE30" s="134"/>
      <c r="BF30" s="133"/>
      <c r="BG30" s="164"/>
      <c r="BH30" s="134"/>
      <c r="BI30" s="133"/>
      <c r="BJ30" s="164"/>
      <c r="BK30" s="134"/>
      <c r="BL30" s="133"/>
      <c r="BM30" s="164"/>
      <c r="BN30" s="134"/>
      <c r="BO30" s="133"/>
      <c r="BP30" s="164"/>
      <c r="BQ30" s="134"/>
      <c r="BR30" s="133"/>
      <c r="BS30" s="164"/>
      <c r="BT30" s="134"/>
      <c r="BU30" s="133"/>
      <c r="BV30" s="164"/>
      <c r="BW30" s="134"/>
      <c r="BX30" s="133"/>
    </row>
    <row r="31" spans="1:76" ht="17.5" customHeight="1" x14ac:dyDescent="0.2">
      <c r="A31" s="1726" t="str">
        <f>+'1879 Tesoro'!A83:D83</f>
        <v>Por emprésitos i suministros voluntarios</v>
      </c>
      <c r="B31" s="164"/>
      <c r="C31" s="134"/>
      <c r="D31" s="133"/>
      <c r="E31" s="164"/>
      <c r="F31" s="134"/>
      <c r="G31" s="133"/>
      <c r="H31" s="164"/>
      <c r="I31" s="134"/>
      <c r="J31" s="133"/>
      <c r="K31" s="164"/>
      <c r="L31" s="134"/>
      <c r="M31" s="133"/>
      <c r="N31" s="164"/>
      <c r="O31" s="134"/>
      <c r="P31" s="133"/>
      <c r="Q31" s="164"/>
      <c r="R31" s="134"/>
      <c r="S31" s="133"/>
      <c r="T31" s="164"/>
      <c r="U31" s="134"/>
      <c r="V31" s="133"/>
      <c r="W31" s="164"/>
      <c r="X31" s="134"/>
      <c r="Y31" s="133"/>
      <c r="Z31" s="164"/>
      <c r="AA31" s="134"/>
      <c r="AB31" s="133"/>
      <c r="AC31" s="131"/>
      <c r="AD31" s="134"/>
      <c r="AE31" s="133"/>
      <c r="AF31" s="131"/>
      <c r="AG31" s="134"/>
      <c r="AH31" s="133"/>
      <c r="AI31" s="131"/>
      <c r="AJ31" s="134"/>
      <c r="AK31" s="133"/>
      <c r="AL31" s="106"/>
      <c r="AM31" s="134"/>
      <c r="AN31" s="133"/>
      <c r="AO31" s="106">
        <f>+'1879 Tesoro'!E83</f>
        <v>327895</v>
      </c>
      <c r="AP31" s="134">
        <f>+'1879 Tesoro'!F83</f>
        <v>875</v>
      </c>
      <c r="AQ31" s="133"/>
      <c r="AR31" s="106">
        <f>+'1880 Tesoro'!E107</f>
        <v>145535</v>
      </c>
      <c r="AS31" s="134">
        <f>+'1880 Tesoro'!F107</f>
        <v>550</v>
      </c>
      <c r="AT31" s="133"/>
      <c r="AU31" s="106"/>
      <c r="AV31" s="134"/>
      <c r="AW31" s="133"/>
      <c r="AX31" s="106"/>
      <c r="AY31" s="134"/>
      <c r="AZ31" s="133"/>
      <c r="BA31" s="106"/>
      <c r="BB31" s="134"/>
      <c r="BC31" s="133"/>
      <c r="BD31" s="164"/>
      <c r="BE31" s="134"/>
      <c r="BF31" s="133"/>
      <c r="BG31" s="164"/>
      <c r="BH31" s="134"/>
      <c r="BI31" s="133"/>
      <c r="BJ31" s="164"/>
      <c r="BK31" s="134"/>
      <c r="BL31" s="133"/>
      <c r="BM31" s="164"/>
      <c r="BN31" s="134"/>
      <c r="BO31" s="133"/>
      <c r="BP31" s="164"/>
      <c r="BQ31" s="134"/>
      <c r="BR31" s="133"/>
      <c r="BS31" s="164"/>
      <c r="BT31" s="134"/>
      <c r="BU31" s="133"/>
      <c r="BV31" s="164"/>
      <c r="BW31" s="134"/>
      <c r="BX31" s="133"/>
    </row>
    <row r="32" spans="1:76" ht="28.75" customHeight="1" x14ac:dyDescent="0.2">
      <c r="A32" s="539" t="str">
        <f>+'1880 Tesoro'!A108:D108</f>
        <v>Gastos hechos por algunos responsables del Erario que no han rendido sus cuentas (aproximacion)</v>
      </c>
      <c r="B32" s="164"/>
      <c r="C32" s="134"/>
      <c r="D32" s="133"/>
      <c r="E32" s="164"/>
      <c r="F32" s="134"/>
      <c r="G32" s="133"/>
      <c r="H32" s="164"/>
      <c r="I32" s="134"/>
      <c r="J32" s="133"/>
      <c r="K32" s="164"/>
      <c r="L32" s="134"/>
      <c r="M32" s="133"/>
      <c r="N32" s="164"/>
      <c r="O32" s="134"/>
      <c r="P32" s="133"/>
      <c r="Q32" s="164"/>
      <c r="R32" s="134"/>
      <c r="S32" s="133"/>
      <c r="T32" s="164"/>
      <c r="U32" s="134"/>
      <c r="V32" s="133"/>
      <c r="W32" s="164"/>
      <c r="X32" s="134"/>
      <c r="Y32" s="133"/>
      <c r="Z32" s="164"/>
      <c r="AA32" s="134"/>
      <c r="AB32" s="133"/>
      <c r="AC32" s="131"/>
      <c r="AD32" s="134"/>
      <c r="AE32" s="133"/>
      <c r="AF32" s="131"/>
      <c r="AG32" s="134"/>
      <c r="AH32" s="133"/>
      <c r="AI32" s="131"/>
      <c r="AJ32" s="134"/>
      <c r="AK32" s="133"/>
      <c r="AL32" s="131"/>
      <c r="AM32" s="134"/>
      <c r="AN32" s="133"/>
      <c r="AO32" s="131"/>
      <c r="AP32" s="134"/>
      <c r="AQ32" s="133"/>
      <c r="AR32" s="131">
        <f>+'1880 Tesoro'!E108</f>
        <v>6091</v>
      </c>
      <c r="AS32" s="134">
        <f>+'1880 Tesoro'!F108</f>
        <v>11</v>
      </c>
      <c r="AT32" s="133">
        <f>+'1880 Tesoro'!G108</f>
        <v>0.5</v>
      </c>
      <c r="AU32" s="131"/>
      <c r="AV32" s="134"/>
      <c r="AW32" s="133"/>
      <c r="AX32" s="131"/>
      <c r="AY32" s="134"/>
      <c r="AZ32" s="133"/>
      <c r="BA32" s="131"/>
      <c r="BB32" s="134"/>
      <c r="BC32" s="133"/>
      <c r="BD32" s="164"/>
      <c r="BE32" s="134"/>
      <c r="BF32" s="133"/>
      <c r="BG32" s="164"/>
      <c r="BH32" s="134"/>
      <c r="BI32" s="133"/>
      <c r="BJ32" s="164"/>
      <c r="BK32" s="134"/>
      <c r="BL32" s="133"/>
      <c r="BM32" s="164"/>
      <c r="BN32" s="134"/>
      <c r="BO32" s="133"/>
      <c r="BP32" s="164"/>
      <c r="BQ32" s="134"/>
      <c r="BR32" s="133"/>
      <c r="BS32" s="164"/>
      <c r="BT32" s="134"/>
      <c r="BU32" s="133"/>
      <c r="BV32" s="164"/>
      <c r="BW32" s="134"/>
      <c r="BX32" s="133"/>
    </row>
    <row r="33" spans="1:76" x14ac:dyDescent="0.2">
      <c r="A33" s="539" t="str">
        <f>+'1880 Tesoro'!A164</f>
        <v>Agricultura nacional</v>
      </c>
      <c r="B33" s="164"/>
      <c r="C33" s="134"/>
      <c r="D33" s="133"/>
      <c r="E33" s="164"/>
      <c r="F33" s="134"/>
      <c r="G33" s="133"/>
      <c r="H33" s="164"/>
      <c r="I33" s="134"/>
      <c r="J33" s="133"/>
      <c r="K33" s="164"/>
      <c r="L33" s="134"/>
      <c r="M33" s="133"/>
      <c r="N33" s="164"/>
      <c r="O33" s="134"/>
      <c r="P33" s="133"/>
      <c r="Q33" s="164"/>
      <c r="R33" s="134"/>
      <c r="S33" s="133"/>
      <c r="T33" s="164"/>
      <c r="U33" s="134"/>
      <c r="V33" s="133"/>
      <c r="W33" s="164"/>
      <c r="X33" s="134"/>
      <c r="Y33" s="133"/>
      <c r="Z33" s="164"/>
      <c r="AA33" s="134"/>
      <c r="AB33" s="133"/>
      <c r="AC33" s="131"/>
      <c r="AD33" s="134"/>
      <c r="AE33" s="133"/>
      <c r="AF33" s="131"/>
      <c r="AG33" s="134"/>
      <c r="AH33" s="133"/>
      <c r="AI33" s="131"/>
      <c r="AJ33" s="134"/>
      <c r="AK33" s="133"/>
      <c r="AL33" s="131"/>
      <c r="AM33" s="134"/>
      <c r="AN33" s="133"/>
      <c r="AO33" s="131"/>
      <c r="AP33" s="134"/>
      <c r="AQ33" s="133"/>
      <c r="AR33" s="131"/>
      <c r="AS33" s="134"/>
      <c r="AT33" s="133"/>
      <c r="AU33" s="131">
        <f>+'1880 Tesoro'!B164</f>
        <v>9018</v>
      </c>
      <c r="AV33" s="134">
        <f>+'1880 Tesoro'!C164</f>
        <v>800</v>
      </c>
      <c r="AW33" s="133"/>
      <c r="AX33" s="131">
        <f>+'1882 Tesoro'!B74</f>
        <v>27632</v>
      </c>
      <c r="AY33" s="134">
        <f>+'1882 Tesoro'!C74</f>
        <v>850</v>
      </c>
      <c r="AZ33" s="133"/>
      <c r="BA33" s="131">
        <f>+'1882 Tesoro'!B158</f>
        <v>49689</v>
      </c>
      <c r="BB33" s="134">
        <f>+'1882 Tesoro'!C158</f>
        <v>0</v>
      </c>
      <c r="BC33" s="133"/>
      <c r="BD33" s="164"/>
      <c r="BE33" s="134"/>
      <c r="BF33" s="133"/>
      <c r="BG33" s="164"/>
      <c r="BH33" s="134"/>
      <c r="BI33" s="133"/>
      <c r="BJ33" s="164"/>
      <c r="BK33" s="134"/>
      <c r="BL33" s="133"/>
      <c r="BM33" s="164"/>
      <c r="BN33" s="134"/>
      <c r="BO33" s="133"/>
      <c r="BP33" s="164"/>
      <c r="BQ33" s="134"/>
      <c r="BR33" s="133"/>
      <c r="BS33" s="164"/>
      <c r="BT33" s="134"/>
      <c r="BU33" s="133"/>
      <c r="BV33" s="164"/>
      <c r="BW33" s="134"/>
      <c r="BX33" s="133"/>
    </row>
    <row r="34" spans="1:76" x14ac:dyDescent="0.2">
      <c r="A34" s="539" t="s">
        <v>6008</v>
      </c>
      <c r="B34" s="164"/>
      <c r="C34" s="134"/>
      <c r="D34" s="133"/>
      <c r="E34" s="164"/>
      <c r="F34" s="134"/>
      <c r="G34" s="133"/>
      <c r="H34" s="164"/>
      <c r="I34" s="134"/>
      <c r="J34" s="133"/>
      <c r="K34" s="164"/>
      <c r="L34" s="134"/>
      <c r="M34" s="133"/>
      <c r="N34" s="164"/>
      <c r="O34" s="134"/>
      <c r="P34" s="133"/>
      <c r="Q34" s="164"/>
      <c r="R34" s="134"/>
      <c r="S34" s="133"/>
      <c r="T34" s="164"/>
      <c r="U34" s="134"/>
      <c r="V34" s="133"/>
      <c r="W34" s="164"/>
      <c r="X34" s="134"/>
      <c r="Y34" s="133"/>
      <c r="Z34" s="164"/>
      <c r="AA34" s="134"/>
      <c r="AB34" s="133"/>
      <c r="AC34" s="131"/>
      <c r="AD34" s="134"/>
      <c r="AE34" s="133"/>
      <c r="AF34" s="131"/>
      <c r="AG34" s="134"/>
      <c r="AH34" s="133"/>
      <c r="AI34" s="131"/>
      <c r="AJ34" s="134"/>
      <c r="AK34" s="133"/>
      <c r="AL34" s="131"/>
      <c r="AM34" s="134"/>
      <c r="AN34" s="133"/>
      <c r="AO34" s="131"/>
      <c r="AP34" s="134"/>
      <c r="AQ34" s="133"/>
      <c r="AR34" s="131"/>
      <c r="AS34" s="134"/>
      <c r="AT34" s="133"/>
      <c r="AU34" s="131"/>
      <c r="AV34" s="134"/>
      <c r="AW34" s="133"/>
      <c r="AX34" s="131">
        <f>+'1882 Tesoro'!E78</f>
        <v>900107</v>
      </c>
      <c r="AY34" s="134">
        <f>+'1882 Tesoro'!F78</f>
        <v>523</v>
      </c>
      <c r="AZ34" s="133"/>
      <c r="BA34" s="131">
        <f>+'1882 Tesoro'!E162</f>
        <v>1069611</v>
      </c>
      <c r="BB34" s="134">
        <f>+'1882 Tesoro'!F162</f>
        <v>664</v>
      </c>
      <c r="BC34" s="133"/>
      <c r="BD34" s="164"/>
      <c r="BE34" s="134"/>
      <c r="BF34" s="133"/>
      <c r="BG34" s="164"/>
      <c r="BH34" s="134"/>
      <c r="BI34" s="133"/>
      <c r="BJ34" s="164"/>
      <c r="BK34" s="134"/>
      <c r="BL34" s="133"/>
      <c r="BM34" s="164"/>
      <c r="BN34" s="134"/>
      <c r="BO34" s="133"/>
      <c r="BP34" s="164"/>
      <c r="BQ34" s="134"/>
      <c r="BR34" s="133"/>
      <c r="BS34" s="164"/>
      <c r="BT34" s="134"/>
      <c r="BU34" s="133"/>
      <c r="BV34" s="164"/>
      <c r="BW34" s="134"/>
      <c r="BX34" s="133"/>
    </row>
    <row r="35" spans="1:76" ht="30" x14ac:dyDescent="0.2">
      <c r="A35" s="539" t="s">
        <v>6009</v>
      </c>
      <c r="B35" s="164"/>
      <c r="C35" s="134"/>
      <c r="D35" s="133"/>
      <c r="E35" s="164"/>
      <c r="F35" s="134"/>
      <c r="G35" s="133"/>
      <c r="H35" s="164"/>
      <c r="I35" s="134"/>
      <c r="J35" s="133"/>
      <c r="K35" s="164"/>
      <c r="L35" s="134"/>
      <c r="M35" s="133"/>
      <c r="N35" s="164"/>
      <c r="O35" s="134"/>
      <c r="P35" s="133"/>
      <c r="Q35" s="164"/>
      <c r="R35" s="134"/>
      <c r="S35" s="133"/>
      <c r="T35" s="164"/>
      <c r="U35" s="134"/>
      <c r="V35" s="133"/>
      <c r="W35" s="164"/>
      <c r="X35" s="134"/>
      <c r="Y35" s="133"/>
      <c r="Z35" s="164"/>
      <c r="AA35" s="134"/>
      <c r="AB35" s="133"/>
      <c r="AC35" s="131"/>
      <c r="AD35" s="134"/>
      <c r="AE35" s="133"/>
      <c r="AF35" s="131"/>
      <c r="AG35" s="134"/>
      <c r="AH35" s="133"/>
      <c r="AI35" s="131"/>
      <c r="AJ35" s="134"/>
      <c r="AK35" s="133"/>
      <c r="AL35" s="131"/>
      <c r="AM35" s="134"/>
      <c r="AN35" s="133"/>
      <c r="AO35" s="131"/>
      <c r="AP35" s="134"/>
      <c r="AQ35" s="133"/>
      <c r="AR35" s="131"/>
      <c r="AS35" s="134"/>
      <c r="AT35" s="133"/>
      <c r="AU35" s="131"/>
      <c r="AV35" s="134"/>
      <c r="AW35" s="133"/>
      <c r="AX35" s="131">
        <f>+'1882 Tesoro'!E106</f>
        <v>6073838</v>
      </c>
      <c r="AY35" s="134">
        <f>+'1882 Tesoro'!F106</f>
        <v>2173</v>
      </c>
      <c r="AZ35" s="133">
        <f>+'1882 Tesoro'!G106</f>
        <v>0.5</v>
      </c>
      <c r="BA35" s="131">
        <f>+'1882 Tesoro'!E193</f>
        <v>11157775</v>
      </c>
      <c r="BB35" s="134">
        <f>+'1882 Tesoro'!F193</f>
        <v>2998</v>
      </c>
      <c r="BC35" s="133"/>
      <c r="BD35" s="164"/>
      <c r="BE35" s="134"/>
      <c r="BF35" s="133"/>
      <c r="BG35" s="164"/>
      <c r="BH35" s="134"/>
      <c r="BI35" s="133"/>
      <c r="BJ35" s="164"/>
      <c r="BK35" s="134"/>
      <c r="BL35" s="133"/>
      <c r="BM35" s="164"/>
      <c r="BN35" s="134"/>
      <c r="BO35" s="133"/>
      <c r="BP35" s="164"/>
      <c r="BQ35" s="134"/>
      <c r="BR35" s="133"/>
      <c r="BS35" s="164"/>
      <c r="BT35" s="134"/>
      <c r="BU35" s="133"/>
      <c r="BV35" s="164"/>
      <c r="BW35" s="134"/>
      <c r="BX35" s="133"/>
    </row>
    <row r="36" spans="1:76" s="1731" customFormat="1" x14ac:dyDescent="0.2">
      <c r="A36" s="1739" t="s">
        <v>6010</v>
      </c>
      <c r="B36" s="1728">
        <f>+'1870 Tesoro'!D631</f>
        <v>1323534</v>
      </c>
      <c r="C36" s="1740">
        <f>+'1870 Tesoro'!E631</f>
        <v>525</v>
      </c>
      <c r="D36" s="1730">
        <f>+'1870 Tesoro'!F631</f>
        <v>0.5</v>
      </c>
      <c r="E36" s="1728">
        <f>+'1870 Tesoro'!G658</f>
        <v>1273405</v>
      </c>
      <c r="F36" s="1740">
        <f>+'1870 Tesoro'!H658</f>
        <v>219</v>
      </c>
      <c r="G36" s="1730">
        <f>+'1870 Tesoro'!I658</f>
        <v>0.5</v>
      </c>
      <c r="H36" s="1728">
        <f>+'1870 Tesoro'!D686</f>
        <v>1303521</v>
      </c>
      <c r="I36" s="1740">
        <f>+'1870 Tesoro'!E686</f>
        <v>57</v>
      </c>
      <c r="J36" s="1730">
        <f>+'1870 Tesoro'!F686</f>
        <v>0.5</v>
      </c>
      <c r="K36" s="1728">
        <f>+'1870 Tesoro'!H715</f>
        <v>1655941</v>
      </c>
      <c r="L36" s="1740">
        <f>+'1870 Tesoro'!I715</f>
        <v>817</v>
      </c>
      <c r="M36" s="1730">
        <f>+'1870 Tesoro'!J715</f>
        <v>0.5</v>
      </c>
      <c r="N36" s="1728"/>
      <c r="O36" s="1740"/>
      <c r="P36" s="1730"/>
      <c r="Q36" s="1728">
        <f>+'1870 Tesoro'!E108</f>
        <v>4247334</v>
      </c>
      <c r="R36" s="1740">
        <f>+'1870 Tesoro'!F108</f>
        <v>74</v>
      </c>
      <c r="S36" s="1730">
        <f>+'1870 Tesoro'!G108</f>
        <v>0.5</v>
      </c>
      <c r="T36" s="1728"/>
      <c r="U36" s="1740"/>
      <c r="V36" s="1730"/>
      <c r="W36" s="1728"/>
      <c r="X36" s="1740"/>
      <c r="Y36" s="1730"/>
      <c r="Z36" s="1728"/>
      <c r="AA36" s="1740"/>
      <c r="AB36" s="1730"/>
      <c r="AC36" s="1728">
        <f>+'1875 Tesoro'!B20</f>
        <v>3523971</v>
      </c>
      <c r="AD36" s="1740">
        <f>+'1875 Tesoro'!C20</f>
        <v>13</v>
      </c>
      <c r="AE36" s="1730">
        <f>+'1875 Tesoro'!D20</f>
        <v>0.5</v>
      </c>
      <c r="AF36" s="1728">
        <f>+'1875 Tesoro'!B43</f>
        <v>3728933</v>
      </c>
      <c r="AG36" s="1740">
        <f>+'1875 Tesoro'!C43</f>
        <v>80</v>
      </c>
      <c r="AH36" s="1730">
        <f>+'1875 Tesoro'!D43</f>
        <v>0.5</v>
      </c>
      <c r="AI36" s="1728">
        <f>+'1877 Tesoro'!E70</f>
        <v>3873220</v>
      </c>
      <c r="AJ36" s="1740">
        <f>+'1877 Tesoro'!F70</f>
        <v>617</v>
      </c>
      <c r="AK36" s="1730"/>
      <c r="AL36" s="1728">
        <f>+'1878 Tesoro'!E65</f>
        <v>3003775</v>
      </c>
      <c r="AM36" s="1740"/>
      <c r="AN36" s="1730"/>
      <c r="AO36" s="1728">
        <f>+'1879 Tesoro'!E84</f>
        <v>5441938</v>
      </c>
      <c r="AP36" s="1740">
        <f>+'1879 Tesoro'!F84</f>
        <v>788</v>
      </c>
      <c r="AQ36" s="1730"/>
      <c r="AR36" s="1728">
        <f>+'1880 Tesoro'!E109</f>
        <v>6745479</v>
      </c>
      <c r="AS36" s="1740">
        <f>+'1880 Tesoro'!F109</f>
        <v>470</v>
      </c>
      <c r="AT36" s="1730"/>
      <c r="AU36" s="1728">
        <f>+'1880 Tesoro'!E173</f>
        <v>6473547</v>
      </c>
      <c r="AV36" s="1740">
        <f>+'1880 Tesoro'!F173</f>
        <v>813</v>
      </c>
      <c r="AW36" s="1730">
        <f>+'1880 Tesoro'!G173</f>
        <v>0.5</v>
      </c>
      <c r="AX36" s="1728">
        <f>+'1882 Tesoro'!E107</f>
        <v>11222217</v>
      </c>
      <c r="AY36" s="1740">
        <f>+'1882 Tesoro'!F107</f>
        <v>204</v>
      </c>
      <c r="AZ36" s="1730"/>
      <c r="BA36" s="1728">
        <f>+'1882 Tesoro'!E194</f>
        <v>16987971</v>
      </c>
      <c r="BB36" s="1740">
        <f>+'1882 Tesoro'!F194</f>
        <v>927</v>
      </c>
      <c r="BC36" s="1730"/>
      <c r="BD36" s="1728"/>
      <c r="BE36" s="1740"/>
      <c r="BF36" s="1730"/>
      <c r="BG36" s="1728"/>
      <c r="BH36" s="1740"/>
      <c r="BI36" s="1730"/>
      <c r="BJ36" s="1728"/>
      <c r="BK36" s="1740"/>
      <c r="BL36" s="1730"/>
      <c r="BM36" s="1728"/>
      <c r="BN36" s="1740"/>
      <c r="BO36" s="1730"/>
      <c r="BP36" s="1728"/>
      <c r="BQ36" s="1740"/>
      <c r="BR36" s="1730"/>
      <c r="BS36" s="1728"/>
      <c r="BT36" s="1740"/>
      <c r="BU36" s="1730"/>
      <c r="BV36" s="1728"/>
      <c r="BW36" s="1740"/>
      <c r="BX36" s="1730"/>
    </row>
    <row r="37" spans="1:76" s="1732" customFormat="1" x14ac:dyDescent="0.2">
      <c r="B37" s="393">
        <f>+SUM(B2:B34)</f>
        <v>1323529</v>
      </c>
      <c r="C37" s="393">
        <f t="shared" ref="C37:M37" si="0">+SUM(C2:C34)</f>
        <v>5525</v>
      </c>
      <c r="D37" s="1078">
        <f t="shared" si="0"/>
        <v>0.5</v>
      </c>
      <c r="E37" s="393">
        <f>+SUM(E2:E34)</f>
        <v>1273402</v>
      </c>
      <c r="F37" s="393">
        <f t="shared" si="0"/>
        <v>3219</v>
      </c>
      <c r="G37" s="1078">
        <f t="shared" si="0"/>
        <v>0.5</v>
      </c>
      <c r="H37" s="393">
        <f>+SUM(H2:H34)</f>
        <v>1303516</v>
      </c>
      <c r="I37" s="393">
        <f t="shared" si="0"/>
        <v>5057</v>
      </c>
      <c r="J37" s="1078">
        <f t="shared" si="0"/>
        <v>0.5</v>
      </c>
      <c r="K37" s="393">
        <f>+SUM(K2:K34)</f>
        <v>1655936</v>
      </c>
      <c r="L37" s="393">
        <f t="shared" si="0"/>
        <v>5817</v>
      </c>
      <c r="M37" s="1078">
        <f t="shared" si="0"/>
        <v>0.5</v>
      </c>
      <c r="N37" s="393"/>
      <c r="O37" s="393"/>
      <c r="P37" s="1078"/>
      <c r="Q37" s="393">
        <f>+SUM(Q2:Q17)</f>
        <v>4247329</v>
      </c>
      <c r="R37" s="393">
        <f t="shared" ref="R37:S37" si="1">+SUM(R2:R17)</f>
        <v>574</v>
      </c>
      <c r="S37" s="1078">
        <f t="shared" si="1"/>
        <v>0.5</v>
      </c>
      <c r="T37" s="393"/>
      <c r="U37" s="393"/>
      <c r="V37" s="1078"/>
      <c r="W37" s="393"/>
      <c r="X37" s="393"/>
      <c r="Y37" s="1078"/>
      <c r="Z37" s="393"/>
      <c r="AA37" s="393"/>
      <c r="AB37" s="1078"/>
      <c r="AC37" s="393">
        <f>+SUM(AC2:AC17)-AC18</f>
        <v>3523964</v>
      </c>
      <c r="AD37" s="393">
        <f t="shared" ref="AD37:AE37" si="2">+SUM(AD2:AD17)-AD18</f>
        <v>711</v>
      </c>
      <c r="AE37" s="1078">
        <f t="shared" si="2"/>
        <v>2.5</v>
      </c>
      <c r="AF37" s="393">
        <f>+SUM(AF2:AF34)</f>
        <v>3728926</v>
      </c>
      <c r="AG37" s="393">
        <f t="shared" ref="AG37:AH37" si="3">+SUM(AG2:AG34)</f>
        <v>777</v>
      </c>
      <c r="AH37" s="1078">
        <f t="shared" si="3"/>
        <v>3.5</v>
      </c>
      <c r="AI37" s="393">
        <f>+SUM(AI2:AI34)</f>
        <v>3873213</v>
      </c>
      <c r="AJ37" s="393">
        <f>+SUM(AJ2:AJ34)</f>
        <v>7617</v>
      </c>
      <c r="AK37" s="1078"/>
      <c r="AL37" s="393">
        <f>+SUM(AL2:AL34)</f>
        <v>3003768</v>
      </c>
      <c r="AM37" s="393">
        <f>+SUM(AM2:AM34)</f>
        <v>7000</v>
      </c>
      <c r="AN37" s="1078"/>
      <c r="AO37" s="1137">
        <f>+SUM(AO2:AO31)</f>
        <v>5451059</v>
      </c>
      <c r="AP37" s="1137">
        <f>+SUM(AP2:AP31)</f>
        <v>9788</v>
      </c>
      <c r="AQ37" s="1078"/>
      <c r="AR37" s="1472">
        <f>+SUM(AR2:AR18)-AR20+SUM(AR22:AR32)</f>
        <v>6745651</v>
      </c>
      <c r="AS37" s="1472">
        <f t="shared" ref="AS37:AT37" si="4">+SUM(AS2:AS18)-AS20+SUM(AS22:AS32)</f>
        <v>8469</v>
      </c>
      <c r="AT37" s="1078">
        <f t="shared" si="4"/>
        <v>1</v>
      </c>
      <c r="AU37" s="1472">
        <f>+SUM(AU2:AU34)</f>
        <v>6473540</v>
      </c>
      <c r="AV37" s="1472">
        <f t="shared" ref="AV37:AW37" si="5">+SUM(AV2:AV34)</f>
        <v>7813</v>
      </c>
      <c r="AW37" s="1078">
        <f t="shared" si="5"/>
        <v>0.5</v>
      </c>
      <c r="AX37" s="1472">
        <f>+SUM(AX2:AX35)</f>
        <v>11222206</v>
      </c>
      <c r="AY37" s="1472">
        <f t="shared" ref="AY37:BB37" si="6">+SUM(AY2:AY35)</f>
        <v>11203</v>
      </c>
      <c r="AZ37" s="1078">
        <f t="shared" si="6"/>
        <v>1</v>
      </c>
      <c r="BA37" s="1472">
        <f>+SUM(BA2:BA35)</f>
        <v>16987962</v>
      </c>
      <c r="BB37" s="1472">
        <f t="shared" si="6"/>
        <v>9927</v>
      </c>
      <c r="BC37" s="1078"/>
      <c r="BD37" s="393"/>
      <c r="BE37" s="393"/>
      <c r="BF37" s="1078"/>
      <c r="BG37" s="393"/>
      <c r="BH37" s="393"/>
      <c r="BI37" s="1078"/>
      <c r="BJ37" s="393"/>
      <c r="BK37" s="393"/>
      <c r="BL37" s="1078"/>
      <c r="BM37" s="393"/>
      <c r="BN37" s="393"/>
      <c r="BO37" s="1078"/>
      <c r="BP37" s="393"/>
      <c r="BQ37" s="393"/>
      <c r="BR37" s="1078"/>
      <c r="BS37" s="393"/>
      <c r="BT37" s="393"/>
      <c r="BU37" s="1078"/>
      <c r="BV37" s="393"/>
      <c r="BW37" s="393"/>
      <c r="BX37" s="1078"/>
    </row>
  </sheetData>
  <mergeCells count="25">
    <mergeCell ref="BV1:BX1"/>
    <mergeCell ref="BD1:BF1"/>
    <mergeCell ref="BG1:BI1"/>
    <mergeCell ref="BJ1:BL1"/>
    <mergeCell ref="BM1:BO1"/>
    <mergeCell ref="BP1:BR1"/>
    <mergeCell ref="BS1:BU1"/>
    <mergeCell ref="AL1:AN1"/>
    <mergeCell ref="AO1:AQ1"/>
    <mergeCell ref="AR1:AT1"/>
    <mergeCell ref="AU1:AW1"/>
    <mergeCell ref="AX1:AZ1"/>
    <mergeCell ref="BA1:BC1"/>
    <mergeCell ref="T1:V1"/>
    <mergeCell ref="W1:Y1"/>
    <mergeCell ref="Z1:AB1"/>
    <mergeCell ref="AC1:AE1"/>
    <mergeCell ref="AF1:AH1"/>
    <mergeCell ref="AI1:AK1"/>
    <mergeCell ref="B1:D1"/>
    <mergeCell ref="E1:G1"/>
    <mergeCell ref="H1:J1"/>
    <mergeCell ref="K1:M1"/>
    <mergeCell ref="N1:P1"/>
    <mergeCell ref="Q1:S1"/>
  </mergeCells>
  <pageMargins left="0.7" right="0.7" top="0.75" bottom="0.75" header="0.3" footer="0.3"/>
  <legacyDrawing r:id="rId1"/>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5" tint="0.39997558519241921"/>
  </sheetPr>
  <dimension ref="A1:HU131"/>
  <sheetViews>
    <sheetView workbookViewId="0">
      <pane xSplit="1" topLeftCell="HA1" activePane="topRight" state="frozenSplit"/>
      <selection activeCell="B1" sqref="B1"/>
      <selection pane="topRight" activeCell="B1" sqref="B1"/>
    </sheetView>
  </sheetViews>
  <sheetFormatPr baseColWidth="10" defaultRowHeight="15" x14ac:dyDescent="0.2"/>
  <cols>
    <col min="1" max="1" width="44.1640625" style="106" customWidth="1"/>
    <col min="2" max="2" width="10.83203125" style="106"/>
    <col min="3" max="3" width="5.83203125" style="106" customWidth="1"/>
    <col min="4" max="4" width="5.33203125" style="106" customWidth="1"/>
    <col min="5" max="5" width="10.83203125" style="106"/>
    <col min="6" max="6" width="5.83203125" style="106" customWidth="1"/>
    <col min="7" max="7" width="5.33203125" style="106" customWidth="1"/>
    <col min="8" max="8" width="10.83203125" style="106"/>
    <col min="9" max="9" width="5.83203125" style="106" customWidth="1"/>
    <col min="10" max="10" width="5.33203125" style="106" customWidth="1"/>
    <col min="11" max="11" width="10.83203125" style="106"/>
    <col min="12" max="12" width="5.83203125" style="106" customWidth="1"/>
    <col min="13" max="13" width="5.33203125" style="106" customWidth="1"/>
    <col min="14" max="14" width="10.83203125" style="106"/>
    <col min="15" max="15" width="5.83203125" style="106" customWidth="1"/>
    <col min="16" max="16" width="5.33203125" style="106" customWidth="1"/>
    <col min="17" max="17" width="10.83203125" style="106"/>
    <col min="18" max="18" width="5.83203125" style="106" customWidth="1"/>
    <col min="19" max="19" width="5.33203125" style="106" customWidth="1"/>
    <col min="20" max="20" width="10.83203125" style="106"/>
    <col min="21" max="21" width="5.83203125" style="106" customWidth="1"/>
    <col min="22" max="22" width="5.33203125" style="106" customWidth="1"/>
    <col min="23" max="23" width="10.83203125" style="106"/>
    <col min="24" max="24" width="5.83203125" style="106" customWidth="1"/>
    <col min="25" max="25" width="5.33203125" style="106" customWidth="1"/>
    <col min="26" max="26" width="10.83203125" style="106"/>
    <col min="27" max="27" width="5.83203125" style="106" customWidth="1"/>
    <col min="28" max="28" width="5.33203125" style="106" customWidth="1"/>
    <col min="29" max="29" width="10.83203125" style="106"/>
    <col min="30" max="30" width="5.83203125" style="106" customWidth="1"/>
    <col min="31" max="31" width="5.33203125" style="106" customWidth="1"/>
    <col min="32" max="32" width="10.83203125" style="106"/>
    <col min="33" max="33" width="5.83203125" style="106" customWidth="1"/>
    <col min="34" max="34" width="5.33203125" style="106" customWidth="1"/>
    <col min="35" max="35" width="10.83203125" style="106"/>
    <col min="36" max="36" width="5.83203125" style="106" customWidth="1"/>
    <col min="37" max="37" width="5.33203125" style="106" customWidth="1"/>
    <col min="38" max="38" width="10.83203125" style="106"/>
    <col min="39" max="39" width="5.83203125" style="106" customWidth="1"/>
    <col min="40" max="40" width="5.33203125" style="106" customWidth="1"/>
    <col min="41" max="41" width="10.83203125" style="106"/>
    <col min="42" max="42" width="5.83203125" style="106" customWidth="1"/>
    <col min="43" max="43" width="5.33203125" style="106" customWidth="1"/>
    <col min="44" max="44" width="10.83203125" style="106"/>
    <col min="45" max="45" width="5.83203125" style="106" customWidth="1"/>
    <col min="46" max="46" width="5.33203125" style="106" customWidth="1"/>
    <col min="47" max="47" width="10.83203125" style="106"/>
    <col min="48" max="48" width="5.83203125" style="106" customWidth="1"/>
    <col min="49" max="49" width="10.83203125" style="106"/>
    <col min="50" max="50" width="6.5" style="106" customWidth="1"/>
    <col min="51" max="51" width="10.83203125" style="106"/>
    <col min="52" max="52" width="7.83203125" style="106" customWidth="1"/>
    <col min="53" max="53" width="10.83203125" style="106"/>
    <col min="54" max="54" width="5.83203125" style="106" customWidth="1"/>
    <col min="55" max="55" width="10.83203125" style="106"/>
    <col min="56" max="56" width="6.6640625" style="106" customWidth="1"/>
    <col min="57" max="57" width="10.83203125" style="106"/>
    <col min="58" max="58" width="5.83203125" style="106" customWidth="1"/>
    <col min="59" max="59" width="10.83203125" style="106"/>
    <col min="60" max="60" width="5.83203125" style="106" customWidth="1"/>
    <col min="61" max="61" width="11.6640625" style="106" bestFit="1" customWidth="1"/>
    <col min="62" max="62" width="5.83203125" style="106" customWidth="1"/>
    <col min="63" max="63" width="10.83203125" style="106"/>
    <col min="64" max="64" width="5.83203125" style="106" customWidth="1"/>
    <col min="65" max="65" width="10.83203125" style="106"/>
    <col min="66" max="66" width="5.83203125" style="106" customWidth="1"/>
    <col min="67" max="67" width="10.83203125" style="106"/>
    <col min="68" max="68" width="5.83203125" style="106" customWidth="1"/>
    <col min="69" max="69" width="10.83203125" style="106"/>
    <col min="70" max="70" width="5.83203125" style="106" customWidth="1"/>
    <col min="71" max="71" width="5.33203125" style="106" customWidth="1"/>
    <col min="72" max="72" width="10.83203125" style="106"/>
    <col min="73" max="73" width="5.83203125" style="106" customWidth="1"/>
    <col min="74" max="74" width="10.83203125" style="106"/>
    <col min="75" max="75" width="5.83203125" style="106" customWidth="1"/>
    <col min="76" max="76" width="10.83203125" style="106"/>
    <col min="77" max="77" width="5.83203125" style="106" customWidth="1"/>
    <col min="78" max="78" width="10.83203125" style="106"/>
    <col min="79" max="79" width="5.83203125" style="106" customWidth="1"/>
    <col min="80" max="80" width="5.33203125" style="106" customWidth="1"/>
    <col min="81" max="81" width="10.83203125" style="106"/>
    <col min="82" max="82" width="5.83203125" style="106" customWidth="1"/>
    <col min="83" max="83" width="5.33203125" style="106" customWidth="1"/>
    <col min="84" max="84" width="10.83203125" style="106"/>
    <col min="85" max="85" width="5.83203125" style="106" customWidth="1"/>
    <col min="86" max="86" width="5.33203125" style="106" customWidth="1"/>
    <col min="87" max="87" width="10.83203125" style="106"/>
    <col min="88" max="88" width="5.83203125" style="106" customWidth="1"/>
    <col min="89" max="89" width="5.33203125" style="106" customWidth="1"/>
    <col min="90" max="90" width="10.83203125" style="106"/>
    <col min="91" max="91" width="5.83203125" style="106" customWidth="1"/>
    <col min="92" max="92" width="5.33203125" style="106" customWidth="1"/>
    <col min="93" max="93" width="10.83203125" style="106"/>
    <col min="94" max="94" width="5.83203125" style="106" customWidth="1"/>
    <col min="95" max="95" width="5.33203125" style="106" customWidth="1"/>
    <col min="96" max="96" width="10.83203125" style="106"/>
    <col min="97" max="97" width="5.83203125" style="106" customWidth="1"/>
    <col min="98" max="98" width="5.33203125" style="106" customWidth="1"/>
    <col min="99" max="99" width="10.83203125" style="106"/>
    <col min="100" max="100" width="5.83203125" style="106" customWidth="1"/>
    <col min="101" max="101" width="5.33203125" style="106" customWidth="1"/>
    <col min="102" max="102" width="10.83203125" style="106"/>
    <col min="103" max="103" width="5.83203125" style="106" customWidth="1"/>
    <col min="104" max="104" width="5.33203125" style="106" customWidth="1"/>
    <col min="105" max="105" width="10.83203125" style="143"/>
    <col min="106" max="107" width="6.5" style="143" customWidth="1"/>
    <col min="108" max="108" width="10.83203125" style="143"/>
    <col min="109" max="110" width="6.5" style="143" customWidth="1"/>
    <col min="111" max="111" width="10.83203125" style="143"/>
    <col min="112" max="113" width="6.5" style="143" customWidth="1"/>
    <col min="114" max="114" width="10.83203125" style="143"/>
    <col min="115" max="116" width="6.5" style="143" customWidth="1"/>
    <col min="117" max="117" width="10.83203125" style="143"/>
    <col min="118" max="119" width="6.5" style="143" customWidth="1"/>
    <col min="120" max="120" width="10.83203125" style="143"/>
    <col min="121" max="122" width="6.5" style="143" customWidth="1"/>
    <col min="123" max="123" width="10.83203125" style="143"/>
    <col min="124" max="125" width="6.5" style="143" customWidth="1"/>
    <col min="126" max="126" width="10.83203125" style="143"/>
    <col min="127" max="128" width="6.5" style="143" customWidth="1"/>
    <col min="129" max="129" width="10.83203125" style="143"/>
    <col min="130" max="131" width="6.5" style="143" customWidth="1"/>
    <col min="132" max="132" width="10.83203125" style="143"/>
    <col min="133" max="134" width="6.5" style="143" customWidth="1"/>
    <col min="135" max="135" width="10.83203125" style="143"/>
    <col min="136" max="137" width="6.5" style="143" customWidth="1"/>
    <col min="138" max="138" width="10.83203125" style="143"/>
    <col min="139" max="140" width="6.5" style="143" customWidth="1"/>
    <col min="141" max="141" width="10.83203125" style="106"/>
    <col min="142" max="142" width="5.5" style="106" customWidth="1"/>
    <col min="143" max="143" width="5.83203125" style="106" customWidth="1"/>
    <col min="144" max="144" width="10.83203125" style="106"/>
    <col min="145" max="145" width="5.5" style="106" customWidth="1"/>
    <col min="146" max="146" width="5.83203125" style="106" customWidth="1"/>
    <col min="147" max="147" width="10.83203125" style="106"/>
    <col min="148" max="148" width="5.5" style="106" customWidth="1"/>
    <col min="149" max="149" width="5.83203125" style="106" customWidth="1"/>
    <col min="150" max="150" width="10.83203125" style="106"/>
    <col min="151" max="151" width="5.5" style="106" customWidth="1"/>
    <col min="152" max="152" width="5.83203125" style="106" customWidth="1"/>
    <col min="153" max="153" width="10.83203125" style="106"/>
    <col min="154" max="154" width="5.5" style="106" customWidth="1"/>
    <col min="155" max="155" width="5.83203125" style="106" customWidth="1"/>
    <col min="156" max="156" width="10.83203125" style="106"/>
    <col min="157" max="157" width="5.5" style="106" customWidth="1"/>
    <col min="158" max="158" width="5.83203125" style="106" customWidth="1"/>
    <col min="159" max="159" width="10.83203125" style="106"/>
    <col min="160" max="160" width="5.5" style="106" customWidth="1"/>
    <col min="161" max="161" width="5.83203125" style="106" customWidth="1"/>
    <col min="162" max="162" width="10.83203125" style="106"/>
    <col min="163" max="163" width="5.5" style="106" customWidth="1"/>
    <col min="164" max="164" width="5.83203125" style="106" customWidth="1"/>
    <col min="165" max="165" width="10.83203125" style="106"/>
    <col min="166" max="166" width="5.5" style="106" customWidth="1"/>
    <col min="167" max="167" width="5.83203125" style="106" customWidth="1"/>
    <col min="168" max="168" width="10.83203125" style="106"/>
    <col min="169" max="169" width="5.5" style="106" customWidth="1"/>
    <col min="170" max="170" width="5.83203125" style="106" customWidth="1"/>
    <col min="171" max="171" width="10.83203125" style="106"/>
    <col min="172" max="172" width="5.5" style="106" customWidth="1"/>
    <col min="173" max="173" width="5.83203125" style="106" customWidth="1"/>
    <col min="174" max="174" width="10.83203125" style="106"/>
    <col min="175" max="175" width="5.5" style="106" customWidth="1"/>
    <col min="176" max="176" width="5.83203125" style="106" customWidth="1"/>
    <col min="177" max="177" width="10.83203125" style="106"/>
    <col min="178" max="178" width="5.5" style="106" customWidth="1"/>
    <col min="179" max="179" width="5.83203125" style="106" customWidth="1"/>
    <col min="180" max="180" width="10.83203125" style="106"/>
    <col min="181" max="181" width="5.5" style="106" customWidth="1"/>
    <col min="182" max="182" width="5.83203125" style="106" customWidth="1"/>
    <col min="183" max="183" width="10.83203125" style="106"/>
    <col min="184" max="184" width="5.5" style="106" customWidth="1"/>
    <col min="185" max="185" width="5.83203125" style="106" customWidth="1"/>
    <col min="186" max="186" width="10.83203125" style="106"/>
    <col min="187" max="187" width="5.5" style="106" customWidth="1"/>
    <col min="188" max="188" width="5.83203125" style="106" customWidth="1"/>
    <col min="189" max="189" width="10.83203125" style="106"/>
    <col min="190" max="190" width="5.5" style="106" customWidth="1"/>
    <col min="191" max="191" width="5.83203125" style="106" customWidth="1"/>
    <col min="192" max="192" width="10.83203125" style="106"/>
    <col min="193" max="193" width="5.5" style="106" customWidth="1"/>
    <col min="194" max="194" width="5.83203125" style="106" customWidth="1"/>
    <col min="195" max="195" width="10.83203125" style="106"/>
    <col min="196" max="196" width="5.5" style="106" customWidth="1"/>
    <col min="197" max="197" width="5.83203125" style="106" customWidth="1"/>
    <col min="198" max="198" width="10.83203125" style="106"/>
    <col min="199" max="199" width="5.5" style="106" customWidth="1"/>
    <col min="200" max="200" width="5.83203125" style="106" customWidth="1"/>
    <col min="201" max="201" width="10.83203125" style="106"/>
    <col min="202" max="202" width="5.5" style="106" customWidth="1"/>
    <col min="203" max="203" width="5.83203125" style="106" customWidth="1"/>
    <col min="204" max="204" width="10.83203125" style="106"/>
    <col min="205" max="205" width="5.5" style="106" customWidth="1"/>
    <col min="206" max="206" width="5.83203125" style="106" customWidth="1"/>
    <col min="207" max="207" width="10.83203125" style="106"/>
    <col min="208" max="208" width="5.5" style="106" customWidth="1"/>
    <col min="209" max="209" width="6.5" style="106" customWidth="1"/>
    <col min="210" max="210" width="10.83203125" style="106"/>
    <col min="211" max="211" width="5.83203125" style="106" customWidth="1"/>
    <col min="212" max="212" width="11.33203125" style="106" customWidth="1"/>
    <col min="213" max="213" width="5.83203125" style="106" customWidth="1"/>
    <col min="214" max="214" width="12" style="106" customWidth="1"/>
    <col min="215" max="215" width="5.83203125" style="106" customWidth="1"/>
    <col min="216" max="216" width="12.1640625" style="106" customWidth="1"/>
    <col min="217" max="217" width="5.83203125" style="106" customWidth="1"/>
    <col min="218" max="218" width="12" style="106" customWidth="1"/>
    <col min="219" max="219" width="5.83203125" style="106" customWidth="1"/>
    <col min="220" max="220" width="10.83203125" style="106"/>
    <col min="221" max="221" width="5.33203125" style="106" customWidth="1"/>
    <col min="222" max="222" width="10.83203125" style="106"/>
    <col min="223" max="223" width="6.1640625" style="106" customWidth="1"/>
    <col min="224" max="224" width="10.83203125" style="106"/>
    <col min="225" max="225" width="7.1640625" style="106" customWidth="1"/>
    <col min="226" max="226" width="10.83203125" style="106"/>
    <col min="227" max="227" width="4.83203125" style="106" customWidth="1"/>
    <col min="228" max="228" width="10.83203125" style="106"/>
    <col min="229" max="229" width="6" style="106" customWidth="1"/>
    <col min="230" max="16384" width="10.83203125" style="106"/>
  </cols>
  <sheetData>
    <row r="1" spans="1:229" s="1721" customFormat="1" ht="57.75" customHeight="1" x14ac:dyDescent="0.15">
      <c r="A1" s="1721" t="s">
        <v>5962</v>
      </c>
      <c r="B1" s="1722" t="s">
        <v>6011</v>
      </c>
      <c r="C1" s="1723"/>
      <c r="D1" s="1724"/>
      <c r="E1" s="1722" t="s">
        <v>6012</v>
      </c>
      <c r="F1" s="1723"/>
      <c r="G1" s="1724"/>
      <c r="H1" s="1722" t="s">
        <v>6013</v>
      </c>
      <c r="I1" s="1723"/>
      <c r="J1" s="1724"/>
      <c r="K1" s="1722" t="s">
        <v>6014</v>
      </c>
      <c r="L1" s="1723"/>
      <c r="M1" s="1724"/>
      <c r="N1" s="1722" t="s">
        <v>6015</v>
      </c>
      <c r="O1" s="1723"/>
      <c r="P1" s="1724"/>
      <c r="Q1" s="1722" t="s">
        <v>6016</v>
      </c>
      <c r="R1" s="1723"/>
      <c r="S1" s="1724"/>
      <c r="T1" s="1741" t="s">
        <v>6017</v>
      </c>
      <c r="U1" s="1742"/>
      <c r="V1" s="1742"/>
      <c r="W1" s="1742" t="s">
        <v>6018</v>
      </c>
      <c r="X1" s="1742"/>
      <c r="Y1" s="1742"/>
      <c r="Z1" s="1742" t="s">
        <v>6019</v>
      </c>
      <c r="AA1" s="1742"/>
      <c r="AB1" s="1742"/>
      <c r="AC1" s="1742" t="s">
        <v>6020</v>
      </c>
      <c r="AD1" s="1742"/>
      <c r="AE1" s="1742"/>
      <c r="AF1" s="1742" t="s">
        <v>6021</v>
      </c>
      <c r="AG1" s="1742"/>
      <c r="AH1" s="1742"/>
      <c r="AI1" s="1742" t="s">
        <v>1173</v>
      </c>
      <c r="AJ1" s="1742"/>
      <c r="AK1" s="1742"/>
      <c r="AL1" s="1742" t="s">
        <v>6022</v>
      </c>
      <c r="AM1" s="1742"/>
      <c r="AN1" s="1742"/>
      <c r="AO1" s="1742" t="s">
        <v>6023</v>
      </c>
      <c r="AP1" s="1742"/>
      <c r="AQ1" s="1742"/>
      <c r="AR1" s="1742" t="s">
        <v>6024</v>
      </c>
      <c r="AS1" s="1742"/>
      <c r="AT1" s="1742"/>
      <c r="AU1" s="1742" t="s">
        <v>6025</v>
      </c>
      <c r="AV1" s="1742"/>
      <c r="AW1" s="1742" t="s">
        <v>6026</v>
      </c>
      <c r="AX1" s="1742"/>
      <c r="AY1" s="1742" t="s">
        <v>6027</v>
      </c>
      <c r="AZ1" s="1742"/>
      <c r="BA1" s="1742" t="s">
        <v>6028</v>
      </c>
      <c r="BB1" s="1742"/>
      <c r="BC1" s="1742" t="s">
        <v>6029</v>
      </c>
      <c r="BD1" s="1742"/>
      <c r="BE1" s="1742" t="s">
        <v>6030</v>
      </c>
      <c r="BF1" s="1742"/>
      <c r="BG1" s="1742" t="s">
        <v>6031</v>
      </c>
      <c r="BH1" s="1742"/>
      <c r="BI1" s="1742" t="s">
        <v>6032</v>
      </c>
      <c r="BJ1" s="1742"/>
      <c r="BK1" s="1742" t="s">
        <v>6033</v>
      </c>
      <c r="BL1" s="1742"/>
      <c r="BM1" s="1742" t="s">
        <v>6034</v>
      </c>
      <c r="BN1" s="1742"/>
      <c r="BO1" s="1742" t="s">
        <v>6035</v>
      </c>
      <c r="BP1" s="1742"/>
      <c r="BQ1" s="1742" t="s">
        <v>6036</v>
      </c>
      <c r="BR1" s="1742"/>
      <c r="BS1" s="1742"/>
      <c r="BT1" s="1742" t="s">
        <v>6037</v>
      </c>
      <c r="BU1" s="1742"/>
      <c r="BV1" s="1742" t="s">
        <v>6038</v>
      </c>
      <c r="BW1" s="1742"/>
      <c r="BX1" s="1742" t="s">
        <v>6039</v>
      </c>
      <c r="BY1" s="1742"/>
      <c r="BZ1" s="1742" t="s">
        <v>6040</v>
      </c>
      <c r="CA1" s="1742"/>
      <c r="CB1" s="1742"/>
      <c r="CC1" s="1742" t="s">
        <v>6041</v>
      </c>
      <c r="CD1" s="1742"/>
      <c r="CE1" s="1742"/>
      <c r="CF1" s="1742" t="s">
        <v>5963</v>
      </c>
      <c r="CG1" s="1742"/>
      <c r="CH1" s="1742"/>
      <c r="CI1" s="1742" t="s">
        <v>5964</v>
      </c>
      <c r="CJ1" s="1742"/>
      <c r="CK1" s="1742"/>
      <c r="CL1" s="1742" t="s">
        <v>5965</v>
      </c>
      <c r="CM1" s="1742"/>
      <c r="CN1" s="1742"/>
      <c r="CO1" s="1742" t="s">
        <v>5966</v>
      </c>
      <c r="CP1" s="1742"/>
      <c r="CQ1" s="1742"/>
      <c r="CR1" s="1742" t="s">
        <v>5967</v>
      </c>
      <c r="CS1" s="1742"/>
      <c r="CT1" s="1742"/>
      <c r="CU1" s="1742" t="s">
        <v>5968</v>
      </c>
      <c r="CV1" s="1742"/>
      <c r="CW1" s="1742"/>
      <c r="CX1" s="1742" t="s">
        <v>5969</v>
      </c>
      <c r="CY1" s="1742"/>
      <c r="CZ1" s="1742"/>
      <c r="DA1" s="1742" t="s">
        <v>5970</v>
      </c>
      <c r="DB1" s="1742"/>
      <c r="DC1" s="1742"/>
      <c r="DD1" s="1742" t="s">
        <v>5971</v>
      </c>
      <c r="DE1" s="1742"/>
      <c r="DF1" s="1742"/>
      <c r="DG1" s="1742" t="s">
        <v>5972</v>
      </c>
      <c r="DH1" s="1742"/>
      <c r="DI1" s="1742"/>
      <c r="DJ1" s="1742" t="s">
        <v>5973</v>
      </c>
      <c r="DK1" s="1742"/>
      <c r="DL1" s="1742"/>
      <c r="DM1" s="1742" t="s">
        <v>5974</v>
      </c>
      <c r="DN1" s="1742"/>
      <c r="DO1" s="1742"/>
      <c r="DP1" s="1742" t="s">
        <v>5975</v>
      </c>
      <c r="DQ1" s="1742"/>
      <c r="DR1" s="1742"/>
      <c r="DS1" s="1742" t="s">
        <v>5976</v>
      </c>
      <c r="DT1" s="1742"/>
      <c r="DU1" s="1742"/>
      <c r="DV1" s="1742" t="s">
        <v>5977</v>
      </c>
      <c r="DW1" s="1742"/>
      <c r="DX1" s="1742"/>
      <c r="DY1" s="1742" t="s">
        <v>5978</v>
      </c>
      <c r="DZ1" s="1742"/>
      <c r="EA1" s="1742"/>
      <c r="EB1" s="1742" t="s">
        <v>5979</v>
      </c>
      <c r="EC1" s="1742"/>
      <c r="ED1" s="1742"/>
      <c r="EE1" s="1742" t="s">
        <v>5980</v>
      </c>
      <c r="EF1" s="1742"/>
      <c r="EG1" s="1742"/>
      <c r="EH1" s="1742" t="s">
        <v>5981</v>
      </c>
      <c r="EI1" s="1742"/>
      <c r="EJ1" s="1742"/>
      <c r="EK1" s="1742" t="s">
        <v>5982</v>
      </c>
      <c r="EL1" s="1742"/>
      <c r="EM1" s="1742"/>
      <c r="EN1" s="1742" t="s">
        <v>5983</v>
      </c>
      <c r="EO1" s="1742"/>
      <c r="EP1" s="1742"/>
      <c r="EQ1" s="1742" t="s">
        <v>5984</v>
      </c>
      <c r="ER1" s="1742"/>
      <c r="ES1" s="1742"/>
      <c r="ET1" s="1742" t="s">
        <v>5985</v>
      </c>
      <c r="EU1" s="1742"/>
      <c r="EV1" s="1742"/>
      <c r="EW1" s="1742" t="s">
        <v>5986</v>
      </c>
      <c r="EX1" s="1742"/>
      <c r="EY1" s="1742"/>
      <c r="EZ1" s="1742" t="s">
        <v>5987</v>
      </c>
      <c r="FA1" s="1742"/>
      <c r="FB1" s="1742"/>
      <c r="FC1" s="1743" t="s">
        <v>4916</v>
      </c>
      <c r="FD1" s="1743"/>
      <c r="FE1" s="1743"/>
      <c r="FF1" s="1742">
        <v>1889</v>
      </c>
      <c r="FG1" s="1742"/>
      <c r="FH1" s="1742"/>
      <c r="FI1" s="1742">
        <v>1890</v>
      </c>
      <c r="FJ1" s="1742"/>
      <c r="FK1" s="1742"/>
      <c r="FL1" s="1742">
        <v>1891</v>
      </c>
      <c r="FM1" s="1742"/>
      <c r="FN1" s="1742"/>
      <c r="FO1" s="1742">
        <v>1892</v>
      </c>
      <c r="FP1" s="1742"/>
      <c r="FQ1" s="1742"/>
      <c r="FR1" s="1742">
        <v>1893</v>
      </c>
      <c r="FS1" s="1742"/>
      <c r="FT1" s="1742"/>
      <c r="FU1" s="1742">
        <v>1894</v>
      </c>
      <c r="FV1" s="1742"/>
      <c r="FW1" s="1742"/>
      <c r="FX1" s="1742">
        <v>1895</v>
      </c>
      <c r="FY1" s="1742"/>
      <c r="FZ1" s="1742"/>
      <c r="GA1" s="1742">
        <v>1896</v>
      </c>
      <c r="GB1" s="1742"/>
      <c r="GC1" s="1742"/>
      <c r="GD1" s="1742">
        <v>1897</v>
      </c>
      <c r="GE1" s="1742"/>
      <c r="GF1" s="1742"/>
      <c r="GG1" s="1742">
        <v>1898</v>
      </c>
      <c r="GH1" s="1742"/>
      <c r="GI1" s="1742"/>
      <c r="GJ1" s="1742">
        <v>1899</v>
      </c>
      <c r="GK1" s="1742"/>
      <c r="GL1" s="1742"/>
      <c r="GM1" s="1742">
        <v>1900</v>
      </c>
      <c r="GN1" s="1742"/>
      <c r="GO1" s="1742"/>
      <c r="GP1" s="1742">
        <v>1901</v>
      </c>
      <c r="GQ1" s="1742"/>
      <c r="GR1" s="1742"/>
      <c r="GS1" s="1742">
        <v>1902</v>
      </c>
      <c r="GT1" s="1742"/>
      <c r="GU1" s="1742"/>
      <c r="GV1" s="1742">
        <v>1903</v>
      </c>
      <c r="GW1" s="1742"/>
      <c r="GX1" s="1742"/>
      <c r="GY1" s="1722">
        <v>1904</v>
      </c>
      <c r="GZ1" s="1723"/>
      <c r="HA1" s="1724"/>
      <c r="HB1" s="1744">
        <v>1905</v>
      </c>
      <c r="HC1" s="1744"/>
      <c r="HD1" s="1744">
        <v>1906</v>
      </c>
      <c r="HE1" s="1744"/>
      <c r="HF1" s="1744">
        <v>1907</v>
      </c>
      <c r="HG1" s="1744"/>
      <c r="HH1" s="1744">
        <v>1908</v>
      </c>
      <c r="HI1" s="1744"/>
      <c r="HJ1" s="1744">
        <v>1909</v>
      </c>
      <c r="HK1" s="1744"/>
      <c r="HL1" s="1744">
        <v>1910</v>
      </c>
      <c r="HM1" s="1744"/>
      <c r="HN1" s="1744">
        <v>1911</v>
      </c>
      <c r="HO1" s="1744"/>
      <c r="HP1" s="1744">
        <v>1912</v>
      </c>
      <c r="HQ1" s="1744"/>
      <c r="HR1" s="1744">
        <v>1913</v>
      </c>
      <c r="HS1" s="1744"/>
      <c r="HT1" s="1744">
        <v>1914</v>
      </c>
      <c r="HU1" s="1744"/>
    </row>
    <row r="2" spans="1:229" x14ac:dyDescent="0.2">
      <c r="A2" s="106" t="s">
        <v>1174</v>
      </c>
      <c r="B2" s="131">
        <f>+'1879 Hacienda'!B28</f>
        <v>874330</v>
      </c>
      <c r="C2" s="134"/>
      <c r="D2" s="133"/>
      <c r="E2" s="131">
        <f>+'1879 Hacienda'!B29</f>
        <v>498324</v>
      </c>
      <c r="F2" s="134"/>
      <c r="G2" s="133"/>
      <c r="I2" s="134"/>
      <c r="J2" s="133"/>
      <c r="K2" s="131"/>
      <c r="L2" s="134"/>
      <c r="M2" s="133"/>
      <c r="N2" s="131">
        <v>966343</v>
      </c>
      <c r="O2" s="134">
        <v>6</v>
      </c>
      <c r="P2" s="133"/>
      <c r="Q2" s="131"/>
      <c r="R2" s="134"/>
      <c r="S2" s="133"/>
      <c r="T2" s="131"/>
      <c r="U2" s="134"/>
      <c r="V2" s="133"/>
      <c r="W2" s="131"/>
      <c r="X2" s="134"/>
      <c r="Y2" s="133"/>
      <c r="Z2" s="131"/>
      <c r="AA2" s="134"/>
      <c r="AB2" s="133"/>
      <c r="AC2" s="131"/>
      <c r="AD2" s="134"/>
      <c r="AE2" s="133"/>
      <c r="AF2" s="131"/>
      <c r="AG2" s="134"/>
      <c r="AH2" s="133"/>
      <c r="AI2" s="145">
        <v>1134107</v>
      </c>
      <c r="AJ2" s="134">
        <v>3</v>
      </c>
      <c r="AK2" s="133"/>
      <c r="AL2" s="131">
        <v>1124345</v>
      </c>
      <c r="AM2" s="134">
        <v>4</v>
      </c>
      <c r="AN2" s="133">
        <v>0.75</v>
      </c>
      <c r="AO2" s="131">
        <f>'1846 Hacienda'!E61</f>
        <v>851165</v>
      </c>
      <c r="AP2" s="134">
        <f>'1846 Hacienda'!F61</f>
        <v>6</v>
      </c>
      <c r="AQ2" s="133">
        <f>'1846 Hacienda'!G61</f>
        <v>0.75</v>
      </c>
      <c r="AR2" s="131">
        <f>+'1879 Hacienda'!B31</f>
        <v>680932</v>
      </c>
      <c r="AS2" s="134"/>
      <c r="AT2" s="180"/>
      <c r="AU2" s="349"/>
      <c r="AV2" s="199"/>
      <c r="AW2" s="349">
        <f>+'1858 Hacienda'!D545</f>
        <v>552636</v>
      </c>
      <c r="AX2" s="199">
        <f>+'1858 Hacienda'!E545</f>
        <v>990</v>
      </c>
      <c r="AY2" s="349">
        <f>+'1858 Hacienda'!D619</f>
        <v>540238</v>
      </c>
      <c r="AZ2" s="199">
        <f>+'1858 Hacienda'!E619</f>
        <v>790</v>
      </c>
      <c r="BA2" s="349">
        <f>+'1858 Hacienda'!B502</f>
        <v>687950</v>
      </c>
      <c r="BB2" s="199">
        <f>+'1858 Hacienda'!C502</f>
        <v>379</v>
      </c>
      <c r="BC2" s="349">
        <f>+'1858 Hacienda'!B1032</f>
        <v>710057</v>
      </c>
      <c r="BD2" s="199">
        <f>+'1858 Hacienda'!C1032</f>
        <v>185</v>
      </c>
      <c r="BE2" s="349">
        <f>+'1858 Hacienda'!B1053</f>
        <v>714977</v>
      </c>
      <c r="BF2" s="199">
        <f>+'1858 Hacienda'!C1053</f>
        <v>437</v>
      </c>
      <c r="BG2" s="349">
        <f>+'1858 Hacienda'!B1073</f>
        <v>1054775</v>
      </c>
      <c r="BH2" s="199">
        <f>+'1858 Hacienda'!C1073</f>
        <v>409</v>
      </c>
      <c r="BI2" s="349">
        <f>+'1858 Hacienda'!B1084</f>
        <v>947673</v>
      </c>
      <c r="BJ2" s="199">
        <f>+'1858 Hacienda'!C1084</f>
        <v>114</v>
      </c>
      <c r="BK2" s="349">
        <f>+'1858 Hacienda'!B1105</f>
        <v>757894</v>
      </c>
      <c r="BL2" s="199">
        <f>+'1858 Hacienda'!C1105</f>
        <v>745</v>
      </c>
      <c r="BM2" s="349">
        <f>+'1858 Hacienda'!B1121</f>
        <v>1097611</v>
      </c>
      <c r="BN2" s="199">
        <f>+'1858 Hacienda'!C1121</f>
        <v>255</v>
      </c>
      <c r="BO2" s="1745">
        <f>+'1879 Hacienda'!B33</f>
        <v>979933</v>
      </c>
      <c r="BP2" s="198"/>
      <c r="BQ2" s="131">
        <f>+'1858 Hacienda'!B277</f>
        <v>857508</v>
      </c>
      <c r="BR2" s="134">
        <f>+'1858 Hacienda'!C277</f>
        <v>15</v>
      </c>
      <c r="BS2" s="133">
        <f>+'1858 Hacienda'!D277</f>
        <v>0.375</v>
      </c>
      <c r="BT2" s="131"/>
      <c r="BU2" s="134"/>
      <c r="BV2" s="131"/>
      <c r="BW2" s="134"/>
      <c r="BX2" s="131"/>
      <c r="BY2" s="134"/>
      <c r="BZ2" s="131"/>
      <c r="CA2" s="134"/>
      <c r="CB2" s="133"/>
      <c r="CC2" s="1745">
        <f>+'1879 Hacienda'!B34</f>
        <v>829610</v>
      </c>
      <c r="CD2" s="1746"/>
      <c r="CE2" s="1747"/>
      <c r="CF2" s="1745">
        <f>+'1879 Hacienda'!B35</f>
        <v>636961</v>
      </c>
      <c r="CG2" s="134"/>
      <c r="CH2" s="133"/>
      <c r="CI2" s="131">
        <f>+'1869 Hacienda'!B44</f>
        <v>1337946</v>
      </c>
      <c r="CK2" s="133"/>
      <c r="CL2" s="131">
        <f>+'1869 Hacienda'!C44</f>
        <v>1372331</v>
      </c>
      <c r="CN2" s="133"/>
      <c r="CO2" s="131">
        <f>+'1869 Hacienda'!D44</f>
        <v>1148668</v>
      </c>
      <c r="CQ2" s="133"/>
      <c r="CR2" s="131">
        <f>+'1869 Hacienda'!E44</f>
        <v>1544587</v>
      </c>
      <c r="CT2" s="133"/>
      <c r="CU2" s="107">
        <f>+'1869 Hacienda'!F44</f>
        <v>2089065</v>
      </c>
      <c r="CV2" s="145"/>
      <c r="CW2" s="133"/>
      <c r="CX2" s="131">
        <f>+'1869 Hacienda'!B5</f>
        <v>1575904</v>
      </c>
      <c r="CY2" s="145"/>
      <c r="CZ2" s="133"/>
      <c r="DA2" s="131">
        <f>+'1872 Hacienda'!B5</f>
        <v>1561082</v>
      </c>
      <c r="DB2" s="145">
        <f>+'1872 Hacienda'!C5</f>
        <v>10</v>
      </c>
      <c r="DC2" s="133">
        <f>+'1872 Hacienda'!D5</f>
        <v>0</v>
      </c>
      <c r="DD2" s="131">
        <f>+'1873 Hacienda'!B21</f>
        <v>2039450</v>
      </c>
      <c r="DE2" s="145">
        <f>+'1873 Hacienda'!C21</f>
        <v>21</v>
      </c>
      <c r="DF2" s="133"/>
      <c r="DG2" s="131">
        <f>+'1874 Hacienda'!D52</f>
        <v>2774185</v>
      </c>
      <c r="DH2" s="145">
        <f>+'1874 Hacienda'!E52</f>
        <v>9</v>
      </c>
      <c r="DI2" s="133">
        <f>+'1874 Hacienda'!F52</f>
        <v>0.5</v>
      </c>
      <c r="DJ2" s="131">
        <f>+'1875 Hacienda'!B9</f>
        <v>2811000</v>
      </c>
      <c r="DK2" s="145"/>
      <c r="DL2" s="133"/>
      <c r="DM2" s="131">
        <f>+'1877 Hacienda'!T6</f>
        <v>2574273</v>
      </c>
      <c r="DN2" s="145">
        <f>+'1877 Hacienda'!U6</f>
        <v>84</v>
      </c>
      <c r="DO2" s="133">
        <f>+'1877 Hacienda'!V6</f>
        <v>0.5</v>
      </c>
      <c r="DP2" s="131">
        <f>+'1877 Hacienda'!W6</f>
        <v>2367816</v>
      </c>
      <c r="DQ2" s="145">
        <f>+'1877 Hacienda'!X6</f>
        <v>83</v>
      </c>
      <c r="DR2" s="133">
        <f>+'1877 Hacienda'!Y6</f>
        <v>0</v>
      </c>
      <c r="DS2" s="131">
        <f>+'1885 Hacienda'!B21</f>
        <v>2160104</v>
      </c>
      <c r="DT2" s="145"/>
      <c r="DU2" s="133"/>
      <c r="DV2" s="131">
        <f>+'1880 Hacienda'!B26</f>
        <v>4025112</v>
      </c>
      <c r="DW2" s="145">
        <f>+'1880 Hacienda'!C26</f>
        <v>15</v>
      </c>
      <c r="DX2" s="133"/>
      <c r="DY2" s="131">
        <f>+'1880 Hacienda'!B5</f>
        <v>3992424</v>
      </c>
      <c r="DZ2" s="145">
        <f>+'1880 Hacienda'!C5</f>
        <v>35</v>
      </c>
      <c r="EA2" s="133">
        <f>+'1880 Hacienda'!D5</f>
        <v>0</v>
      </c>
      <c r="EB2" s="131">
        <f>+'1881 Hacienda'!B5</f>
        <v>3488218</v>
      </c>
      <c r="EC2" s="145">
        <f>+'1881 Hacienda'!C5</f>
        <v>350</v>
      </c>
      <c r="ED2" s="133"/>
      <c r="EE2" s="131">
        <f>+'1882 Hacienda'!B5</f>
        <v>4292835</v>
      </c>
      <c r="EF2" s="145">
        <f>+'1882 Hacienda'!C5</f>
        <v>22</v>
      </c>
      <c r="EG2" s="133">
        <f>+'1882 Hacienda'!D5</f>
        <v>0.5</v>
      </c>
      <c r="EH2" s="131">
        <f>+'1883 Hacienda'!B5</f>
        <v>4304905</v>
      </c>
      <c r="EI2" s="145">
        <f>+'1883 Hacienda'!C5</f>
        <v>35</v>
      </c>
      <c r="EJ2" s="133">
        <f>+'1883 Hacienda'!D5</f>
        <v>0</v>
      </c>
      <c r="EK2" s="674">
        <v>4360412</v>
      </c>
      <c r="EL2" s="916"/>
      <c r="EM2" s="917"/>
      <c r="EN2" s="674">
        <f>+'1885 Hacienda'!B4</f>
        <v>3826852</v>
      </c>
      <c r="EO2" s="916"/>
      <c r="EP2" s="917"/>
      <c r="EQ2" s="674">
        <f>+'1888 Hacienda'!B4</f>
        <v>1782297</v>
      </c>
      <c r="ER2" s="916">
        <f>+'1888 Hacienda'!C4</f>
        <v>85</v>
      </c>
      <c r="ES2" s="917"/>
      <c r="ET2" s="674">
        <f>+'1888 Hacienda'!B5</f>
        <v>4532081</v>
      </c>
      <c r="EU2" s="916">
        <f>+'1888 Hacienda'!C5</f>
        <v>22</v>
      </c>
      <c r="EV2" s="917">
        <f>+'1888 Hacienda'!D5</f>
        <v>0.5</v>
      </c>
      <c r="EW2" s="674">
        <f>+'1890 Hacienda'!B6</f>
        <v>4795266</v>
      </c>
      <c r="EX2" s="916">
        <f>+'1890 Hacienda'!C6</f>
        <v>32</v>
      </c>
      <c r="EY2" s="917">
        <f>+'1890 Hacienda'!D6</f>
        <v>0.25</v>
      </c>
      <c r="EZ2" s="674">
        <f>+'1890 Hacienda'!E28</f>
        <v>6887414</v>
      </c>
      <c r="FA2" s="916">
        <f>+'1890 Hacienda'!F28</f>
        <v>1</v>
      </c>
      <c r="FB2" s="917">
        <f>+'1890 Hacienda'!G28</f>
        <v>0.5</v>
      </c>
      <c r="FC2" s="674">
        <f>+'1890 Hacienda'!B211</f>
        <v>11682680</v>
      </c>
      <c r="FD2" s="916">
        <f>+'1890 Hacienda'!C211</f>
        <v>33</v>
      </c>
      <c r="FE2" s="917">
        <f>+'1890 Hacienda'!D211</f>
        <v>0.25</v>
      </c>
      <c r="FF2" s="674">
        <f>+'1890 Hacienda'!E211</f>
        <v>7725599</v>
      </c>
      <c r="FG2" s="916">
        <f>+'1890 Hacienda'!F211</f>
        <v>30</v>
      </c>
      <c r="FH2" s="917"/>
      <c r="FI2" s="674">
        <f>+'1892 Hacienda'!A24</f>
        <v>8626732</v>
      </c>
      <c r="FJ2" s="916"/>
      <c r="FK2" s="917"/>
      <c r="FL2" s="674">
        <f>+'1894 Hacienda'!C7</f>
        <v>9522388</v>
      </c>
      <c r="FM2" s="916">
        <f>+'1894 Hacienda'!D7</f>
        <v>5</v>
      </c>
      <c r="FN2" s="917"/>
      <c r="FO2" s="674">
        <f>+'1894 Hacienda'!F7</f>
        <v>8384671</v>
      </c>
      <c r="FP2" s="916">
        <f>+'1894 Hacienda'!G7</f>
        <v>86</v>
      </c>
      <c r="FQ2" s="917"/>
      <c r="FR2" s="674">
        <f>+'1896 Hacienda'!C7</f>
        <v>9259910</v>
      </c>
      <c r="FS2" s="916">
        <f>+'1896 Hacienda'!D7</f>
        <v>52</v>
      </c>
      <c r="FT2" s="917">
        <f>+'1896 Hacienda'!E7</f>
        <v>0.5</v>
      </c>
      <c r="FU2" s="674">
        <f>+'1896 Hacienda'!F7</f>
        <v>8024468</v>
      </c>
      <c r="FV2" s="916">
        <f>+'1896 Hacienda'!G7</f>
        <v>17</v>
      </c>
      <c r="FW2" s="917">
        <f>+'1896 Hacienda'!H7</f>
        <v>0.5</v>
      </c>
      <c r="FX2" s="674">
        <f>+'1896 Hacienda'!L7</f>
        <v>10847966</v>
      </c>
      <c r="FY2" s="916">
        <f>+'1896 Hacienda'!M7</f>
        <v>81</v>
      </c>
      <c r="FZ2" s="917"/>
      <c r="GA2" s="674">
        <f>+'1898 Hacienda'!E6</f>
        <v>13919239</v>
      </c>
      <c r="GB2" s="916">
        <f>+'1898 Hacienda'!F6</f>
        <v>17</v>
      </c>
      <c r="GC2" s="917">
        <f>+'1898 Hacienda'!G6</f>
        <v>0.5</v>
      </c>
      <c r="GD2" s="674">
        <f>+'1898 Hacienda'!K6</f>
        <v>13537301</v>
      </c>
      <c r="GE2" s="916">
        <f>+'1898 Hacienda'!L6</f>
        <v>45</v>
      </c>
      <c r="GF2" s="917">
        <f>+'1898 Hacienda'!M6</f>
        <v>0.5</v>
      </c>
      <c r="GG2" s="674">
        <f>+'1904 Hacienda'!B16</f>
        <v>9471743</v>
      </c>
      <c r="GH2" s="916">
        <f>+'1904 Hacienda'!C16</f>
        <v>15</v>
      </c>
      <c r="GI2" s="917">
        <f>+'1904 Hacienda'!D16</f>
        <v>0</v>
      </c>
      <c r="GJ2" s="674">
        <f>+'1904 Hacienda'!E16</f>
        <v>8832404</v>
      </c>
      <c r="GK2" s="916">
        <f>+'1904 Hacienda'!F16</f>
        <v>50</v>
      </c>
      <c r="GL2" s="917">
        <f>+'1904 Hacienda'!G16</f>
        <v>0</v>
      </c>
      <c r="GM2" s="674">
        <f>+'1904 Hacienda'!H16</f>
        <v>4409540</v>
      </c>
      <c r="GN2" s="916">
        <f>+'1904 Hacienda'!I16</f>
        <v>95</v>
      </c>
      <c r="GO2" s="917">
        <f>+'1904 Hacienda'!J16</f>
        <v>0</v>
      </c>
      <c r="GP2" s="674">
        <f>+'1904 Hacienda'!K16</f>
        <v>11742155</v>
      </c>
      <c r="GQ2" s="916">
        <f>+'1904 Hacienda'!L16</f>
        <v>24</v>
      </c>
      <c r="GR2" s="917">
        <f>+'1904 Hacienda'!M16</f>
        <v>0</v>
      </c>
      <c r="GS2" s="674">
        <f>+'1904 Hacienda'!N16</f>
        <v>10576899</v>
      </c>
      <c r="GT2" s="916">
        <f>+'1904 Hacienda'!O16</f>
        <v>77</v>
      </c>
      <c r="GU2" s="917">
        <f>+'1904 Hacienda'!P16</f>
        <v>0</v>
      </c>
      <c r="GV2" s="674">
        <f>+'1904 Hacienda'!Q16</f>
        <v>8969865</v>
      </c>
      <c r="GW2" s="916">
        <f>+'1904 Hacienda'!R16</f>
        <v>42</v>
      </c>
      <c r="GX2" s="917">
        <f>+'1904 Hacienda'!S16</f>
        <v>0</v>
      </c>
      <c r="GY2" s="342"/>
      <c r="GZ2" s="198"/>
      <c r="HA2" s="199"/>
      <c r="HB2" s="349">
        <f>'1910 Hacienda'!C4</f>
        <v>6179738</v>
      </c>
      <c r="HC2" s="717">
        <f>'1910 Hacienda'!D4</f>
        <v>51</v>
      </c>
      <c r="HD2" s="349">
        <f>'1910 Hacienda'!C29</f>
        <v>7414776</v>
      </c>
      <c r="HE2" s="717">
        <f>'1910 Hacienda'!D29</f>
        <v>66</v>
      </c>
      <c r="HF2" s="349">
        <f>'1910 Hacienda'!C58</f>
        <v>6600690</v>
      </c>
      <c r="HG2" s="717">
        <f>'1910 Hacienda'!D58</f>
        <v>88</v>
      </c>
      <c r="HH2" s="349">
        <f>'1910 Hacienda'!C87</f>
        <v>6169236</v>
      </c>
      <c r="HI2" s="717">
        <f>'1910 Hacienda'!D87</f>
        <v>72</v>
      </c>
      <c r="HJ2" s="349">
        <f>'1910 Hacienda'!C128</f>
        <v>6541831</v>
      </c>
      <c r="HK2" s="717">
        <f>'1910 Hacienda'!D128</f>
        <v>4</v>
      </c>
      <c r="HL2" s="349">
        <f>+'1911 Hacienda'!B24</f>
        <v>8653478</v>
      </c>
      <c r="HM2" s="717">
        <f>+'1911 Hacienda'!C24</f>
        <v>63</v>
      </c>
      <c r="HN2" s="349">
        <f>+'1912A Hacienda'!T44</f>
        <v>9327761</v>
      </c>
      <c r="HO2" s="717">
        <f>+'1912A Hacienda'!U44</f>
        <v>8</v>
      </c>
      <c r="HP2" s="349">
        <f>+'1912 Hacienda'!B4</f>
        <v>10054897</v>
      </c>
      <c r="HQ2" s="717">
        <f>+'1912 Hacienda'!C4</f>
        <v>53</v>
      </c>
      <c r="HR2" s="349">
        <f>+'1914 Hacienda'!Z94</f>
        <v>13538064</v>
      </c>
      <c r="HS2" s="717">
        <f>+'1914 Hacienda'!AA94</f>
        <v>24</v>
      </c>
      <c r="HT2" s="349">
        <f>+'1915 Hacienda'!B75</f>
        <v>10314397</v>
      </c>
      <c r="HU2" s="717">
        <f>+'1915 Hacienda'!C75</f>
        <v>27</v>
      </c>
    </row>
    <row r="3" spans="1:229" x14ac:dyDescent="0.2">
      <c r="A3" s="178" t="s">
        <v>5611</v>
      </c>
      <c r="B3" s="131"/>
      <c r="C3" s="134"/>
      <c r="D3" s="133"/>
      <c r="E3" s="131"/>
      <c r="F3" s="134"/>
      <c r="G3" s="133"/>
      <c r="H3" s="131"/>
      <c r="I3" s="134"/>
      <c r="J3" s="133"/>
      <c r="K3" s="131"/>
      <c r="L3" s="134"/>
      <c r="M3" s="133"/>
      <c r="N3" s="131"/>
      <c r="O3" s="134"/>
      <c r="P3" s="133"/>
      <c r="Q3" s="131"/>
      <c r="R3" s="134"/>
      <c r="S3" s="133"/>
      <c r="T3" s="131"/>
      <c r="U3" s="134"/>
      <c r="V3" s="133"/>
      <c r="W3" s="131"/>
      <c r="X3" s="134"/>
      <c r="Y3" s="133"/>
      <c r="Z3" s="131"/>
      <c r="AA3" s="134"/>
      <c r="AB3" s="133"/>
      <c r="AC3" s="131"/>
      <c r="AD3" s="134"/>
      <c r="AE3" s="133"/>
      <c r="AF3" s="131"/>
      <c r="AG3" s="134"/>
      <c r="AH3" s="133"/>
      <c r="AI3" s="145"/>
      <c r="AJ3" s="134"/>
      <c r="AK3" s="133"/>
      <c r="AL3" s="1748">
        <f>+'1879 Hacienda'!B30</f>
        <v>899476</v>
      </c>
      <c r="AM3" s="1749"/>
      <c r="AN3" s="1750"/>
      <c r="AO3" s="1748">
        <f>+'1879 Hacienda'!B31</f>
        <v>680932</v>
      </c>
      <c r="AP3" s="134"/>
      <c r="AQ3" s="133"/>
      <c r="AR3" s="131"/>
      <c r="AS3" s="134"/>
      <c r="AT3" s="180"/>
      <c r="AU3" s="131"/>
      <c r="AV3" s="185"/>
      <c r="AW3" s="131"/>
      <c r="AX3" s="185"/>
      <c r="AY3" s="131"/>
      <c r="AZ3" s="185"/>
      <c r="BA3" s="131"/>
      <c r="BB3" s="185"/>
      <c r="BC3" s="131"/>
      <c r="BD3" s="185"/>
      <c r="BE3" s="131"/>
      <c r="BF3" s="185"/>
      <c r="BG3" s="131"/>
      <c r="BH3" s="185"/>
      <c r="BI3" s="131"/>
      <c r="BJ3" s="185"/>
      <c r="BK3" s="131"/>
      <c r="BL3" s="185"/>
      <c r="BM3" s="1748"/>
      <c r="BN3" s="1751"/>
      <c r="BP3" s="134"/>
      <c r="BQ3" s="131"/>
      <c r="BR3" s="134"/>
      <c r="BS3" s="133"/>
      <c r="BT3" s="131"/>
      <c r="BU3" s="134"/>
      <c r="BV3" s="131"/>
      <c r="BW3" s="134"/>
      <c r="BX3" s="131"/>
      <c r="BY3" s="134"/>
      <c r="BZ3" s="131"/>
      <c r="CA3" s="134"/>
      <c r="CB3" s="133"/>
      <c r="CD3" s="1749"/>
      <c r="CE3" s="1750"/>
      <c r="CG3" s="134"/>
      <c r="CH3" s="133"/>
      <c r="CI3" s="131"/>
      <c r="CJ3" s="134"/>
      <c r="CK3" s="133"/>
      <c r="CL3" s="131"/>
      <c r="CM3" s="134"/>
      <c r="CN3" s="133"/>
      <c r="CO3" s="131"/>
      <c r="CP3" s="134"/>
      <c r="CQ3" s="133"/>
      <c r="CS3" s="134"/>
      <c r="CT3" s="133"/>
      <c r="CU3" s="1748"/>
      <c r="CV3" s="1752"/>
      <c r="CW3" s="1750"/>
      <c r="CX3" s="1748"/>
      <c r="CY3" s="145"/>
      <c r="CZ3" s="133"/>
      <c r="DA3" s="131"/>
      <c r="DB3" s="145"/>
      <c r="DC3" s="133"/>
      <c r="DD3" s="131"/>
      <c r="DE3" s="145"/>
      <c r="DF3" s="133"/>
      <c r="DG3" s="131"/>
      <c r="DH3" s="145"/>
      <c r="DI3" s="133"/>
      <c r="DJ3" s="131"/>
      <c r="DK3" s="145"/>
      <c r="DL3" s="133"/>
      <c r="DM3" s="131"/>
      <c r="DN3" s="145"/>
      <c r="DO3" s="133"/>
      <c r="DP3" s="131"/>
      <c r="DQ3" s="145"/>
      <c r="DR3" s="133"/>
      <c r="DS3" s="131"/>
      <c r="DT3" s="145"/>
      <c r="DU3" s="133"/>
      <c r="DV3" s="131"/>
      <c r="DW3" s="145"/>
      <c r="DX3" s="133"/>
      <c r="DY3" s="131"/>
      <c r="DZ3" s="145"/>
      <c r="EA3" s="133"/>
      <c r="EB3" s="131"/>
      <c r="EC3" s="145"/>
      <c r="ED3" s="133"/>
      <c r="EE3" s="131">
        <v>3930862</v>
      </c>
      <c r="EF3" s="145"/>
      <c r="EG3" s="133"/>
      <c r="EH3" s="131"/>
      <c r="EI3" s="145"/>
      <c r="EJ3" s="133"/>
      <c r="EK3" s="140"/>
      <c r="EL3" s="141"/>
      <c r="EM3" s="142"/>
      <c r="EN3" s="140"/>
      <c r="EO3" s="141"/>
      <c r="EP3" s="142"/>
      <c r="EQ3" s="140"/>
      <c r="ER3" s="141"/>
      <c r="ES3" s="142"/>
      <c r="ET3" s="140"/>
      <c r="EU3" s="141"/>
      <c r="EV3" s="142"/>
      <c r="EW3" s="140"/>
      <c r="EX3" s="141"/>
      <c r="EY3" s="142"/>
      <c r="EZ3" s="140"/>
      <c r="FA3" s="141"/>
      <c r="FB3" s="142"/>
      <c r="FC3" s="140"/>
      <c r="FD3" s="141"/>
      <c r="FE3" s="142"/>
      <c r="FF3" s="140"/>
      <c r="FG3" s="141"/>
      <c r="FH3" s="142"/>
      <c r="FI3" s="140"/>
      <c r="FJ3" s="141"/>
      <c r="FK3" s="142"/>
      <c r="FL3" s="140"/>
      <c r="FM3" s="141"/>
      <c r="FN3" s="142"/>
      <c r="FO3" s="140"/>
      <c r="FP3" s="141"/>
      <c r="FQ3" s="142"/>
      <c r="FR3" s="140"/>
      <c r="FS3" s="141"/>
      <c r="FT3" s="142"/>
      <c r="FU3" s="140"/>
      <c r="FV3" s="141"/>
      <c r="FW3" s="142"/>
      <c r="FX3" s="140"/>
      <c r="FY3" s="141"/>
      <c r="FZ3" s="142"/>
      <c r="GA3" s="140"/>
      <c r="GB3" s="141"/>
      <c r="GC3" s="142"/>
      <c r="GD3" s="140"/>
      <c r="GE3" s="141"/>
      <c r="GF3" s="142"/>
      <c r="GG3" s="140"/>
      <c r="GH3" s="141"/>
      <c r="GI3" s="142"/>
      <c r="GJ3" s="140"/>
      <c r="GK3" s="141"/>
      <c r="GL3" s="142"/>
      <c r="GM3" s="140"/>
      <c r="GN3" s="141"/>
      <c r="GO3" s="142"/>
      <c r="GP3" s="140"/>
      <c r="GQ3" s="141"/>
      <c r="GR3" s="142"/>
      <c r="GS3" s="140"/>
      <c r="GT3" s="141"/>
      <c r="GU3" s="142"/>
      <c r="GV3" s="140"/>
      <c r="GW3" s="141"/>
      <c r="GX3" s="142"/>
      <c r="GY3" s="164"/>
      <c r="GZ3" s="134"/>
      <c r="HA3" s="185"/>
      <c r="HB3" s="131"/>
      <c r="HC3" s="307"/>
      <c r="HD3" s="131"/>
      <c r="HE3" s="307"/>
      <c r="HF3" s="131"/>
      <c r="HG3" s="307"/>
      <c r="HH3" s="131"/>
      <c r="HI3" s="307"/>
      <c r="HJ3" s="131"/>
      <c r="HK3" s="307"/>
      <c r="HL3" s="131"/>
      <c r="HM3" s="307"/>
      <c r="HN3" s="131"/>
      <c r="HO3" s="307"/>
      <c r="HP3" s="131">
        <f>+'1912 Hacienda'!B5</f>
        <v>202072</v>
      </c>
      <c r="HQ3" s="307">
        <f>+'1912 Hacienda'!C5</f>
        <v>86</v>
      </c>
      <c r="HR3" s="131"/>
      <c r="HS3" s="307"/>
      <c r="HT3" s="131"/>
      <c r="HU3" s="307"/>
    </row>
    <row r="4" spans="1:229" x14ac:dyDescent="0.2">
      <c r="A4" s="164" t="s">
        <v>5888</v>
      </c>
      <c r="B4" s="131"/>
      <c r="C4" s="134"/>
      <c r="D4" s="133"/>
      <c r="E4" s="131"/>
      <c r="F4" s="134"/>
      <c r="G4" s="133"/>
      <c r="H4" s="131"/>
      <c r="I4" s="134"/>
      <c r="J4" s="133"/>
      <c r="K4" s="131"/>
      <c r="L4" s="134"/>
      <c r="M4" s="133"/>
      <c r="N4" s="131"/>
      <c r="O4" s="134"/>
      <c r="P4" s="133"/>
      <c r="Q4" s="131"/>
      <c r="R4" s="134"/>
      <c r="S4" s="133"/>
      <c r="T4" s="131"/>
      <c r="U4" s="134"/>
      <c r="V4" s="133"/>
      <c r="W4" s="131"/>
      <c r="X4" s="134"/>
      <c r="Y4" s="133"/>
      <c r="Z4" s="131"/>
      <c r="AA4" s="134"/>
      <c r="AB4" s="133"/>
      <c r="AC4" s="131"/>
      <c r="AD4" s="134"/>
      <c r="AE4" s="133"/>
      <c r="AF4" s="131"/>
      <c r="AG4" s="134"/>
      <c r="AH4" s="133"/>
      <c r="AI4" s="145"/>
      <c r="AJ4" s="134"/>
      <c r="AK4" s="133"/>
      <c r="AL4" s="131"/>
      <c r="AM4" s="134"/>
      <c r="AN4" s="133"/>
      <c r="AO4" s="131"/>
      <c r="AP4" s="134"/>
      <c r="AQ4" s="133"/>
      <c r="AR4" s="131"/>
      <c r="AS4" s="134"/>
      <c r="AT4" s="180"/>
      <c r="AU4" s="131"/>
      <c r="AV4" s="185"/>
      <c r="AW4" s="131"/>
      <c r="AX4" s="185"/>
      <c r="AY4" s="131"/>
      <c r="AZ4" s="185"/>
      <c r="BA4" s="131"/>
      <c r="BB4" s="185"/>
      <c r="BC4" s="131"/>
      <c r="BD4" s="185"/>
      <c r="BE4" s="131"/>
      <c r="BF4" s="185"/>
      <c r="BG4" s="131"/>
      <c r="BH4" s="185"/>
      <c r="BI4" s="131"/>
      <c r="BJ4" s="185"/>
      <c r="BK4" s="131"/>
      <c r="BL4" s="185"/>
      <c r="BM4" s="131"/>
      <c r="BN4" s="185"/>
      <c r="BO4" s="131"/>
      <c r="BP4" s="134"/>
      <c r="BQ4" s="131"/>
      <c r="BR4" s="134"/>
      <c r="BS4" s="133"/>
      <c r="BT4" s="131"/>
      <c r="BU4" s="134"/>
      <c r="BV4" s="131"/>
      <c r="BW4" s="134"/>
      <c r="BX4" s="131"/>
      <c r="BY4" s="134"/>
      <c r="BZ4" s="131"/>
      <c r="CA4" s="134"/>
      <c r="CB4" s="133"/>
      <c r="CC4" s="131"/>
      <c r="CD4" s="134"/>
      <c r="CE4" s="133"/>
      <c r="CF4" s="131"/>
      <c r="CG4" s="134"/>
      <c r="CH4" s="133"/>
      <c r="CI4" s="131"/>
      <c r="CJ4" s="134"/>
      <c r="CK4" s="133"/>
      <c r="CL4" s="131"/>
      <c r="CM4" s="134"/>
      <c r="CN4" s="133"/>
      <c r="CO4" s="131"/>
      <c r="CP4" s="134"/>
      <c r="CQ4" s="133"/>
      <c r="CR4" s="131"/>
      <c r="CS4" s="134"/>
      <c r="CT4" s="133"/>
      <c r="CU4" s="131"/>
      <c r="CV4" s="145"/>
      <c r="CW4" s="133"/>
      <c r="CX4" s="131"/>
      <c r="CY4" s="145"/>
      <c r="CZ4" s="133"/>
      <c r="DA4" s="131"/>
      <c r="DB4" s="145"/>
      <c r="DC4" s="133"/>
      <c r="DD4" s="131"/>
      <c r="DE4" s="145"/>
      <c r="DF4" s="133"/>
      <c r="DG4" s="131"/>
      <c r="DH4" s="145"/>
      <c r="DI4" s="133"/>
      <c r="DJ4" s="131"/>
      <c r="DK4" s="145"/>
      <c r="DL4" s="133"/>
      <c r="DM4" s="131"/>
      <c r="DN4" s="145"/>
      <c r="DO4" s="133"/>
      <c r="DP4" s="131"/>
      <c r="DQ4" s="145"/>
      <c r="DR4" s="133"/>
      <c r="DS4" s="131"/>
      <c r="DT4" s="145"/>
      <c r="DU4" s="133"/>
      <c r="DV4" s="131"/>
      <c r="DW4" s="145"/>
      <c r="DX4" s="133"/>
      <c r="DY4" s="131"/>
      <c r="DZ4" s="145"/>
      <c r="EA4" s="133"/>
      <c r="EB4" s="131"/>
      <c r="EC4" s="145"/>
      <c r="ED4" s="133"/>
      <c r="EE4" s="131"/>
      <c r="EF4" s="145"/>
      <c r="EG4" s="133"/>
      <c r="EH4" s="131"/>
      <c r="EI4" s="145"/>
      <c r="EJ4" s="133"/>
      <c r="EK4" s="140"/>
      <c r="EL4" s="141"/>
      <c r="EM4" s="142"/>
      <c r="EN4" s="140"/>
      <c r="EO4" s="141"/>
      <c r="EP4" s="142"/>
      <c r="EQ4" s="140"/>
      <c r="ER4" s="141"/>
      <c r="ES4" s="142"/>
      <c r="ET4" s="140"/>
      <c r="EU4" s="141"/>
      <c r="EV4" s="142"/>
      <c r="EW4" s="140"/>
      <c r="EX4" s="141"/>
      <c r="EY4" s="142"/>
      <c r="EZ4" s="140"/>
      <c r="FA4" s="141"/>
      <c r="FB4" s="142"/>
      <c r="FC4" s="140"/>
      <c r="FD4" s="141"/>
      <c r="FE4" s="142"/>
      <c r="FF4" s="140"/>
      <c r="FG4" s="141"/>
      <c r="FH4" s="142"/>
      <c r="FI4" s="140"/>
      <c r="FJ4" s="141"/>
      <c r="FK4" s="142"/>
      <c r="FL4" s="140"/>
      <c r="FM4" s="141"/>
      <c r="FN4" s="142"/>
      <c r="FO4" s="140"/>
      <c r="FP4" s="141"/>
      <c r="FQ4" s="142"/>
      <c r="FR4" s="140"/>
      <c r="FS4" s="141"/>
      <c r="FT4" s="142"/>
      <c r="FU4" s="140"/>
      <c r="FV4" s="141"/>
      <c r="FW4" s="142"/>
      <c r="FX4" s="140"/>
      <c r="FY4" s="141"/>
      <c r="FZ4" s="142"/>
      <c r="GA4" s="140"/>
      <c r="GB4" s="141"/>
      <c r="GC4" s="142"/>
      <c r="GD4" s="140"/>
      <c r="GE4" s="141"/>
      <c r="GF4" s="142"/>
      <c r="GG4" s="140"/>
      <c r="GH4" s="141"/>
      <c r="GI4" s="142"/>
      <c r="GJ4" s="140"/>
      <c r="GK4" s="141"/>
      <c r="GL4" s="142"/>
      <c r="GM4" s="140"/>
      <c r="GN4" s="141"/>
      <c r="GO4" s="142"/>
      <c r="GP4" s="140"/>
      <c r="GQ4" s="141"/>
      <c r="GR4" s="142"/>
      <c r="GS4" s="140"/>
      <c r="GT4" s="141"/>
      <c r="GU4" s="142"/>
      <c r="GV4" s="140"/>
      <c r="GW4" s="141"/>
      <c r="GX4" s="142"/>
      <c r="GY4" s="164"/>
      <c r="GZ4" s="134"/>
      <c r="HA4" s="185"/>
      <c r="HB4" s="131"/>
      <c r="HC4" s="307"/>
      <c r="HD4" s="131"/>
      <c r="HE4" s="307"/>
      <c r="HF4" s="131"/>
      <c r="HG4" s="307"/>
      <c r="HH4" s="131"/>
      <c r="HI4" s="307"/>
      <c r="HJ4" s="131"/>
      <c r="HK4" s="307"/>
      <c r="HL4" s="131"/>
      <c r="HM4" s="307"/>
      <c r="HN4" s="131"/>
      <c r="HO4" s="307"/>
      <c r="HP4" s="131"/>
      <c r="HQ4" s="307"/>
      <c r="HR4" s="131">
        <f>+'1915 Hacienda'!D43</f>
        <v>12880773</v>
      </c>
      <c r="HS4" s="307">
        <f>+'1915 Hacienda'!E43</f>
        <v>87</v>
      </c>
      <c r="HT4" s="131">
        <f>+'1915 Hacienda'!D18</f>
        <v>9774366</v>
      </c>
      <c r="HU4" s="307">
        <f>+'1915 Hacienda'!E18</f>
        <v>14</v>
      </c>
    </row>
    <row r="5" spans="1:229" x14ac:dyDescent="0.2">
      <c r="A5" s="178" t="s">
        <v>5611</v>
      </c>
      <c r="B5" s="131"/>
      <c r="C5" s="134"/>
      <c r="D5" s="133"/>
      <c r="E5" s="131"/>
      <c r="F5" s="134"/>
      <c r="G5" s="133"/>
      <c r="H5" s="131"/>
      <c r="I5" s="134"/>
      <c r="J5" s="133"/>
      <c r="K5" s="131"/>
      <c r="L5" s="134"/>
      <c r="M5" s="133"/>
      <c r="N5" s="131"/>
      <c r="O5" s="134"/>
      <c r="P5" s="133"/>
      <c r="Q5" s="131"/>
      <c r="R5" s="134"/>
      <c r="S5" s="133"/>
      <c r="T5" s="131"/>
      <c r="U5" s="134"/>
      <c r="V5" s="133"/>
      <c r="W5" s="131"/>
      <c r="X5" s="134"/>
      <c r="Y5" s="133"/>
      <c r="Z5" s="131"/>
      <c r="AA5" s="134"/>
      <c r="AB5" s="133"/>
      <c r="AC5" s="131"/>
      <c r="AD5" s="134"/>
      <c r="AE5" s="133"/>
      <c r="AF5" s="131"/>
      <c r="AG5" s="134"/>
      <c r="AH5" s="133"/>
      <c r="AI5" s="145"/>
      <c r="AJ5" s="134"/>
      <c r="AK5" s="133"/>
      <c r="AL5" s="131"/>
      <c r="AM5" s="134"/>
      <c r="AN5" s="133"/>
      <c r="AO5" s="131"/>
      <c r="AP5" s="134"/>
      <c r="AQ5" s="133"/>
      <c r="AR5" s="131"/>
      <c r="AS5" s="134"/>
      <c r="AT5" s="180"/>
      <c r="AU5" s="131"/>
      <c r="AV5" s="185"/>
      <c r="AW5" s="131"/>
      <c r="AX5" s="185"/>
      <c r="AY5" s="131"/>
      <c r="AZ5" s="185"/>
      <c r="BA5" s="131"/>
      <c r="BB5" s="185"/>
      <c r="BC5" s="131"/>
      <c r="BD5" s="185"/>
      <c r="BE5" s="131"/>
      <c r="BF5" s="185"/>
      <c r="BG5" s="131"/>
      <c r="BH5" s="185"/>
      <c r="BI5" s="131"/>
      <c r="BJ5" s="185"/>
      <c r="BK5" s="131"/>
      <c r="BL5" s="185"/>
      <c r="BM5" s="131"/>
      <c r="BN5" s="185"/>
      <c r="BO5" s="131"/>
      <c r="BP5" s="134"/>
      <c r="BQ5" s="131"/>
      <c r="BR5" s="134"/>
      <c r="BS5" s="133"/>
      <c r="BT5" s="131"/>
      <c r="BU5" s="134"/>
      <c r="BV5" s="131"/>
      <c r="BW5" s="134"/>
      <c r="BX5" s="131"/>
      <c r="BY5" s="134"/>
      <c r="BZ5" s="131"/>
      <c r="CA5" s="134"/>
      <c r="CB5" s="133"/>
      <c r="CC5" s="131"/>
      <c r="CD5" s="134"/>
      <c r="CE5" s="133"/>
      <c r="CF5" s="131"/>
      <c r="CG5" s="134"/>
      <c r="CH5" s="133"/>
      <c r="CI5" s="131"/>
      <c r="CJ5" s="134"/>
      <c r="CK5" s="133"/>
      <c r="CL5" s="131"/>
      <c r="CM5" s="134"/>
      <c r="CN5" s="133"/>
      <c r="CO5" s="131"/>
      <c r="CP5" s="134"/>
      <c r="CQ5" s="133"/>
      <c r="CR5" s="131"/>
      <c r="CS5" s="134"/>
      <c r="CT5" s="133"/>
      <c r="CU5" s="131"/>
      <c r="CV5" s="134"/>
      <c r="CW5" s="133"/>
      <c r="CX5" s="131"/>
      <c r="CY5" s="134"/>
      <c r="CZ5" s="133"/>
      <c r="DA5" s="140"/>
      <c r="DB5" s="141"/>
      <c r="DC5" s="142"/>
      <c r="DD5" s="140"/>
      <c r="DE5" s="141"/>
      <c r="DF5" s="142"/>
      <c r="DG5" s="140"/>
      <c r="DH5" s="141"/>
      <c r="DI5" s="142"/>
      <c r="DJ5" s="140"/>
      <c r="DK5" s="141"/>
      <c r="DL5" s="142"/>
      <c r="DM5" s="140"/>
      <c r="DN5" s="141"/>
      <c r="DO5" s="142"/>
      <c r="DP5" s="140"/>
      <c r="DQ5" s="141"/>
      <c r="DR5" s="142"/>
      <c r="DS5" s="140"/>
      <c r="DT5" s="141"/>
      <c r="DU5" s="142"/>
      <c r="DV5" s="140"/>
      <c r="DW5" s="141"/>
      <c r="DX5" s="142"/>
      <c r="DY5" s="140"/>
      <c r="DZ5" s="141"/>
      <c r="EA5" s="142"/>
      <c r="EB5" s="140"/>
      <c r="EC5" s="141"/>
      <c r="ED5" s="142"/>
      <c r="EE5" s="140"/>
      <c r="EF5" s="141"/>
      <c r="EG5" s="142"/>
      <c r="EH5" s="140"/>
      <c r="EI5" s="141"/>
      <c r="EJ5" s="142"/>
      <c r="EK5" s="140"/>
      <c r="EL5" s="141"/>
      <c r="EM5" s="142"/>
      <c r="EN5" s="140"/>
      <c r="EO5" s="141"/>
      <c r="EP5" s="142"/>
      <c r="EQ5" s="140"/>
      <c r="ER5" s="141"/>
      <c r="ES5" s="142"/>
      <c r="ET5" s="140"/>
      <c r="EU5" s="141"/>
      <c r="EV5" s="142"/>
      <c r="EW5" s="140"/>
      <c r="EX5" s="141"/>
      <c r="EY5" s="142"/>
      <c r="EZ5" s="140"/>
      <c r="FA5" s="141"/>
      <c r="FB5" s="142"/>
      <c r="FC5" s="140"/>
      <c r="FD5" s="141"/>
      <c r="FE5" s="142"/>
      <c r="FF5" s="140"/>
      <c r="FG5" s="141"/>
      <c r="FH5" s="142"/>
      <c r="FI5" s="140"/>
      <c r="FJ5" s="141"/>
      <c r="FK5" s="142"/>
      <c r="FL5" s="140"/>
      <c r="FM5" s="141"/>
      <c r="FN5" s="142"/>
      <c r="FO5" s="140"/>
      <c r="FP5" s="141"/>
      <c r="FQ5" s="142"/>
      <c r="FR5" s="140"/>
      <c r="FS5" s="141"/>
      <c r="FT5" s="142"/>
      <c r="FU5" s="140"/>
      <c r="FV5" s="141"/>
      <c r="FW5" s="142"/>
      <c r="FX5" s="140"/>
      <c r="FY5" s="141"/>
      <c r="FZ5" s="142"/>
      <c r="GA5" s="140"/>
      <c r="GB5" s="141"/>
      <c r="GC5" s="142"/>
      <c r="GD5" s="140"/>
      <c r="GE5" s="141"/>
      <c r="GF5" s="142"/>
      <c r="GG5" s="140"/>
      <c r="GH5" s="141"/>
      <c r="GI5" s="142"/>
      <c r="GJ5" s="140"/>
      <c r="GK5" s="141"/>
      <c r="GL5" s="142"/>
      <c r="GM5" s="140"/>
      <c r="GN5" s="141"/>
      <c r="GO5" s="142"/>
      <c r="GP5" s="140"/>
      <c r="GQ5" s="141"/>
      <c r="GR5" s="142"/>
      <c r="GS5" s="140"/>
      <c r="GT5" s="141"/>
      <c r="GU5" s="142"/>
      <c r="GV5" s="140"/>
      <c r="GW5" s="141"/>
      <c r="GX5" s="142"/>
      <c r="GY5" s="164"/>
      <c r="GZ5" s="134"/>
      <c r="HA5" s="185"/>
      <c r="HB5" s="131"/>
      <c r="HC5" s="307"/>
      <c r="HD5" s="131"/>
      <c r="HE5" s="307"/>
      <c r="HF5" s="131"/>
      <c r="HG5" s="307"/>
      <c r="HH5" s="131"/>
      <c r="HI5" s="307"/>
      <c r="HJ5" s="131"/>
      <c r="HK5" s="307"/>
      <c r="HL5" s="131"/>
      <c r="HM5" s="307"/>
      <c r="HN5" s="131"/>
      <c r="HO5" s="307"/>
      <c r="HP5" s="131"/>
      <c r="HQ5" s="307"/>
      <c r="HR5" s="131"/>
      <c r="HS5" s="307"/>
      <c r="HT5" s="131">
        <f>+'1915 Hacienda'!D19</f>
        <v>196598</v>
      </c>
      <c r="HU5" s="307">
        <f>+'1915 Hacienda'!E19</f>
        <v>35</v>
      </c>
    </row>
    <row r="6" spans="1:229" x14ac:dyDescent="0.2">
      <c r="A6" s="164" t="s">
        <v>5889</v>
      </c>
      <c r="B6" s="131"/>
      <c r="C6" s="134"/>
      <c r="D6" s="133"/>
      <c r="E6" s="131"/>
      <c r="F6" s="134"/>
      <c r="G6" s="133"/>
      <c r="H6" s="131"/>
      <c r="I6" s="134"/>
      <c r="J6" s="133"/>
      <c r="K6" s="131"/>
      <c r="L6" s="134"/>
      <c r="M6" s="133"/>
      <c r="N6" s="131"/>
      <c r="O6" s="134"/>
      <c r="P6" s="133"/>
      <c r="Q6" s="131"/>
      <c r="R6" s="134"/>
      <c r="S6" s="133"/>
      <c r="T6" s="131"/>
      <c r="U6" s="134"/>
      <c r="V6" s="133"/>
      <c r="W6" s="131"/>
      <c r="X6" s="134"/>
      <c r="Y6" s="133"/>
      <c r="Z6" s="131"/>
      <c r="AA6" s="134"/>
      <c r="AB6" s="133"/>
      <c r="AC6" s="131"/>
      <c r="AD6" s="134"/>
      <c r="AE6" s="133"/>
      <c r="AF6" s="131"/>
      <c r="AG6" s="134"/>
      <c r="AH6" s="133"/>
      <c r="AI6" s="145"/>
      <c r="AJ6" s="134"/>
      <c r="AK6" s="133"/>
      <c r="AL6" s="131"/>
      <c r="AM6" s="134"/>
      <c r="AN6" s="133"/>
      <c r="AO6" s="131"/>
      <c r="AP6" s="134"/>
      <c r="AQ6" s="133"/>
      <c r="AR6" s="131"/>
      <c r="AS6" s="134"/>
      <c r="AT6" s="180"/>
      <c r="AU6" s="131"/>
      <c r="AV6" s="185"/>
      <c r="AW6" s="131"/>
      <c r="AX6" s="185"/>
      <c r="AY6" s="131"/>
      <c r="AZ6" s="185"/>
      <c r="BA6" s="131"/>
      <c r="BB6" s="185"/>
      <c r="BC6" s="131"/>
      <c r="BD6" s="185"/>
      <c r="BE6" s="131"/>
      <c r="BF6" s="185"/>
      <c r="BG6" s="131"/>
      <c r="BH6" s="185"/>
      <c r="BI6" s="131"/>
      <c r="BJ6" s="185"/>
      <c r="BK6" s="131"/>
      <c r="BL6" s="185"/>
      <c r="BM6" s="131"/>
      <c r="BN6" s="185"/>
      <c r="BO6" s="131"/>
      <c r="BP6" s="134"/>
      <c r="BQ6" s="131"/>
      <c r="BR6" s="134"/>
      <c r="BS6" s="133"/>
      <c r="BT6" s="131"/>
      <c r="BU6" s="134"/>
      <c r="BV6" s="131"/>
      <c r="BW6" s="134"/>
      <c r="BX6" s="131"/>
      <c r="BY6" s="134"/>
      <c r="BZ6" s="131"/>
      <c r="CA6" s="134"/>
      <c r="CB6" s="133"/>
      <c r="CC6" s="131"/>
      <c r="CD6" s="134"/>
      <c r="CE6" s="133"/>
      <c r="CF6" s="131"/>
      <c r="CG6" s="134"/>
      <c r="CH6" s="133"/>
      <c r="CI6" s="131"/>
      <c r="CJ6" s="134"/>
      <c r="CK6" s="133"/>
      <c r="CL6" s="131"/>
      <c r="CM6" s="134"/>
      <c r="CN6" s="133"/>
      <c r="CO6" s="131"/>
      <c r="CP6" s="134"/>
      <c r="CQ6" s="133"/>
      <c r="CR6" s="131"/>
      <c r="CS6" s="134"/>
      <c r="CT6" s="133"/>
      <c r="CU6" s="131"/>
      <c r="CV6" s="134"/>
      <c r="CW6" s="133"/>
      <c r="CX6" s="131"/>
      <c r="CY6" s="134"/>
      <c r="CZ6" s="133"/>
      <c r="DA6" s="140"/>
      <c r="DB6" s="141"/>
      <c r="DC6" s="142"/>
      <c r="DD6" s="140"/>
      <c r="DE6" s="141"/>
      <c r="DF6" s="142"/>
      <c r="DG6" s="140"/>
      <c r="DH6" s="141"/>
      <c r="DI6" s="142"/>
      <c r="DJ6" s="140"/>
      <c r="DK6" s="141"/>
      <c r="DL6" s="142"/>
      <c r="DM6" s="140"/>
      <c r="DN6" s="141"/>
      <c r="DO6" s="142"/>
      <c r="DP6" s="140"/>
      <c r="DQ6" s="141"/>
      <c r="DR6" s="142"/>
      <c r="DS6" s="140"/>
      <c r="DT6" s="141"/>
      <c r="DU6" s="142"/>
      <c r="DV6" s="140"/>
      <c r="DW6" s="141"/>
      <c r="DX6" s="142"/>
      <c r="DY6" s="140"/>
      <c r="DZ6" s="141"/>
      <c r="EA6" s="142"/>
      <c r="EB6" s="140"/>
      <c r="EC6" s="141"/>
      <c r="ED6" s="142"/>
      <c r="EE6" s="140"/>
      <c r="EF6" s="141"/>
      <c r="EG6" s="142"/>
      <c r="EH6" s="140"/>
      <c r="EI6" s="141"/>
      <c r="EJ6" s="142"/>
      <c r="EK6" s="140"/>
      <c r="EL6" s="141"/>
      <c r="EM6" s="142"/>
      <c r="EN6" s="140"/>
      <c r="EO6" s="141"/>
      <c r="EP6" s="142"/>
      <c r="EQ6" s="140"/>
      <c r="ER6" s="141"/>
      <c r="ES6" s="142"/>
      <c r="ET6" s="140"/>
      <c r="EU6" s="141"/>
      <c r="EV6" s="142"/>
      <c r="EW6" s="140"/>
      <c r="EX6" s="141"/>
      <c r="EY6" s="142"/>
      <c r="EZ6" s="140"/>
      <c r="FA6" s="141"/>
      <c r="FB6" s="142"/>
      <c r="FC6" s="140"/>
      <c r="FD6" s="141"/>
      <c r="FE6" s="142"/>
      <c r="FF6" s="140"/>
      <c r="FG6" s="141"/>
      <c r="FH6" s="142"/>
      <c r="FI6" s="140"/>
      <c r="FJ6" s="141"/>
      <c r="FK6" s="142"/>
      <c r="FL6" s="140"/>
      <c r="FM6" s="141"/>
      <c r="FN6" s="142"/>
      <c r="FO6" s="140"/>
      <c r="FP6" s="141"/>
      <c r="FQ6" s="142"/>
      <c r="FR6" s="140"/>
      <c r="FS6" s="141"/>
      <c r="FT6" s="142"/>
      <c r="FU6" s="140"/>
      <c r="FV6" s="141"/>
      <c r="FW6" s="142"/>
      <c r="FX6" s="140"/>
      <c r="FY6" s="141"/>
      <c r="FZ6" s="142"/>
      <c r="GA6" s="140"/>
      <c r="GB6" s="141"/>
      <c r="GC6" s="142"/>
      <c r="GD6" s="140"/>
      <c r="GE6" s="141"/>
      <c r="GF6" s="142"/>
      <c r="GG6" s="140"/>
      <c r="GH6" s="141"/>
      <c r="GI6" s="142"/>
      <c r="GJ6" s="140"/>
      <c r="GK6" s="141"/>
      <c r="GL6" s="142"/>
      <c r="GM6" s="140"/>
      <c r="GN6" s="141"/>
      <c r="GO6" s="142"/>
      <c r="GP6" s="140"/>
      <c r="GQ6" s="141"/>
      <c r="GR6" s="142"/>
      <c r="GS6" s="140"/>
      <c r="GT6" s="141"/>
      <c r="GU6" s="142"/>
      <c r="GV6" s="140"/>
      <c r="GW6" s="141"/>
      <c r="GX6" s="142"/>
      <c r="GY6" s="164"/>
      <c r="GZ6" s="134"/>
      <c r="HA6" s="185"/>
      <c r="HB6" s="164"/>
      <c r="HC6" s="185"/>
      <c r="HD6" s="164"/>
      <c r="HE6" s="185"/>
      <c r="HF6" s="164"/>
      <c r="HG6" s="185"/>
      <c r="HH6" s="164"/>
      <c r="HI6" s="185"/>
      <c r="HJ6" s="164"/>
      <c r="HK6" s="185"/>
      <c r="HL6" s="164"/>
      <c r="HM6" s="185"/>
      <c r="HN6" s="164"/>
      <c r="HO6" s="185"/>
      <c r="HP6" s="164"/>
      <c r="HQ6" s="185"/>
      <c r="HR6" s="164"/>
      <c r="HS6" s="185"/>
      <c r="HT6" s="164">
        <f>+'1915 Hacienda'!D20</f>
        <v>217260</v>
      </c>
      <c r="HU6" s="185">
        <f>+'1915 Hacienda'!E20</f>
        <v>20</v>
      </c>
    </row>
    <row r="7" spans="1:229" ht="30" x14ac:dyDescent="0.2">
      <c r="A7" s="178" t="s">
        <v>5554</v>
      </c>
      <c r="B7" s="131"/>
      <c r="C7" s="134"/>
      <c r="D7" s="133"/>
      <c r="E7" s="131"/>
      <c r="F7" s="134"/>
      <c r="G7" s="133"/>
      <c r="H7" s="131"/>
      <c r="I7" s="134"/>
      <c r="J7" s="133"/>
      <c r="K7" s="131"/>
      <c r="L7" s="134"/>
      <c r="M7" s="133"/>
      <c r="N7" s="131"/>
      <c r="O7" s="134"/>
      <c r="P7" s="133"/>
      <c r="Q7" s="131"/>
      <c r="R7" s="134"/>
      <c r="S7" s="133"/>
      <c r="T7" s="131"/>
      <c r="U7" s="134"/>
      <c r="V7" s="133"/>
      <c r="W7" s="131"/>
      <c r="X7" s="134"/>
      <c r="Y7" s="133"/>
      <c r="Z7" s="131"/>
      <c r="AA7" s="134"/>
      <c r="AB7" s="133"/>
      <c r="AC7" s="131"/>
      <c r="AD7" s="134"/>
      <c r="AE7" s="133"/>
      <c r="AF7" s="131"/>
      <c r="AG7" s="134"/>
      <c r="AH7" s="133"/>
      <c r="AI7" s="145"/>
      <c r="AJ7" s="134"/>
      <c r="AK7" s="133"/>
      <c r="AL7" s="131"/>
      <c r="AM7" s="134"/>
      <c r="AN7" s="133"/>
      <c r="AO7" s="131"/>
      <c r="AP7" s="134"/>
      <c r="AQ7" s="133"/>
      <c r="AR7" s="131"/>
      <c r="AS7" s="134"/>
      <c r="AT7" s="180"/>
      <c r="AU7" s="131"/>
      <c r="AV7" s="185"/>
      <c r="AW7" s="131"/>
      <c r="AX7" s="185"/>
      <c r="AY7" s="131"/>
      <c r="AZ7" s="185"/>
      <c r="BA7" s="131"/>
      <c r="BB7" s="185"/>
      <c r="BC7" s="131"/>
      <c r="BD7" s="185"/>
      <c r="BE7" s="131"/>
      <c r="BF7" s="185"/>
      <c r="BG7" s="131"/>
      <c r="BH7" s="185"/>
      <c r="BI7" s="131"/>
      <c r="BJ7" s="185"/>
      <c r="BK7" s="131"/>
      <c r="BL7" s="185"/>
      <c r="BM7" s="131"/>
      <c r="BN7" s="185"/>
      <c r="BO7" s="131"/>
      <c r="BP7" s="134"/>
      <c r="BQ7" s="131">
        <f>+'1858 Hacienda'!B285</f>
        <v>1385</v>
      </c>
      <c r="BR7" s="134">
        <f>+'1858 Hacienda'!C285</f>
        <v>75</v>
      </c>
      <c r="BS7" s="133">
        <f>+'1858 Hacienda'!D285</f>
        <v>0.5</v>
      </c>
      <c r="BT7" s="131"/>
      <c r="BU7" s="134"/>
      <c r="BV7" s="131"/>
      <c r="BW7" s="134"/>
      <c r="BX7" s="131"/>
      <c r="BY7" s="134"/>
      <c r="BZ7" s="131"/>
      <c r="CA7" s="134"/>
      <c r="CB7" s="133"/>
      <c r="CC7" s="131"/>
      <c r="CD7" s="134"/>
      <c r="CE7" s="133"/>
      <c r="CF7" s="131"/>
      <c r="CG7" s="134"/>
      <c r="CH7" s="133"/>
      <c r="CI7" s="131">
        <f>+'1869 Hacienda'!B51</f>
        <v>0</v>
      </c>
      <c r="CK7" s="133"/>
      <c r="CL7" s="131">
        <f>+'1869 Hacienda'!C51</f>
        <v>0</v>
      </c>
      <c r="CN7" s="133"/>
      <c r="CO7" s="131">
        <f>+'1869 Hacienda'!D51</f>
        <v>0</v>
      </c>
      <c r="CQ7" s="133"/>
      <c r="CR7" s="131">
        <f>+'1869 Hacienda'!E51</f>
        <v>9499</v>
      </c>
      <c r="CT7" s="133"/>
      <c r="CU7" s="107">
        <f>+'1869 Hacienda'!F51</f>
        <v>167361</v>
      </c>
      <c r="CV7" s="134"/>
      <c r="CW7" s="133"/>
      <c r="CX7" s="131">
        <f>+'1869 Hacienda'!B12</f>
        <v>185613</v>
      </c>
      <c r="CY7" s="134"/>
      <c r="CZ7" s="133"/>
      <c r="DA7" s="140">
        <f>+'1872 Hacienda'!B15</f>
        <v>151169</v>
      </c>
      <c r="DB7" s="141">
        <f>+'1872 Hacienda'!C15</f>
        <v>17</v>
      </c>
      <c r="DC7" s="142">
        <f>+'1872 Hacienda'!D15</f>
        <v>0.5</v>
      </c>
      <c r="DD7" s="140"/>
      <c r="DE7" s="141"/>
      <c r="DF7" s="142"/>
      <c r="DG7" s="140"/>
      <c r="DH7" s="141"/>
      <c r="DI7" s="142"/>
      <c r="DJ7" s="140">
        <f>+'1875 Hacienda'!B16</f>
        <v>14000</v>
      </c>
      <c r="DK7" s="141"/>
      <c r="DL7" s="142"/>
      <c r="DM7" s="140"/>
      <c r="DN7" s="141"/>
      <c r="DO7" s="142"/>
      <c r="DP7" s="140"/>
      <c r="DQ7" s="141"/>
      <c r="DR7" s="142"/>
      <c r="DS7" s="140"/>
      <c r="DT7" s="141"/>
      <c r="DU7" s="142"/>
      <c r="DV7" s="140"/>
      <c r="DW7" s="141"/>
      <c r="DX7" s="142"/>
      <c r="DY7" s="140"/>
      <c r="DZ7" s="141"/>
      <c r="EA7" s="142"/>
      <c r="EB7" s="140"/>
      <c r="EC7" s="141"/>
      <c r="ED7" s="142"/>
      <c r="EE7" s="140"/>
      <c r="EF7" s="141"/>
      <c r="EG7" s="142"/>
      <c r="EH7" s="140"/>
      <c r="EI7" s="141"/>
      <c r="EJ7" s="142"/>
      <c r="EK7" s="140"/>
      <c r="EL7" s="141"/>
      <c r="EM7" s="142"/>
      <c r="EN7" s="140"/>
      <c r="EO7" s="141"/>
      <c r="EP7" s="142"/>
      <c r="EQ7" s="140"/>
      <c r="ER7" s="141"/>
      <c r="ES7" s="142"/>
      <c r="ET7" s="140"/>
      <c r="EU7" s="141"/>
      <c r="EV7" s="142"/>
      <c r="EW7" s="140"/>
      <c r="EX7" s="141"/>
      <c r="EY7" s="142"/>
      <c r="EZ7" s="140"/>
      <c r="FA7" s="141"/>
      <c r="FB7" s="142"/>
      <c r="FC7" s="140"/>
      <c r="FD7" s="141"/>
      <c r="FE7" s="142"/>
      <c r="FF7" s="140"/>
      <c r="FG7" s="141"/>
      <c r="FH7" s="142"/>
      <c r="FI7" s="140"/>
      <c r="FJ7" s="141"/>
      <c r="FK7" s="142"/>
      <c r="FL7" s="140"/>
      <c r="FM7" s="141"/>
      <c r="FN7" s="142"/>
      <c r="FO7" s="140"/>
      <c r="FP7" s="141"/>
      <c r="FQ7" s="142"/>
      <c r="FR7" s="140"/>
      <c r="FS7" s="141"/>
      <c r="FT7" s="142"/>
      <c r="FU7" s="140"/>
      <c r="FV7" s="141"/>
      <c r="FW7" s="142"/>
      <c r="FX7" s="140"/>
      <c r="FY7" s="141"/>
      <c r="FZ7" s="142"/>
      <c r="GA7" s="140"/>
      <c r="GB7" s="141"/>
      <c r="GC7" s="142"/>
      <c r="GD7" s="140"/>
      <c r="GE7" s="141"/>
      <c r="GF7" s="142"/>
      <c r="GG7" s="140"/>
      <c r="GH7" s="141"/>
      <c r="GI7" s="142"/>
      <c r="GJ7" s="140"/>
      <c r="GK7" s="141"/>
      <c r="GL7" s="142"/>
      <c r="GM7" s="140"/>
      <c r="GN7" s="141"/>
      <c r="GO7" s="142"/>
      <c r="GP7" s="140"/>
      <c r="GQ7" s="141"/>
      <c r="GR7" s="142"/>
      <c r="GS7" s="140"/>
      <c r="GT7" s="141"/>
      <c r="GU7" s="142"/>
      <c r="GV7" s="140"/>
      <c r="GW7" s="141"/>
      <c r="GX7" s="142"/>
      <c r="GY7" s="164"/>
      <c r="GZ7" s="134"/>
      <c r="HA7" s="185"/>
      <c r="HB7" s="131"/>
      <c r="HC7" s="307"/>
      <c r="HD7" s="131"/>
      <c r="HE7" s="307"/>
      <c r="HF7" s="131"/>
      <c r="HG7" s="307"/>
      <c r="HH7" s="131"/>
      <c r="HI7" s="307"/>
      <c r="HJ7" s="131"/>
      <c r="HK7" s="307"/>
      <c r="HL7" s="131">
        <f>+'1911 Hacienda'!B28</f>
        <v>25410</v>
      </c>
      <c r="HM7" s="307">
        <f>+'1911 Hacienda'!C28</f>
        <v>28</v>
      </c>
      <c r="HN7" s="131"/>
      <c r="HO7" s="307"/>
      <c r="HP7" s="131"/>
      <c r="HQ7" s="307"/>
      <c r="HR7" s="131"/>
      <c r="HS7" s="307"/>
      <c r="HT7" s="131">
        <f>+'1915 Hacienda'!D9</f>
        <v>338</v>
      </c>
      <c r="HU7" s="307">
        <f>+'1915 Hacienda'!E9</f>
        <v>50</v>
      </c>
    </row>
    <row r="8" spans="1:229" ht="31.75" customHeight="1" x14ac:dyDescent="0.2">
      <c r="A8" s="178" t="s">
        <v>5551</v>
      </c>
      <c r="B8" s="131"/>
      <c r="C8" s="134"/>
      <c r="D8" s="133"/>
      <c r="E8" s="131"/>
      <c r="F8" s="134"/>
      <c r="G8" s="133"/>
      <c r="H8" s="131"/>
      <c r="I8" s="134"/>
      <c r="J8" s="133"/>
      <c r="K8" s="131"/>
      <c r="L8" s="134"/>
      <c r="M8" s="133"/>
      <c r="N8" s="131"/>
      <c r="O8" s="134"/>
      <c r="P8" s="133"/>
      <c r="Q8" s="131"/>
      <c r="R8" s="134"/>
      <c r="S8" s="133"/>
      <c r="T8" s="131"/>
      <c r="U8" s="134"/>
      <c r="V8" s="133"/>
      <c r="W8" s="131"/>
      <c r="X8" s="134"/>
      <c r="Y8" s="133"/>
      <c r="Z8" s="131"/>
      <c r="AA8" s="134"/>
      <c r="AB8" s="133"/>
      <c r="AC8" s="131"/>
      <c r="AD8" s="134"/>
      <c r="AE8" s="133"/>
      <c r="AF8" s="131"/>
      <c r="AG8" s="134"/>
      <c r="AH8" s="133"/>
      <c r="AI8" s="145"/>
      <c r="AJ8" s="134"/>
      <c r="AK8" s="133"/>
      <c r="AL8" s="131"/>
      <c r="AM8" s="134"/>
      <c r="AN8" s="133"/>
      <c r="AO8" s="131"/>
      <c r="AP8" s="134"/>
      <c r="AQ8" s="133"/>
      <c r="AR8" s="131"/>
      <c r="AS8" s="134"/>
      <c r="AT8" s="180"/>
      <c r="AU8" s="131"/>
      <c r="AV8" s="185"/>
      <c r="AW8" s="131"/>
      <c r="AX8" s="185"/>
      <c r="AY8" s="131"/>
      <c r="AZ8" s="185"/>
      <c r="BA8" s="131"/>
      <c r="BB8" s="185"/>
      <c r="BC8" s="131"/>
      <c r="BD8" s="185"/>
      <c r="BE8" s="131"/>
      <c r="BF8" s="185"/>
      <c r="BG8" s="131"/>
      <c r="BH8" s="185"/>
      <c r="BI8" s="131"/>
      <c r="BJ8" s="185"/>
      <c r="BK8" s="131"/>
      <c r="BL8" s="185"/>
      <c r="BM8" s="131"/>
      <c r="BN8" s="185"/>
      <c r="BO8" s="131"/>
      <c r="BP8" s="134"/>
      <c r="BQ8" s="131"/>
      <c r="BR8" s="134"/>
      <c r="BS8" s="133"/>
      <c r="BT8" s="131"/>
      <c r="BU8" s="134"/>
      <c r="BV8" s="131"/>
      <c r="BW8" s="134"/>
      <c r="BX8" s="131"/>
      <c r="BY8" s="134"/>
      <c r="BZ8" s="131"/>
      <c r="CA8" s="134"/>
      <c r="CB8" s="133"/>
      <c r="CC8" s="131"/>
      <c r="CD8" s="134"/>
      <c r="CE8" s="133"/>
      <c r="CF8" s="131"/>
      <c r="CG8" s="134"/>
      <c r="CH8" s="133"/>
      <c r="CI8" s="131"/>
      <c r="CJ8" s="134"/>
      <c r="CK8" s="133"/>
      <c r="CL8" s="131"/>
      <c r="CM8" s="134"/>
      <c r="CN8" s="133"/>
      <c r="CO8" s="131"/>
      <c r="CP8" s="134"/>
      <c r="CQ8" s="133"/>
      <c r="CR8" s="131"/>
      <c r="CS8" s="134"/>
      <c r="CT8" s="133"/>
      <c r="CU8" s="131"/>
      <c r="CV8" s="134"/>
      <c r="CW8" s="133"/>
      <c r="CX8" s="131"/>
      <c r="CY8" s="134"/>
      <c r="CZ8" s="133"/>
      <c r="DA8" s="140"/>
      <c r="DB8" s="141"/>
      <c r="DC8" s="142"/>
      <c r="DD8" s="140"/>
      <c r="DE8" s="141"/>
      <c r="DF8" s="142"/>
      <c r="DG8" s="140"/>
      <c r="DH8" s="141"/>
      <c r="DI8" s="142"/>
      <c r="DJ8" s="140"/>
      <c r="DK8" s="141"/>
      <c r="DL8" s="142"/>
      <c r="DM8" s="140"/>
      <c r="DN8" s="141"/>
      <c r="DO8" s="142"/>
      <c r="DP8" s="140"/>
      <c r="DQ8" s="141"/>
      <c r="DR8" s="142"/>
      <c r="DS8" s="140"/>
      <c r="DT8" s="141"/>
      <c r="DU8" s="142"/>
      <c r="DV8" s="140"/>
      <c r="DW8" s="141"/>
      <c r="DX8" s="142"/>
      <c r="DY8" s="140"/>
      <c r="DZ8" s="141"/>
      <c r="EA8" s="142"/>
      <c r="EB8" s="140"/>
      <c r="EC8" s="141"/>
      <c r="ED8" s="142"/>
      <c r="EE8" s="140"/>
      <c r="EF8" s="141"/>
      <c r="EG8" s="142"/>
      <c r="EH8" s="140"/>
      <c r="EI8" s="141"/>
      <c r="EJ8" s="142"/>
      <c r="EK8" s="140"/>
      <c r="EL8" s="141"/>
      <c r="EM8" s="142"/>
      <c r="EN8" s="140"/>
      <c r="EO8" s="141"/>
      <c r="EP8" s="142"/>
      <c r="EQ8" s="140"/>
      <c r="ER8" s="141"/>
      <c r="ES8" s="142"/>
      <c r="ET8" s="140"/>
      <c r="EU8" s="141"/>
      <c r="EV8" s="142"/>
      <c r="EW8" s="140"/>
      <c r="EX8" s="141"/>
      <c r="EY8" s="142"/>
      <c r="EZ8" s="140"/>
      <c r="FA8" s="141"/>
      <c r="FB8" s="142"/>
      <c r="FC8" s="140"/>
      <c r="FD8" s="141"/>
      <c r="FE8" s="142"/>
      <c r="FF8" s="140"/>
      <c r="FG8" s="141"/>
      <c r="FH8" s="142"/>
      <c r="FI8" s="140"/>
      <c r="FJ8" s="141"/>
      <c r="FK8" s="142"/>
      <c r="FL8" s="140"/>
      <c r="FM8" s="141"/>
      <c r="FN8" s="142"/>
      <c r="FO8" s="140"/>
      <c r="FP8" s="141"/>
      <c r="FQ8" s="142"/>
      <c r="FR8" s="140"/>
      <c r="FS8" s="141"/>
      <c r="FT8" s="142"/>
      <c r="FU8" s="140"/>
      <c r="FV8" s="141"/>
      <c r="FW8" s="142"/>
      <c r="FX8" s="140"/>
      <c r="FY8" s="141"/>
      <c r="FZ8" s="142"/>
      <c r="GA8" s="140"/>
      <c r="GB8" s="141"/>
      <c r="GC8" s="142"/>
      <c r="GD8" s="140"/>
      <c r="GE8" s="141"/>
      <c r="GF8" s="142"/>
      <c r="GG8" s="140"/>
      <c r="GH8" s="141"/>
      <c r="GI8" s="142"/>
      <c r="GJ8" s="140"/>
      <c r="GK8" s="141"/>
      <c r="GL8" s="142"/>
      <c r="GM8" s="140"/>
      <c r="GN8" s="141"/>
      <c r="GO8" s="142"/>
      <c r="GP8" s="140"/>
      <c r="GQ8" s="141"/>
      <c r="GR8" s="142"/>
      <c r="GS8" s="140"/>
      <c r="GT8" s="141"/>
      <c r="GU8" s="142"/>
      <c r="GV8" s="140"/>
      <c r="GW8" s="141"/>
      <c r="GX8" s="142"/>
      <c r="GY8" s="164"/>
      <c r="GZ8" s="134"/>
      <c r="HA8" s="185"/>
      <c r="HB8" s="131"/>
      <c r="HC8" s="307"/>
      <c r="HD8" s="131"/>
      <c r="HE8" s="307"/>
      <c r="HF8" s="131"/>
      <c r="HG8" s="307"/>
      <c r="HH8" s="131"/>
      <c r="HI8" s="307"/>
      <c r="HJ8" s="131"/>
      <c r="HK8" s="307"/>
      <c r="HL8" s="131">
        <f>+'1911 Hacienda'!B25</f>
        <v>165156</v>
      </c>
      <c r="HM8" s="307">
        <f>+'1911 Hacienda'!C25</f>
        <v>84</v>
      </c>
      <c r="HN8" s="131"/>
      <c r="HO8" s="307"/>
      <c r="HP8" s="131"/>
      <c r="HQ8" s="307"/>
      <c r="HR8" s="131"/>
      <c r="HS8" s="307"/>
      <c r="HT8" s="131"/>
      <c r="HU8" s="307"/>
    </row>
    <row r="9" spans="1:229" x14ac:dyDescent="0.2">
      <c r="A9" s="106" t="s">
        <v>1175</v>
      </c>
      <c r="B9" s="131"/>
      <c r="C9" s="134"/>
      <c r="D9" s="133"/>
      <c r="E9" s="131"/>
      <c r="F9" s="134"/>
      <c r="G9" s="133"/>
      <c r="H9" s="131"/>
      <c r="I9" s="134"/>
      <c r="J9" s="133"/>
      <c r="K9" s="131"/>
      <c r="L9" s="134"/>
      <c r="M9" s="133"/>
      <c r="N9" s="131">
        <v>90374</v>
      </c>
      <c r="O9" s="134">
        <v>7</v>
      </c>
      <c r="P9" s="133">
        <f>1/4</f>
        <v>0.25</v>
      </c>
      <c r="Q9" s="131"/>
      <c r="R9" s="134"/>
      <c r="S9" s="133"/>
      <c r="T9" s="131"/>
      <c r="U9" s="134"/>
      <c r="V9" s="133"/>
      <c r="W9" s="131"/>
      <c r="X9" s="134"/>
      <c r="Y9" s="133"/>
      <c r="Z9" s="131"/>
      <c r="AA9" s="134"/>
      <c r="AB9" s="133"/>
      <c r="AC9" s="131"/>
      <c r="AD9" s="134"/>
      <c r="AE9" s="133"/>
      <c r="AF9" s="131"/>
      <c r="AG9" s="134"/>
      <c r="AH9" s="133"/>
      <c r="AI9" s="145">
        <v>80681</v>
      </c>
      <c r="AJ9" s="134">
        <v>1</v>
      </c>
      <c r="AK9" s="133"/>
      <c r="AL9" s="131">
        <v>80462</v>
      </c>
      <c r="AM9" s="134">
        <v>3</v>
      </c>
      <c r="AN9" s="133">
        <v>0.75</v>
      </c>
      <c r="AO9" s="131">
        <f>'1846 Hacienda'!E64</f>
        <v>76418</v>
      </c>
      <c r="AP9" s="134">
        <f>'1846 Hacienda'!F64</f>
        <v>2</v>
      </c>
      <c r="AQ9" s="133">
        <f>'1846 Hacienda'!G64</f>
        <v>0.75</v>
      </c>
      <c r="AR9" s="131"/>
      <c r="AS9" s="134"/>
      <c r="AT9" s="180"/>
      <c r="AU9" s="131"/>
      <c r="AV9" s="185"/>
      <c r="AW9" s="131">
        <f>+'1858 Hacienda'!D549</f>
        <v>64986</v>
      </c>
      <c r="AX9" s="185">
        <f>+'1858 Hacienda'!E549</f>
        <v>551</v>
      </c>
      <c r="AY9" s="131">
        <f>+'1858 Hacienda'!D608</f>
        <v>70346</v>
      </c>
      <c r="AZ9" s="185">
        <f>+'1858 Hacienda'!E608</f>
        <v>587</v>
      </c>
      <c r="BA9" s="131">
        <f>+'1858 Hacienda'!B493</f>
        <v>124082</v>
      </c>
      <c r="BB9" s="185">
        <f>+'1858 Hacienda'!C493</f>
        <v>659</v>
      </c>
      <c r="BC9" s="131">
        <f>+'1858 Hacienda'!B1021</f>
        <v>127767</v>
      </c>
      <c r="BD9" s="185">
        <f>+'1858 Hacienda'!C1021</f>
        <v>302</v>
      </c>
      <c r="BE9" s="131">
        <f>+'1858 Hacienda'!B1045</f>
        <v>66126</v>
      </c>
      <c r="BF9" s="185">
        <f>+'1858 Hacienda'!C1045</f>
        <v>89</v>
      </c>
      <c r="BG9" s="131">
        <f>+'1858 Hacienda'!B1066</f>
        <v>63670</v>
      </c>
      <c r="BH9" s="185">
        <f>+'1858 Hacienda'!C1066</f>
        <v>609</v>
      </c>
      <c r="BI9" s="131">
        <f>+'1858 Hacienda'!B1085</f>
        <v>53714</v>
      </c>
      <c r="BJ9" s="185">
        <f>+'1858 Hacienda'!C1085</f>
        <v>38</v>
      </c>
      <c r="BK9" s="131">
        <f>+'1858 Hacienda'!B1108</f>
        <v>49957</v>
      </c>
      <c r="BL9" s="185">
        <f>+'1858 Hacienda'!C1108</f>
        <v>590</v>
      </c>
      <c r="BM9" s="131">
        <f>+'1858 Hacienda'!D1125</f>
        <v>60639</v>
      </c>
      <c r="BN9" s="185">
        <f>+'1858 Hacienda'!E1125</f>
        <v>1040</v>
      </c>
      <c r="BO9" s="131"/>
      <c r="BP9" s="134"/>
      <c r="BQ9" s="131">
        <f>+'1858 Hacienda'!B280</f>
        <v>62149</v>
      </c>
      <c r="BR9" s="134">
        <f>+'1858 Hacienda'!C280</f>
        <v>60</v>
      </c>
      <c r="BS9" s="133">
        <f>+'1858 Hacienda'!D280</f>
        <v>0.5</v>
      </c>
      <c r="BT9" s="131"/>
      <c r="BU9" s="134"/>
      <c r="BV9" s="131"/>
      <c r="BW9" s="134"/>
      <c r="BX9" s="131"/>
      <c r="BY9" s="134"/>
      <c r="BZ9" s="131"/>
      <c r="CA9" s="134"/>
      <c r="CB9" s="133"/>
      <c r="CC9" s="131"/>
      <c r="CD9" s="134"/>
      <c r="CE9" s="133"/>
      <c r="CF9" s="131"/>
      <c r="CG9" s="134"/>
      <c r="CH9" s="133"/>
      <c r="CI9" s="131">
        <f>+'1869 Hacienda'!B48</f>
        <v>0</v>
      </c>
      <c r="CK9" s="133"/>
      <c r="CL9" s="131">
        <f>+'1869 Hacienda'!C48</f>
        <v>49632</v>
      </c>
      <c r="CN9" s="133"/>
      <c r="CO9" s="131">
        <f>+'1869 Hacienda'!D48</f>
        <v>39510</v>
      </c>
      <c r="CQ9" s="133"/>
      <c r="CR9" s="131">
        <f>+'1869 Hacienda'!E48</f>
        <v>45819</v>
      </c>
      <c r="CT9" s="133"/>
      <c r="CU9" s="107">
        <f>+'1869 Hacienda'!F48</f>
        <v>48995</v>
      </c>
      <c r="CV9" s="134"/>
      <c r="CW9" s="133"/>
      <c r="CX9" s="131">
        <f>+'1869 Hacienda'!B9</f>
        <v>51282</v>
      </c>
      <c r="CY9" s="134"/>
      <c r="CZ9" s="133"/>
      <c r="DA9" s="140">
        <f>+'1872 Hacienda'!B9</f>
        <v>52941</v>
      </c>
      <c r="DB9" s="141">
        <f>+'1872 Hacienda'!C9</f>
        <v>85</v>
      </c>
      <c r="DC9" s="142">
        <f>+'1872 Hacienda'!D9</f>
        <v>0</v>
      </c>
      <c r="DD9" s="140"/>
      <c r="DE9" s="141"/>
      <c r="DF9" s="142"/>
      <c r="DG9" s="140"/>
      <c r="DH9" s="141"/>
      <c r="DI9" s="142"/>
      <c r="DJ9" s="140">
        <f>+'1875 Hacienda'!B12</f>
        <v>63000</v>
      </c>
      <c r="DK9" s="141"/>
      <c r="DL9" s="142"/>
      <c r="DM9" s="140"/>
      <c r="DN9" s="141"/>
      <c r="DO9" s="142"/>
      <c r="DP9" s="140"/>
      <c r="DQ9" s="141"/>
      <c r="DR9" s="142"/>
      <c r="DS9" s="140"/>
      <c r="DT9" s="141"/>
      <c r="DU9" s="142"/>
      <c r="DV9" s="140"/>
      <c r="DW9" s="141"/>
      <c r="DX9" s="142"/>
      <c r="DY9" s="140">
        <f>+'1880 Hacienda'!B13</f>
        <v>79773</v>
      </c>
      <c r="DZ9" s="141">
        <f>+'1880 Hacienda'!C13</f>
        <v>28</v>
      </c>
      <c r="EA9" s="142">
        <f>+'1880 Hacienda'!D13</f>
        <v>0.5</v>
      </c>
      <c r="EB9" s="140">
        <f>+'1881 Hacienda'!B12</f>
        <v>97205</v>
      </c>
      <c r="EC9" s="141">
        <f>+'1881 Hacienda'!C12</f>
        <v>470</v>
      </c>
      <c r="ED9" s="142"/>
      <c r="EE9" s="140">
        <f>+'1882 Hacienda'!B10</f>
        <v>45196</v>
      </c>
      <c r="EF9" s="141">
        <f>+'1882 Hacienda'!C10</f>
        <v>11</v>
      </c>
      <c r="EG9" s="142"/>
      <c r="EH9" s="140">
        <f>+'1883 Hacienda'!B8</f>
        <v>110000</v>
      </c>
      <c r="EI9" s="141"/>
      <c r="EJ9" s="142"/>
      <c r="EK9" s="140"/>
      <c r="EL9" s="141"/>
      <c r="EM9" s="142"/>
      <c r="EN9" s="140"/>
      <c r="EO9" s="141"/>
      <c r="EP9" s="142"/>
      <c r="EQ9" s="140"/>
      <c r="ER9" s="141"/>
      <c r="ES9" s="142"/>
      <c r="ET9" s="140"/>
      <c r="EU9" s="141"/>
      <c r="EV9" s="142"/>
      <c r="EW9" s="140"/>
      <c r="EX9" s="141"/>
      <c r="EY9" s="142"/>
      <c r="EZ9" s="140"/>
      <c r="FA9" s="141"/>
      <c r="FB9" s="142"/>
      <c r="FC9" s="140">
        <f>+'1890 Hacienda'!B215</f>
        <v>391790</v>
      </c>
      <c r="FD9" s="141"/>
      <c r="FE9" s="142"/>
      <c r="FF9" s="140">
        <f>+'1890 Hacienda'!E215</f>
        <v>225500</v>
      </c>
      <c r="FG9" s="141"/>
      <c r="FH9" s="142"/>
      <c r="FI9" s="140"/>
      <c r="FJ9" s="141"/>
      <c r="FK9" s="142"/>
      <c r="FL9" s="140">
        <f>+'1894 Hacienda'!C12</f>
        <v>146734</v>
      </c>
      <c r="FM9" s="141">
        <f>+'1894 Hacienda'!D12</f>
        <v>88</v>
      </c>
      <c r="FN9" s="142"/>
      <c r="FO9" s="140">
        <f>+'1894 Hacienda'!F12</f>
        <v>146824</v>
      </c>
      <c r="FP9" s="141">
        <f>+'1894 Hacienda'!G12</f>
        <v>23</v>
      </c>
      <c r="FQ9" s="142">
        <f>+'1894 Hacienda'!H12</f>
        <v>0.5</v>
      </c>
      <c r="FR9" s="140">
        <f>+'1896 Hacienda'!C13</f>
        <v>140130</v>
      </c>
      <c r="FS9" s="141">
        <f>+'1896 Hacienda'!D13</f>
        <v>50</v>
      </c>
      <c r="FT9" s="142">
        <f>+'1896 Hacienda'!E13</f>
        <v>0.5</v>
      </c>
      <c r="FU9" s="140">
        <f>+'1896 Hacienda'!F13</f>
        <v>142015</v>
      </c>
      <c r="FV9" s="141">
        <f>+'1896 Hacienda'!G13</f>
        <v>54</v>
      </c>
      <c r="FW9" s="142"/>
      <c r="FX9" s="140">
        <f>+'1896 Hacienda'!L13</f>
        <v>120430</v>
      </c>
      <c r="FY9" s="141">
        <f>+'1896 Hacienda'!M13</f>
        <v>36</v>
      </c>
      <c r="FZ9" s="142"/>
      <c r="GA9" s="140">
        <f>+'1898 Hacienda'!E13</f>
        <v>242945</v>
      </c>
      <c r="GB9" s="141">
        <f>+'1898 Hacienda'!F13</f>
        <v>90</v>
      </c>
      <c r="GC9" s="142">
        <f>+'1898 Hacienda'!G13</f>
        <v>0.5</v>
      </c>
      <c r="GD9" s="140">
        <f>+'1898 Hacienda'!K13</f>
        <v>230698</v>
      </c>
      <c r="GE9" s="141">
        <f>+'1898 Hacienda'!L13</f>
        <v>69</v>
      </c>
      <c r="GF9" s="142"/>
      <c r="GG9" s="140"/>
      <c r="GH9" s="141"/>
      <c r="GI9" s="142"/>
      <c r="GJ9" s="140"/>
      <c r="GK9" s="141"/>
      <c r="GL9" s="142"/>
      <c r="GM9" s="140"/>
      <c r="GN9" s="141"/>
      <c r="GO9" s="142"/>
      <c r="GP9" s="140"/>
      <c r="GQ9" s="141"/>
      <c r="GR9" s="142"/>
      <c r="GS9" s="140"/>
      <c r="GT9" s="141"/>
      <c r="GU9" s="142"/>
      <c r="GV9" s="140"/>
      <c r="GW9" s="141"/>
      <c r="GX9" s="142"/>
      <c r="GY9" s="164"/>
      <c r="GZ9" s="134"/>
      <c r="HA9" s="185"/>
      <c r="HB9" s="131">
        <f>'1910 Hacienda'!C7</f>
        <v>48148</v>
      </c>
      <c r="HC9" s="307">
        <f>'1910 Hacienda'!D7</f>
        <v>76</v>
      </c>
      <c r="HD9" s="131">
        <f>'1910 Hacienda'!C32</f>
        <v>79150</v>
      </c>
      <c r="HE9" s="307">
        <f>'1910 Hacienda'!D32</f>
        <v>20</v>
      </c>
      <c r="HF9" s="131">
        <f>'1910 Hacienda'!C61</f>
        <v>86269</v>
      </c>
      <c r="HG9" s="307">
        <f>'1910 Hacienda'!D61</f>
        <v>93</v>
      </c>
      <c r="HH9" s="131">
        <f>'1910 Hacienda'!C91</f>
        <v>83909</v>
      </c>
      <c r="HI9" s="307">
        <f>'1910 Hacienda'!D91</f>
        <v>92</v>
      </c>
      <c r="HJ9" s="131">
        <f>'1910 Hacienda'!C134</f>
        <v>94609</v>
      </c>
      <c r="HK9" s="307">
        <f>'1910 Hacienda'!D134</f>
        <v>69</v>
      </c>
      <c r="HL9" s="131">
        <f>+'1911 Hacienda'!B30</f>
        <v>110068</v>
      </c>
      <c r="HM9" s="307">
        <f>+'1911 Hacienda'!C30</f>
        <v>94</v>
      </c>
      <c r="HN9" s="131">
        <f>+'1912A Hacienda'!B11</f>
        <v>119799</v>
      </c>
      <c r="HO9" s="307">
        <f>+'1912A Hacienda'!C11</f>
        <v>92</v>
      </c>
      <c r="HP9" s="131">
        <f>+'1912 Hacienda'!B15</f>
        <v>168680</v>
      </c>
      <c r="HQ9" s="307">
        <f>+'1912 Hacienda'!C15</f>
        <v>93</v>
      </c>
      <c r="HR9" s="131"/>
      <c r="HS9" s="307"/>
      <c r="HT9" s="131">
        <f>+'1915 Hacienda'!D11</f>
        <v>194809</v>
      </c>
      <c r="HU9" s="307">
        <f>+'1915 Hacienda'!E11</f>
        <v>69</v>
      </c>
    </row>
    <row r="10" spans="1:229" x14ac:dyDescent="0.2">
      <c r="A10" s="106" t="s">
        <v>1176</v>
      </c>
      <c r="B10" s="131"/>
      <c r="C10" s="134"/>
      <c r="D10" s="133"/>
      <c r="E10" s="131"/>
      <c r="F10" s="134"/>
      <c r="G10" s="133"/>
      <c r="H10" s="131"/>
      <c r="I10" s="134"/>
      <c r="J10" s="133"/>
      <c r="K10" s="131"/>
      <c r="L10" s="134"/>
      <c r="M10" s="133"/>
      <c r="N10" s="131"/>
      <c r="O10" s="134"/>
      <c r="P10" s="133"/>
      <c r="Q10" s="131"/>
      <c r="R10" s="134"/>
      <c r="S10" s="133"/>
      <c r="T10" s="131"/>
      <c r="U10" s="134"/>
      <c r="V10" s="133"/>
      <c r="W10" s="131"/>
      <c r="X10" s="134"/>
      <c r="Y10" s="133"/>
      <c r="Z10" s="131"/>
      <c r="AA10" s="134"/>
      <c r="AB10" s="133"/>
      <c r="AC10" s="131">
        <v>176361</v>
      </c>
      <c r="AD10" s="134">
        <v>1</v>
      </c>
      <c r="AE10" s="133">
        <f>1/4</f>
        <v>0.25</v>
      </c>
      <c r="AF10" s="131"/>
      <c r="AG10" s="134"/>
      <c r="AH10" s="133"/>
      <c r="AI10" s="145">
        <v>166842</v>
      </c>
      <c r="AJ10" s="134">
        <v>1</v>
      </c>
      <c r="AK10" s="133">
        <f>3/4</f>
        <v>0.75</v>
      </c>
      <c r="AL10" s="131">
        <v>173883</v>
      </c>
      <c r="AM10" s="134">
        <v>6</v>
      </c>
      <c r="AN10" s="133">
        <v>0.5</v>
      </c>
      <c r="AO10" s="131">
        <f>'1846 Hacienda'!E63</f>
        <v>1926698</v>
      </c>
      <c r="AP10" s="134">
        <f>'1846 Hacienda'!F63</f>
        <v>3</v>
      </c>
      <c r="AQ10" s="133">
        <f>'1846 Hacienda'!G63</f>
        <v>0.75</v>
      </c>
      <c r="AR10" s="131"/>
      <c r="AS10" s="134"/>
      <c r="AT10" s="180"/>
      <c r="AU10" s="131"/>
      <c r="AV10" s="185"/>
      <c r="AW10" s="131">
        <f>+'1858 Hacienda'!D550</f>
        <v>37539</v>
      </c>
      <c r="AX10" s="185">
        <f>+'1858 Hacienda'!E550</f>
        <v>909</v>
      </c>
      <c r="AY10" s="131">
        <f>+'1858 Hacienda'!D607</f>
        <v>20269</v>
      </c>
      <c r="AZ10" s="185">
        <f>+'1858 Hacienda'!E607</f>
        <v>568</v>
      </c>
      <c r="BA10" s="131">
        <f>+'1858 Hacienda'!B510</f>
        <v>27831</v>
      </c>
      <c r="BB10" s="185">
        <f>+'1858 Hacienda'!C510</f>
        <v>885</v>
      </c>
      <c r="BC10" s="131">
        <f>+'1858 Hacienda'!B1024</f>
        <v>26062</v>
      </c>
      <c r="BD10" s="185">
        <f>+'1858 Hacienda'!C1024</f>
        <v>813</v>
      </c>
      <c r="BE10" s="131">
        <f>+'1858 Hacienda'!B1047</f>
        <v>26734</v>
      </c>
      <c r="BF10" s="185">
        <f>+'1858 Hacienda'!C1047</f>
        <v>289</v>
      </c>
      <c r="BG10" s="131">
        <f>+'1858 Hacienda'!B1067</f>
        <v>18131</v>
      </c>
      <c r="BH10" s="185">
        <f>+'1858 Hacienda'!C1067</f>
        <v>504</v>
      </c>
      <c r="BI10" s="131">
        <f>+'1858 Hacienda'!B1087</f>
        <v>6484</v>
      </c>
      <c r="BJ10" s="185">
        <f>+'1858 Hacienda'!C1087</f>
        <v>157</v>
      </c>
      <c r="BK10" s="131">
        <f>+'1858 Hacienda'!B1109</f>
        <v>14412</v>
      </c>
      <c r="BL10" s="185">
        <f>+'1858 Hacienda'!C1109</f>
        <v>58</v>
      </c>
      <c r="BM10" s="131">
        <f>+'1858 Hacienda'!B1122</f>
        <v>14825</v>
      </c>
      <c r="BN10" s="185">
        <f>+'1858 Hacienda'!C1122</f>
        <v>401</v>
      </c>
      <c r="BO10" s="131"/>
      <c r="BP10" s="134"/>
      <c r="BQ10" s="131">
        <f>+'1858 Hacienda'!B282</f>
        <v>31408</v>
      </c>
      <c r="BR10" s="134">
        <f>+'1858 Hacienda'!C282</f>
        <v>28</v>
      </c>
      <c r="BS10" s="133">
        <f>+'1858 Hacienda'!D282</f>
        <v>0</v>
      </c>
      <c r="BT10" s="131"/>
      <c r="BU10" s="134"/>
      <c r="BV10" s="131"/>
      <c r="BW10" s="134"/>
      <c r="BX10" s="131"/>
      <c r="BY10" s="134"/>
      <c r="BZ10" s="131"/>
      <c r="CA10" s="134"/>
      <c r="CB10" s="133"/>
      <c r="CC10" s="131"/>
      <c r="CD10" s="134"/>
      <c r="CE10" s="133"/>
      <c r="CF10" s="131"/>
      <c r="CG10" s="134"/>
      <c r="CH10" s="133"/>
      <c r="CI10" s="131">
        <f>+'1869 Hacienda'!B47</f>
        <v>13300</v>
      </c>
      <c r="CK10" s="133"/>
      <c r="CL10" s="131">
        <f>+'1869 Hacienda'!C47</f>
        <v>13033</v>
      </c>
      <c r="CN10" s="133"/>
      <c r="CO10" s="131">
        <f>+'1869 Hacienda'!D47</f>
        <v>17705</v>
      </c>
      <c r="CQ10" s="133"/>
      <c r="CR10" s="131">
        <f>+'1869 Hacienda'!E47</f>
        <v>21867</v>
      </c>
      <c r="CT10" s="133"/>
      <c r="CU10" s="107">
        <f>+'1869 Hacienda'!F47</f>
        <v>20512</v>
      </c>
      <c r="CV10" s="134"/>
      <c r="CW10" s="133"/>
      <c r="CX10" s="131">
        <f>+'1869 Hacienda'!B7</f>
        <v>29213</v>
      </c>
      <c r="CY10" s="134"/>
      <c r="CZ10" s="133"/>
      <c r="DA10" s="140">
        <f>+'1872 Hacienda'!B10</f>
        <v>24759</v>
      </c>
      <c r="DB10" s="141">
        <f>+'1872 Hacienda'!C10</f>
        <v>15</v>
      </c>
      <c r="DC10" s="142">
        <f>+'1872 Hacienda'!D10</f>
        <v>0</v>
      </c>
      <c r="DD10" s="140"/>
      <c r="DE10" s="141"/>
      <c r="DF10" s="142"/>
      <c r="DG10" s="140"/>
      <c r="DH10" s="141"/>
      <c r="DI10" s="142"/>
      <c r="DJ10" s="140">
        <f>+'1875 Hacienda'!B14</f>
        <v>19000</v>
      </c>
      <c r="DK10" s="141"/>
      <c r="DL10" s="142"/>
      <c r="DM10" s="140"/>
      <c r="DN10" s="141"/>
      <c r="DO10" s="142"/>
      <c r="DP10" s="140"/>
      <c r="DQ10" s="141"/>
      <c r="DR10" s="142"/>
      <c r="DS10" s="140"/>
      <c r="DT10" s="141"/>
      <c r="DU10" s="142"/>
      <c r="DV10" s="140"/>
      <c r="DW10" s="141"/>
      <c r="DX10" s="142"/>
      <c r="DY10" s="140">
        <f>+'1880 Hacienda'!B12</f>
        <v>14965</v>
      </c>
      <c r="DZ10" s="141">
        <f>+'1880 Hacienda'!C12</f>
        <v>60</v>
      </c>
      <c r="EA10" s="142"/>
      <c r="EB10" s="140">
        <f>+'1881 Hacienda'!B11</f>
        <v>20861</v>
      </c>
      <c r="EC10" s="141">
        <f>+'1881 Hacienda'!C11</f>
        <v>631</v>
      </c>
      <c r="ED10" s="142"/>
      <c r="EE10" s="140">
        <f>+'1882 Hacienda'!B16</f>
        <v>28146</v>
      </c>
      <c r="EF10" s="141">
        <f>+'1882 Hacienda'!C16</f>
        <v>55</v>
      </c>
      <c r="EG10" s="142"/>
      <c r="EH10" s="140">
        <f>+'1883 Hacienda'!B9</f>
        <v>11529</v>
      </c>
      <c r="EI10" s="141">
        <f>+'1883 Hacienda'!C9</f>
        <v>85</v>
      </c>
      <c r="EJ10" s="142"/>
      <c r="EK10" s="140"/>
      <c r="EL10" s="141"/>
      <c r="EM10" s="142"/>
      <c r="EN10" s="140"/>
      <c r="EO10" s="141"/>
      <c r="EP10" s="142"/>
      <c r="EQ10" s="140"/>
      <c r="ER10" s="141"/>
      <c r="ES10" s="142"/>
      <c r="ET10" s="140"/>
      <c r="EU10" s="141"/>
      <c r="EV10" s="142"/>
      <c r="EW10" s="140"/>
      <c r="EX10" s="141"/>
      <c r="EY10" s="142"/>
      <c r="EZ10" s="140"/>
      <c r="FA10" s="141"/>
      <c r="FB10" s="142"/>
      <c r="FC10" s="140">
        <f>+'1890 Hacienda'!B227</f>
        <v>219739</v>
      </c>
      <c r="FD10" s="141">
        <f>+'1890 Hacienda'!C227</f>
        <v>67</v>
      </c>
      <c r="FE10" s="142">
        <f>+'1890 Hacienda'!D227</f>
        <v>0.5</v>
      </c>
      <c r="FF10" s="140">
        <f>+'1890 Hacienda'!E227</f>
        <v>429</v>
      </c>
      <c r="FG10" s="141">
        <f>+'1890 Hacienda'!F227</f>
        <v>65</v>
      </c>
      <c r="FH10" s="142"/>
      <c r="FI10" s="140"/>
      <c r="FJ10" s="141"/>
      <c r="FK10" s="142"/>
      <c r="FL10" s="140"/>
      <c r="FM10" s="141"/>
      <c r="FN10" s="142"/>
      <c r="FO10" s="140"/>
      <c r="FP10" s="141"/>
      <c r="FQ10" s="142"/>
      <c r="FR10" s="140"/>
      <c r="FS10" s="141"/>
      <c r="FT10" s="142"/>
      <c r="FU10" s="140"/>
      <c r="FV10" s="141"/>
      <c r="FW10" s="142"/>
      <c r="FX10" s="140"/>
      <c r="FY10" s="141"/>
      <c r="FZ10" s="142"/>
      <c r="GA10" s="140"/>
      <c r="GB10" s="141"/>
      <c r="GC10" s="142"/>
      <c r="GD10" s="140"/>
      <c r="GE10" s="141"/>
      <c r="GF10" s="142"/>
      <c r="GG10" s="140"/>
      <c r="GH10" s="141"/>
      <c r="GI10" s="142"/>
      <c r="GJ10" s="140"/>
      <c r="GK10" s="141"/>
      <c r="GL10" s="142"/>
      <c r="GM10" s="140"/>
      <c r="GN10" s="141"/>
      <c r="GO10" s="142"/>
      <c r="GP10" s="140"/>
      <c r="GQ10" s="141"/>
      <c r="GR10" s="142"/>
      <c r="GS10" s="140"/>
      <c r="GT10" s="141"/>
      <c r="GU10" s="142"/>
      <c r="GV10" s="140"/>
      <c r="GW10" s="141"/>
      <c r="GX10" s="142"/>
      <c r="GY10" s="164"/>
      <c r="GZ10" s="134"/>
      <c r="HA10" s="185"/>
      <c r="HB10" s="164"/>
      <c r="HC10" s="185"/>
      <c r="HD10" s="164"/>
      <c r="HE10" s="185"/>
      <c r="HF10" s="164"/>
      <c r="HG10" s="185"/>
      <c r="HH10" s="164">
        <f>'1910 Hacienda'!C98</f>
        <v>262685</v>
      </c>
      <c r="HI10" s="185">
        <f>'1910 Hacienda'!D98</f>
        <v>79</v>
      </c>
      <c r="HJ10" s="164">
        <f>'1910 Hacienda'!C140</f>
        <v>142648</v>
      </c>
      <c r="HK10" s="185">
        <f>'1910 Hacienda'!D140</f>
        <v>50</v>
      </c>
      <c r="HL10" s="164"/>
      <c r="HM10" s="185"/>
      <c r="HN10" s="164"/>
      <c r="HO10" s="185"/>
      <c r="HP10" s="164"/>
      <c r="HQ10" s="185"/>
      <c r="HR10" s="164"/>
      <c r="HS10" s="185"/>
      <c r="HT10" s="164"/>
      <c r="HU10" s="185"/>
    </row>
    <row r="11" spans="1:229" x14ac:dyDescent="0.2">
      <c r="A11" s="106" t="s">
        <v>6042</v>
      </c>
      <c r="B11" s="131"/>
      <c r="C11" s="134"/>
      <c r="D11" s="133"/>
      <c r="E11" s="131"/>
      <c r="F11" s="134"/>
      <c r="G11" s="133"/>
      <c r="H11" s="131"/>
      <c r="I11" s="134"/>
      <c r="J11" s="133"/>
      <c r="K11" s="131"/>
      <c r="L11" s="134"/>
      <c r="M11" s="133"/>
      <c r="N11" s="131"/>
      <c r="O11" s="134"/>
      <c r="P11" s="133"/>
      <c r="Q11" s="131"/>
      <c r="R11" s="134"/>
      <c r="S11" s="133"/>
      <c r="T11" s="131"/>
      <c r="U11" s="134"/>
      <c r="V11" s="133"/>
      <c r="W11" s="131"/>
      <c r="X11" s="134"/>
      <c r="Y11" s="133"/>
      <c r="Z11" s="131"/>
      <c r="AA11" s="134"/>
      <c r="AB11" s="133"/>
      <c r="AC11" s="131"/>
      <c r="AD11" s="134"/>
      <c r="AE11" s="133"/>
      <c r="AF11" s="131"/>
      <c r="AG11" s="134"/>
      <c r="AH11" s="133"/>
      <c r="AI11" s="145"/>
      <c r="AJ11" s="134"/>
      <c r="AK11" s="133"/>
      <c r="AL11" s="131"/>
      <c r="AM11" s="134"/>
      <c r="AN11" s="133"/>
      <c r="AO11" s="131"/>
      <c r="AP11" s="134"/>
      <c r="AQ11" s="133"/>
      <c r="AR11" s="131"/>
      <c r="AS11" s="134"/>
      <c r="AT11" s="180"/>
      <c r="AU11" s="131"/>
      <c r="AV11" s="185"/>
      <c r="AW11" s="131"/>
      <c r="AX11" s="185"/>
      <c r="AY11" s="131"/>
      <c r="AZ11" s="185"/>
      <c r="BA11" s="131"/>
      <c r="BB11" s="185"/>
      <c r="BC11" s="131"/>
      <c r="BD11" s="185"/>
      <c r="BE11" s="131"/>
      <c r="BF11" s="185"/>
      <c r="BG11" s="131"/>
      <c r="BH11" s="185"/>
      <c r="BI11" s="131"/>
      <c r="BJ11" s="185"/>
      <c r="BK11" s="131"/>
      <c r="BL11" s="185"/>
      <c r="BM11" s="131"/>
      <c r="BN11" s="185"/>
      <c r="BO11" s="131"/>
      <c r="BP11" s="134"/>
      <c r="BQ11" s="131"/>
      <c r="BR11" s="134"/>
      <c r="BS11" s="133"/>
      <c r="BT11" s="131"/>
      <c r="BU11" s="134"/>
      <c r="BV11" s="131"/>
      <c r="BW11" s="134"/>
      <c r="BX11" s="131"/>
      <c r="BY11" s="134"/>
      <c r="BZ11" s="131"/>
      <c r="CA11" s="134"/>
      <c r="CB11" s="133"/>
      <c r="CC11" s="131"/>
      <c r="CD11" s="134"/>
      <c r="CE11" s="133"/>
      <c r="CF11" s="131"/>
      <c r="CG11" s="134"/>
      <c r="CH11" s="133"/>
      <c r="CI11" s="131"/>
      <c r="CK11" s="133"/>
      <c r="CL11" s="131"/>
      <c r="CN11" s="133"/>
      <c r="CO11" s="131"/>
      <c r="CQ11" s="133"/>
      <c r="CR11" s="131"/>
      <c r="CT11" s="133"/>
      <c r="CU11" s="107"/>
      <c r="CV11" s="134"/>
      <c r="CW11" s="133"/>
      <c r="CX11" s="131"/>
      <c r="CY11" s="134"/>
      <c r="CZ11" s="133"/>
      <c r="DA11" s="140"/>
      <c r="DB11" s="141"/>
      <c r="DC11" s="142"/>
      <c r="DD11" s="140"/>
      <c r="DE11" s="141"/>
      <c r="DF11" s="142"/>
      <c r="DG11" s="140"/>
      <c r="DH11" s="141"/>
      <c r="DI11" s="142"/>
      <c r="DJ11" s="140"/>
      <c r="DK11" s="141"/>
      <c r="DL11" s="142"/>
      <c r="DM11" s="140"/>
      <c r="DN11" s="141"/>
      <c r="DO11" s="142"/>
      <c r="DP11" s="140"/>
      <c r="DQ11" s="141"/>
      <c r="DR11" s="142"/>
      <c r="DS11" s="140"/>
      <c r="DT11" s="141"/>
      <c r="DU11" s="142"/>
      <c r="DV11" s="140"/>
      <c r="DW11" s="141"/>
      <c r="DX11" s="142"/>
      <c r="DY11" s="140"/>
      <c r="DZ11" s="141"/>
      <c r="EA11" s="142"/>
      <c r="EB11" s="140"/>
      <c r="EC11" s="141"/>
      <c r="ED11" s="142"/>
      <c r="EE11" s="140"/>
      <c r="EF11" s="141"/>
      <c r="EG11" s="142"/>
      <c r="EH11" s="140"/>
      <c r="EI11" s="141"/>
      <c r="EJ11" s="142"/>
      <c r="EK11" s="140"/>
      <c r="EL11" s="141"/>
      <c r="EM11" s="142"/>
      <c r="EN11" s="140"/>
      <c r="EO11" s="141"/>
      <c r="EP11" s="142"/>
      <c r="EQ11" s="140"/>
      <c r="ER11" s="141"/>
      <c r="ES11" s="142"/>
      <c r="ET11" s="140"/>
      <c r="EU11" s="141"/>
      <c r="EV11" s="142"/>
      <c r="EW11" s="140"/>
      <c r="EX11" s="141"/>
      <c r="EY11" s="142"/>
      <c r="EZ11" s="140"/>
      <c r="FA11" s="141"/>
      <c r="FB11" s="142"/>
      <c r="FC11" s="140">
        <f>+'1890 Hacienda'!B231</f>
        <v>2575750</v>
      </c>
      <c r="FD11" s="141"/>
      <c r="FE11" s="142"/>
      <c r="FF11" s="140">
        <f>+'1890 Hacienda'!E231</f>
        <v>1536450</v>
      </c>
      <c r="FG11" s="141"/>
      <c r="FH11" s="142"/>
      <c r="FI11" s="140"/>
      <c r="FJ11" s="141"/>
      <c r="FK11" s="142"/>
      <c r="FL11" s="140"/>
      <c r="FM11" s="141"/>
      <c r="FN11" s="142"/>
      <c r="FO11" s="140"/>
      <c r="FP11" s="141"/>
      <c r="FQ11" s="142"/>
      <c r="FR11" s="140"/>
      <c r="FS11" s="141"/>
      <c r="FT11" s="142"/>
      <c r="FU11" s="140"/>
      <c r="FV11" s="141"/>
      <c r="FW11" s="142"/>
      <c r="FX11" s="140"/>
      <c r="FY11" s="141"/>
      <c r="FZ11" s="142"/>
      <c r="GA11" s="140"/>
      <c r="GB11" s="141"/>
      <c r="GC11" s="142"/>
      <c r="GD11" s="140"/>
      <c r="GE11" s="141"/>
      <c r="GF11" s="142"/>
      <c r="GG11" s="140"/>
      <c r="GH11" s="141"/>
      <c r="GI11" s="142"/>
      <c r="GJ11" s="140"/>
      <c r="GK11" s="141"/>
      <c r="GL11" s="142"/>
      <c r="GM11" s="140"/>
      <c r="GN11" s="141"/>
      <c r="GO11" s="142"/>
      <c r="GP11" s="140"/>
      <c r="GQ11" s="141"/>
      <c r="GR11" s="142"/>
      <c r="GS11" s="140"/>
      <c r="GT11" s="141"/>
      <c r="GU11" s="142"/>
      <c r="GV11" s="140"/>
      <c r="GW11" s="141"/>
      <c r="GX11" s="142"/>
      <c r="GY11" s="164"/>
      <c r="GZ11" s="134"/>
      <c r="HA11" s="185"/>
      <c r="HB11" s="164"/>
      <c r="HC11" s="185"/>
      <c r="HD11" s="164"/>
      <c r="HE11" s="185"/>
      <c r="HF11" s="164"/>
      <c r="HG11" s="185"/>
      <c r="HH11" s="164"/>
      <c r="HI11" s="185"/>
      <c r="HJ11" s="164"/>
      <c r="HK11" s="185"/>
      <c r="HL11" s="164"/>
      <c r="HM11" s="185"/>
      <c r="HN11" s="164"/>
      <c r="HO11" s="185"/>
      <c r="HP11" s="164"/>
      <c r="HQ11" s="185"/>
      <c r="HR11" s="164"/>
      <c r="HS11" s="185"/>
      <c r="HT11" s="164"/>
      <c r="HU11" s="185"/>
    </row>
    <row r="12" spans="1:229" x14ac:dyDescent="0.2">
      <c r="A12" s="106" t="s">
        <v>1177</v>
      </c>
      <c r="B12" s="131"/>
      <c r="C12" s="134"/>
      <c r="D12" s="133"/>
      <c r="E12" s="131"/>
      <c r="F12" s="134"/>
      <c r="G12" s="133"/>
      <c r="H12" s="131"/>
      <c r="I12" s="134"/>
      <c r="J12" s="133"/>
      <c r="K12" s="131"/>
      <c r="L12" s="134"/>
      <c r="M12" s="133"/>
      <c r="N12" s="131"/>
      <c r="O12" s="134"/>
      <c r="P12" s="133"/>
      <c r="Q12" s="131"/>
      <c r="R12" s="134"/>
      <c r="S12" s="133"/>
      <c r="T12" s="131"/>
      <c r="U12" s="134"/>
      <c r="V12" s="133"/>
      <c r="W12" s="131"/>
      <c r="X12" s="134"/>
      <c r="Y12" s="133"/>
      <c r="Z12" s="131">
        <v>756070</v>
      </c>
      <c r="AA12" s="134">
        <v>4</v>
      </c>
      <c r="AB12" s="133"/>
      <c r="AC12" s="131"/>
      <c r="AD12" s="134"/>
      <c r="AE12" s="133"/>
      <c r="AF12" s="131"/>
      <c r="AG12" s="134"/>
      <c r="AH12" s="133"/>
      <c r="AI12" s="145">
        <v>784694</v>
      </c>
      <c r="AJ12" s="134">
        <v>5</v>
      </c>
      <c r="AK12" s="133">
        <f>1/2</f>
        <v>0.5</v>
      </c>
      <c r="AL12" s="131">
        <v>820438</v>
      </c>
      <c r="AM12" s="134">
        <v>4</v>
      </c>
      <c r="AN12" s="133">
        <v>0.5</v>
      </c>
      <c r="AO12" s="131">
        <f>'1846 Hacienda'!E56</f>
        <v>890264</v>
      </c>
      <c r="AP12" s="134">
        <f>'1846 Hacienda'!F56</f>
        <v>3</v>
      </c>
      <c r="AQ12" s="133">
        <f>'1846 Hacienda'!G56</f>
        <v>0.75</v>
      </c>
      <c r="AR12" s="131"/>
      <c r="AS12" s="134"/>
      <c r="AT12" s="180"/>
      <c r="AU12" s="131"/>
      <c r="AV12" s="185"/>
      <c r="AW12" s="131">
        <f>+'1858 Hacienda'!D546</f>
        <v>884639</v>
      </c>
      <c r="AX12" s="185">
        <f>+'1858 Hacienda'!E546</f>
        <v>637</v>
      </c>
      <c r="AY12" s="131">
        <f>+'1858 Hacienda'!D606</f>
        <v>873704</v>
      </c>
      <c r="AZ12" s="185">
        <f>+'1858 Hacienda'!E606</f>
        <v>205</v>
      </c>
      <c r="BA12" s="131">
        <f>+'1858 Hacienda'!B491</f>
        <v>1221079</v>
      </c>
      <c r="BB12" s="185">
        <f>+'1858 Hacienda'!C491</f>
        <v>549</v>
      </c>
      <c r="BC12" s="131">
        <f>+'1858 Hacienda'!B1027</f>
        <v>83008</v>
      </c>
      <c r="BD12" s="185">
        <f>+'1858 Hacienda'!C1027</f>
        <v>386</v>
      </c>
      <c r="BE12" s="131"/>
      <c r="BF12" s="185"/>
      <c r="BG12" s="131"/>
      <c r="BH12" s="185"/>
      <c r="BI12" s="131"/>
      <c r="BJ12" s="185"/>
      <c r="BK12" s="131"/>
      <c r="BL12" s="185"/>
      <c r="BM12" s="131"/>
      <c r="BN12" s="185"/>
      <c r="BO12" s="131"/>
      <c r="BP12" s="134"/>
      <c r="BQ12" s="131"/>
      <c r="BR12" s="134"/>
      <c r="BS12" s="133"/>
      <c r="BT12" s="131"/>
      <c r="BU12" s="134"/>
      <c r="BV12" s="131"/>
      <c r="BW12" s="134"/>
      <c r="BX12" s="131"/>
      <c r="BY12" s="134"/>
      <c r="BZ12" s="131"/>
      <c r="CA12" s="134"/>
      <c r="CB12" s="133"/>
      <c r="CC12" s="131"/>
      <c r="CD12" s="134"/>
      <c r="CE12" s="133"/>
      <c r="CF12" s="131"/>
      <c r="CG12" s="134"/>
      <c r="CH12" s="133"/>
      <c r="CI12" s="131"/>
      <c r="CJ12" s="134"/>
      <c r="CK12" s="133"/>
      <c r="CL12" s="131"/>
      <c r="CM12" s="134"/>
      <c r="CN12" s="133"/>
      <c r="CO12" s="131"/>
      <c r="CP12" s="134"/>
      <c r="CQ12" s="133"/>
      <c r="CR12" s="131"/>
      <c r="CS12" s="134"/>
      <c r="CT12" s="133"/>
      <c r="CU12" s="131"/>
      <c r="CV12" s="134"/>
      <c r="CW12" s="133"/>
      <c r="CX12" s="131"/>
      <c r="CY12" s="134"/>
      <c r="CZ12" s="133"/>
      <c r="DA12" s="140"/>
      <c r="DB12" s="141"/>
      <c r="DC12" s="142"/>
      <c r="DD12" s="140"/>
      <c r="DE12" s="141"/>
      <c r="DF12" s="142"/>
      <c r="DG12" s="140"/>
      <c r="DH12" s="141"/>
      <c r="DI12" s="142"/>
      <c r="DJ12" s="140"/>
      <c r="DK12" s="141"/>
      <c r="DL12" s="142"/>
      <c r="DM12" s="140"/>
      <c r="DN12" s="141"/>
      <c r="DO12" s="142"/>
      <c r="DP12" s="140"/>
      <c r="DQ12" s="141"/>
      <c r="DR12" s="142"/>
      <c r="DS12" s="140"/>
      <c r="DT12" s="141"/>
      <c r="DU12" s="142"/>
      <c r="DV12" s="140"/>
      <c r="DW12" s="141"/>
      <c r="DX12" s="142"/>
      <c r="DY12" s="140"/>
      <c r="DZ12" s="141"/>
      <c r="EA12" s="142"/>
      <c r="EB12" s="140"/>
      <c r="EC12" s="141"/>
      <c r="ED12" s="142"/>
      <c r="EE12" s="140"/>
      <c r="EF12" s="141"/>
      <c r="EG12" s="142"/>
      <c r="EH12" s="140"/>
      <c r="EI12" s="141"/>
      <c r="EJ12" s="142"/>
      <c r="EK12" s="140"/>
      <c r="EL12" s="141"/>
      <c r="EM12" s="142"/>
      <c r="EN12" s="140"/>
      <c r="EO12" s="141"/>
      <c r="EP12" s="142"/>
      <c r="EQ12" s="140"/>
      <c r="ER12" s="141"/>
      <c r="ES12" s="142"/>
      <c r="ET12" s="140"/>
      <c r="EU12" s="141"/>
      <c r="EV12" s="142"/>
      <c r="EW12" s="140"/>
      <c r="EX12" s="141"/>
      <c r="EY12" s="142"/>
      <c r="EZ12" s="140"/>
      <c r="FA12" s="141"/>
      <c r="FB12" s="142"/>
      <c r="FC12" s="140"/>
      <c r="FD12" s="141"/>
      <c r="FE12" s="142"/>
      <c r="FF12" s="140"/>
      <c r="FG12" s="141"/>
      <c r="FH12" s="142"/>
      <c r="FI12" s="140"/>
      <c r="FJ12" s="141"/>
      <c r="FK12" s="142"/>
      <c r="FL12" s="140"/>
      <c r="FM12" s="141"/>
      <c r="FN12" s="142"/>
      <c r="FO12" s="140"/>
      <c r="FP12" s="141"/>
      <c r="FQ12" s="142"/>
      <c r="FR12" s="140"/>
      <c r="FS12" s="141"/>
      <c r="FT12" s="142"/>
      <c r="FU12" s="140"/>
      <c r="FV12" s="141"/>
      <c r="FW12" s="142"/>
      <c r="FX12" s="140"/>
      <c r="FY12" s="141"/>
      <c r="FZ12" s="142"/>
      <c r="GA12" s="140"/>
      <c r="GB12" s="141"/>
      <c r="GC12" s="142"/>
      <c r="GD12" s="140"/>
      <c r="GE12" s="141"/>
      <c r="GF12" s="142"/>
      <c r="GG12" s="140"/>
      <c r="GH12" s="141"/>
      <c r="GI12" s="142"/>
      <c r="GJ12" s="140"/>
      <c r="GK12" s="141"/>
      <c r="GL12" s="142"/>
      <c r="GM12" s="140"/>
      <c r="GN12" s="141"/>
      <c r="GO12" s="142"/>
      <c r="GP12" s="140"/>
      <c r="GQ12" s="141"/>
      <c r="GR12" s="142"/>
      <c r="GS12" s="140"/>
      <c r="GT12" s="141"/>
      <c r="GU12" s="142"/>
      <c r="GV12" s="140"/>
      <c r="GW12" s="141"/>
      <c r="GX12" s="142"/>
      <c r="GY12" s="164"/>
      <c r="GZ12" s="134"/>
      <c r="HA12" s="185"/>
      <c r="HB12" s="164"/>
      <c r="HC12" s="185"/>
      <c r="HD12" s="164"/>
      <c r="HE12" s="185"/>
      <c r="HF12" s="164"/>
      <c r="HG12" s="185"/>
      <c r="HH12" s="164"/>
      <c r="HI12" s="185"/>
      <c r="HJ12" s="164">
        <f>'1910 Hacienda'!C150</f>
        <v>519995</v>
      </c>
      <c r="HK12" s="185">
        <f>'1910 Hacienda'!D150</f>
        <v>35</v>
      </c>
      <c r="HL12" s="164"/>
      <c r="HM12" s="185"/>
      <c r="HN12" s="164"/>
      <c r="HO12" s="185"/>
      <c r="HP12" s="164"/>
      <c r="HQ12" s="185"/>
      <c r="HR12" s="164"/>
      <c r="HS12" s="185"/>
      <c r="HT12" s="164"/>
      <c r="HU12" s="185"/>
    </row>
    <row r="13" spans="1:229" x14ac:dyDescent="0.2">
      <c r="A13" s="106" t="str">
        <f>+'1858 Hacienda'!A278</f>
        <v>Esportacion de quina i tabaco</v>
      </c>
      <c r="B13" s="131"/>
      <c r="C13" s="134"/>
      <c r="D13" s="133"/>
      <c r="E13" s="131"/>
      <c r="F13" s="134"/>
      <c r="G13" s="133"/>
      <c r="H13" s="131"/>
      <c r="I13" s="134"/>
      <c r="J13" s="133"/>
      <c r="K13" s="131"/>
      <c r="L13" s="134"/>
      <c r="M13" s="133"/>
      <c r="N13" s="131"/>
      <c r="O13" s="134"/>
      <c r="P13" s="133"/>
      <c r="Q13" s="131"/>
      <c r="R13" s="134"/>
      <c r="S13" s="133"/>
      <c r="T13" s="131"/>
      <c r="U13" s="134"/>
      <c r="V13" s="133"/>
      <c r="W13" s="131"/>
      <c r="X13" s="134"/>
      <c r="Y13" s="133"/>
      <c r="Z13" s="131"/>
      <c r="AA13" s="134"/>
      <c r="AB13" s="133"/>
      <c r="AC13" s="131"/>
      <c r="AD13" s="134"/>
      <c r="AE13" s="133"/>
      <c r="AF13" s="131"/>
      <c r="AG13" s="134"/>
      <c r="AH13" s="133"/>
      <c r="AI13" s="145"/>
      <c r="AJ13" s="134"/>
      <c r="AK13" s="133"/>
      <c r="AL13" s="131"/>
      <c r="AM13" s="134"/>
      <c r="AN13" s="133"/>
      <c r="AO13" s="131"/>
      <c r="AP13" s="134"/>
      <c r="AQ13" s="133"/>
      <c r="AR13" s="131"/>
      <c r="AS13" s="134"/>
      <c r="AT13" s="180"/>
      <c r="AU13" s="131"/>
      <c r="AV13" s="185"/>
      <c r="AW13" s="131"/>
      <c r="AX13" s="185"/>
      <c r="AY13" s="131"/>
      <c r="AZ13" s="185"/>
      <c r="BA13" s="131"/>
      <c r="BB13" s="185"/>
      <c r="BC13" s="131"/>
      <c r="BD13" s="185"/>
      <c r="BE13" s="131"/>
      <c r="BF13" s="185"/>
      <c r="BG13" s="131"/>
      <c r="BH13" s="185"/>
      <c r="BI13" s="131"/>
      <c r="BJ13" s="185"/>
      <c r="BK13" s="131"/>
      <c r="BL13" s="185"/>
      <c r="BM13" s="131"/>
      <c r="BN13" s="185"/>
      <c r="BO13" s="131"/>
      <c r="BP13" s="134"/>
      <c r="BQ13" s="131">
        <f>+'1858 Hacienda'!B278</f>
        <v>77010</v>
      </c>
      <c r="BR13" s="134">
        <f>+'1858 Hacienda'!C278</f>
        <v>80</v>
      </c>
      <c r="BS13" s="133">
        <f>+'1858 Hacienda'!D278</f>
        <v>0.5</v>
      </c>
      <c r="BT13" s="145"/>
      <c r="BU13" s="134"/>
      <c r="BV13" s="131"/>
      <c r="BW13" s="134"/>
      <c r="BX13" s="131"/>
      <c r="BY13" s="134"/>
      <c r="BZ13" s="131"/>
      <c r="CA13" s="134"/>
      <c r="CB13" s="133"/>
      <c r="CC13" s="131"/>
      <c r="CD13" s="134"/>
      <c r="CE13" s="133"/>
      <c r="CF13" s="131"/>
      <c r="CG13" s="134"/>
      <c r="CH13" s="133"/>
      <c r="CI13" s="131"/>
      <c r="CJ13" s="134"/>
      <c r="CK13" s="133"/>
      <c r="CL13" s="131"/>
      <c r="CM13" s="134"/>
      <c r="CN13" s="133"/>
      <c r="CO13" s="131"/>
      <c r="CP13" s="134"/>
      <c r="CQ13" s="133"/>
      <c r="CR13" s="131"/>
      <c r="CS13" s="134"/>
      <c r="CT13" s="133"/>
      <c r="CU13" s="131"/>
      <c r="CV13" s="134"/>
      <c r="CW13" s="133"/>
      <c r="CX13" s="131"/>
      <c r="CY13" s="134"/>
      <c r="CZ13" s="133"/>
      <c r="DA13" s="140"/>
      <c r="DB13" s="141"/>
      <c r="DC13" s="142"/>
      <c r="DD13" s="140"/>
      <c r="DE13" s="141"/>
      <c r="DF13" s="142"/>
      <c r="DG13" s="140"/>
      <c r="DH13" s="141"/>
      <c r="DI13" s="142"/>
      <c r="DJ13" s="140"/>
      <c r="DK13" s="141"/>
      <c r="DL13" s="142"/>
      <c r="DM13" s="140"/>
      <c r="DN13" s="141"/>
      <c r="DO13" s="142"/>
      <c r="DP13" s="140"/>
      <c r="DQ13" s="141"/>
      <c r="DR13" s="142"/>
      <c r="DS13" s="140"/>
      <c r="DT13" s="141"/>
      <c r="DU13" s="142"/>
      <c r="DV13" s="140"/>
      <c r="DW13" s="141"/>
      <c r="DX13" s="142"/>
      <c r="DY13" s="140"/>
      <c r="DZ13" s="141"/>
      <c r="EA13" s="142"/>
      <c r="EB13" s="140"/>
      <c r="EC13" s="141"/>
      <c r="ED13" s="142"/>
      <c r="EE13" s="140"/>
      <c r="EF13" s="141"/>
      <c r="EG13" s="142"/>
      <c r="EH13" s="140"/>
      <c r="EI13" s="141"/>
      <c r="EJ13" s="142"/>
      <c r="EK13" s="140"/>
      <c r="EL13" s="141"/>
      <c r="EM13" s="142"/>
      <c r="EN13" s="140"/>
      <c r="EO13" s="141"/>
      <c r="EP13" s="142"/>
      <c r="EQ13" s="140"/>
      <c r="ER13" s="141"/>
      <c r="ES13" s="142"/>
      <c r="ET13" s="140"/>
      <c r="EU13" s="141"/>
      <c r="EV13" s="142"/>
      <c r="EW13" s="140"/>
      <c r="EX13" s="141"/>
      <c r="EY13" s="142"/>
      <c r="EZ13" s="140"/>
      <c r="FA13" s="141"/>
      <c r="FB13" s="142"/>
      <c r="FC13" s="140"/>
      <c r="FD13" s="141"/>
      <c r="FE13" s="142"/>
      <c r="FF13" s="140"/>
      <c r="FG13" s="141"/>
      <c r="FH13" s="142"/>
      <c r="FI13" s="140"/>
      <c r="FJ13" s="141"/>
      <c r="FK13" s="142"/>
      <c r="FL13" s="140"/>
      <c r="FM13" s="141"/>
      <c r="FN13" s="142"/>
      <c r="FO13" s="140"/>
      <c r="FP13" s="141"/>
      <c r="FQ13" s="142"/>
      <c r="FR13" s="140"/>
      <c r="FS13" s="141"/>
      <c r="FT13" s="142"/>
      <c r="FU13" s="140"/>
      <c r="FV13" s="141"/>
      <c r="FW13" s="142"/>
      <c r="FX13" s="140"/>
      <c r="FY13" s="141"/>
      <c r="FZ13" s="142"/>
      <c r="GA13" s="140"/>
      <c r="GB13" s="141"/>
      <c r="GC13" s="142"/>
      <c r="GD13" s="140"/>
      <c r="GE13" s="141"/>
      <c r="GF13" s="142"/>
      <c r="GG13" s="140"/>
      <c r="GH13" s="141"/>
      <c r="GI13" s="142"/>
      <c r="GJ13" s="140"/>
      <c r="GK13" s="141"/>
      <c r="GL13" s="142"/>
      <c r="GM13" s="140"/>
      <c r="GN13" s="141"/>
      <c r="GO13" s="142"/>
      <c r="GP13" s="140"/>
      <c r="GQ13" s="141"/>
      <c r="GR13" s="142"/>
      <c r="GS13" s="140"/>
      <c r="GT13" s="141"/>
      <c r="GU13" s="142"/>
      <c r="GV13" s="140"/>
      <c r="GW13" s="141"/>
      <c r="GX13" s="142"/>
      <c r="GY13" s="164"/>
      <c r="GZ13" s="134"/>
      <c r="HA13" s="185"/>
      <c r="HB13" s="164"/>
      <c r="HC13" s="185"/>
      <c r="HD13" s="164"/>
      <c r="HE13" s="185"/>
      <c r="HF13" s="164"/>
      <c r="HG13" s="185"/>
      <c r="HH13" s="164"/>
      <c r="HI13" s="185"/>
      <c r="HJ13" s="164"/>
      <c r="HK13" s="185"/>
      <c r="HL13" s="164"/>
      <c r="HM13" s="185"/>
      <c r="HN13" s="164"/>
      <c r="HO13" s="185"/>
      <c r="HP13" s="164"/>
      <c r="HQ13" s="185"/>
      <c r="HR13" s="164"/>
      <c r="HS13" s="185"/>
      <c r="HT13" s="164"/>
      <c r="HU13" s="185"/>
    </row>
    <row r="14" spans="1:229" x14ac:dyDescent="0.2">
      <c r="A14" s="106" t="s">
        <v>6043</v>
      </c>
      <c r="B14" s="131"/>
      <c r="C14" s="134"/>
      <c r="D14" s="133"/>
      <c r="E14" s="131"/>
      <c r="F14" s="134"/>
      <c r="G14" s="133"/>
      <c r="H14" s="131"/>
      <c r="I14" s="134"/>
      <c r="J14" s="133"/>
      <c r="K14" s="131"/>
      <c r="L14" s="134"/>
      <c r="M14" s="133"/>
      <c r="N14" s="131"/>
      <c r="O14" s="134"/>
      <c r="P14" s="133"/>
      <c r="Q14" s="131"/>
      <c r="R14" s="134"/>
      <c r="S14" s="133"/>
      <c r="T14" s="131"/>
      <c r="U14" s="134"/>
      <c r="V14" s="133"/>
      <c r="W14" s="131"/>
      <c r="X14" s="134"/>
      <c r="Y14" s="133"/>
      <c r="Z14" s="131"/>
      <c r="AA14" s="134"/>
      <c r="AB14" s="133"/>
      <c r="AC14" s="131"/>
      <c r="AD14" s="134"/>
      <c r="AE14" s="133"/>
      <c r="AF14" s="131"/>
      <c r="AG14" s="134"/>
      <c r="AH14" s="133"/>
      <c r="AI14" s="145">
        <v>737265</v>
      </c>
      <c r="AJ14" s="134">
        <v>2</v>
      </c>
      <c r="AK14" s="133"/>
      <c r="AL14" s="131"/>
      <c r="AM14" s="134"/>
      <c r="AN14" s="133"/>
      <c r="AO14" s="131"/>
      <c r="AP14" s="134"/>
      <c r="AQ14" s="133"/>
      <c r="AR14" s="131"/>
      <c r="AS14" s="134"/>
      <c r="AT14" s="180"/>
      <c r="AU14" s="131"/>
      <c r="AV14" s="185"/>
      <c r="AW14" s="131"/>
      <c r="AX14" s="185"/>
      <c r="AY14" s="131"/>
      <c r="AZ14" s="185"/>
      <c r="BA14" s="131"/>
      <c r="BB14" s="185"/>
      <c r="BC14" s="131"/>
      <c r="BD14" s="185"/>
      <c r="BE14" s="131"/>
      <c r="BF14" s="185"/>
      <c r="BG14" s="131"/>
      <c r="BH14" s="185"/>
      <c r="BI14" s="131"/>
      <c r="BJ14" s="185"/>
      <c r="BK14" s="131"/>
      <c r="BL14" s="185"/>
      <c r="BM14" s="131"/>
      <c r="BN14" s="185"/>
      <c r="BO14" s="131"/>
      <c r="BP14" s="134"/>
      <c r="BQ14" s="131"/>
      <c r="BR14" s="134"/>
      <c r="BS14" s="133"/>
      <c r="BT14" s="131"/>
      <c r="BU14" s="134"/>
      <c r="BV14" s="131"/>
      <c r="BW14" s="134"/>
      <c r="BX14" s="131"/>
      <c r="BY14" s="134"/>
      <c r="BZ14" s="131"/>
      <c r="CA14" s="134"/>
      <c r="CB14" s="133"/>
      <c r="CC14" s="131"/>
      <c r="CD14" s="134"/>
      <c r="CE14" s="133"/>
      <c r="CF14" s="131"/>
      <c r="CG14" s="134"/>
      <c r="CH14" s="133"/>
      <c r="CI14" s="131"/>
      <c r="CJ14" s="134"/>
      <c r="CK14" s="133"/>
      <c r="CL14" s="131"/>
      <c r="CM14" s="134"/>
      <c r="CN14" s="133"/>
      <c r="CO14" s="131"/>
      <c r="CP14" s="134"/>
      <c r="CQ14" s="133"/>
      <c r="CR14" s="131"/>
      <c r="CS14" s="134"/>
      <c r="CT14" s="133"/>
      <c r="CU14" s="131"/>
      <c r="CV14" s="134"/>
      <c r="CW14" s="133"/>
      <c r="CX14" s="131"/>
      <c r="CY14" s="134"/>
      <c r="CZ14" s="133"/>
      <c r="DA14" s="140"/>
      <c r="DB14" s="141"/>
      <c r="DC14" s="142"/>
      <c r="DD14" s="140"/>
      <c r="DE14" s="141"/>
      <c r="DF14" s="142"/>
      <c r="DG14" s="140"/>
      <c r="DH14" s="141"/>
      <c r="DI14" s="142"/>
      <c r="DJ14" s="140"/>
      <c r="DK14" s="141"/>
      <c r="DL14" s="142"/>
      <c r="DM14" s="140"/>
      <c r="DN14" s="141"/>
      <c r="DO14" s="142"/>
      <c r="DP14" s="140"/>
      <c r="DQ14" s="141"/>
      <c r="DR14" s="142"/>
      <c r="DS14" s="140"/>
      <c r="DT14" s="141"/>
      <c r="DU14" s="142"/>
      <c r="DV14" s="140"/>
      <c r="DW14" s="141"/>
      <c r="DX14" s="142"/>
      <c r="DY14" s="140"/>
      <c r="DZ14" s="141"/>
      <c r="EA14" s="142"/>
      <c r="EB14" s="140"/>
      <c r="EC14" s="141"/>
      <c r="ED14" s="142"/>
      <c r="EE14" s="140"/>
      <c r="EF14" s="141"/>
      <c r="EG14" s="142"/>
      <c r="EH14" s="140"/>
      <c r="EI14" s="141"/>
      <c r="EJ14" s="142"/>
      <c r="EK14" s="140"/>
      <c r="EL14" s="141"/>
      <c r="EM14" s="142"/>
      <c r="EN14" s="140"/>
      <c r="EO14" s="141"/>
      <c r="EP14" s="142"/>
      <c r="EQ14" s="140"/>
      <c r="ER14" s="141"/>
      <c r="ES14" s="142"/>
      <c r="ET14" s="140"/>
      <c r="EU14" s="141"/>
      <c r="EV14" s="142"/>
      <c r="EW14" s="140"/>
      <c r="EX14" s="141"/>
      <c r="EY14" s="142"/>
      <c r="EZ14" s="140"/>
      <c r="FA14" s="141"/>
      <c r="FB14" s="142"/>
      <c r="FC14" s="140"/>
      <c r="FD14" s="141"/>
      <c r="FE14" s="142"/>
      <c r="FF14" s="140"/>
      <c r="FG14" s="141"/>
      <c r="FH14" s="142"/>
      <c r="FI14" s="140"/>
      <c r="FJ14" s="141"/>
      <c r="FK14" s="142"/>
      <c r="FL14" s="140"/>
      <c r="FM14" s="141"/>
      <c r="FN14" s="142"/>
      <c r="FO14" s="140"/>
      <c r="FP14" s="141"/>
      <c r="FQ14" s="142"/>
      <c r="FR14" s="140"/>
      <c r="FS14" s="141"/>
      <c r="FT14" s="142"/>
      <c r="FU14" s="140"/>
      <c r="FV14" s="141"/>
      <c r="FW14" s="142"/>
      <c r="FX14" s="140"/>
      <c r="FY14" s="141"/>
      <c r="FZ14" s="142"/>
      <c r="GA14" s="140"/>
      <c r="GB14" s="141"/>
      <c r="GC14" s="142"/>
      <c r="GD14" s="140"/>
      <c r="GE14" s="141"/>
      <c r="GF14" s="142"/>
      <c r="GG14" s="140"/>
      <c r="GH14" s="141"/>
      <c r="GI14" s="142"/>
      <c r="GJ14" s="140"/>
      <c r="GK14" s="141"/>
      <c r="GL14" s="142"/>
      <c r="GM14" s="140"/>
      <c r="GN14" s="141"/>
      <c r="GO14" s="142"/>
      <c r="GP14" s="140"/>
      <c r="GQ14" s="141"/>
      <c r="GR14" s="142"/>
      <c r="GS14" s="140"/>
      <c r="GT14" s="141"/>
      <c r="GU14" s="142"/>
      <c r="GV14" s="140"/>
      <c r="GW14" s="141"/>
      <c r="GX14" s="142"/>
      <c r="GY14" s="164"/>
      <c r="GZ14" s="134"/>
      <c r="HA14" s="185"/>
      <c r="HB14" s="164"/>
      <c r="HC14" s="185"/>
      <c r="HD14" s="164"/>
      <c r="HE14" s="185"/>
      <c r="HF14" s="164"/>
      <c r="HG14" s="185"/>
      <c r="HH14" s="164"/>
      <c r="HI14" s="185"/>
      <c r="HJ14" s="164"/>
      <c r="HK14" s="185"/>
      <c r="HL14" s="164"/>
      <c r="HM14" s="185"/>
      <c r="HN14" s="164"/>
      <c r="HO14" s="185"/>
      <c r="HP14" s="164"/>
      <c r="HQ14" s="185"/>
      <c r="HR14" s="164"/>
      <c r="HS14" s="185"/>
      <c r="HT14" s="164"/>
      <c r="HU14" s="185"/>
    </row>
    <row r="15" spans="1:229" x14ac:dyDescent="0.2">
      <c r="A15" s="1753" t="s">
        <v>6044</v>
      </c>
      <c r="B15" s="131"/>
      <c r="C15" s="134"/>
      <c r="D15" s="133"/>
      <c r="E15" s="131"/>
      <c r="F15" s="134"/>
      <c r="G15" s="133"/>
      <c r="H15" s="131">
        <v>120348</v>
      </c>
      <c r="I15" s="134">
        <v>7</v>
      </c>
      <c r="J15" s="133"/>
      <c r="K15" s="131"/>
      <c r="L15" s="134"/>
      <c r="M15" s="133"/>
      <c r="N15" s="131"/>
      <c r="O15" s="134"/>
      <c r="P15" s="133"/>
      <c r="Q15" s="131"/>
      <c r="R15" s="134"/>
      <c r="S15" s="133"/>
      <c r="T15" s="131"/>
      <c r="U15" s="134"/>
      <c r="V15" s="133"/>
      <c r="W15" s="131"/>
      <c r="X15" s="134"/>
      <c r="Y15" s="133"/>
      <c r="Z15" s="131"/>
      <c r="AA15" s="134"/>
      <c r="AB15" s="133"/>
      <c r="AC15" s="131"/>
      <c r="AD15" s="134"/>
      <c r="AE15" s="133"/>
      <c r="AF15" s="131"/>
      <c r="AG15" s="134"/>
      <c r="AH15" s="133"/>
      <c r="AI15" s="145">
        <v>172840</v>
      </c>
      <c r="AJ15" s="134"/>
      <c r="AK15" s="133">
        <f>1/4</f>
        <v>0.25</v>
      </c>
      <c r="AL15" s="131">
        <v>180359</v>
      </c>
      <c r="AM15" s="134">
        <v>1</v>
      </c>
      <c r="AN15" s="133">
        <v>0.25</v>
      </c>
      <c r="AO15" s="131">
        <f>'1846 Hacienda'!E62</f>
        <v>174323</v>
      </c>
      <c r="AP15" s="134">
        <f>'1846 Hacienda'!F62</f>
        <v>6</v>
      </c>
      <c r="AQ15" s="133">
        <f>'1846 Hacienda'!G62</f>
        <v>0.5</v>
      </c>
      <c r="AR15" s="131"/>
      <c r="AS15" s="134"/>
      <c r="AT15" s="180"/>
      <c r="AU15" s="131"/>
      <c r="AV15" s="185"/>
      <c r="AW15" s="131">
        <f>+'1858 Hacienda'!D548</f>
        <v>149659</v>
      </c>
      <c r="AX15" s="185">
        <f>+'1858 Hacienda'!E548</f>
        <v>211</v>
      </c>
      <c r="AY15" s="131">
        <f>+'1858 Hacienda'!D618</f>
        <v>167591</v>
      </c>
      <c r="AZ15" s="185">
        <f>+'1858 Hacienda'!E618</f>
        <v>569</v>
      </c>
      <c r="BA15" s="131">
        <f>+'1858 Hacienda'!B501</f>
        <v>170141</v>
      </c>
      <c r="BB15" s="185">
        <f>+'1858 Hacienda'!C501</f>
        <v>86</v>
      </c>
      <c r="BC15" s="131">
        <f>+'1858 Hacienda'!B1031</f>
        <v>52716</v>
      </c>
      <c r="BD15" s="185">
        <f>+'1858 Hacienda'!C1031</f>
        <v>469</v>
      </c>
      <c r="BE15" s="131"/>
      <c r="BF15" s="185"/>
      <c r="BG15" s="131"/>
      <c r="BH15" s="185"/>
      <c r="BI15" s="131"/>
      <c r="BJ15" s="185"/>
      <c r="BK15" s="131"/>
      <c r="BL15" s="185"/>
      <c r="BM15" s="131"/>
      <c r="BN15" s="185"/>
      <c r="BO15" s="131"/>
      <c r="BP15" s="134"/>
      <c r="BQ15" s="131"/>
      <c r="BR15" s="134"/>
      <c r="BS15" s="133"/>
      <c r="BT15" s="131"/>
      <c r="BU15" s="134"/>
      <c r="BV15" s="131"/>
      <c r="BW15" s="134"/>
      <c r="BX15" s="131"/>
      <c r="BY15" s="134"/>
      <c r="BZ15" s="131"/>
      <c r="CA15" s="134"/>
      <c r="CB15" s="133"/>
      <c r="CC15" s="131"/>
      <c r="CD15" s="134"/>
      <c r="CE15" s="133"/>
      <c r="CF15" s="131"/>
      <c r="CG15" s="134"/>
      <c r="CH15" s="133"/>
      <c r="CI15" s="131"/>
      <c r="CJ15" s="134"/>
      <c r="CK15" s="133"/>
      <c r="CL15" s="131"/>
      <c r="CM15" s="134"/>
      <c r="CN15" s="133"/>
      <c r="CO15" s="131"/>
      <c r="CP15" s="134"/>
      <c r="CQ15" s="133"/>
      <c r="CR15" s="131"/>
      <c r="CS15" s="134"/>
      <c r="CT15" s="133"/>
      <c r="CU15" s="131"/>
      <c r="CV15" s="134"/>
      <c r="CW15" s="133"/>
      <c r="CX15" s="131"/>
      <c r="CY15" s="134"/>
      <c r="CZ15" s="133"/>
      <c r="DA15" s="140"/>
      <c r="DB15" s="141"/>
      <c r="DC15" s="142"/>
      <c r="DD15" s="140"/>
      <c r="DE15" s="141"/>
      <c r="DF15" s="142"/>
      <c r="DG15" s="140"/>
      <c r="DH15" s="141"/>
      <c r="DI15" s="142"/>
      <c r="DJ15" s="140"/>
      <c r="DK15" s="141"/>
      <c r="DL15" s="142"/>
      <c r="DM15" s="140"/>
      <c r="DN15" s="141"/>
      <c r="DO15" s="142"/>
      <c r="DP15" s="140"/>
      <c r="DQ15" s="141"/>
      <c r="DR15" s="142"/>
      <c r="DS15" s="140"/>
      <c r="DT15" s="141"/>
      <c r="DU15" s="142"/>
      <c r="DV15" s="140"/>
      <c r="DW15" s="141"/>
      <c r="DX15" s="142"/>
      <c r="DY15" s="140"/>
      <c r="DZ15" s="141"/>
      <c r="EA15" s="142"/>
      <c r="EB15" s="140"/>
      <c r="EC15" s="141"/>
      <c r="ED15" s="142"/>
      <c r="EE15" s="140"/>
      <c r="EF15" s="141"/>
      <c r="EG15" s="142"/>
      <c r="EH15" s="140"/>
      <c r="EI15" s="141"/>
      <c r="EJ15" s="142"/>
      <c r="EK15" s="140"/>
      <c r="EL15" s="141"/>
      <c r="EM15" s="142"/>
      <c r="EN15" s="140"/>
      <c r="EO15" s="141"/>
      <c r="EP15" s="142"/>
      <c r="EQ15" s="140"/>
      <c r="ER15" s="141"/>
      <c r="ES15" s="142"/>
      <c r="ET15" s="140"/>
      <c r="EU15" s="141"/>
      <c r="EV15" s="142"/>
      <c r="EW15" s="140"/>
      <c r="EX15" s="141"/>
      <c r="EY15" s="142"/>
      <c r="EZ15" s="140"/>
      <c r="FA15" s="141"/>
      <c r="FB15" s="142"/>
      <c r="FC15" s="140"/>
      <c r="FD15" s="141"/>
      <c r="FE15" s="142"/>
      <c r="FF15" s="140"/>
      <c r="FG15" s="141"/>
      <c r="FH15" s="142"/>
      <c r="FI15" s="140"/>
      <c r="FJ15" s="141"/>
      <c r="FK15" s="142"/>
      <c r="FL15" s="140"/>
      <c r="FM15" s="141"/>
      <c r="FN15" s="142"/>
      <c r="FO15" s="140"/>
      <c r="FP15" s="141"/>
      <c r="FQ15" s="142"/>
      <c r="FR15" s="140"/>
      <c r="FS15" s="141"/>
      <c r="FT15" s="142"/>
      <c r="FU15" s="140"/>
      <c r="FV15" s="141"/>
      <c r="FW15" s="142"/>
      <c r="FX15" s="140"/>
      <c r="FY15" s="141"/>
      <c r="FZ15" s="142"/>
      <c r="GA15" s="140"/>
      <c r="GB15" s="141"/>
      <c r="GC15" s="142"/>
      <c r="GD15" s="140"/>
      <c r="GE15" s="141"/>
      <c r="GF15" s="142"/>
      <c r="GG15" s="140"/>
      <c r="GH15" s="141"/>
      <c r="GI15" s="142"/>
      <c r="GJ15" s="140"/>
      <c r="GK15" s="141"/>
      <c r="GL15" s="142"/>
      <c r="GM15" s="140"/>
      <c r="GN15" s="141"/>
      <c r="GO15" s="142"/>
      <c r="GP15" s="140"/>
      <c r="GQ15" s="141"/>
      <c r="GR15" s="142"/>
      <c r="GS15" s="140"/>
      <c r="GT15" s="141"/>
      <c r="GU15" s="142"/>
      <c r="GV15" s="140"/>
      <c r="GW15" s="141"/>
      <c r="GX15" s="142"/>
      <c r="GY15" s="164"/>
      <c r="GZ15" s="134"/>
      <c r="HA15" s="185"/>
      <c r="HB15" s="164"/>
      <c r="HC15" s="185"/>
      <c r="HD15" s="164"/>
      <c r="HE15" s="185"/>
      <c r="HF15" s="164"/>
      <c r="HG15" s="185"/>
      <c r="HH15" s="164"/>
      <c r="HI15" s="185"/>
      <c r="HJ15" s="164"/>
      <c r="HK15" s="185"/>
      <c r="HL15" s="164"/>
      <c r="HM15" s="185"/>
      <c r="HN15" s="164"/>
      <c r="HO15" s="185"/>
      <c r="HP15" s="164"/>
      <c r="HQ15" s="185"/>
      <c r="HR15" s="164"/>
      <c r="HS15" s="185"/>
      <c r="HT15" s="164"/>
      <c r="HU15" s="185"/>
    </row>
    <row r="16" spans="1:229" x14ac:dyDescent="0.2">
      <c r="A16" s="1753" t="s">
        <v>6045</v>
      </c>
      <c r="B16" s="131">
        <f>+'1879 Hacienda'!B41</f>
        <v>289515</v>
      </c>
      <c r="C16" s="134"/>
      <c r="D16" s="133"/>
      <c r="E16" s="131">
        <f>+'1879 Hacienda'!B42</f>
        <v>203202</v>
      </c>
      <c r="F16" s="134"/>
      <c r="G16" s="133"/>
      <c r="H16" s="131"/>
      <c r="I16" s="134"/>
      <c r="J16" s="133"/>
      <c r="K16" s="131"/>
      <c r="L16" s="134"/>
      <c r="M16" s="133"/>
      <c r="N16" s="131"/>
      <c r="O16" s="134"/>
      <c r="P16" s="133"/>
      <c r="Q16" s="131"/>
      <c r="R16" s="134"/>
      <c r="S16" s="133"/>
      <c r="T16" s="131"/>
      <c r="U16" s="134"/>
      <c r="V16" s="133"/>
      <c r="W16" s="131">
        <v>282097</v>
      </c>
      <c r="X16" s="134">
        <v>4</v>
      </c>
      <c r="Y16" s="133">
        <f>1/2</f>
        <v>0.5</v>
      </c>
      <c r="Z16" s="131"/>
      <c r="AA16" s="134"/>
      <c r="AB16" s="133"/>
      <c r="AC16" s="131"/>
      <c r="AD16" s="134"/>
      <c r="AE16" s="133"/>
      <c r="AF16" s="131"/>
      <c r="AG16" s="134"/>
      <c r="AH16" s="133"/>
      <c r="AI16" s="145">
        <v>288562</v>
      </c>
      <c r="AJ16" s="134">
        <v>4</v>
      </c>
      <c r="AK16" s="133">
        <f>1/4</f>
        <v>0.25</v>
      </c>
      <c r="AL16" s="131">
        <v>321986</v>
      </c>
      <c r="AM16" s="134">
        <v>1</v>
      </c>
      <c r="AN16" s="133">
        <v>0.75</v>
      </c>
      <c r="AO16" s="131">
        <f>'1846 Hacienda'!E55</f>
        <v>548036</v>
      </c>
      <c r="AP16" s="134">
        <f>'1846 Hacienda'!F55</f>
        <v>5</v>
      </c>
      <c r="AQ16" s="133">
        <f>'1846 Hacienda'!G55</f>
        <v>0.75</v>
      </c>
      <c r="AR16" s="131"/>
      <c r="AS16" s="134"/>
      <c r="AT16" s="180"/>
      <c r="AU16" s="131"/>
      <c r="AV16" s="185"/>
      <c r="AW16" s="131">
        <f>+'1858 Hacienda'!D547</f>
        <v>471597</v>
      </c>
      <c r="AX16" s="185">
        <f>+'1858 Hacienda'!E547</f>
        <v>406</v>
      </c>
      <c r="AY16" s="131">
        <f>+'1858 Hacienda'!D605</f>
        <v>496361</v>
      </c>
      <c r="AZ16" s="185">
        <f>+'1858 Hacienda'!E605</f>
        <v>81</v>
      </c>
      <c r="BA16" s="131">
        <f>+'1858 Hacienda'!B492</f>
        <v>482993</v>
      </c>
      <c r="BB16" s="185">
        <f>+'1858 Hacienda'!C492</f>
        <v>307</v>
      </c>
      <c r="BC16" s="131">
        <f>+'1858 Hacienda'!B1022</f>
        <v>456998</v>
      </c>
      <c r="BD16" s="185">
        <f>+'1858 Hacienda'!C1022</f>
        <v>380</v>
      </c>
      <c r="BE16" s="131">
        <f>+'1858 Hacienda'!B1046</f>
        <v>400457</v>
      </c>
      <c r="BF16" s="185">
        <f>+'1858 Hacienda'!C1046</f>
        <v>500</v>
      </c>
      <c r="BG16" s="131">
        <f>+'1858 Hacienda'!B1065</f>
        <v>386890</v>
      </c>
      <c r="BH16" s="185">
        <f>+'1858 Hacienda'!C1065</f>
        <v>400</v>
      </c>
      <c r="BI16" s="131">
        <f>+'1858 Hacienda'!B1086</f>
        <v>253584</v>
      </c>
      <c r="BJ16" s="185">
        <f>+'1858 Hacienda'!C1086</f>
        <v>315</v>
      </c>
      <c r="BK16" s="131">
        <f>+'1858 Hacienda'!B1106</f>
        <v>436185</v>
      </c>
      <c r="BL16" s="185">
        <f>+'1858 Hacienda'!C1106</f>
        <v>300</v>
      </c>
      <c r="BM16" s="131">
        <f>+'1858 Hacienda'!B1127</f>
        <v>538235</v>
      </c>
      <c r="BN16" s="185">
        <f>+'1858 Hacienda'!C1127</f>
        <v>475</v>
      </c>
      <c r="BO16" s="131"/>
      <c r="BP16" s="134"/>
      <c r="BQ16" s="131">
        <f>+'1858 Hacienda'!B279</f>
        <v>597849</v>
      </c>
      <c r="BR16" s="134">
        <f>+'1858 Hacienda'!C279</f>
        <v>43</v>
      </c>
      <c r="BS16" s="133">
        <f>+'1858 Hacienda'!D279</f>
        <v>0.5</v>
      </c>
      <c r="BT16" s="131"/>
      <c r="BU16" s="134"/>
      <c r="BV16" s="131"/>
      <c r="BW16" s="134"/>
      <c r="BX16" s="131"/>
      <c r="BY16" s="134"/>
      <c r="BZ16" s="131"/>
      <c r="CA16" s="134"/>
      <c r="CB16" s="133"/>
      <c r="CC16" s="131"/>
      <c r="CD16" s="134"/>
      <c r="CE16" s="133"/>
      <c r="CF16" s="131">
        <f>+'1879 Hacienda'!B45</f>
        <v>852764</v>
      </c>
      <c r="CG16" s="134"/>
      <c r="CH16" s="133"/>
      <c r="CI16" s="131">
        <f>+'1869 Hacienda'!B45</f>
        <v>621007</v>
      </c>
      <c r="CK16" s="133"/>
      <c r="CL16" s="131">
        <f>+'1869 Hacienda'!C45</f>
        <v>657391</v>
      </c>
      <c r="CN16" s="133"/>
      <c r="CO16" s="131">
        <f>+'1869 Hacienda'!D45</f>
        <v>1066615</v>
      </c>
      <c r="CQ16" s="133"/>
      <c r="CR16" s="131">
        <f>+'1869 Hacienda'!E45</f>
        <v>728183</v>
      </c>
      <c r="CT16" s="133"/>
      <c r="CU16" s="107">
        <f>+'1869 Hacienda'!F45</f>
        <v>686935</v>
      </c>
      <c r="CV16" s="134"/>
      <c r="CW16" s="133"/>
      <c r="CX16" s="131">
        <f>+'1869 Hacienda'!B6</f>
        <v>758329</v>
      </c>
      <c r="CY16" s="134"/>
      <c r="CZ16" s="133"/>
      <c r="DA16" s="140">
        <f>+'1872 Hacienda'!B6</f>
        <v>770143</v>
      </c>
      <c r="DB16" s="141">
        <f>+'1872 Hacienda'!C6</f>
        <v>48</v>
      </c>
      <c r="DC16" s="142">
        <f>+'1872 Hacienda'!D6</f>
        <v>0.5</v>
      </c>
      <c r="DD16" s="140"/>
      <c r="DE16" s="141"/>
      <c r="DF16" s="142"/>
      <c r="DG16" s="140"/>
      <c r="DH16" s="141"/>
      <c r="DI16" s="142"/>
      <c r="DJ16" s="140">
        <f>+'1875 Hacienda'!B10</f>
        <v>656000</v>
      </c>
      <c r="DK16" s="141"/>
      <c r="DL16" s="142"/>
      <c r="DM16" s="140"/>
      <c r="DN16" s="141"/>
      <c r="DO16" s="142"/>
      <c r="DP16" s="140">
        <f>+'1877 Hacienda'!B64</f>
        <v>846445</v>
      </c>
      <c r="DQ16" s="141">
        <f>+'1877 Hacienda'!C64</f>
        <v>35</v>
      </c>
      <c r="DR16" s="142"/>
      <c r="DS16" s="140"/>
      <c r="DT16" s="141"/>
      <c r="DU16" s="142"/>
      <c r="DV16" s="140">
        <f>+'1880 Hacienda'!B24</f>
        <v>1451529</v>
      </c>
      <c r="DW16" s="141"/>
      <c r="DX16" s="142"/>
      <c r="DY16" s="140">
        <f>+'1880 Hacienda'!B6</f>
        <v>1349349</v>
      </c>
      <c r="DZ16" s="141">
        <f>+'1880 Hacienda'!C6</f>
        <v>45</v>
      </c>
      <c r="EA16" s="142">
        <f>+'1880 Hacienda'!D6</f>
        <v>0</v>
      </c>
      <c r="EB16" s="140">
        <f>+'1881 Hacienda'!B6</f>
        <v>1500428</v>
      </c>
      <c r="EC16" s="141">
        <f>+'1881 Hacienda'!C6</f>
        <v>300</v>
      </c>
      <c r="ED16" s="142"/>
      <c r="EE16" s="140">
        <f>+'1882 Hacienda'!B6</f>
        <v>950284</v>
      </c>
      <c r="EF16" s="141">
        <f>+'1882 Hacienda'!C6</f>
        <v>65</v>
      </c>
      <c r="EG16" s="142"/>
      <c r="EH16" s="140">
        <f>+'1883 Hacienda'!B6</f>
        <v>1063473</v>
      </c>
      <c r="EI16" s="141">
        <f>+'1883 Hacienda'!C6</f>
        <v>37</v>
      </c>
      <c r="EJ16" s="142">
        <f>+'1883 Hacienda'!D6</f>
        <v>0.5</v>
      </c>
      <c r="EK16" s="140"/>
      <c r="EL16" s="141"/>
      <c r="EM16" s="142"/>
      <c r="EN16" s="140"/>
      <c r="EO16" s="141"/>
      <c r="EP16" s="142"/>
      <c r="EQ16" s="140">
        <f>+'1888 Hacienda'!B102</f>
        <v>1267869</v>
      </c>
      <c r="ER16" s="141">
        <f>+'1888 Hacienda'!C102</f>
        <v>2</v>
      </c>
      <c r="ES16" s="142">
        <f>+'1888 Hacienda'!D102</f>
        <v>0.5</v>
      </c>
      <c r="ET16" s="140">
        <f>+'1888 Hacienda'!K102</f>
        <v>1767219</v>
      </c>
      <c r="EU16" s="141">
        <f>+'1888 Hacienda'!L102</f>
        <v>2</v>
      </c>
      <c r="EV16" s="142">
        <f>+'1888 Hacienda'!M102</f>
        <v>0.5</v>
      </c>
      <c r="EW16" s="140"/>
      <c r="EX16" s="141"/>
      <c r="EY16" s="142"/>
      <c r="EZ16" s="140"/>
      <c r="FA16" s="141"/>
      <c r="FB16" s="142"/>
      <c r="FC16" s="140">
        <f>+'1890 Hacienda'!B212</f>
        <v>3327392</v>
      </c>
      <c r="FD16" s="141">
        <f>+'1890 Hacienda'!C212</f>
        <v>70</v>
      </c>
      <c r="FE16" s="142">
        <f>+'1890 Hacienda'!D212</f>
        <v>0</v>
      </c>
      <c r="FF16" s="140">
        <f>+'1890 Hacienda'!E212</f>
        <v>1727621</v>
      </c>
      <c r="FG16" s="141">
        <f>+'1890 Hacienda'!F212</f>
        <v>40</v>
      </c>
      <c r="FH16" s="142"/>
      <c r="FI16" s="140">
        <f>+'1892 Hacienda'!B80</f>
        <v>1482524</v>
      </c>
      <c r="FJ16" s="141">
        <f>+'1892 Hacienda'!C80</f>
        <v>92</v>
      </c>
      <c r="FK16" s="142">
        <f>+'1892 Hacienda'!D80</f>
        <v>0.5</v>
      </c>
      <c r="FL16" s="140">
        <f>+'1894 Hacienda'!C8</f>
        <v>1244884</v>
      </c>
      <c r="FM16" s="141">
        <f>+'1894 Hacienda'!D8</f>
        <v>47</v>
      </c>
      <c r="FN16" s="142">
        <f>+'1894 Hacienda'!E8</f>
        <v>0.5</v>
      </c>
      <c r="FO16" s="140">
        <f>+'1894 Hacienda'!F8</f>
        <v>1159753</v>
      </c>
      <c r="FP16" s="141">
        <f>+'1894 Hacienda'!G8</f>
        <v>15</v>
      </c>
      <c r="FQ16" s="142"/>
      <c r="FR16" s="140">
        <f>+'1896 Hacienda'!C8</f>
        <v>1831159</v>
      </c>
      <c r="FS16" s="141">
        <f>+'1896 Hacienda'!D8</f>
        <v>5</v>
      </c>
      <c r="FT16" s="142"/>
      <c r="FU16" s="140">
        <f>+'1896 Hacienda'!F8</f>
        <v>1605162</v>
      </c>
      <c r="FV16" s="141">
        <f>+'1896 Hacienda'!G8</f>
        <v>40</v>
      </c>
      <c r="FW16" s="142"/>
      <c r="FX16" s="140">
        <f>+'1896 Hacienda'!L8</f>
        <v>1656263</v>
      </c>
      <c r="FY16" s="141">
        <f>+'1896 Hacienda'!M8</f>
        <v>75</v>
      </c>
      <c r="FZ16" s="142"/>
      <c r="GA16" s="140">
        <f>+'1898 Hacienda'!E7</f>
        <v>1702061</v>
      </c>
      <c r="GB16" s="141">
        <f>+'1898 Hacienda'!F7</f>
        <v>95</v>
      </c>
      <c r="GC16" s="142"/>
      <c r="GD16" s="140">
        <f>+'1898 Hacienda'!K7</f>
        <v>1767607</v>
      </c>
      <c r="GE16" s="141">
        <f>+'1898 Hacienda'!L7</f>
        <v>35</v>
      </c>
      <c r="GF16" s="142"/>
      <c r="GG16" s="140">
        <f>+'1904 Hacienda'!B27</f>
        <v>1405988</v>
      </c>
      <c r="GH16" s="141">
        <f>+'1904 Hacienda'!C27</f>
        <v>35</v>
      </c>
      <c r="GI16" s="142"/>
      <c r="GJ16" s="140">
        <f>+'1904 Hacienda'!B28</f>
        <v>1407940</v>
      </c>
      <c r="GK16" s="141">
        <f>+'1904 Hacienda'!C28</f>
        <v>15</v>
      </c>
      <c r="GL16" s="142"/>
      <c r="GM16" s="140">
        <f>+'1904 Hacienda'!B29</f>
        <v>1947859</v>
      </c>
      <c r="GN16" s="141">
        <f>+'1904 Hacienda'!C29</f>
        <v>90</v>
      </c>
      <c r="GO16" s="142"/>
      <c r="GP16" s="140">
        <f>+'1904 Hacienda'!B30</f>
        <v>2111523</v>
      </c>
      <c r="GQ16" s="141">
        <f>+'1904 Hacienda'!C30</f>
        <v>50</v>
      </c>
      <c r="GR16" s="142"/>
      <c r="GS16" s="140">
        <f>+'1904 Hacienda'!B31</f>
        <v>9747298</v>
      </c>
      <c r="GT16" s="141">
        <f>+'1904 Hacienda'!C31</f>
        <v>40</v>
      </c>
      <c r="GU16" s="142"/>
      <c r="GV16" s="140">
        <f>+'1904 Hacienda'!B32</f>
        <v>20694175</v>
      </c>
      <c r="GW16" s="141">
        <f>+'1904 Hacienda'!C32</f>
        <v>40</v>
      </c>
      <c r="GX16" s="142"/>
      <c r="GY16" s="164"/>
      <c r="GZ16" s="134"/>
      <c r="HA16" s="185"/>
      <c r="HB16" s="131">
        <f>'1910 Hacienda'!C5</f>
        <v>350330</v>
      </c>
      <c r="HC16" s="307">
        <f>'1910 Hacienda'!D5</f>
        <v>70</v>
      </c>
      <c r="HD16" s="131">
        <f>'1910 Hacienda'!C30</f>
        <v>811723</v>
      </c>
      <c r="HE16" s="307">
        <f>'1910 Hacienda'!D30</f>
        <v>9</v>
      </c>
      <c r="HF16" s="131">
        <f>'1910 Hacienda'!C59</f>
        <v>1155983</v>
      </c>
      <c r="HG16" s="307">
        <f>'1910 Hacienda'!D59</f>
        <v>21</v>
      </c>
      <c r="HH16" s="131">
        <f>'1910 Hacienda'!C99</f>
        <v>1147008</v>
      </c>
      <c r="HI16" s="307">
        <f>'1910 Hacienda'!D99</f>
        <v>11</v>
      </c>
      <c r="HJ16" s="131"/>
      <c r="HK16" s="307"/>
      <c r="HL16" s="131"/>
      <c r="HM16" s="307"/>
      <c r="HN16" s="131"/>
      <c r="HO16" s="307"/>
      <c r="HP16" s="131"/>
      <c r="HQ16" s="307"/>
      <c r="HR16" s="131"/>
      <c r="HS16" s="307"/>
      <c r="HT16" s="131"/>
      <c r="HU16" s="307"/>
    </row>
    <row r="17" spans="1:229" x14ac:dyDescent="0.2">
      <c r="A17" s="184" t="s">
        <v>5471</v>
      </c>
      <c r="B17" s="131"/>
      <c r="C17" s="134"/>
      <c r="D17" s="133"/>
      <c r="E17" s="131"/>
      <c r="F17" s="134"/>
      <c r="G17" s="133"/>
      <c r="H17" s="131"/>
      <c r="I17" s="134"/>
      <c r="J17" s="133"/>
      <c r="K17" s="131"/>
      <c r="L17" s="134"/>
      <c r="M17" s="133"/>
      <c r="N17" s="131"/>
      <c r="O17" s="134"/>
      <c r="P17" s="133"/>
      <c r="Q17" s="131"/>
      <c r="R17" s="134"/>
      <c r="S17" s="133"/>
      <c r="T17" s="131"/>
      <c r="U17" s="134"/>
      <c r="V17" s="133"/>
      <c r="W17" s="131"/>
      <c r="X17" s="134"/>
      <c r="Y17" s="133"/>
      <c r="Z17" s="131"/>
      <c r="AA17" s="134"/>
      <c r="AB17" s="133"/>
      <c r="AC17" s="131"/>
      <c r="AD17" s="134"/>
      <c r="AE17" s="133"/>
      <c r="AF17" s="131"/>
      <c r="AG17" s="134"/>
      <c r="AH17" s="133"/>
      <c r="AI17" s="145"/>
      <c r="AJ17" s="134"/>
      <c r="AK17" s="133"/>
      <c r="AL17" s="131"/>
      <c r="AM17" s="134"/>
      <c r="AN17" s="133"/>
      <c r="AO17" s="131"/>
      <c r="AP17" s="134"/>
      <c r="AQ17" s="133"/>
      <c r="AR17" s="131"/>
      <c r="AS17" s="134"/>
      <c r="AT17" s="180"/>
      <c r="AU17" s="131"/>
      <c r="AV17" s="185"/>
      <c r="AW17" s="131"/>
      <c r="AX17" s="185"/>
      <c r="AY17" s="131"/>
      <c r="AZ17" s="185"/>
      <c r="BA17" s="131"/>
      <c r="BB17" s="185"/>
      <c r="BC17" s="131"/>
      <c r="BD17" s="185"/>
      <c r="BE17" s="131"/>
      <c r="BF17" s="185"/>
      <c r="BG17" s="131"/>
      <c r="BH17" s="185"/>
      <c r="BI17" s="131"/>
      <c r="BJ17" s="185"/>
      <c r="BK17" s="131"/>
      <c r="BL17" s="185"/>
      <c r="BM17" s="131"/>
      <c r="BN17" s="185"/>
      <c r="BO17" s="131"/>
      <c r="BP17" s="134"/>
      <c r="BQ17" s="131"/>
      <c r="BR17" s="134"/>
      <c r="BS17" s="133"/>
      <c r="BT17" s="131"/>
      <c r="BU17" s="134"/>
      <c r="BV17" s="131"/>
      <c r="BW17" s="134"/>
      <c r="BX17" s="131"/>
      <c r="BY17" s="134"/>
      <c r="BZ17" s="131"/>
      <c r="CA17" s="134"/>
      <c r="CB17" s="133"/>
      <c r="CC17" s="131"/>
      <c r="CD17" s="134"/>
      <c r="CE17" s="133"/>
      <c r="CF17" s="107"/>
      <c r="CG17" s="134"/>
      <c r="CH17" s="133"/>
      <c r="CI17" s="131"/>
      <c r="CJ17" s="134"/>
      <c r="CK17" s="133"/>
      <c r="CL17" s="131"/>
      <c r="CM17" s="134"/>
      <c r="CN17" s="133"/>
      <c r="CO17" s="131"/>
      <c r="CP17" s="134"/>
      <c r="CQ17" s="133"/>
      <c r="CR17" s="131"/>
      <c r="CS17" s="134"/>
      <c r="CT17" s="133"/>
      <c r="CU17" s="131"/>
      <c r="CV17" s="134"/>
      <c r="CW17" s="133"/>
      <c r="CX17" s="131"/>
      <c r="CY17" s="134"/>
      <c r="CZ17" s="133"/>
      <c r="DA17" s="140"/>
      <c r="DB17" s="141"/>
      <c r="DC17" s="142"/>
      <c r="DD17" s="140"/>
      <c r="DE17" s="141"/>
      <c r="DF17" s="142"/>
      <c r="DG17" s="140"/>
      <c r="DH17" s="141"/>
      <c r="DI17" s="142"/>
      <c r="DJ17" s="140"/>
      <c r="DK17" s="141"/>
      <c r="DL17" s="142"/>
      <c r="DM17" s="140"/>
      <c r="DN17" s="141"/>
      <c r="DO17" s="142"/>
      <c r="DP17" s="140"/>
      <c r="DQ17" s="141"/>
      <c r="DR17" s="142"/>
      <c r="DS17" s="140"/>
      <c r="DT17" s="141"/>
      <c r="DU17" s="142"/>
      <c r="DV17" s="140"/>
      <c r="DW17" s="141"/>
      <c r="DX17" s="142"/>
      <c r="DY17" s="140"/>
      <c r="DZ17" s="141"/>
      <c r="EA17" s="142"/>
      <c r="EB17" s="140"/>
      <c r="EC17" s="141"/>
      <c r="ED17" s="142"/>
      <c r="EE17" s="140"/>
      <c r="EF17" s="141"/>
      <c r="EG17" s="142"/>
      <c r="EH17" s="140"/>
      <c r="EI17" s="141"/>
      <c r="EJ17" s="142"/>
      <c r="EK17" s="140"/>
      <c r="EL17" s="141"/>
      <c r="EM17" s="142"/>
      <c r="EN17" s="140"/>
      <c r="EO17" s="141"/>
      <c r="EP17" s="142"/>
      <c r="EQ17" s="140"/>
      <c r="ER17" s="141"/>
      <c r="ES17" s="142"/>
      <c r="ET17" s="140"/>
      <c r="EU17" s="141"/>
      <c r="EV17" s="142"/>
      <c r="EW17" s="140">
        <f>+'1890 Hacienda'!B149</f>
        <v>1241543</v>
      </c>
      <c r="EX17" s="141">
        <f>+'1890 Hacienda'!C149</f>
        <v>40</v>
      </c>
      <c r="EY17" s="142"/>
      <c r="EZ17" s="140">
        <f>+'1890 Hacienda'!B150</f>
        <v>1164673</v>
      </c>
      <c r="FA17" s="141">
        <f>+'1890 Hacienda'!C150</f>
        <v>40</v>
      </c>
      <c r="FB17" s="142"/>
      <c r="FC17" s="140"/>
      <c r="FD17" s="141"/>
      <c r="FE17" s="142"/>
      <c r="FF17" s="140">
        <f>+'1890 Hacienda'!B151</f>
        <v>1336103</v>
      </c>
      <c r="FG17" s="141">
        <f>+'1890 Hacienda'!C151</f>
        <v>40</v>
      </c>
      <c r="FH17" s="142"/>
      <c r="FI17" s="140"/>
      <c r="FJ17" s="141"/>
      <c r="FK17" s="142"/>
      <c r="FL17" s="140"/>
      <c r="FM17" s="141"/>
      <c r="FN17" s="142"/>
      <c r="FO17" s="140"/>
      <c r="FP17" s="141"/>
      <c r="FQ17" s="142"/>
      <c r="FR17" s="140"/>
      <c r="FS17" s="141"/>
      <c r="FT17" s="142"/>
      <c r="FU17" s="140"/>
      <c r="FV17" s="141"/>
      <c r="FW17" s="142"/>
      <c r="FX17" s="140"/>
      <c r="FY17" s="141"/>
      <c r="FZ17" s="142"/>
      <c r="GA17" s="140"/>
      <c r="GB17" s="141"/>
      <c r="GC17" s="142"/>
      <c r="GD17" s="140"/>
      <c r="GE17" s="141"/>
      <c r="GF17" s="142"/>
      <c r="GG17" s="140"/>
      <c r="GH17" s="141"/>
      <c r="GI17" s="142"/>
      <c r="GJ17" s="140"/>
      <c r="GK17" s="141"/>
      <c r="GL17" s="142"/>
      <c r="GM17" s="140"/>
      <c r="GN17" s="141"/>
      <c r="GO17" s="142"/>
      <c r="GP17" s="140"/>
      <c r="GQ17" s="141"/>
      <c r="GR17" s="142"/>
      <c r="GS17" s="140"/>
      <c r="GT17" s="141"/>
      <c r="GU17" s="142"/>
      <c r="GV17" s="140"/>
      <c r="GW17" s="141"/>
      <c r="GX17" s="142"/>
      <c r="GY17" s="164"/>
      <c r="GZ17" s="134"/>
      <c r="HA17" s="185"/>
      <c r="HB17" s="131"/>
      <c r="HC17" s="307"/>
      <c r="HD17" s="131"/>
      <c r="HE17" s="307"/>
      <c r="HF17" s="131"/>
      <c r="HG17" s="307"/>
      <c r="HH17" s="131"/>
      <c r="HI17" s="307"/>
      <c r="HJ17" s="131">
        <f>'1910 Hacienda'!C141</f>
        <v>699776</v>
      </c>
      <c r="HK17" s="307">
        <f>'1910 Hacienda'!D141</f>
        <v>66</v>
      </c>
      <c r="HL17" s="131">
        <f>'1911 Hacienda'!B37</f>
        <v>736266</v>
      </c>
      <c r="HM17" s="307">
        <f>'1911 Hacienda'!C37</f>
        <v>16</v>
      </c>
      <c r="HN17" s="131"/>
      <c r="HO17" s="307"/>
      <c r="HP17" s="131">
        <f>+'1912 Hacienda'!B21</f>
        <v>870906</v>
      </c>
      <c r="HQ17" s="307">
        <f>+'1912 Hacienda'!C21</f>
        <v>11</v>
      </c>
      <c r="HR17" s="131"/>
      <c r="HS17" s="307"/>
      <c r="HT17" s="131">
        <f>+'1915 Hacienda'!D7</f>
        <v>886831</v>
      </c>
      <c r="HU17" s="307">
        <f>+'1915 Hacienda'!E7</f>
        <v>8</v>
      </c>
    </row>
    <row r="18" spans="1:229" x14ac:dyDescent="0.2">
      <c r="A18" s="184" t="s">
        <v>5472</v>
      </c>
      <c r="B18" s="131"/>
      <c r="C18" s="134"/>
      <c r="D18" s="133"/>
      <c r="E18" s="131"/>
      <c r="F18" s="134"/>
      <c r="G18" s="133"/>
      <c r="H18" s="131"/>
      <c r="I18" s="134"/>
      <c r="J18" s="133"/>
      <c r="K18" s="131"/>
      <c r="L18" s="134"/>
      <c r="M18" s="133"/>
      <c r="N18" s="131"/>
      <c r="O18" s="134"/>
      <c r="P18" s="133"/>
      <c r="Q18" s="131"/>
      <c r="R18" s="134"/>
      <c r="S18" s="133"/>
      <c r="T18" s="131"/>
      <c r="U18" s="134"/>
      <c r="V18" s="133"/>
      <c r="W18" s="131"/>
      <c r="X18" s="134"/>
      <c r="Y18" s="133"/>
      <c r="Z18" s="131"/>
      <c r="AA18" s="134"/>
      <c r="AB18" s="133"/>
      <c r="AC18" s="131"/>
      <c r="AD18" s="134"/>
      <c r="AE18" s="133"/>
      <c r="AF18" s="131"/>
      <c r="AG18" s="134"/>
      <c r="AH18" s="133"/>
      <c r="AI18" s="145"/>
      <c r="AJ18" s="134"/>
      <c r="AK18" s="133"/>
      <c r="AL18" s="131"/>
      <c r="AM18" s="134"/>
      <c r="AN18" s="133"/>
      <c r="AO18" s="131"/>
      <c r="AP18" s="134"/>
      <c r="AQ18" s="133"/>
      <c r="AR18" s="131"/>
      <c r="AS18" s="134"/>
      <c r="AT18" s="180"/>
      <c r="AU18" s="131"/>
      <c r="AV18" s="185"/>
      <c r="AW18" s="131"/>
      <c r="AX18" s="185"/>
      <c r="AY18" s="131"/>
      <c r="AZ18" s="185"/>
      <c r="BA18" s="131"/>
      <c r="BB18" s="185"/>
      <c r="BC18" s="131"/>
      <c r="BD18" s="185"/>
      <c r="BE18" s="131"/>
      <c r="BF18" s="185"/>
      <c r="BG18" s="131"/>
      <c r="BH18" s="185"/>
      <c r="BI18" s="131"/>
      <c r="BJ18" s="185"/>
      <c r="BK18" s="131"/>
      <c r="BL18" s="185"/>
      <c r="BM18" s="131"/>
      <c r="BN18" s="185"/>
      <c r="BO18" s="131"/>
      <c r="BP18" s="134"/>
      <c r="BQ18" s="131"/>
      <c r="BR18" s="134"/>
      <c r="BS18" s="133"/>
      <c r="BT18" s="131"/>
      <c r="BU18" s="134"/>
      <c r="BV18" s="131"/>
      <c r="BW18" s="134"/>
      <c r="BX18" s="131"/>
      <c r="BY18" s="134"/>
      <c r="BZ18" s="131"/>
      <c r="CA18" s="134"/>
      <c r="CB18" s="133"/>
      <c r="CC18" s="131"/>
      <c r="CD18" s="134"/>
      <c r="CE18" s="133"/>
      <c r="CF18" s="131"/>
      <c r="CG18" s="134"/>
      <c r="CH18" s="133"/>
      <c r="CI18" s="131"/>
      <c r="CJ18" s="134"/>
      <c r="CK18" s="133"/>
      <c r="CL18" s="131"/>
      <c r="CM18" s="134"/>
      <c r="CN18" s="133"/>
      <c r="CO18" s="131"/>
      <c r="CP18" s="134"/>
      <c r="CQ18" s="133"/>
      <c r="CR18" s="131"/>
      <c r="CS18" s="134"/>
      <c r="CT18" s="133"/>
      <c r="CU18" s="131"/>
      <c r="CV18" s="134"/>
      <c r="CW18" s="133"/>
      <c r="CX18" s="131"/>
      <c r="CY18" s="134"/>
      <c r="CZ18" s="133"/>
      <c r="DA18" s="140"/>
      <c r="DB18" s="141"/>
      <c r="DC18" s="142"/>
      <c r="DD18" s="140"/>
      <c r="DE18" s="141"/>
      <c r="DF18" s="142"/>
      <c r="DG18" s="140"/>
      <c r="DH18" s="141"/>
      <c r="DI18" s="142"/>
      <c r="DJ18" s="140"/>
      <c r="DK18" s="141"/>
      <c r="DL18" s="142"/>
      <c r="DM18" s="140"/>
      <c r="DN18" s="141"/>
      <c r="DO18" s="142"/>
      <c r="DP18" s="140"/>
      <c r="DQ18" s="141"/>
      <c r="DR18" s="142"/>
      <c r="DS18" s="140"/>
      <c r="DT18" s="141"/>
      <c r="DU18" s="142"/>
      <c r="DV18" s="140"/>
      <c r="DW18" s="141"/>
      <c r="DX18" s="142"/>
      <c r="DY18" s="140"/>
      <c r="DZ18" s="141"/>
      <c r="EA18" s="142"/>
      <c r="EB18" s="140"/>
      <c r="EC18" s="141"/>
      <c r="ED18" s="142"/>
      <c r="EE18" s="140"/>
      <c r="EF18" s="141"/>
      <c r="EG18" s="142"/>
      <c r="EH18" s="140"/>
      <c r="EI18" s="141"/>
      <c r="EJ18" s="142"/>
      <c r="EK18" s="140"/>
      <c r="EL18" s="141"/>
      <c r="EM18" s="142"/>
      <c r="EN18" s="140"/>
      <c r="EO18" s="141"/>
      <c r="EP18" s="142"/>
      <c r="EQ18" s="140"/>
      <c r="ER18" s="141"/>
      <c r="ES18" s="142"/>
      <c r="ET18" s="140"/>
      <c r="EU18" s="141"/>
      <c r="EV18" s="142"/>
      <c r="EW18" s="140">
        <f>+'1890 Hacienda'!B154</f>
        <v>374331</v>
      </c>
      <c r="EX18" s="141">
        <f>+'1890 Hacienda'!C154</f>
        <v>35</v>
      </c>
      <c r="EY18" s="142"/>
      <c r="EZ18" s="140">
        <f>+'1890 Hacienda'!B155</f>
        <v>367485</v>
      </c>
      <c r="FA18" s="141"/>
      <c r="FB18" s="142"/>
      <c r="FC18" s="140"/>
      <c r="FD18" s="141"/>
      <c r="FE18" s="142"/>
      <c r="FF18" s="140">
        <f>+'1890 Hacienda'!B156</f>
        <v>391518</v>
      </c>
      <c r="FG18" s="141"/>
      <c r="FH18" s="142"/>
      <c r="FI18" s="140"/>
      <c r="FJ18" s="141"/>
      <c r="FK18" s="142"/>
      <c r="FL18" s="140"/>
      <c r="FM18" s="141"/>
      <c r="FN18" s="142"/>
      <c r="FO18" s="140"/>
      <c r="FP18" s="141"/>
      <c r="FQ18" s="142"/>
      <c r="FR18" s="140"/>
      <c r="FS18" s="141"/>
      <c r="FT18" s="142"/>
      <c r="FU18" s="140"/>
      <c r="FV18" s="141"/>
      <c r="FW18" s="142"/>
      <c r="FX18" s="140"/>
      <c r="FY18" s="141"/>
      <c r="FZ18" s="142"/>
      <c r="GA18" s="140"/>
      <c r="GB18" s="141"/>
      <c r="GC18" s="142"/>
      <c r="GD18" s="140"/>
      <c r="GE18" s="141"/>
      <c r="GF18" s="142"/>
      <c r="GG18" s="140"/>
      <c r="GH18" s="141"/>
      <c r="GI18" s="142"/>
      <c r="GJ18" s="140"/>
      <c r="GK18" s="141"/>
      <c r="GL18" s="142"/>
      <c r="GM18" s="140"/>
      <c r="GN18" s="141"/>
      <c r="GO18" s="142"/>
      <c r="GP18" s="140"/>
      <c r="GQ18" s="141"/>
      <c r="GR18" s="142"/>
      <c r="GS18" s="140"/>
      <c r="GT18" s="141"/>
      <c r="GU18" s="142"/>
      <c r="GV18" s="140"/>
      <c r="GW18" s="141"/>
      <c r="GX18" s="142"/>
      <c r="GY18" s="164"/>
      <c r="GZ18" s="134"/>
      <c r="HA18" s="185"/>
      <c r="HB18" s="131"/>
      <c r="HC18" s="307"/>
      <c r="HD18" s="131"/>
      <c r="HE18" s="307"/>
      <c r="HF18" s="131"/>
      <c r="HG18" s="307"/>
      <c r="HH18" s="131"/>
      <c r="HI18" s="307"/>
      <c r="HJ18" s="131">
        <f>'1910 Hacienda'!C142</f>
        <v>703871</v>
      </c>
      <c r="HK18" s="307">
        <f>'1910 Hacienda'!D142</f>
        <v>16</v>
      </c>
      <c r="HL18" s="131">
        <f>'1911 Hacienda'!B36</f>
        <v>534779</v>
      </c>
      <c r="HM18" s="307">
        <f>'1911 Hacienda'!C36</f>
        <v>7</v>
      </c>
      <c r="HN18" s="131"/>
      <c r="HO18" s="307"/>
      <c r="HP18" s="131">
        <f>+'1912 Hacienda'!B22</f>
        <v>160735</v>
      </c>
      <c r="HQ18" s="307">
        <f>+'1912 Hacienda'!C22</f>
        <v>45</v>
      </c>
      <c r="HR18" s="131"/>
      <c r="HS18" s="307"/>
      <c r="HT18" s="131">
        <f>+'1915 Hacienda'!D8</f>
        <v>315524</v>
      </c>
      <c r="HU18" s="307">
        <f>+'1915 Hacienda'!E8</f>
        <v>62</v>
      </c>
    </row>
    <row r="19" spans="1:229" x14ac:dyDescent="0.2">
      <c r="A19" s="1753" t="s">
        <v>6046</v>
      </c>
      <c r="B19" s="131"/>
      <c r="C19" s="134"/>
      <c r="D19" s="133"/>
      <c r="E19" s="131"/>
      <c r="F19" s="134"/>
      <c r="G19" s="133"/>
      <c r="H19" s="131"/>
      <c r="I19" s="134"/>
      <c r="J19" s="133"/>
      <c r="K19" s="131"/>
      <c r="L19" s="134"/>
      <c r="M19" s="133"/>
      <c r="N19" s="131"/>
      <c r="O19" s="134"/>
      <c r="P19" s="133"/>
      <c r="Q19" s="131"/>
      <c r="R19" s="134"/>
      <c r="S19" s="133"/>
      <c r="T19" s="131"/>
      <c r="U19" s="134"/>
      <c r="V19" s="133"/>
      <c r="W19" s="131"/>
      <c r="X19" s="134"/>
      <c r="Y19" s="133"/>
      <c r="Z19" s="131"/>
      <c r="AA19" s="134"/>
      <c r="AB19" s="133"/>
      <c r="AC19" s="131"/>
      <c r="AD19" s="134"/>
      <c r="AE19" s="133"/>
      <c r="AF19" s="131">
        <v>60373</v>
      </c>
      <c r="AG19" s="134">
        <v>6</v>
      </c>
      <c r="AH19" s="133">
        <f>1/4</f>
        <v>0.25</v>
      </c>
      <c r="AI19" s="145">
        <v>79539</v>
      </c>
      <c r="AJ19" s="134">
        <v>2</v>
      </c>
      <c r="AK19" s="133">
        <f>1/2</f>
        <v>0.5</v>
      </c>
      <c r="AL19" s="131">
        <v>74480</v>
      </c>
      <c r="AM19" s="134">
        <v>6</v>
      </c>
      <c r="AN19" s="133">
        <v>0.25</v>
      </c>
      <c r="AO19" s="131">
        <f>'1846 Hacienda'!E54</f>
        <v>79813</v>
      </c>
      <c r="AP19" s="134">
        <f>'1846 Hacienda'!F54</f>
        <v>4</v>
      </c>
      <c r="AQ19" s="133">
        <f>'1846 Hacienda'!G54</f>
        <v>0.75</v>
      </c>
      <c r="AR19" s="131"/>
      <c r="AS19" s="134"/>
      <c r="AT19" s="180"/>
      <c r="AU19" s="131"/>
      <c r="AV19" s="185"/>
      <c r="AW19" s="131">
        <f>+'1858 Hacienda'!D552</f>
        <v>79260</v>
      </c>
      <c r="AX19" s="185">
        <f>+'1858 Hacienda'!E552</f>
        <v>597</v>
      </c>
      <c r="AY19" s="131">
        <f>+'1858 Hacienda'!D609</f>
        <v>75422</v>
      </c>
      <c r="AZ19" s="185">
        <f>+'1858 Hacienda'!E609</f>
        <v>880</v>
      </c>
      <c r="BA19" s="131">
        <f>+'1858 Hacienda'!B494</f>
        <v>80252</v>
      </c>
      <c r="BB19" s="185">
        <f>+'1858 Hacienda'!C494</f>
        <v>461</v>
      </c>
      <c r="BC19" s="131">
        <f>+'1858 Hacienda'!B1023</f>
        <v>69942</v>
      </c>
      <c r="BD19" s="185">
        <f>+'1858 Hacienda'!C1023</f>
        <v>689</v>
      </c>
      <c r="BE19" s="131">
        <f>+'1858 Hacienda'!B1048</f>
        <v>75001</v>
      </c>
      <c r="BF19" s="185"/>
      <c r="BG19" s="131">
        <f>+'1858 Hacienda'!B1068</f>
        <v>79548</v>
      </c>
      <c r="BH19" s="185">
        <f>+'1858 Hacienda'!C1068</f>
        <v>328</v>
      </c>
      <c r="BI19" s="131">
        <f>+'1858 Hacienda'!B1088</f>
        <v>65350</v>
      </c>
      <c r="BJ19" s="185">
        <f>+'1858 Hacienda'!C1088</f>
        <v>660</v>
      </c>
      <c r="BK19" s="131">
        <f>+'1858 Hacienda'!B1107</f>
        <v>66872</v>
      </c>
      <c r="BL19" s="185">
        <f>+'1858 Hacienda'!C1107</f>
        <v>795</v>
      </c>
      <c r="BM19" s="131">
        <f>+'1858 Hacienda'!D1126</f>
        <v>66088</v>
      </c>
      <c r="BN19" s="185">
        <f>+'1858 Hacienda'!E1126</f>
        <v>790</v>
      </c>
      <c r="BO19" s="131"/>
      <c r="BP19" s="134"/>
      <c r="BQ19" s="131">
        <f>+'1858 Hacienda'!B281</f>
        <v>21663</v>
      </c>
      <c r="BR19" s="134">
        <f>+'1858 Hacienda'!C281</f>
        <v>20</v>
      </c>
      <c r="BS19" s="133">
        <f>+'1858 Hacienda'!D281</f>
        <v>0</v>
      </c>
      <c r="BT19" s="131"/>
      <c r="BU19" s="134"/>
      <c r="BV19" s="131"/>
      <c r="BW19" s="134"/>
      <c r="BX19" s="131"/>
      <c r="BY19" s="134"/>
      <c r="BZ19" s="131"/>
      <c r="CA19" s="134"/>
      <c r="CB19" s="133"/>
      <c r="CC19" s="131"/>
      <c r="CD19" s="134"/>
      <c r="CE19" s="133"/>
      <c r="CF19" s="131"/>
      <c r="CG19" s="134"/>
      <c r="CH19" s="133"/>
      <c r="CI19" s="131"/>
      <c r="CJ19" s="134"/>
      <c r="CK19" s="133"/>
      <c r="CL19" s="131"/>
      <c r="CM19" s="134"/>
      <c r="CN19" s="133"/>
      <c r="CO19" s="131"/>
      <c r="CP19" s="134"/>
      <c r="CQ19" s="133"/>
      <c r="CR19" s="131"/>
      <c r="CS19" s="134"/>
      <c r="CT19" s="133"/>
      <c r="CU19" s="131"/>
      <c r="CV19" s="134"/>
      <c r="CW19" s="133"/>
      <c r="CX19" s="131"/>
      <c r="CY19" s="134"/>
      <c r="CZ19" s="133"/>
      <c r="DA19" s="140"/>
      <c r="DB19" s="141"/>
      <c r="DC19" s="142"/>
      <c r="DD19" s="140"/>
      <c r="DE19" s="141"/>
      <c r="DF19" s="142"/>
      <c r="DG19" s="140"/>
      <c r="DH19" s="141"/>
      <c r="DI19" s="142"/>
      <c r="DJ19" s="140"/>
      <c r="DK19" s="141"/>
      <c r="DL19" s="142"/>
      <c r="DM19" s="140"/>
      <c r="DN19" s="141"/>
      <c r="DO19" s="142"/>
      <c r="DP19" s="140"/>
      <c r="DQ19" s="141"/>
      <c r="DR19" s="142"/>
      <c r="DS19" s="140"/>
      <c r="DT19" s="141"/>
      <c r="DU19" s="142"/>
      <c r="DV19" s="140"/>
      <c r="DW19" s="141"/>
      <c r="DX19" s="142"/>
      <c r="DY19" s="140"/>
      <c r="DZ19" s="141"/>
      <c r="EA19" s="142"/>
      <c r="EB19" s="140"/>
      <c r="EC19" s="141"/>
      <c r="ED19" s="142"/>
      <c r="EE19" s="140"/>
      <c r="EF19" s="141"/>
      <c r="EG19" s="142"/>
      <c r="EH19" s="140"/>
      <c r="EI19" s="141"/>
      <c r="EJ19" s="142"/>
      <c r="EK19" s="140"/>
      <c r="EL19" s="141"/>
      <c r="EM19" s="142"/>
      <c r="EN19" s="140"/>
      <c r="EO19" s="141"/>
      <c r="EP19" s="142"/>
      <c r="EQ19" s="140"/>
      <c r="ER19" s="141"/>
      <c r="ES19" s="142"/>
      <c r="ET19" s="140"/>
      <c r="EU19" s="141"/>
      <c r="EV19" s="142"/>
      <c r="EW19" s="140"/>
      <c r="EX19" s="141"/>
      <c r="EY19" s="142"/>
      <c r="EZ19" s="140"/>
      <c r="FA19" s="141"/>
      <c r="FB19" s="142"/>
      <c r="FC19" s="140">
        <f>+'1890 Hacienda'!B214</f>
        <v>737519</v>
      </c>
      <c r="FD19" s="141">
        <f>+'1890 Hacienda'!C214</f>
        <v>10</v>
      </c>
      <c r="FE19" s="142"/>
      <c r="FF19" s="140">
        <f>+'1890 Hacienda'!E214</f>
        <v>328376</v>
      </c>
      <c r="FG19" s="141">
        <f>+'1890 Hacienda'!F214</f>
        <v>45</v>
      </c>
      <c r="FH19" s="142"/>
      <c r="FI19" s="140"/>
      <c r="FJ19" s="141"/>
      <c r="FK19" s="142"/>
      <c r="FL19" s="140">
        <f>+'1894 Hacienda'!C10</f>
        <v>408311</v>
      </c>
      <c r="FM19" s="141"/>
      <c r="FN19" s="142"/>
      <c r="FO19" s="140">
        <f>+'1894 Hacienda'!F10</f>
        <v>453107</v>
      </c>
      <c r="FP19" s="141">
        <f>+'1894 Hacienda'!G10</f>
        <v>30</v>
      </c>
      <c r="FQ19" s="142"/>
      <c r="FR19" s="140">
        <f>+'1896 Hacienda'!C10</f>
        <v>437757</v>
      </c>
      <c r="FS19" s="141">
        <f>+'1896 Hacienda'!D10</f>
        <v>60</v>
      </c>
      <c r="FT19" s="142"/>
      <c r="FU19" s="140">
        <f>+'1896 Hacienda'!F10</f>
        <v>476498</v>
      </c>
      <c r="FV19" s="141">
        <f>+'1896 Hacienda'!G10</f>
        <v>70</v>
      </c>
      <c r="FW19" s="142"/>
      <c r="FX19" s="140">
        <f>+'1896 Hacienda'!L10</f>
        <v>488161</v>
      </c>
      <c r="FY19" s="141"/>
      <c r="FZ19" s="142"/>
      <c r="GA19" s="140">
        <f>+'1898 Hacienda'!E9</f>
        <v>557038</v>
      </c>
      <c r="GB19" s="141">
        <f>+'1898 Hacienda'!F9</f>
        <v>35</v>
      </c>
      <c r="GC19" s="142"/>
      <c r="GD19" s="140">
        <f>+'1898 Hacienda'!K9</f>
        <v>733762</v>
      </c>
      <c r="GE19" s="141">
        <f>+'1898 Hacienda'!L9</f>
        <v>90</v>
      </c>
      <c r="GF19" s="142"/>
      <c r="GG19" s="140"/>
      <c r="GH19" s="141"/>
      <c r="GI19" s="142"/>
      <c r="GJ19" s="140"/>
      <c r="GK19" s="141"/>
      <c r="GL19" s="142"/>
      <c r="GM19" s="140"/>
      <c r="GN19" s="141"/>
      <c r="GO19" s="142"/>
      <c r="GP19" s="140"/>
      <c r="GQ19" s="141"/>
      <c r="GR19" s="142"/>
      <c r="GS19" s="140"/>
      <c r="GT19" s="141"/>
      <c r="GU19" s="142"/>
      <c r="GV19" s="140"/>
      <c r="GW19" s="141"/>
      <c r="GX19" s="142"/>
      <c r="GY19" s="164"/>
      <c r="GZ19" s="134"/>
      <c r="HA19" s="185"/>
      <c r="HB19" s="131">
        <f>'1910 Hacienda'!C6</f>
        <v>88906</v>
      </c>
      <c r="HC19" s="307">
        <f>'1910 Hacienda'!D6</f>
        <v>31</v>
      </c>
      <c r="HD19" s="131">
        <f>'1910 Hacienda'!C31</f>
        <v>215423</v>
      </c>
      <c r="HE19" s="307">
        <f>'1910 Hacienda'!D31</f>
        <v>37</v>
      </c>
      <c r="HF19" s="131">
        <f>'1910 Hacienda'!C60</f>
        <v>409564</v>
      </c>
      <c r="HG19" s="307">
        <f>'1910 Hacienda'!D60</f>
        <v>13</v>
      </c>
      <c r="HH19" s="131">
        <f>'1910 Hacienda'!C104</f>
        <v>472697</v>
      </c>
      <c r="HI19" s="307">
        <f>'1910 Hacienda'!D104</f>
        <v>41</v>
      </c>
      <c r="HJ19" s="131">
        <f>'1910 Hacienda'!C149</f>
        <v>484808</v>
      </c>
      <c r="HK19" s="307">
        <f>'1910 Hacienda'!D149</f>
        <v>10</v>
      </c>
      <c r="HL19" s="131">
        <f>+'1911 Hacienda'!B42</f>
        <v>364180</v>
      </c>
      <c r="HM19" s="307">
        <f>+'1911 Hacienda'!C42</f>
        <v>27</v>
      </c>
      <c r="HN19" s="131"/>
      <c r="HO19" s="307"/>
      <c r="HP19" s="131">
        <f>+'1912 Hacienda'!B27</f>
        <v>445513</v>
      </c>
      <c r="HQ19" s="307">
        <f>+'1912 Hacienda'!C27</f>
        <v>64</v>
      </c>
      <c r="HR19" s="131"/>
      <c r="HS19" s="307"/>
      <c r="HT19" s="131">
        <f>+'1915 Hacienda'!D27</f>
        <v>486305</v>
      </c>
      <c r="HU19" s="307">
        <f>+'1915 Hacienda'!E27</f>
        <v>6</v>
      </c>
    </row>
    <row r="20" spans="1:229" x14ac:dyDescent="0.2">
      <c r="A20" s="1753" t="s">
        <v>6047</v>
      </c>
      <c r="B20" s="131"/>
      <c r="C20" s="134"/>
      <c r="D20" s="133"/>
      <c r="E20" s="131"/>
      <c r="F20" s="134"/>
      <c r="G20" s="133"/>
      <c r="H20" s="131"/>
      <c r="I20" s="134"/>
      <c r="J20" s="133"/>
      <c r="K20" s="131"/>
      <c r="L20" s="134"/>
      <c r="M20" s="133"/>
      <c r="N20" s="131"/>
      <c r="O20" s="134"/>
      <c r="P20" s="133"/>
      <c r="Q20" s="131"/>
      <c r="R20" s="134"/>
      <c r="S20" s="133"/>
      <c r="T20" s="131"/>
      <c r="U20" s="134"/>
      <c r="V20" s="133"/>
      <c r="W20" s="131"/>
      <c r="X20" s="134"/>
      <c r="Y20" s="133"/>
      <c r="Z20" s="131"/>
      <c r="AA20" s="134"/>
      <c r="AB20" s="133"/>
      <c r="AC20" s="131"/>
      <c r="AD20" s="134"/>
      <c r="AE20" s="133"/>
      <c r="AF20" s="131">
        <v>17130</v>
      </c>
      <c r="AG20" s="134">
        <v>7</v>
      </c>
      <c r="AH20" s="133"/>
      <c r="AI20" s="145">
        <v>14076</v>
      </c>
      <c r="AJ20" s="134">
        <v>3</v>
      </c>
      <c r="AK20" s="133"/>
      <c r="AL20" s="131">
        <f>'1846 Hacienda'!B52</f>
        <v>14661</v>
      </c>
      <c r="AM20" s="134">
        <f>'1846 Hacienda'!C52</f>
        <v>4</v>
      </c>
      <c r="AN20" s="133">
        <f>'1846 Hacienda'!D52</f>
        <v>0.5</v>
      </c>
      <c r="AO20" s="131">
        <f>'1846 Hacienda'!E52</f>
        <v>18746</v>
      </c>
      <c r="AP20" s="134">
        <f>'1846 Hacienda'!F52</f>
        <v>7</v>
      </c>
      <c r="AQ20" s="133">
        <f>'1846 Hacienda'!G52</f>
        <v>0.5</v>
      </c>
      <c r="AR20" s="131"/>
      <c r="AS20" s="134"/>
      <c r="AT20" s="180"/>
      <c r="AU20" s="131"/>
      <c r="AV20" s="185"/>
      <c r="AW20" s="131">
        <f>+'1858 Hacienda'!D554</f>
        <v>18223</v>
      </c>
      <c r="AX20" s="185">
        <f>+'1858 Hacienda'!E554</f>
        <v>327</v>
      </c>
      <c r="AY20" s="131">
        <f>+'1858 Hacienda'!D623</f>
        <v>18767</v>
      </c>
      <c r="AZ20" s="185">
        <f>+'1858 Hacienda'!E623</f>
        <v>499</v>
      </c>
      <c r="BA20" s="131">
        <f>+'1858 Hacienda'!B506</f>
        <v>18868</v>
      </c>
      <c r="BB20" s="185">
        <f>+'1858 Hacienda'!C506</f>
        <v>240</v>
      </c>
      <c r="BC20" s="131">
        <f>+'1858 Hacienda'!B1036</f>
        <v>6577</v>
      </c>
      <c r="BD20" s="185">
        <f>+'1858 Hacienda'!C1036</f>
        <v>604</v>
      </c>
      <c r="BE20" s="131"/>
      <c r="BF20" s="185"/>
      <c r="BG20" s="131"/>
      <c r="BH20" s="185"/>
      <c r="BI20" s="131"/>
      <c r="BJ20" s="185"/>
      <c r="BK20" s="131"/>
      <c r="BL20" s="185"/>
      <c r="BM20" s="131"/>
      <c r="BN20" s="185"/>
      <c r="BO20" s="131"/>
      <c r="BP20" s="134"/>
      <c r="BQ20" s="131"/>
      <c r="BR20" s="134"/>
      <c r="BS20" s="133"/>
      <c r="BT20" s="131"/>
      <c r="BU20" s="134"/>
      <c r="BV20" s="131"/>
      <c r="BW20" s="134"/>
      <c r="BX20" s="131"/>
      <c r="BY20" s="134"/>
      <c r="BZ20" s="131"/>
      <c r="CA20" s="134"/>
      <c r="CB20" s="133"/>
      <c r="CC20" s="131"/>
      <c r="CD20" s="134"/>
      <c r="CE20" s="133"/>
      <c r="CF20" s="131"/>
      <c r="CG20" s="134"/>
      <c r="CH20" s="133"/>
      <c r="CI20" s="131"/>
      <c r="CJ20" s="134"/>
      <c r="CK20" s="133"/>
      <c r="CL20" s="131"/>
      <c r="CM20" s="134"/>
      <c r="CN20" s="133"/>
      <c r="CO20" s="131"/>
      <c r="CP20" s="134"/>
      <c r="CQ20" s="133"/>
      <c r="CR20" s="131"/>
      <c r="CS20" s="134"/>
      <c r="CT20" s="133"/>
      <c r="CU20" s="131"/>
      <c r="CV20" s="134"/>
      <c r="CW20" s="133"/>
      <c r="CX20" s="131"/>
      <c r="CY20" s="134"/>
      <c r="CZ20" s="133"/>
      <c r="DA20" s="140"/>
      <c r="DB20" s="141"/>
      <c r="DC20" s="142"/>
      <c r="DD20" s="140"/>
      <c r="DE20" s="141"/>
      <c r="DF20" s="142"/>
      <c r="DG20" s="140"/>
      <c r="DH20" s="141"/>
      <c r="DI20" s="142"/>
      <c r="DJ20" s="140"/>
      <c r="DK20" s="141"/>
      <c r="DL20" s="142"/>
      <c r="DM20" s="140"/>
      <c r="DN20" s="141"/>
      <c r="DO20" s="142"/>
      <c r="DP20" s="140"/>
      <c r="DQ20" s="141"/>
      <c r="DR20" s="142"/>
      <c r="DS20" s="140"/>
      <c r="DT20" s="141"/>
      <c r="DU20" s="142"/>
      <c r="DV20" s="140"/>
      <c r="DW20" s="141"/>
      <c r="DX20" s="142"/>
      <c r="DY20" s="140"/>
      <c r="DZ20" s="141"/>
      <c r="EA20" s="142"/>
      <c r="EB20" s="140"/>
      <c r="EC20" s="141"/>
      <c r="ED20" s="142"/>
      <c r="EE20" s="140"/>
      <c r="EF20" s="141"/>
      <c r="EG20" s="142"/>
      <c r="EH20" s="140"/>
      <c r="EI20" s="141"/>
      <c r="EJ20" s="142"/>
      <c r="EK20" s="140"/>
      <c r="EL20" s="141"/>
      <c r="EM20" s="142"/>
      <c r="EN20" s="140"/>
      <c r="EO20" s="141"/>
      <c r="EP20" s="142"/>
      <c r="EQ20" s="140"/>
      <c r="ER20" s="141"/>
      <c r="ES20" s="142"/>
      <c r="ET20" s="140"/>
      <c r="EU20" s="141"/>
      <c r="EV20" s="142"/>
      <c r="EW20" s="140"/>
      <c r="EX20" s="141"/>
      <c r="EY20" s="142"/>
      <c r="EZ20" s="140"/>
      <c r="FA20" s="141"/>
      <c r="FB20" s="142"/>
      <c r="FC20" s="140"/>
      <c r="FD20" s="141"/>
      <c r="FE20" s="142"/>
      <c r="FF20" s="140"/>
      <c r="FG20" s="141"/>
      <c r="FH20" s="142"/>
      <c r="FI20" s="140"/>
      <c r="FJ20" s="141"/>
      <c r="FK20" s="142"/>
      <c r="FL20" s="140"/>
      <c r="FM20" s="141"/>
      <c r="FN20" s="142"/>
      <c r="FO20" s="140"/>
      <c r="FP20" s="141"/>
      <c r="FQ20" s="142"/>
      <c r="FR20" s="140"/>
      <c r="FS20" s="141"/>
      <c r="FT20" s="142"/>
      <c r="FU20" s="140"/>
      <c r="FV20" s="141"/>
      <c r="FW20" s="142"/>
      <c r="FX20" s="140"/>
      <c r="FY20" s="141"/>
      <c r="FZ20" s="142"/>
      <c r="GA20" s="140"/>
      <c r="GB20" s="141"/>
      <c r="GC20" s="142"/>
      <c r="GD20" s="140"/>
      <c r="GE20" s="141"/>
      <c r="GF20" s="142"/>
      <c r="GG20" s="140"/>
      <c r="GH20" s="141"/>
      <c r="GI20" s="142"/>
      <c r="GJ20" s="140"/>
      <c r="GK20" s="141"/>
      <c r="GL20" s="142"/>
      <c r="GM20" s="140"/>
      <c r="GN20" s="141"/>
      <c r="GO20" s="142"/>
      <c r="GP20" s="140"/>
      <c r="GQ20" s="141"/>
      <c r="GR20" s="142"/>
      <c r="GS20" s="140"/>
      <c r="GT20" s="141"/>
      <c r="GU20" s="142"/>
      <c r="GV20" s="140"/>
      <c r="GW20" s="141"/>
      <c r="GX20" s="142"/>
      <c r="GY20" s="164"/>
      <c r="GZ20" s="134"/>
      <c r="HA20" s="185"/>
      <c r="HB20" s="164"/>
      <c r="HC20" s="185"/>
      <c r="HD20" s="164"/>
      <c r="HE20" s="185"/>
      <c r="HF20" s="164"/>
      <c r="HG20" s="185"/>
      <c r="HH20" s="164"/>
      <c r="HI20" s="185"/>
      <c r="HJ20" s="164"/>
      <c r="HK20" s="185"/>
      <c r="HL20" s="164"/>
      <c r="HM20" s="185"/>
      <c r="HN20" s="164"/>
      <c r="HO20" s="185"/>
      <c r="HP20" s="164"/>
      <c r="HQ20" s="185"/>
      <c r="HR20" s="164"/>
      <c r="HS20" s="185"/>
      <c r="HT20" s="164"/>
      <c r="HU20" s="185"/>
    </row>
    <row r="21" spans="1:229" x14ac:dyDescent="0.2">
      <c r="A21" s="1753" t="s">
        <v>6048</v>
      </c>
      <c r="B21" s="131"/>
      <c r="C21" s="134"/>
      <c r="D21" s="133"/>
      <c r="E21" s="131"/>
      <c r="F21" s="134"/>
      <c r="G21" s="133"/>
      <c r="H21" s="131"/>
      <c r="I21" s="134"/>
      <c r="J21" s="133"/>
      <c r="K21" s="131"/>
      <c r="L21" s="134"/>
      <c r="M21" s="133"/>
      <c r="N21" s="131"/>
      <c r="O21" s="134"/>
      <c r="P21" s="133"/>
      <c r="Q21" s="131"/>
      <c r="R21" s="134"/>
      <c r="S21" s="133"/>
      <c r="T21" s="131"/>
      <c r="U21" s="134"/>
      <c r="V21" s="133"/>
      <c r="W21" s="131"/>
      <c r="X21" s="134"/>
      <c r="Y21" s="133"/>
      <c r="Z21" s="131"/>
      <c r="AA21" s="134"/>
      <c r="AB21" s="133"/>
      <c r="AC21" s="131"/>
      <c r="AD21" s="134"/>
      <c r="AE21" s="133"/>
      <c r="AF21" s="131">
        <v>64194</v>
      </c>
      <c r="AG21" s="134">
        <v>1</v>
      </c>
      <c r="AH21" s="133">
        <f>1/4</f>
        <v>0.25</v>
      </c>
      <c r="AI21" s="145">
        <v>59508</v>
      </c>
      <c r="AJ21" s="134">
        <v>4</v>
      </c>
      <c r="AK21" s="133"/>
      <c r="AL21" s="131">
        <v>51008</v>
      </c>
      <c r="AM21" s="134">
        <v>7</v>
      </c>
      <c r="AN21" s="133">
        <v>0.75</v>
      </c>
      <c r="AO21" s="131">
        <f>'1846 Hacienda'!E67</f>
        <v>48308</v>
      </c>
      <c r="AP21" s="134">
        <f>'1846 Hacienda'!F67</f>
        <v>1</v>
      </c>
      <c r="AQ21" s="133">
        <f>'1846 Hacienda'!G67</f>
        <v>0.5</v>
      </c>
      <c r="AR21" s="131"/>
      <c r="AS21" s="134"/>
      <c r="AT21" s="180"/>
      <c r="AU21" s="131"/>
      <c r="AV21" s="185"/>
      <c r="AW21" s="131">
        <f>+'1858 Hacienda'!D551</f>
        <v>100154</v>
      </c>
      <c r="AX21" s="185">
        <f>+'1858 Hacienda'!E551</f>
        <v>690</v>
      </c>
      <c r="AY21" s="131">
        <f>+'1858 Hacienda'!D615</f>
        <v>94888</v>
      </c>
      <c r="AZ21" s="185">
        <f>+'1858 Hacienda'!E615</f>
        <v>992</v>
      </c>
      <c r="BA21" s="131">
        <f>+'1858 Hacienda'!B498</f>
        <v>74920</v>
      </c>
      <c r="BB21" s="185">
        <f>+'1858 Hacienda'!C498</f>
        <v>511</v>
      </c>
      <c r="BC21" s="131">
        <f>+'1858 Hacienda'!B1030</f>
        <v>18498</v>
      </c>
      <c r="BD21" s="185">
        <f>+'1858 Hacienda'!C1030</f>
        <v>595</v>
      </c>
      <c r="BE21" s="131"/>
      <c r="BF21" s="185"/>
      <c r="BG21" s="131"/>
      <c r="BH21" s="185"/>
      <c r="BI21" s="131"/>
      <c r="BJ21" s="185"/>
      <c r="BK21" s="131"/>
      <c r="BL21" s="185"/>
      <c r="BM21" s="131"/>
      <c r="BN21" s="185"/>
      <c r="BO21" s="131"/>
      <c r="BP21" s="134"/>
      <c r="BQ21" s="131"/>
      <c r="BR21" s="134"/>
      <c r="BS21" s="133"/>
      <c r="BT21" s="131"/>
      <c r="BU21" s="134"/>
      <c r="BV21" s="131"/>
      <c r="BW21" s="134"/>
      <c r="BX21" s="131"/>
      <c r="BY21" s="134"/>
      <c r="BZ21" s="131"/>
      <c r="CA21" s="134"/>
      <c r="CB21" s="133"/>
      <c r="CC21" s="131"/>
      <c r="CD21" s="134"/>
      <c r="CE21" s="133"/>
      <c r="CF21" s="131"/>
      <c r="CG21" s="134"/>
      <c r="CH21" s="133"/>
      <c r="CI21" s="131"/>
      <c r="CJ21" s="134"/>
      <c r="CK21" s="133"/>
      <c r="CL21" s="131"/>
      <c r="CM21" s="134"/>
      <c r="CN21" s="133"/>
      <c r="CO21" s="131"/>
      <c r="CP21" s="134"/>
      <c r="CQ21" s="133"/>
      <c r="CR21" s="131"/>
      <c r="CS21" s="134"/>
      <c r="CT21" s="133"/>
      <c r="CU21" s="131"/>
      <c r="CV21" s="134"/>
      <c r="CW21" s="133"/>
      <c r="CX21" s="131"/>
      <c r="CY21" s="134"/>
      <c r="CZ21" s="133"/>
      <c r="DA21" s="140"/>
      <c r="DB21" s="141"/>
      <c r="DC21" s="142"/>
      <c r="DD21" s="140"/>
      <c r="DE21" s="141"/>
      <c r="DF21" s="142"/>
      <c r="DG21" s="140"/>
      <c r="DH21" s="141"/>
      <c r="DI21" s="142"/>
      <c r="DJ21" s="140"/>
      <c r="DK21" s="141"/>
      <c r="DL21" s="142"/>
      <c r="DM21" s="140"/>
      <c r="DN21" s="141"/>
      <c r="DO21" s="142"/>
      <c r="DP21" s="140"/>
      <c r="DQ21" s="141"/>
      <c r="DR21" s="142"/>
      <c r="DS21" s="140"/>
      <c r="DT21" s="141"/>
      <c r="DU21" s="142"/>
      <c r="DV21" s="140"/>
      <c r="DW21" s="141"/>
      <c r="DX21" s="142"/>
      <c r="DY21" s="140"/>
      <c r="DZ21" s="141"/>
      <c r="EA21" s="142"/>
      <c r="EB21" s="140"/>
      <c r="EC21" s="141"/>
      <c r="ED21" s="142"/>
      <c r="EE21" s="140"/>
      <c r="EF21" s="141"/>
      <c r="EG21" s="142"/>
      <c r="EH21" s="140"/>
      <c r="EI21" s="141"/>
      <c r="EJ21" s="142"/>
      <c r="EK21" s="140"/>
      <c r="EL21" s="141"/>
      <c r="EM21" s="142"/>
      <c r="EN21" s="140"/>
      <c r="EO21" s="141"/>
      <c r="EP21" s="142"/>
      <c r="EQ21" s="140"/>
      <c r="ER21" s="141"/>
      <c r="ES21" s="142"/>
      <c r="ET21" s="140"/>
      <c r="EU21" s="141"/>
      <c r="EV21" s="142"/>
      <c r="EW21" s="140"/>
      <c r="EX21" s="141"/>
      <c r="EY21" s="142"/>
      <c r="EZ21" s="140"/>
      <c r="FA21" s="141"/>
      <c r="FB21" s="142"/>
      <c r="FC21" s="140"/>
      <c r="FD21" s="141"/>
      <c r="FE21" s="142"/>
      <c r="FF21" s="140"/>
      <c r="FG21" s="141"/>
      <c r="FH21" s="142"/>
      <c r="FI21" s="140"/>
      <c r="FJ21" s="141"/>
      <c r="FK21" s="142"/>
      <c r="FL21" s="140"/>
      <c r="FM21" s="141"/>
      <c r="FN21" s="142"/>
      <c r="FO21" s="140"/>
      <c r="FP21" s="141"/>
      <c r="FQ21" s="142"/>
      <c r="FR21" s="140"/>
      <c r="FS21" s="141"/>
      <c r="FT21" s="142"/>
      <c r="FU21" s="140"/>
      <c r="FV21" s="141"/>
      <c r="FW21" s="142"/>
      <c r="FX21" s="140"/>
      <c r="FY21" s="141"/>
      <c r="FZ21" s="142"/>
      <c r="GA21" s="140"/>
      <c r="GB21" s="141"/>
      <c r="GC21" s="142"/>
      <c r="GD21" s="140"/>
      <c r="GE21" s="141"/>
      <c r="GF21" s="142"/>
      <c r="GG21" s="140"/>
      <c r="GH21" s="141"/>
      <c r="GI21" s="142"/>
      <c r="GJ21" s="140"/>
      <c r="GK21" s="141"/>
      <c r="GL21" s="142"/>
      <c r="GM21" s="140"/>
      <c r="GN21" s="141"/>
      <c r="GO21" s="142"/>
      <c r="GP21" s="140"/>
      <c r="GQ21" s="141"/>
      <c r="GR21" s="142"/>
      <c r="GS21" s="140"/>
      <c r="GT21" s="141"/>
      <c r="GU21" s="142"/>
      <c r="GV21" s="140"/>
      <c r="GW21" s="141"/>
      <c r="GX21" s="142"/>
      <c r="GY21" s="164"/>
      <c r="GZ21" s="134"/>
      <c r="HA21" s="185"/>
      <c r="HB21" s="164"/>
      <c r="HC21" s="185"/>
      <c r="HD21" s="164"/>
      <c r="HE21" s="185"/>
      <c r="HF21" s="164"/>
      <c r="HG21" s="185"/>
      <c r="HH21" s="164"/>
      <c r="HI21" s="185"/>
      <c r="HJ21" s="164"/>
      <c r="HK21" s="185"/>
      <c r="HL21" s="164"/>
      <c r="HM21" s="185"/>
      <c r="HN21" s="164"/>
      <c r="HO21" s="185"/>
      <c r="HP21" s="164"/>
      <c r="HQ21" s="185"/>
      <c r="HR21" s="164"/>
      <c r="HS21" s="185"/>
      <c r="HT21" s="164"/>
      <c r="HU21" s="185"/>
    </row>
    <row r="22" spans="1:229" x14ac:dyDescent="0.2">
      <c r="A22" s="1753" t="s">
        <v>6049</v>
      </c>
      <c r="B22" s="131"/>
      <c r="C22" s="134"/>
      <c r="D22" s="133"/>
      <c r="E22" s="131"/>
      <c r="F22" s="134"/>
      <c r="G22" s="133"/>
      <c r="H22" s="131"/>
      <c r="I22" s="134"/>
      <c r="J22" s="133"/>
      <c r="K22" s="131"/>
      <c r="L22" s="134"/>
      <c r="M22" s="133"/>
      <c r="N22" s="131"/>
      <c r="O22" s="134"/>
      <c r="P22" s="133"/>
      <c r="Q22" s="131"/>
      <c r="R22" s="134"/>
      <c r="S22" s="133"/>
      <c r="T22" s="131"/>
      <c r="U22" s="134"/>
      <c r="V22" s="133"/>
      <c r="W22" s="131"/>
      <c r="X22" s="134"/>
      <c r="Y22" s="133"/>
      <c r="Z22" s="131"/>
      <c r="AA22" s="134"/>
      <c r="AB22" s="133"/>
      <c r="AC22" s="131"/>
      <c r="AD22" s="134"/>
      <c r="AE22" s="133"/>
      <c r="AF22" s="131"/>
      <c r="AG22" s="134"/>
      <c r="AH22" s="133"/>
      <c r="AI22" s="145">
        <v>41184</v>
      </c>
      <c r="AJ22" s="134">
        <v>5</v>
      </c>
      <c r="AK22" s="133"/>
      <c r="AL22" s="131">
        <v>36978</v>
      </c>
      <c r="AM22" s="134">
        <v>6</v>
      </c>
      <c r="AN22" s="133">
        <v>0.5</v>
      </c>
      <c r="AO22" s="131">
        <f>'1846 Hacienda'!E65</f>
        <v>23592</v>
      </c>
      <c r="AP22" s="134">
        <f>'1846 Hacienda'!F65</f>
        <v>5</v>
      </c>
      <c r="AQ22" s="133">
        <f>'1846 Hacienda'!G65</f>
        <v>0.25</v>
      </c>
      <c r="AR22" s="131"/>
      <c r="AS22" s="134"/>
      <c r="AT22" s="180"/>
      <c r="AU22" s="131"/>
      <c r="AV22" s="185"/>
      <c r="AW22" s="131">
        <f>+'1858 Hacienda'!D555</f>
        <v>195149</v>
      </c>
      <c r="AX22" s="185">
        <f>+'1858 Hacienda'!E555</f>
        <v>222</v>
      </c>
      <c r="AY22" s="131">
        <f>+'1858 Hacienda'!D617</f>
        <v>215502</v>
      </c>
      <c r="AZ22" s="185">
        <f>+'1858 Hacienda'!E617</f>
        <v>183</v>
      </c>
      <c r="BA22" s="131">
        <f>+'1858 Hacienda'!B500</f>
        <v>236427</v>
      </c>
      <c r="BB22" s="185">
        <f>+'1858 Hacienda'!C500</f>
        <v>477</v>
      </c>
      <c r="BC22" s="131">
        <f>+'1858 Hacienda'!B1033</f>
        <v>102962</v>
      </c>
      <c r="BD22" s="185">
        <f>+'1858 Hacienda'!C1033</f>
        <v>829</v>
      </c>
      <c r="BE22" s="131"/>
      <c r="BF22" s="185"/>
      <c r="BG22" s="131"/>
      <c r="BH22" s="185"/>
      <c r="BI22" s="131"/>
      <c r="BJ22" s="185"/>
      <c r="BK22" s="131"/>
      <c r="BL22" s="185"/>
      <c r="BM22" s="131"/>
      <c r="BN22" s="185"/>
      <c r="BO22" s="131"/>
      <c r="BP22" s="134"/>
      <c r="BQ22" s="131"/>
      <c r="BR22" s="134"/>
      <c r="BS22" s="133"/>
      <c r="BT22" s="131"/>
      <c r="BU22" s="134"/>
      <c r="BV22" s="131"/>
      <c r="BW22" s="134"/>
      <c r="BX22" s="131"/>
      <c r="BY22" s="134"/>
      <c r="BZ22" s="131"/>
      <c r="CA22" s="134"/>
      <c r="CB22" s="133"/>
      <c r="CC22" s="131"/>
      <c r="CD22" s="134"/>
      <c r="CE22" s="133"/>
      <c r="CF22" s="131"/>
      <c r="CG22" s="134"/>
      <c r="CH22" s="133"/>
      <c r="CI22" s="131"/>
      <c r="CJ22" s="134"/>
      <c r="CK22" s="133"/>
      <c r="CL22" s="131"/>
      <c r="CM22" s="134"/>
      <c r="CN22" s="133"/>
      <c r="CO22" s="131"/>
      <c r="CP22" s="134"/>
      <c r="CQ22" s="133"/>
      <c r="CR22" s="131"/>
      <c r="CS22" s="134"/>
      <c r="CT22" s="133"/>
      <c r="CU22" s="131"/>
      <c r="CV22" s="134"/>
      <c r="CW22" s="133"/>
      <c r="CX22" s="131"/>
      <c r="CY22" s="134"/>
      <c r="CZ22" s="133"/>
      <c r="DA22" s="140"/>
      <c r="DB22" s="141"/>
      <c r="DC22" s="142"/>
      <c r="DD22" s="140"/>
      <c r="DE22" s="141"/>
      <c r="DF22" s="142"/>
      <c r="DG22" s="140"/>
      <c r="DH22" s="141"/>
      <c r="DI22" s="142"/>
      <c r="DJ22" s="140"/>
      <c r="DK22" s="141"/>
      <c r="DL22" s="142"/>
      <c r="DM22" s="140"/>
      <c r="DN22" s="141"/>
      <c r="DO22" s="142"/>
      <c r="DP22" s="140"/>
      <c r="DQ22" s="141"/>
      <c r="DR22" s="142"/>
      <c r="DS22" s="140"/>
      <c r="DT22" s="141"/>
      <c r="DU22" s="142"/>
      <c r="DV22" s="140"/>
      <c r="DW22" s="141"/>
      <c r="DX22" s="142"/>
      <c r="DY22" s="140"/>
      <c r="DZ22" s="141"/>
      <c r="EA22" s="142"/>
      <c r="EB22" s="140"/>
      <c r="EC22" s="141"/>
      <c r="ED22" s="142"/>
      <c r="EE22" s="140"/>
      <c r="EF22" s="141"/>
      <c r="EG22" s="142"/>
      <c r="EH22" s="140"/>
      <c r="EI22" s="141"/>
      <c r="EJ22" s="142"/>
      <c r="EK22" s="140"/>
      <c r="EL22" s="141"/>
      <c r="EM22" s="142"/>
      <c r="EN22" s="140"/>
      <c r="EO22" s="141"/>
      <c r="EP22" s="142"/>
      <c r="EQ22" s="140"/>
      <c r="ER22" s="141"/>
      <c r="ES22" s="142"/>
      <c r="ET22" s="140"/>
      <c r="EU22" s="141"/>
      <c r="EV22" s="142"/>
      <c r="EW22" s="140"/>
      <c r="EX22" s="141"/>
      <c r="EY22" s="142"/>
      <c r="EZ22" s="140"/>
      <c r="FA22" s="141"/>
      <c r="FB22" s="142"/>
      <c r="FC22" s="140"/>
      <c r="FD22" s="141"/>
      <c r="FE22" s="142"/>
      <c r="FF22" s="140"/>
      <c r="FG22" s="141"/>
      <c r="FH22" s="142"/>
      <c r="FI22" s="140"/>
      <c r="FJ22" s="141"/>
      <c r="FK22" s="142"/>
      <c r="FL22" s="140"/>
      <c r="FM22" s="141"/>
      <c r="FN22" s="142"/>
      <c r="FO22" s="140"/>
      <c r="FP22" s="141"/>
      <c r="FQ22" s="142"/>
      <c r="FR22" s="140"/>
      <c r="FS22" s="141"/>
      <c r="FT22" s="142"/>
      <c r="FU22" s="140"/>
      <c r="FV22" s="141"/>
      <c r="FW22" s="142"/>
      <c r="FX22" s="140"/>
      <c r="FY22" s="141"/>
      <c r="FZ22" s="142"/>
      <c r="GA22" s="140"/>
      <c r="GB22" s="141"/>
      <c r="GC22" s="142"/>
      <c r="GD22" s="140"/>
      <c r="GE22" s="141"/>
      <c r="GF22" s="142"/>
      <c r="GG22" s="140"/>
      <c r="GH22" s="141"/>
      <c r="GI22" s="142"/>
      <c r="GJ22" s="140"/>
      <c r="GK22" s="141"/>
      <c r="GL22" s="142"/>
      <c r="GM22" s="140"/>
      <c r="GN22" s="141"/>
      <c r="GO22" s="142"/>
      <c r="GP22" s="140"/>
      <c r="GQ22" s="141"/>
      <c r="GR22" s="142"/>
      <c r="GS22" s="140"/>
      <c r="GT22" s="141"/>
      <c r="GU22" s="142"/>
      <c r="GV22" s="140"/>
      <c r="GW22" s="141"/>
      <c r="GX22" s="142"/>
      <c r="GY22" s="164"/>
      <c r="GZ22" s="134"/>
      <c r="HA22" s="185"/>
      <c r="HB22" s="164"/>
      <c r="HC22" s="185"/>
      <c r="HD22" s="164"/>
      <c r="HE22" s="185"/>
      <c r="HF22" s="164"/>
      <c r="HG22" s="185"/>
      <c r="HH22" s="164"/>
      <c r="HI22" s="185"/>
      <c r="HJ22" s="164"/>
      <c r="HK22" s="185"/>
      <c r="HL22" s="164"/>
      <c r="HM22" s="185"/>
      <c r="HN22" s="164"/>
      <c r="HO22" s="185"/>
      <c r="HP22" s="164"/>
      <c r="HQ22" s="185"/>
      <c r="HR22" s="164"/>
      <c r="HS22" s="185"/>
      <c r="HT22" s="164"/>
      <c r="HU22" s="185"/>
    </row>
    <row r="23" spans="1:229" x14ac:dyDescent="0.2">
      <c r="A23" s="1753" t="s">
        <v>6050</v>
      </c>
      <c r="B23" s="131"/>
      <c r="C23" s="134"/>
      <c r="D23" s="133"/>
      <c r="E23" s="131"/>
      <c r="F23" s="134"/>
      <c r="G23" s="133"/>
      <c r="H23" s="131"/>
      <c r="I23" s="134"/>
      <c r="J23" s="133"/>
      <c r="K23" s="131"/>
      <c r="L23" s="134"/>
      <c r="M23" s="133"/>
      <c r="N23" s="131"/>
      <c r="O23" s="134"/>
      <c r="P23" s="133"/>
      <c r="Q23" s="131"/>
      <c r="R23" s="134"/>
      <c r="S23" s="133"/>
      <c r="T23" s="131"/>
      <c r="U23" s="134"/>
      <c r="V23" s="133"/>
      <c r="W23" s="131"/>
      <c r="X23" s="134"/>
      <c r="Y23" s="133"/>
      <c r="Z23" s="131"/>
      <c r="AA23" s="134"/>
      <c r="AB23" s="133"/>
      <c r="AC23" s="131"/>
      <c r="AD23" s="134"/>
      <c r="AE23" s="133"/>
      <c r="AF23" s="131"/>
      <c r="AG23" s="134"/>
      <c r="AH23" s="133"/>
      <c r="AI23" s="145">
        <v>578</v>
      </c>
      <c r="AJ23" s="134">
        <v>5</v>
      </c>
      <c r="AK23" s="133">
        <v>0.25</v>
      </c>
      <c r="AL23" s="131">
        <v>640</v>
      </c>
      <c r="AM23" s="134">
        <v>4</v>
      </c>
      <c r="AN23" s="133">
        <v>0.5</v>
      </c>
      <c r="AO23" s="131">
        <f>'1846 Hacienda'!E51</f>
        <v>712</v>
      </c>
      <c r="AP23" s="134">
        <f>'1846 Hacienda'!F51</f>
        <v>6</v>
      </c>
      <c r="AQ23" s="133">
        <f>'1846 Hacienda'!G51</f>
        <v>0</v>
      </c>
      <c r="AR23" s="131"/>
      <c r="AS23" s="134"/>
      <c r="AT23" s="180"/>
      <c r="AU23" s="131"/>
      <c r="AV23" s="185"/>
      <c r="AW23" s="131">
        <f>+'1858 Hacienda'!D564</f>
        <v>2235</v>
      </c>
      <c r="AX23" s="185">
        <f>+'1858 Hacienda'!E564</f>
        <v>687</v>
      </c>
      <c r="AY23" s="131"/>
      <c r="AZ23" s="185"/>
      <c r="BA23" s="131">
        <f>+'1858 Hacienda'!B499</f>
        <v>458</v>
      </c>
      <c r="BB23" s="185">
        <f>+'1858 Hacienda'!C499</f>
        <v>270</v>
      </c>
      <c r="BC23" s="131"/>
      <c r="BD23" s="185"/>
      <c r="BE23" s="131"/>
      <c r="BF23" s="185"/>
      <c r="BG23" s="131"/>
      <c r="BH23" s="185"/>
      <c r="BI23" s="131"/>
      <c r="BJ23" s="185"/>
      <c r="BK23" s="131"/>
      <c r="BL23" s="185"/>
      <c r="BM23" s="131"/>
      <c r="BN23" s="185"/>
      <c r="BO23" s="131"/>
      <c r="BP23" s="134"/>
      <c r="BQ23" s="131"/>
      <c r="BR23" s="134"/>
      <c r="BS23" s="133"/>
      <c r="BT23" s="131"/>
      <c r="BU23" s="134"/>
      <c r="BV23" s="131"/>
      <c r="BW23" s="134"/>
      <c r="BX23" s="131"/>
      <c r="BY23" s="134"/>
      <c r="BZ23" s="131"/>
      <c r="CA23" s="134"/>
      <c r="CB23" s="133"/>
      <c r="CC23" s="131"/>
      <c r="CD23" s="134"/>
      <c r="CE23" s="133"/>
      <c r="CF23" s="131"/>
      <c r="CG23" s="134"/>
      <c r="CH23" s="133"/>
      <c r="CI23" s="131"/>
      <c r="CJ23" s="134"/>
      <c r="CK23" s="133"/>
      <c r="CL23" s="131"/>
      <c r="CM23" s="134"/>
      <c r="CN23" s="133"/>
      <c r="CO23" s="131"/>
      <c r="CP23" s="134"/>
      <c r="CQ23" s="133"/>
      <c r="CR23" s="131"/>
      <c r="CS23" s="134"/>
      <c r="CT23" s="133"/>
      <c r="CU23" s="131"/>
      <c r="CV23" s="134"/>
      <c r="CW23" s="133"/>
      <c r="CX23" s="131"/>
      <c r="CY23" s="134"/>
      <c r="CZ23" s="133"/>
      <c r="DA23" s="140"/>
      <c r="DB23" s="141"/>
      <c r="DC23" s="142"/>
      <c r="DD23" s="140"/>
      <c r="DE23" s="141"/>
      <c r="DF23" s="142"/>
      <c r="DG23" s="140"/>
      <c r="DH23" s="141"/>
      <c r="DI23" s="142"/>
      <c r="DJ23" s="140"/>
      <c r="DK23" s="141"/>
      <c r="DL23" s="142"/>
      <c r="DM23" s="140"/>
      <c r="DN23" s="141"/>
      <c r="DO23" s="142"/>
      <c r="DP23" s="140"/>
      <c r="DQ23" s="141"/>
      <c r="DR23" s="142"/>
      <c r="DS23" s="140"/>
      <c r="DT23" s="141"/>
      <c r="DU23" s="142"/>
      <c r="DV23" s="140"/>
      <c r="DW23" s="141"/>
      <c r="DX23" s="142"/>
      <c r="DY23" s="140"/>
      <c r="DZ23" s="141"/>
      <c r="EA23" s="142"/>
      <c r="EB23" s="140"/>
      <c r="EC23" s="141"/>
      <c r="ED23" s="142"/>
      <c r="EE23" s="140"/>
      <c r="EF23" s="141"/>
      <c r="EG23" s="142"/>
      <c r="EH23" s="140"/>
      <c r="EI23" s="141"/>
      <c r="EJ23" s="142"/>
      <c r="EK23" s="140"/>
      <c r="EL23" s="141"/>
      <c r="EM23" s="142"/>
      <c r="EN23" s="140"/>
      <c r="EO23" s="141"/>
      <c r="EP23" s="142"/>
      <c r="EQ23" s="140"/>
      <c r="ER23" s="141"/>
      <c r="ES23" s="142"/>
      <c r="ET23" s="140"/>
      <c r="EU23" s="141"/>
      <c r="EV23" s="142"/>
      <c r="EW23" s="140"/>
      <c r="EX23" s="141"/>
      <c r="EY23" s="142"/>
      <c r="EZ23" s="140"/>
      <c r="FA23" s="141"/>
      <c r="FB23" s="142"/>
      <c r="FC23" s="140"/>
      <c r="FD23" s="141"/>
      <c r="FE23" s="142"/>
      <c r="FF23" s="140"/>
      <c r="FG23" s="141"/>
      <c r="FH23" s="142"/>
      <c r="FI23" s="140"/>
      <c r="FJ23" s="141"/>
      <c r="FK23" s="142"/>
      <c r="FL23" s="140"/>
      <c r="FM23" s="141"/>
      <c r="FN23" s="142"/>
      <c r="FO23" s="140"/>
      <c r="FP23" s="141"/>
      <c r="FQ23" s="142"/>
      <c r="FR23" s="140"/>
      <c r="FS23" s="141"/>
      <c r="FT23" s="142"/>
      <c r="FU23" s="140"/>
      <c r="FV23" s="141"/>
      <c r="FW23" s="142"/>
      <c r="FX23" s="140"/>
      <c r="FY23" s="141"/>
      <c r="FZ23" s="142"/>
      <c r="GA23" s="140"/>
      <c r="GB23" s="141"/>
      <c r="GC23" s="142"/>
      <c r="GD23" s="140"/>
      <c r="GE23" s="141"/>
      <c r="GF23" s="142"/>
      <c r="GG23" s="140"/>
      <c r="GH23" s="141"/>
      <c r="GI23" s="142"/>
      <c r="GJ23" s="140"/>
      <c r="GK23" s="141"/>
      <c r="GL23" s="142"/>
      <c r="GM23" s="140"/>
      <c r="GN23" s="141"/>
      <c r="GO23" s="142"/>
      <c r="GP23" s="140"/>
      <c r="GQ23" s="141"/>
      <c r="GR23" s="142"/>
      <c r="GS23" s="140"/>
      <c r="GT23" s="141"/>
      <c r="GU23" s="142"/>
      <c r="GV23" s="140"/>
      <c r="GW23" s="141"/>
      <c r="GX23" s="142"/>
      <c r="GY23" s="164"/>
      <c r="GZ23" s="134"/>
      <c r="HA23" s="185"/>
      <c r="HB23" s="164"/>
      <c r="HC23" s="185"/>
      <c r="HD23" s="164"/>
      <c r="HE23" s="185"/>
      <c r="HF23" s="164"/>
      <c r="HG23" s="185"/>
      <c r="HH23" s="164"/>
      <c r="HI23" s="185"/>
      <c r="HJ23" s="164"/>
      <c r="HK23" s="185"/>
      <c r="HL23" s="164"/>
      <c r="HM23" s="185"/>
      <c r="HN23" s="164"/>
      <c r="HO23" s="185"/>
      <c r="HP23" s="164"/>
      <c r="HQ23" s="185"/>
      <c r="HR23" s="164"/>
      <c r="HS23" s="185"/>
      <c r="HT23" s="164"/>
      <c r="HU23" s="185"/>
    </row>
    <row r="24" spans="1:229" x14ac:dyDescent="0.2">
      <c r="A24" s="1753" t="s">
        <v>6051</v>
      </c>
      <c r="B24" s="131"/>
      <c r="C24" s="134"/>
      <c r="D24" s="133"/>
      <c r="E24" s="131"/>
      <c r="F24" s="134"/>
      <c r="G24" s="133"/>
      <c r="H24" s="131"/>
      <c r="I24" s="134"/>
      <c r="J24" s="133"/>
      <c r="K24" s="131"/>
      <c r="L24" s="134"/>
      <c r="M24" s="133"/>
      <c r="N24" s="131"/>
      <c r="O24" s="134"/>
      <c r="P24" s="133"/>
      <c r="Q24" s="131"/>
      <c r="R24" s="134"/>
      <c r="S24" s="133"/>
      <c r="T24" s="131"/>
      <c r="U24" s="134"/>
      <c r="V24" s="133"/>
      <c r="W24" s="131"/>
      <c r="X24" s="134"/>
      <c r="Y24" s="133"/>
      <c r="Z24" s="131"/>
      <c r="AA24" s="134"/>
      <c r="AB24" s="133"/>
      <c r="AC24" s="131"/>
      <c r="AD24" s="134"/>
      <c r="AE24" s="133"/>
      <c r="AF24" s="131"/>
      <c r="AG24" s="134"/>
      <c r="AH24" s="133"/>
      <c r="AI24" s="145">
        <v>5599</v>
      </c>
      <c r="AJ24" s="134">
        <v>3</v>
      </c>
      <c r="AK24" s="133"/>
      <c r="AL24" s="131">
        <f>'1846 Hacienda'!B66</f>
        <v>6651</v>
      </c>
      <c r="AM24" s="134">
        <f>'1846 Hacienda'!C66</f>
        <v>6</v>
      </c>
      <c r="AN24" s="133">
        <f>'1846 Hacienda'!D66</f>
        <v>0.5</v>
      </c>
      <c r="AO24" s="131">
        <f>'1846 Hacienda'!E66</f>
        <v>5121</v>
      </c>
      <c r="AP24" s="134">
        <f>'1846 Hacienda'!F66</f>
        <v>3</v>
      </c>
      <c r="AQ24" s="133">
        <f>'1846 Hacienda'!G66</f>
        <v>0.25</v>
      </c>
      <c r="AR24" s="131"/>
      <c r="AS24" s="134"/>
      <c r="AT24" s="180"/>
      <c r="AU24" s="131"/>
      <c r="AV24" s="185"/>
      <c r="AW24" s="131"/>
      <c r="AX24" s="185"/>
      <c r="AY24" s="131"/>
      <c r="AZ24" s="185"/>
      <c r="BA24" s="131"/>
      <c r="BB24" s="185"/>
      <c r="BC24" s="131"/>
      <c r="BD24" s="185"/>
      <c r="BE24" s="131"/>
      <c r="BF24" s="185"/>
      <c r="BG24" s="131"/>
      <c r="BH24" s="185"/>
      <c r="BI24" s="131"/>
      <c r="BJ24" s="185"/>
      <c r="BK24" s="131"/>
      <c r="BL24" s="185"/>
      <c r="BM24" s="131"/>
      <c r="BN24" s="185"/>
      <c r="BO24" s="131"/>
      <c r="BP24" s="134"/>
      <c r="BQ24" s="131"/>
      <c r="BR24" s="134"/>
      <c r="BS24" s="133"/>
      <c r="BT24" s="131"/>
      <c r="BU24" s="134"/>
      <c r="BV24" s="131"/>
      <c r="BW24" s="134"/>
      <c r="BX24" s="131"/>
      <c r="BY24" s="134"/>
      <c r="BZ24" s="131"/>
      <c r="CA24" s="134"/>
      <c r="CB24" s="133"/>
      <c r="CC24" s="131"/>
      <c r="CD24" s="134"/>
      <c r="CE24" s="133"/>
      <c r="CF24" s="131"/>
      <c r="CG24" s="134"/>
      <c r="CH24" s="133"/>
      <c r="CI24" s="131"/>
      <c r="CJ24" s="134"/>
      <c r="CK24" s="133"/>
      <c r="CL24" s="131"/>
      <c r="CM24" s="134"/>
      <c r="CN24" s="133"/>
      <c r="CO24" s="131"/>
      <c r="CP24" s="134"/>
      <c r="CQ24" s="133"/>
      <c r="CR24" s="131"/>
      <c r="CS24" s="134"/>
      <c r="CT24" s="133"/>
      <c r="CU24" s="131"/>
      <c r="CV24" s="134"/>
      <c r="CW24" s="133"/>
      <c r="CX24" s="131"/>
      <c r="CY24" s="134"/>
      <c r="CZ24" s="133"/>
      <c r="DA24" s="140"/>
      <c r="DB24" s="141"/>
      <c r="DC24" s="142"/>
      <c r="DD24" s="140"/>
      <c r="DE24" s="141"/>
      <c r="DF24" s="142"/>
      <c r="DG24" s="140"/>
      <c r="DH24" s="141"/>
      <c r="DI24" s="142"/>
      <c r="DJ24" s="140"/>
      <c r="DK24" s="141"/>
      <c r="DL24" s="142"/>
      <c r="DM24" s="140"/>
      <c r="DN24" s="141"/>
      <c r="DO24" s="142"/>
      <c r="DP24" s="140"/>
      <c r="DQ24" s="141"/>
      <c r="DR24" s="142"/>
      <c r="DS24" s="140"/>
      <c r="DT24" s="141"/>
      <c r="DU24" s="142"/>
      <c r="DV24" s="140"/>
      <c r="DW24" s="141"/>
      <c r="DX24" s="142"/>
      <c r="DY24" s="140"/>
      <c r="DZ24" s="141"/>
      <c r="EA24" s="142"/>
      <c r="EB24" s="140"/>
      <c r="EC24" s="141"/>
      <c r="ED24" s="142"/>
      <c r="EE24" s="140"/>
      <c r="EF24" s="141"/>
      <c r="EG24" s="142"/>
      <c r="EH24" s="140"/>
      <c r="EI24" s="141"/>
      <c r="EJ24" s="142"/>
      <c r="EK24" s="140"/>
      <c r="EL24" s="141"/>
      <c r="EM24" s="142"/>
      <c r="EN24" s="140"/>
      <c r="EO24" s="141"/>
      <c r="EP24" s="142"/>
      <c r="EQ24" s="140"/>
      <c r="ER24" s="141"/>
      <c r="ES24" s="142"/>
      <c r="ET24" s="140"/>
      <c r="EU24" s="141"/>
      <c r="EV24" s="142"/>
      <c r="EW24" s="140"/>
      <c r="EX24" s="141"/>
      <c r="EY24" s="142"/>
      <c r="EZ24" s="140"/>
      <c r="FA24" s="141"/>
      <c r="FB24" s="142"/>
      <c r="FC24" s="140"/>
      <c r="FD24" s="141"/>
      <c r="FE24" s="142"/>
      <c r="FF24" s="140"/>
      <c r="FG24" s="141"/>
      <c r="FH24" s="142"/>
      <c r="FI24" s="140"/>
      <c r="FJ24" s="141"/>
      <c r="FK24" s="142"/>
      <c r="FL24" s="140"/>
      <c r="FM24" s="141"/>
      <c r="FN24" s="142"/>
      <c r="FO24" s="140"/>
      <c r="FP24" s="141"/>
      <c r="FQ24" s="142"/>
      <c r="FR24" s="140"/>
      <c r="FS24" s="141"/>
      <c r="FT24" s="142"/>
      <c r="FU24" s="140"/>
      <c r="FV24" s="141"/>
      <c r="FW24" s="142"/>
      <c r="FX24" s="140"/>
      <c r="FY24" s="141"/>
      <c r="FZ24" s="142"/>
      <c r="GA24" s="140"/>
      <c r="GB24" s="141"/>
      <c r="GC24" s="142"/>
      <c r="GD24" s="140"/>
      <c r="GE24" s="141"/>
      <c r="GF24" s="142"/>
      <c r="GG24" s="140"/>
      <c r="GH24" s="141"/>
      <c r="GI24" s="142"/>
      <c r="GJ24" s="140"/>
      <c r="GK24" s="141"/>
      <c r="GL24" s="142"/>
      <c r="GM24" s="140"/>
      <c r="GN24" s="141"/>
      <c r="GO24" s="142"/>
      <c r="GP24" s="140"/>
      <c r="GQ24" s="141"/>
      <c r="GR24" s="142"/>
      <c r="GS24" s="140"/>
      <c r="GT24" s="141"/>
      <c r="GU24" s="142"/>
      <c r="GV24" s="140"/>
      <c r="GW24" s="141"/>
      <c r="GX24" s="142"/>
      <c r="GY24" s="164"/>
      <c r="GZ24" s="134"/>
      <c r="HA24" s="185"/>
      <c r="HB24" s="164"/>
      <c r="HC24" s="185"/>
      <c r="HD24" s="164"/>
      <c r="HE24" s="185"/>
      <c r="HF24" s="164"/>
      <c r="HG24" s="185"/>
      <c r="HH24" s="164"/>
      <c r="HI24" s="185"/>
      <c r="HJ24" s="164"/>
      <c r="HK24" s="185"/>
      <c r="HL24" s="164"/>
      <c r="HM24" s="185"/>
      <c r="HN24" s="164"/>
      <c r="HO24" s="185"/>
      <c r="HP24" s="164"/>
      <c r="HQ24" s="185"/>
      <c r="HR24" s="164"/>
      <c r="HS24" s="185"/>
      <c r="HT24" s="164"/>
      <c r="HU24" s="185"/>
    </row>
    <row r="25" spans="1:229" x14ac:dyDescent="0.2">
      <c r="A25" s="1754" t="str">
        <f>+'1858 Hacienda'!A503</f>
        <v>Internacion de mercancías</v>
      </c>
      <c r="B25" s="131"/>
      <c r="C25" s="134"/>
      <c r="D25" s="133"/>
      <c r="E25" s="131"/>
      <c r="F25" s="134"/>
      <c r="G25" s="133"/>
      <c r="H25" s="131"/>
      <c r="I25" s="134"/>
      <c r="J25" s="133"/>
      <c r="K25" s="131"/>
      <c r="L25" s="134"/>
      <c r="M25" s="133"/>
      <c r="N25" s="131"/>
      <c r="O25" s="134"/>
      <c r="P25" s="133"/>
      <c r="Q25" s="131"/>
      <c r="R25" s="134"/>
      <c r="S25" s="133"/>
      <c r="T25" s="131"/>
      <c r="U25" s="134"/>
      <c r="V25" s="133"/>
      <c r="W25" s="131"/>
      <c r="X25" s="134"/>
      <c r="Y25" s="133"/>
      <c r="Z25" s="131"/>
      <c r="AA25" s="134"/>
      <c r="AB25" s="133"/>
      <c r="AC25" s="131"/>
      <c r="AD25" s="134"/>
      <c r="AE25" s="133"/>
      <c r="AF25" s="131"/>
      <c r="AG25" s="134"/>
      <c r="AH25" s="133"/>
      <c r="AI25" s="145"/>
      <c r="AJ25" s="134"/>
      <c r="AK25" s="133"/>
      <c r="AL25" s="131"/>
      <c r="AM25" s="134"/>
      <c r="AN25" s="133"/>
      <c r="AO25" s="131"/>
      <c r="AP25" s="134"/>
      <c r="AQ25" s="133"/>
      <c r="AR25" s="131"/>
      <c r="AS25" s="134"/>
      <c r="AT25" s="180"/>
      <c r="AU25" s="131"/>
      <c r="AV25" s="185"/>
      <c r="AW25" s="131">
        <f>+'1858 Hacienda'!D560</f>
        <v>2650</v>
      </c>
      <c r="AX25" s="185">
        <f>+'1858 Hacienda'!E560</f>
        <v>350</v>
      </c>
      <c r="AY25" s="131">
        <f>+'1858 Hacienda'!D620</f>
        <v>3382</v>
      </c>
      <c r="AZ25" s="185">
        <f>+'1858 Hacienda'!E620</f>
        <v>708</v>
      </c>
      <c r="BA25" s="131">
        <f>+'1858 Hacienda'!B503</f>
        <v>3582</v>
      </c>
      <c r="BB25" s="185">
        <f>+'1858 Hacienda'!C503</f>
        <v>15</v>
      </c>
      <c r="BC25" s="131"/>
      <c r="BD25" s="185"/>
      <c r="BE25" s="131"/>
      <c r="BF25" s="185"/>
      <c r="BG25" s="131"/>
      <c r="BH25" s="185"/>
      <c r="BI25" s="131"/>
      <c r="BJ25" s="185"/>
      <c r="BK25" s="131"/>
      <c r="BL25" s="185"/>
      <c r="BM25" s="131"/>
      <c r="BN25" s="185"/>
      <c r="BO25" s="131"/>
      <c r="BP25" s="134"/>
      <c r="BQ25" s="131"/>
      <c r="BR25" s="134"/>
      <c r="BS25" s="133"/>
      <c r="BT25" s="131"/>
      <c r="BU25" s="134"/>
      <c r="BV25" s="131"/>
      <c r="BW25" s="134"/>
      <c r="BX25" s="131"/>
      <c r="BY25" s="134"/>
      <c r="BZ25" s="131"/>
      <c r="CA25" s="134"/>
      <c r="CB25" s="133"/>
      <c r="CC25" s="131"/>
      <c r="CD25" s="134"/>
      <c r="CE25" s="133"/>
      <c r="CF25" s="131"/>
      <c r="CG25" s="134"/>
      <c r="CH25" s="133"/>
      <c r="CI25" s="131"/>
      <c r="CJ25" s="134"/>
      <c r="CK25" s="133"/>
      <c r="CL25" s="131"/>
      <c r="CM25" s="134"/>
      <c r="CN25" s="133"/>
      <c r="CO25" s="131"/>
      <c r="CP25" s="134"/>
      <c r="CQ25" s="133"/>
      <c r="CR25" s="131"/>
      <c r="CS25" s="134"/>
      <c r="CT25" s="133"/>
      <c r="CU25" s="131"/>
      <c r="CV25" s="134"/>
      <c r="CW25" s="133"/>
      <c r="CX25" s="131"/>
      <c r="CY25" s="134"/>
      <c r="CZ25" s="133"/>
      <c r="DA25" s="140"/>
      <c r="DB25" s="141"/>
      <c r="DC25" s="142"/>
      <c r="DD25" s="140"/>
      <c r="DE25" s="141"/>
      <c r="DF25" s="142"/>
      <c r="DG25" s="140"/>
      <c r="DH25" s="141"/>
      <c r="DI25" s="142"/>
      <c r="DJ25" s="140"/>
      <c r="DK25" s="141"/>
      <c r="DL25" s="142"/>
      <c r="DM25" s="140"/>
      <c r="DN25" s="141"/>
      <c r="DO25" s="142"/>
      <c r="DP25" s="140"/>
      <c r="DQ25" s="141"/>
      <c r="DR25" s="142"/>
      <c r="DS25" s="140"/>
      <c r="DT25" s="141"/>
      <c r="DU25" s="142"/>
      <c r="DV25" s="140"/>
      <c r="DW25" s="141"/>
      <c r="DX25" s="142"/>
      <c r="DY25" s="140"/>
      <c r="DZ25" s="141"/>
      <c r="EA25" s="142"/>
      <c r="EB25" s="140"/>
      <c r="EC25" s="141"/>
      <c r="ED25" s="142"/>
      <c r="EE25" s="140"/>
      <c r="EF25" s="141"/>
      <c r="EG25" s="142"/>
      <c r="EH25" s="140"/>
      <c r="EI25" s="141"/>
      <c r="EJ25" s="142"/>
      <c r="EK25" s="140"/>
      <c r="EL25" s="141"/>
      <c r="EM25" s="142"/>
      <c r="EN25" s="140"/>
      <c r="EO25" s="141"/>
      <c r="EP25" s="142"/>
      <c r="EQ25" s="140"/>
      <c r="ER25" s="141"/>
      <c r="ES25" s="142"/>
      <c r="ET25" s="140"/>
      <c r="EU25" s="141"/>
      <c r="EV25" s="142"/>
      <c r="EW25" s="140"/>
      <c r="EX25" s="141"/>
      <c r="EY25" s="142"/>
      <c r="EZ25" s="140"/>
      <c r="FA25" s="141"/>
      <c r="FB25" s="142"/>
      <c r="FC25" s="140"/>
      <c r="FD25" s="141"/>
      <c r="FE25" s="142"/>
      <c r="FF25" s="140"/>
      <c r="FG25" s="141"/>
      <c r="FH25" s="142"/>
      <c r="FI25" s="140"/>
      <c r="FJ25" s="141"/>
      <c r="FK25" s="142"/>
      <c r="FL25" s="140"/>
      <c r="FM25" s="141"/>
      <c r="FN25" s="142"/>
      <c r="FO25" s="140"/>
      <c r="FP25" s="141"/>
      <c r="FQ25" s="142"/>
      <c r="FR25" s="140"/>
      <c r="FS25" s="141"/>
      <c r="FT25" s="142"/>
      <c r="FU25" s="140"/>
      <c r="FV25" s="141"/>
      <c r="FW25" s="142"/>
      <c r="FX25" s="140"/>
      <c r="FY25" s="141"/>
      <c r="FZ25" s="142"/>
      <c r="GA25" s="140"/>
      <c r="GB25" s="141"/>
      <c r="GC25" s="142"/>
      <c r="GD25" s="140"/>
      <c r="GE25" s="141"/>
      <c r="GF25" s="142"/>
      <c r="GG25" s="140"/>
      <c r="GH25" s="141"/>
      <c r="GI25" s="142"/>
      <c r="GJ25" s="140"/>
      <c r="GK25" s="141"/>
      <c r="GL25" s="142"/>
      <c r="GM25" s="140"/>
      <c r="GN25" s="141"/>
      <c r="GO25" s="142"/>
      <c r="GP25" s="140"/>
      <c r="GQ25" s="141"/>
      <c r="GR25" s="142"/>
      <c r="GS25" s="140"/>
      <c r="GT25" s="141"/>
      <c r="GU25" s="142"/>
      <c r="GV25" s="140"/>
      <c r="GW25" s="141"/>
      <c r="GX25" s="142"/>
      <c r="GY25" s="164"/>
      <c r="GZ25" s="134"/>
      <c r="HA25" s="185"/>
      <c r="HB25" s="164"/>
      <c r="HC25" s="185"/>
      <c r="HD25" s="164"/>
      <c r="HE25" s="185"/>
      <c r="HF25" s="164"/>
      <c r="HG25" s="185"/>
      <c r="HH25" s="164"/>
      <c r="HI25" s="185"/>
      <c r="HJ25" s="164"/>
      <c r="HK25" s="185"/>
      <c r="HL25" s="164"/>
      <c r="HM25" s="185"/>
      <c r="HN25" s="164"/>
      <c r="HO25" s="185"/>
      <c r="HP25" s="164"/>
      <c r="HQ25" s="185"/>
      <c r="HR25" s="164"/>
      <c r="HS25" s="185"/>
      <c r="HT25" s="164"/>
      <c r="HU25" s="185"/>
    </row>
    <row r="26" spans="1:229" x14ac:dyDescent="0.2">
      <c r="A26" s="1754" t="str">
        <f>+'1858 Hacienda'!A504</f>
        <v>Internacion de sales</v>
      </c>
      <c r="B26" s="131"/>
      <c r="C26" s="134"/>
      <c r="D26" s="133"/>
      <c r="E26" s="131"/>
      <c r="F26" s="134"/>
      <c r="G26" s="133"/>
      <c r="H26" s="131"/>
      <c r="I26" s="134"/>
      <c r="J26" s="133"/>
      <c r="K26" s="131"/>
      <c r="L26" s="134"/>
      <c r="M26" s="133"/>
      <c r="N26" s="131"/>
      <c r="O26" s="134"/>
      <c r="P26" s="133"/>
      <c r="Q26" s="131"/>
      <c r="R26" s="134"/>
      <c r="S26" s="133"/>
      <c r="T26" s="131"/>
      <c r="U26" s="134"/>
      <c r="V26" s="133"/>
      <c r="W26" s="131"/>
      <c r="X26" s="134"/>
      <c r="Y26" s="133"/>
      <c r="Z26" s="131"/>
      <c r="AA26" s="134"/>
      <c r="AB26" s="133"/>
      <c r="AC26" s="131"/>
      <c r="AD26" s="134"/>
      <c r="AE26" s="133"/>
      <c r="AF26" s="131"/>
      <c r="AG26" s="134"/>
      <c r="AH26" s="133"/>
      <c r="AI26" s="145"/>
      <c r="AJ26" s="134"/>
      <c r="AK26" s="133"/>
      <c r="AL26" s="131"/>
      <c r="AM26" s="134"/>
      <c r="AN26" s="133"/>
      <c r="AO26" s="131"/>
      <c r="AP26" s="134"/>
      <c r="AQ26" s="133"/>
      <c r="AR26" s="131"/>
      <c r="AS26" s="134"/>
      <c r="AT26" s="180"/>
      <c r="AU26" s="131"/>
      <c r="AV26" s="185"/>
      <c r="AW26" s="131">
        <f>+'1858 Hacienda'!D561</f>
        <v>518</v>
      </c>
      <c r="AX26" s="185">
        <f>+'1858 Hacienda'!E561</f>
        <v>725</v>
      </c>
      <c r="AY26" s="131">
        <f>+'1858 Hacienda'!D621</f>
        <v>858</v>
      </c>
      <c r="AZ26" s="185">
        <f>+'1858 Hacienda'!E621</f>
        <v>375</v>
      </c>
      <c r="BA26" s="131">
        <f>+'1858 Hacienda'!B504</f>
        <v>617</v>
      </c>
      <c r="BB26" s="185">
        <f>+'1858 Hacienda'!C504</f>
        <v>940</v>
      </c>
      <c r="BC26" s="131">
        <f>+'1858 Hacienda'!B1034</f>
        <v>1302</v>
      </c>
      <c r="BD26" s="185">
        <f>+'1858 Hacienda'!C1034</f>
        <v>800</v>
      </c>
      <c r="BE26" s="131"/>
      <c r="BF26" s="185"/>
      <c r="BG26" s="131">
        <f>+'1858 Hacienda'!B1074</f>
        <v>242</v>
      </c>
      <c r="BH26" s="185"/>
      <c r="BI26" s="131">
        <f>+'1858 Hacienda'!B1093</f>
        <v>123</v>
      </c>
      <c r="BJ26" s="185">
        <f>+'1858 Hacienda'!C1093</f>
        <v>220</v>
      </c>
      <c r="BK26" s="131"/>
      <c r="BL26" s="185"/>
      <c r="BM26" s="131"/>
      <c r="BN26" s="185"/>
      <c r="BO26" s="131"/>
      <c r="BP26" s="134"/>
      <c r="BQ26" s="131"/>
      <c r="BR26" s="134"/>
      <c r="BS26" s="133"/>
      <c r="BT26" s="131"/>
      <c r="BU26" s="134"/>
      <c r="BV26" s="131"/>
      <c r="BW26" s="134"/>
      <c r="BX26" s="131"/>
      <c r="BY26" s="134"/>
      <c r="BZ26" s="131"/>
      <c r="CA26" s="134"/>
      <c r="CB26" s="133"/>
      <c r="CC26" s="131"/>
      <c r="CD26" s="134"/>
      <c r="CE26" s="133"/>
      <c r="CF26" s="131"/>
      <c r="CG26" s="134"/>
      <c r="CH26" s="133"/>
      <c r="CI26" s="131"/>
      <c r="CJ26" s="134"/>
      <c r="CK26" s="133"/>
      <c r="CL26" s="131"/>
      <c r="CM26" s="134"/>
      <c r="CN26" s="133"/>
      <c r="CO26" s="131"/>
      <c r="CP26" s="134"/>
      <c r="CQ26" s="133"/>
      <c r="CR26" s="131"/>
      <c r="CS26" s="134"/>
      <c r="CT26" s="133"/>
      <c r="CU26" s="131"/>
      <c r="CV26" s="134"/>
      <c r="CW26" s="133"/>
      <c r="CX26" s="131"/>
      <c r="CY26" s="134"/>
      <c r="CZ26" s="133"/>
      <c r="DA26" s="140">
        <f>+'1872 Hacienda'!B7</f>
        <v>19865</v>
      </c>
      <c r="DB26" s="141">
        <f>+'1872 Hacienda'!C7</f>
        <v>30</v>
      </c>
      <c r="DC26" s="142"/>
      <c r="DD26" s="140"/>
      <c r="DE26" s="141"/>
      <c r="DF26" s="142"/>
      <c r="DG26" s="140"/>
      <c r="DH26" s="141"/>
      <c r="DI26" s="142"/>
      <c r="DJ26" s="140"/>
      <c r="DK26" s="141"/>
      <c r="DL26" s="142"/>
      <c r="DM26" s="140"/>
      <c r="DN26" s="141"/>
      <c r="DO26" s="142"/>
      <c r="DP26" s="140"/>
      <c r="DQ26" s="141"/>
      <c r="DR26" s="142"/>
      <c r="DS26" s="140"/>
      <c r="DT26" s="141"/>
      <c r="DU26" s="142"/>
      <c r="DV26" s="140"/>
      <c r="DW26" s="141"/>
      <c r="DX26" s="142"/>
      <c r="DY26" s="140"/>
      <c r="DZ26" s="141"/>
      <c r="EA26" s="142"/>
      <c r="EB26" s="140">
        <f>+'1881 Hacienda'!B16</f>
        <v>159049</v>
      </c>
      <c r="EC26" s="141">
        <f>+'1881 Hacienda'!C16</f>
        <v>550</v>
      </c>
      <c r="ED26" s="142">
        <f>+'1881 Hacienda'!D16</f>
        <v>0</v>
      </c>
      <c r="EE26" s="140">
        <f>+'1882 Hacienda'!B12</f>
        <v>434206</v>
      </c>
      <c r="EF26" s="141"/>
      <c r="EG26" s="142"/>
      <c r="EH26" s="140"/>
      <c r="EI26" s="141"/>
      <c r="EJ26" s="142"/>
      <c r="EK26" s="140"/>
      <c r="EL26" s="141"/>
      <c r="EM26" s="142"/>
      <c r="EN26" s="140"/>
      <c r="EO26" s="141"/>
      <c r="EP26" s="142"/>
      <c r="EQ26" s="140"/>
      <c r="ER26" s="141"/>
      <c r="ES26" s="142"/>
      <c r="ET26" s="140"/>
      <c r="EU26" s="141"/>
      <c r="EV26" s="142"/>
      <c r="EW26" s="140"/>
      <c r="EX26" s="141"/>
      <c r="EY26" s="142"/>
      <c r="EZ26" s="140"/>
      <c r="FA26" s="141"/>
      <c r="FB26" s="142"/>
      <c r="FC26" s="140"/>
      <c r="FD26" s="141"/>
      <c r="FE26" s="142"/>
      <c r="FF26" s="140"/>
      <c r="FG26" s="141"/>
      <c r="FH26" s="142"/>
      <c r="FI26" s="140"/>
      <c r="FJ26" s="141"/>
      <c r="FK26" s="142"/>
      <c r="FL26" s="140"/>
      <c r="FM26" s="141"/>
      <c r="FN26" s="142"/>
      <c r="FO26" s="140"/>
      <c r="FP26" s="141"/>
      <c r="FQ26" s="142"/>
      <c r="FR26" s="140"/>
      <c r="FS26" s="141"/>
      <c r="FT26" s="142"/>
      <c r="FU26" s="140"/>
      <c r="FV26" s="141"/>
      <c r="FW26" s="142"/>
      <c r="FX26" s="140"/>
      <c r="FY26" s="141"/>
      <c r="FZ26" s="142"/>
      <c r="GA26" s="140"/>
      <c r="GB26" s="141"/>
      <c r="GC26" s="142"/>
      <c r="GD26" s="140"/>
      <c r="GE26" s="141"/>
      <c r="GF26" s="142"/>
      <c r="GG26" s="140"/>
      <c r="GH26" s="141"/>
      <c r="GI26" s="142"/>
      <c r="GJ26" s="140"/>
      <c r="GK26" s="141"/>
      <c r="GL26" s="142"/>
      <c r="GM26" s="140"/>
      <c r="GN26" s="141"/>
      <c r="GO26" s="142"/>
      <c r="GP26" s="140"/>
      <c r="GQ26" s="141"/>
      <c r="GR26" s="142"/>
      <c r="GS26" s="140"/>
      <c r="GT26" s="141"/>
      <c r="GU26" s="142"/>
      <c r="GV26" s="140"/>
      <c r="GW26" s="141"/>
      <c r="GX26" s="142"/>
      <c r="GY26" s="164"/>
      <c r="GZ26" s="134"/>
      <c r="HA26" s="185"/>
      <c r="HB26" s="164"/>
      <c r="HC26" s="185"/>
      <c r="HD26" s="164"/>
      <c r="HE26" s="185"/>
      <c r="HF26" s="164"/>
      <c r="HG26" s="185"/>
      <c r="HH26" s="164"/>
      <c r="HI26" s="185"/>
      <c r="HJ26" s="164"/>
      <c r="HK26" s="185"/>
      <c r="HL26" s="164"/>
      <c r="HM26" s="185"/>
      <c r="HN26" s="164"/>
      <c r="HO26" s="185"/>
      <c r="HP26" s="164"/>
      <c r="HQ26" s="185"/>
      <c r="HR26" s="164"/>
      <c r="HS26" s="185"/>
      <c r="HT26" s="164"/>
      <c r="HU26" s="185"/>
    </row>
    <row r="27" spans="1:229" x14ac:dyDescent="0.2">
      <c r="A27" s="1753" t="s">
        <v>6052</v>
      </c>
      <c r="B27" s="131"/>
      <c r="C27" s="134"/>
      <c r="D27" s="133"/>
      <c r="E27" s="131"/>
      <c r="F27" s="134"/>
      <c r="G27" s="133"/>
      <c r="H27" s="131"/>
      <c r="I27" s="134"/>
      <c r="J27" s="133"/>
      <c r="K27" s="131"/>
      <c r="L27" s="134"/>
      <c r="M27" s="133"/>
      <c r="N27" s="131"/>
      <c r="O27" s="134"/>
      <c r="P27" s="133"/>
      <c r="Q27" s="131"/>
      <c r="R27" s="134"/>
      <c r="S27" s="133"/>
      <c r="T27" s="131"/>
      <c r="U27" s="134"/>
      <c r="V27" s="133"/>
      <c r="W27" s="131"/>
      <c r="X27" s="134"/>
      <c r="Y27" s="133"/>
      <c r="Z27" s="131"/>
      <c r="AA27" s="134"/>
      <c r="AB27" s="133"/>
      <c r="AC27" s="131"/>
      <c r="AD27" s="134"/>
      <c r="AE27" s="133"/>
      <c r="AF27" s="131"/>
      <c r="AG27" s="134"/>
      <c r="AH27" s="133"/>
      <c r="AI27" s="145">
        <v>312</v>
      </c>
      <c r="AJ27" s="134">
        <v>3</v>
      </c>
      <c r="AK27" s="133"/>
      <c r="AL27" s="131">
        <v>842</v>
      </c>
      <c r="AM27" s="134">
        <v>4</v>
      </c>
      <c r="AN27" s="133">
        <v>0.25</v>
      </c>
      <c r="AO27" s="131">
        <f>'1846 Hacienda'!E50</f>
        <v>3058</v>
      </c>
      <c r="AP27" s="134">
        <f>'1846 Hacienda'!F50</f>
        <v>0</v>
      </c>
      <c r="AQ27" s="133">
        <f>'1846 Hacienda'!G50</f>
        <v>0</v>
      </c>
      <c r="AR27" s="131"/>
      <c r="AS27" s="134"/>
      <c r="AT27" s="180"/>
      <c r="AU27" s="131"/>
      <c r="AV27" s="185"/>
      <c r="AW27" s="131">
        <f>+'1858 Hacienda'!D553</f>
        <v>4853</v>
      </c>
      <c r="AX27" s="185">
        <f>+'1858 Hacienda'!E553</f>
        <v>424</v>
      </c>
      <c r="AY27" s="131">
        <f>+'1858 Hacienda'!D625</f>
        <v>2215</v>
      </c>
      <c r="AZ27" s="185">
        <f>+'1858 Hacienda'!E625</f>
        <v>300</v>
      </c>
      <c r="BA27" s="131">
        <f>+'1858 Hacienda'!B508</f>
        <v>4922</v>
      </c>
      <c r="BB27" s="185">
        <f>+'1858 Hacienda'!C508</f>
        <v>365</v>
      </c>
      <c r="BC27" s="131">
        <f>+'1858 Hacienda'!B1037</f>
        <v>3955</v>
      </c>
      <c r="BD27" s="185">
        <f>+'1858 Hacienda'!C1037</f>
        <v>201</v>
      </c>
      <c r="BE27" s="131">
        <f>+'1858 Hacienda'!B1054</f>
        <v>3352</v>
      </c>
      <c r="BF27" s="185">
        <f>+'1858 Hacienda'!C1054</f>
        <v>179</v>
      </c>
      <c r="BG27" s="131">
        <f>+'1858 Hacienda'!B1076</f>
        <v>3459</v>
      </c>
      <c r="BH27" s="185">
        <f>+'1858 Hacienda'!C1076</f>
        <v>898</v>
      </c>
      <c r="BI27" s="131">
        <f>+'1858 Hacienda'!B1095</f>
        <v>2541</v>
      </c>
      <c r="BJ27" s="185">
        <f>+'1858 Hacienda'!C1095</f>
        <v>600</v>
      </c>
      <c r="BK27" s="131"/>
      <c r="BL27" s="185"/>
      <c r="BM27" s="131"/>
      <c r="BN27" s="185"/>
      <c r="BO27" s="131"/>
      <c r="BP27" s="134"/>
      <c r="BQ27" s="131"/>
      <c r="BR27" s="134"/>
      <c r="BS27" s="133"/>
      <c r="BT27" s="131"/>
      <c r="BU27" s="134"/>
      <c r="BV27" s="131"/>
      <c r="BW27" s="134"/>
      <c r="BX27" s="131"/>
      <c r="BY27" s="134"/>
      <c r="BZ27" s="131"/>
      <c r="CA27" s="134"/>
      <c r="CB27" s="133"/>
      <c r="CC27" s="131"/>
      <c r="CD27" s="134"/>
      <c r="CE27" s="133"/>
      <c r="CF27" s="131"/>
      <c r="CG27" s="134"/>
      <c r="CH27" s="133"/>
      <c r="CI27" s="131"/>
      <c r="CJ27" s="134"/>
      <c r="CK27" s="133"/>
      <c r="CL27" s="131"/>
      <c r="CM27" s="134"/>
      <c r="CN27" s="133"/>
      <c r="CO27" s="131"/>
      <c r="CP27" s="134"/>
      <c r="CQ27" s="133"/>
      <c r="CR27" s="131"/>
      <c r="CS27" s="134"/>
      <c r="CT27" s="133"/>
      <c r="CU27" s="131"/>
      <c r="CV27" s="134"/>
      <c r="CW27" s="133"/>
      <c r="CX27" s="131"/>
      <c r="CY27" s="134"/>
      <c r="CZ27" s="133"/>
      <c r="DA27" s="140"/>
      <c r="DB27" s="141"/>
      <c r="DC27" s="142"/>
      <c r="DD27" s="140"/>
      <c r="DE27" s="141"/>
      <c r="DF27" s="142"/>
      <c r="DG27" s="140"/>
      <c r="DH27" s="141"/>
      <c r="DI27" s="142"/>
      <c r="DJ27" s="140"/>
      <c r="DK27" s="141"/>
      <c r="DL27" s="142"/>
      <c r="DM27" s="140"/>
      <c r="DN27" s="141"/>
      <c r="DO27" s="142"/>
      <c r="DP27" s="140"/>
      <c r="DQ27" s="141"/>
      <c r="DR27" s="142"/>
      <c r="DS27" s="140"/>
      <c r="DT27" s="141"/>
      <c r="DU27" s="142"/>
      <c r="DV27" s="140"/>
      <c r="DW27" s="141"/>
      <c r="DX27" s="142"/>
      <c r="DY27" s="140"/>
      <c r="DZ27" s="141"/>
      <c r="EA27" s="142"/>
      <c r="EB27" s="140"/>
      <c r="EC27" s="141"/>
      <c r="ED27" s="142"/>
      <c r="EE27" s="140"/>
      <c r="EF27" s="141"/>
      <c r="EG27" s="142"/>
      <c r="EH27" s="140"/>
      <c r="EI27" s="141"/>
      <c r="EJ27" s="142"/>
      <c r="EK27" s="140"/>
      <c r="EL27" s="141"/>
      <c r="EM27" s="142"/>
      <c r="EN27" s="140"/>
      <c r="EO27" s="141"/>
      <c r="EP27" s="142"/>
      <c r="EQ27" s="140"/>
      <c r="ER27" s="141"/>
      <c r="ES27" s="142"/>
      <c r="ET27" s="140"/>
      <c r="EU27" s="141"/>
      <c r="EV27" s="142"/>
      <c r="EW27" s="140"/>
      <c r="EX27" s="141"/>
      <c r="EY27" s="142"/>
      <c r="EZ27" s="140"/>
      <c r="FA27" s="141"/>
      <c r="FB27" s="142"/>
      <c r="FC27" s="140"/>
      <c r="FD27" s="141"/>
      <c r="FE27" s="142"/>
      <c r="FF27" s="140"/>
      <c r="FG27" s="141"/>
      <c r="FH27" s="142"/>
      <c r="FI27" s="140"/>
      <c r="FJ27" s="141"/>
      <c r="FK27" s="142"/>
      <c r="FL27" s="140"/>
      <c r="FM27" s="141"/>
      <c r="FN27" s="142"/>
      <c r="FO27" s="140"/>
      <c r="FP27" s="141"/>
      <c r="FQ27" s="142"/>
      <c r="FR27" s="140"/>
      <c r="FS27" s="141"/>
      <c r="FT27" s="142"/>
      <c r="FU27" s="140"/>
      <c r="FV27" s="141"/>
      <c r="FW27" s="142"/>
      <c r="FX27" s="140"/>
      <c r="FY27" s="141"/>
      <c r="FZ27" s="142"/>
      <c r="GA27" s="140"/>
      <c r="GB27" s="141"/>
      <c r="GC27" s="142"/>
      <c r="GD27" s="140"/>
      <c r="GE27" s="141"/>
      <c r="GF27" s="142"/>
      <c r="GG27" s="140"/>
      <c r="GH27" s="141"/>
      <c r="GI27" s="142"/>
      <c r="GJ27" s="140"/>
      <c r="GK27" s="141"/>
      <c r="GL27" s="142"/>
      <c r="GM27" s="140"/>
      <c r="GN27" s="141"/>
      <c r="GO27" s="142"/>
      <c r="GP27" s="140"/>
      <c r="GQ27" s="141"/>
      <c r="GR27" s="142"/>
      <c r="GS27" s="140"/>
      <c r="GT27" s="141"/>
      <c r="GU27" s="142"/>
      <c r="GV27" s="140"/>
      <c r="GW27" s="141"/>
      <c r="GX27" s="142"/>
      <c r="GY27" s="164"/>
      <c r="GZ27" s="134"/>
      <c r="HA27" s="185"/>
      <c r="HB27" s="164"/>
      <c r="HC27" s="185"/>
      <c r="HD27" s="164"/>
      <c r="HE27" s="185"/>
      <c r="HF27" s="164"/>
      <c r="HG27" s="185"/>
      <c r="HH27" s="164"/>
      <c r="HI27" s="185"/>
      <c r="HJ27" s="164"/>
      <c r="HK27" s="185"/>
      <c r="HL27" s="164"/>
      <c r="HM27" s="185"/>
      <c r="HN27" s="164"/>
      <c r="HO27" s="185"/>
      <c r="HP27" s="164"/>
      <c r="HQ27" s="185"/>
      <c r="HR27" s="164"/>
      <c r="HS27" s="185"/>
      <c r="HT27" s="164"/>
      <c r="HU27" s="185"/>
    </row>
    <row r="28" spans="1:229" x14ac:dyDescent="0.2">
      <c r="A28" s="1753" t="s">
        <v>6053</v>
      </c>
      <c r="B28" s="131"/>
      <c r="C28" s="134"/>
      <c r="D28" s="133"/>
      <c r="E28" s="131"/>
      <c r="F28" s="134"/>
      <c r="G28" s="133"/>
      <c r="H28" s="131"/>
      <c r="I28" s="134"/>
      <c r="J28" s="133"/>
      <c r="K28" s="131"/>
      <c r="L28" s="134"/>
      <c r="M28" s="133"/>
      <c r="N28" s="131"/>
      <c r="O28" s="134"/>
      <c r="P28" s="133"/>
      <c r="Q28" s="131"/>
      <c r="R28" s="134"/>
      <c r="S28" s="133"/>
      <c r="T28" s="131"/>
      <c r="U28" s="134"/>
      <c r="V28" s="133"/>
      <c r="W28" s="131"/>
      <c r="X28" s="134"/>
      <c r="Y28" s="133"/>
      <c r="Z28" s="131"/>
      <c r="AA28" s="134"/>
      <c r="AB28" s="133"/>
      <c r="AC28" s="131"/>
      <c r="AD28" s="134"/>
      <c r="AE28" s="133"/>
      <c r="AF28" s="131"/>
      <c r="AG28" s="134"/>
      <c r="AH28" s="133"/>
      <c r="AI28" s="145">
        <v>6789</v>
      </c>
      <c r="AJ28" s="134">
        <v>3</v>
      </c>
      <c r="AK28" s="133">
        <v>0.25</v>
      </c>
      <c r="AL28" s="131">
        <v>280</v>
      </c>
      <c r="AM28" s="134">
        <v>2</v>
      </c>
      <c r="AN28" s="133">
        <v>0.75</v>
      </c>
      <c r="AO28" s="131">
        <f>'1846 Hacienda'!E53</f>
        <v>1031</v>
      </c>
      <c r="AP28" s="134">
        <f>'1846 Hacienda'!F53</f>
        <v>2</v>
      </c>
      <c r="AQ28" s="133">
        <f>'1846 Hacienda'!G53</f>
        <v>0.5</v>
      </c>
      <c r="AR28" s="131"/>
      <c r="AS28" s="134"/>
      <c r="AT28" s="180"/>
      <c r="AU28" s="131"/>
      <c r="AV28" s="185"/>
      <c r="AW28" s="131"/>
      <c r="AX28" s="185"/>
      <c r="AY28" s="131"/>
      <c r="AZ28" s="185"/>
      <c r="BA28" s="131"/>
      <c r="BB28" s="185"/>
      <c r="BC28" s="131">
        <f>+'1858 Hacienda'!B1038</f>
        <v>494</v>
      </c>
      <c r="BD28" s="185">
        <f>+'1858 Hacienda'!C1038</f>
        <v>175</v>
      </c>
      <c r="BE28" s="131">
        <f>+'1858 Hacienda'!B1057</f>
        <v>565</v>
      </c>
      <c r="BF28" s="185">
        <f>+'1858 Hacienda'!C1057</f>
        <v>347</v>
      </c>
      <c r="BG28" s="131">
        <f>+'1858 Hacienda'!B1077</f>
        <v>395</v>
      </c>
      <c r="BH28" s="185">
        <f>+'1858 Hacienda'!C1077</f>
        <v>390</v>
      </c>
      <c r="BI28" s="131">
        <f>+'1858 Hacienda'!B1096</f>
        <v>63</v>
      </c>
      <c r="BJ28" s="185">
        <f>+'1858 Hacienda'!C1096</f>
        <v>800</v>
      </c>
      <c r="BK28" s="131"/>
      <c r="BL28" s="185"/>
      <c r="BM28" s="131"/>
      <c r="BN28" s="185"/>
      <c r="BO28" s="131"/>
      <c r="BP28" s="134"/>
      <c r="BQ28" s="131"/>
      <c r="BR28" s="134"/>
      <c r="BS28" s="133"/>
      <c r="BT28" s="131"/>
      <c r="BU28" s="134"/>
      <c r="BV28" s="131"/>
      <c r="BW28" s="134"/>
      <c r="BX28" s="131"/>
      <c r="BY28" s="134"/>
      <c r="BZ28" s="131"/>
      <c r="CA28" s="134"/>
      <c r="CB28" s="133"/>
      <c r="CC28" s="131"/>
      <c r="CD28" s="134"/>
      <c r="CE28" s="133"/>
      <c r="CF28" s="131"/>
      <c r="CG28" s="134"/>
      <c r="CH28" s="133"/>
      <c r="CI28" s="131"/>
      <c r="CJ28" s="134"/>
      <c r="CK28" s="133"/>
      <c r="CL28" s="131"/>
      <c r="CM28" s="134"/>
      <c r="CN28" s="133"/>
      <c r="CO28" s="131"/>
      <c r="CP28" s="134"/>
      <c r="CQ28" s="133"/>
      <c r="CR28" s="131"/>
      <c r="CS28" s="134"/>
      <c r="CT28" s="133"/>
      <c r="CU28" s="131"/>
      <c r="CV28" s="134"/>
      <c r="CW28" s="133"/>
      <c r="CX28" s="131"/>
      <c r="CY28" s="134"/>
      <c r="CZ28" s="133"/>
      <c r="DA28" s="140"/>
      <c r="DB28" s="141"/>
      <c r="DC28" s="142"/>
      <c r="DD28" s="140"/>
      <c r="DE28" s="141"/>
      <c r="DF28" s="142"/>
      <c r="DG28" s="140"/>
      <c r="DH28" s="141"/>
      <c r="DI28" s="142"/>
      <c r="DJ28" s="140"/>
      <c r="DK28" s="141"/>
      <c r="DL28" s="142"/>
      <c r="DM28" s="140"/>
      <c r="DN28" s="141"/>
      <c r="DO28" s="142"/>
      <c r="DP28" s="140"/>
      <c r="DQ28" s="141"/>
      <c r="DR28" s="142"/>
      <c r="DS28" s="140"/>
      <c r="DT28" s="141"/>
      <c r="DU28" s="142"/>
      <c r="DV28" s="140"/>
      <c r="DW28" s="141"/>
      <c r="DX28" s="142"/>
      <c r="DY28" s="140"/>
      <c r="DZ28" s="141"/>
      <c r="EA28" s="142"/>
      <c r="EB28" s="140"/>
      <c r="EC28" s="141"/>
      <c r="ED28" s="142"/>
      <c r="EE28" s="140"/>
      <c r="EF28" s="141"/>
      <c r="EG28" s="142"/>
      <c r="EH28" s="140"/>
      <c r="EI28" s="141"/>
      <c r="EJ28" s="142"/>
      <c r="EK28" s="140"/>
      <c r="EL28" s="141"/>
      <c r="EM28" s="142"/>
      <c r="EN28" s="140"/>
      <c r="EO28" s="141"/>
      <c r="EP28" s="142"/>
      <c r="EQ28" s="140"/>
      <c r="ER28" s="141"/>
      <c r="ES28" s="142"/>
      <c r="ET28" s="140"/>
      <c r="EU28" s="141"/>
      <c r="EV28" s="142"/>
      <c r="EW28" s="140"/>
      <c r="EX28" s="141"/>
      <c r="EY28" s="142"/>
      <c r="EZ28" s="140"/>
      <c r="FA28" s="141"/>
      <c r="FB28" s="142"/>
      <c r="FC28" s="140"/>
      <c r="FD28" s="141"/>
      <c r="FE28" s="142"/>
      <c r="FF28" s="140"/>
      <c r="FG28" s="141"/>
      <c r="FH28" s="142"/>
      <c r="FI28" s="140"/>
      <c r="FJ28" s="141"/>
      <c r="FK28" s="142"/>
      <c r="FL28" s="140"/>
      <c r="FM28" s="141"/>
      <c r="FN28" s="142"/>
      <c r="FO28" s="140"/>
      <c r="FP28" s="141"/>
      <c r="FQ28" s="142"/>
      <c r="FR28" s="140"/>
      <c r="FS28" s="141"/>
      <c r="FT28" s="142"/>
      <c r="FU28" s="140"/>
      <c r="FV28" s="141"/>
      <c r="FW28" s="142"/>
      <c r="FX28" s="140"/>
      <c r="FY28" s="141"/>
      <c r="FZ28" s="142"/>
      <c r="GA28" s="140"/>
      <c r="GB28" s="141"/>
      <c r="GC28" s="142"/>
      <c r="GD28" s="140"/>
      <c r="GE28" s="141"/>
      <c r="GF28" s="142"/>
      <c r="GG28" s="140"/>
      <c r="GH28" s="141"/>
      <c r="GI28" s="142"/>
      <c r="GJ28" s="140"/>
      <c r="GK28" s="141"/>
      <c r="GL28" s="142"/>
      <c r="GM28" s="140"/>
      <c r="GN28" s="141"/>
      <c r="GO28" s="142"/>
      <c r="GP28" s="140"/>
      <c r="GQ28" s="141"/>
      <c r="GR28" s="142"/>
      <c r="GS28" s="140"/>
      <c r="GT28" s="141"/>
      <c r="GU28" s="142"/>
      <c r="GV28" s="140"/>
      <c r="GW28" s="141"/>
      <c r="GX28" s="142"/>
      <c r="GY28" s="164"/>
      <c r="GZ28" s="134"/>
      <c r="HA28" s="185"/>
      <c r="HB28" s="164"/>
      <c r="HC28" s="185"/>
      <c r="HD28" s="164"/>
      <c r="HE28" s="185"/>
      <c r="HF28" s="164"/>
      <c r="HG28" s="185"/>
      <c r="HH28" s="164"/>
      <c r="HI28" s="185"/>
      <c r="HJ28" s="164"/>
      <c r="HK28" s="185"/>
      <c r="HL28" s="164"/>
      <c r="HM28" s="185"/>
      <c r="HN28" s="164"/>
      <c r="HO28" s="185"/>
      <c r="HP28" s="164"/>
      <c r="HQ28" s="185"/>
      <c r="HR28" s="164"/>
      <c r="HS28" s="185"/>
      <c r="HT28" s="164"/>
      <c r="HU28" s="185"/>
    </row>
    <row r="29" spans="1:229" x14ac:dyDescent="0.2">
      <c r="A29" s="1753" t="s">
        <v>6054</v>
      </c>
      <c r="B29" s="131"/>
      <c r="C29" s="134"/>
      <c r="D29" s="133"/>
      <c r="E29" s="131"/>
      <c r="F29" s="134"/>
      <c r="G29" s="133"/>
      <c r="H29" s="131"/>
      <c r="I29" s="134"/>
      <c r="J29" s="133"/>
      <c r="K29" s="131"/>
      <c r="L29" s="134"/>
      <c r="M29" s="133"/>
      <c r="N29" s="131"/>
      <c r="O29" s="134"/>
      <c r="P29" s="133"/>
      <c r="Q29" s="131"/>
      <c r="R29" s="134"/>
      <c r="S29" s="133"/>
      <c r="T29" s="131"/>
      <c r="U29" s="134"/>
      <c r="V29" s="133"/>
      <c r="W29" s="131"/>
      <c r="X29" s="134"/>
      <c r="Y29" s="133"/>
      <c r="Z29" s="131"/>
      <c r="AA29" s="134"/>
      <c r="AB29" s="133"/>
      <c r="AC29" s="131"/>
      <c r="AD29" s="134"/>
      <c r="AE29" s="133"/>
      <c r="AF29" s="131"/>
      <c r="AG29" s="134"/>
      <c r="AH29" s="133"/>
      <c r="AI29" s="145">
        <v>25679</v>
      </c>
      <c r="AJ29" s="134">
        <v>3</v>
      </c>
      <c r="AK29" s="133">
        <v>0.25</v>
      </c>
      <c r="AL29" s="131">
        <v>10285</v>
      </c>
      <c r="AM29" s="134">
        <v>6</v>
      </c>
      <c r="AN29" s="133">
        <v>0.75</v>
      </c>
      <c r="AO29" s="131"/>
      <c r="AP29" s="134"/>
      <c r="AQ29" s="133"/>
      <c r="AR29" s="131"/>
      <c r="AS29" s="134"/>
      <c r="AT29" s="180"/>
      <c r="AU29" s="131"/>
      <c r="AV29" s="185"/>
      <c r="AW29" s="131"/>
      <c r="AX29" s="185"/>
      <c r="AY29" s="131"/>
      <c r="AZ29" s="185"/>
      <c r="BA29" s="131"/>
      <c r="BB29" s="185"/>
      <c r="BC29" s="131"/>
      <c r="BD29" s="185"/>
      <c r="BE29" s="131"/>
      <c r="BF29" s="185"/>
      <c r="BG29" s="131"/>
      <c r="BH29" s="185"/>
      <c r="BI29" s="131"/>
      <c r="BJ29" s="185"/>
      <c r="BK29" s="131"/>
      <c r="BL29" s="185"/>
      <c r="BM29" s="131"/>
      <c r="BN29" s="185"/>
      <c r="BO29" s="131"/>
      <c r="BP29" s="134"/>
      <c r="BQ29" s="131"/>
      <c r="BR29" s="134"/>
      <c r="BS29" s="133"/>
      <c r="BT29" s="131"/>
      <c r="BU29" s="134"/>
      <c r="BV29" s="131"/>
      <c r="BW29" s="134"/>
      <c r="BX29" s="131"/>
      <c r="BY29" s="134"/>
      <c r="BZ29" s="131"/>
      <c r="CA29" s="134"/>
      <c r="CB29" s="133"/>
      <c r="CC29" s="131"/>
      <c r="CD29" s="134"/>
      <c r="CE29" s="133"/>
      <c r="CF29" s="131"/>
      <c r="CG29" s="134"/>
      <c r="CH29" s="133"/>
      <c r="CI29" s="131"/>
      <c r="CJ29" s="134"/>
      <c r="CK29" s="133"/>
      <c r="CL29" s="131"/>
      <c r="CM29" s="134"/>
      <c r="CN29" s="133"/>
      <c r="CO29" s="131"/>
      <c r="CP29" s="134"/>
      <c r="CQ29" s="133"/>
      <c r="CR29" s="131"/>
      <c r="CS29" s="134"/>
      <c r="CT29" s="133"/>
      <c r="CU29" s="131"/>
      <c r="CV29" s="134"/>
      <c r="CW29" s="133"/>
      <c r="CX29" s="131"/>
      <c r="CY29" s="134"/>
      <c r="CZ29" s="133"/>
      <c r="DA29" s="140"/>
      <c r="DB29" s="141"/>
      <c r="DC29" s="142"/>
      <c r="DD29" s="140"/>
      <c r="DE29" s="141"/>
      <c r="DF29" s="142"/>
      <c r="DG29" s="140"/>
      <c r="DH29" s="141"/>
      <c r="DI29" s="142"/>
      <c r="DJ29" s="140"/>
      <c r="DK29" s="141"/>
      <c r="DL29" s="142"/>
      <c r="DM29" s="140"/>
      <c r="DN29" s="141"/>
      <c r="DO29" s="142"/>
      <c r="DP29" s="140"/>
      <c r="DQ29" s="141"/>
      <c r="DR29" s="142"/>
      <c r="DS29" s="140"/>
      <c r="DT29" s="141"/>
      <c r="DU29" s="142"/>
      <c r="DV29" s="140"/>
      <c r="DW29" s="141"/>
      <c r="DX29" s="142"/>
      <c r="DY29" s="140"/>
      <c r="DZ29" s="141"/>
      <c r="EA29" s="142"/>
      <c r="EB29" s="140"/>
      <c r="EC29" s="141"/>
      <c r="ED29" s="142"/>
      <c r="EE29" s="140"/>
      <c r="EF29" s="141"/>
      <c r="EG29" s="142"/>
      <c r="EH29" s="140"/>
      <c r="EI29" s="141"/>
      <c r="EJ29" s="142"/>
      <c r="EK29" s="140"/>
      <c r="EL29" s="141"/>
      <c r="EM29" s="142"/>
      <c r="EN29" s="140"/>
      <c r="EO29" s="141"/>
      <c r="EP29" s="142"/>
      <c r="EQ29" s="140"/>
      <c r="ER29" s="141"/>
      <c r="ES29" s="142"/>
      <c r="ET29" s="140"/>
      <c r="EU29" s="141"/>
      <c r="EV29" s="142"/>
      <c r="EW29" s="140"/>
      <c r="EX29" s="141"/>
      <c r="EY29" s="142"/>
      <c r="EZ29" s="140"/>
      <c r="FA29" s="141"/>
      <c r="FB29" s="142"/>
      <c r="FC29" s="140"/>
      <c r="FD29" s="141"/>
      <c r="FE29" s="142"/>
      <c r="FF29" s="140"/>
      <c r="FG29" s="141"/>
      <c r="FH29" s="142"/>
      <c r="FI29" s="140"/>
      <c r="FJ29" s="141"/>
      <c r="FK29" s="142"/>
      <c r="FL29" s="140"/>
      <c r="FM29" s="141"/>
      <c r="FN29" s="142"/>
      <c r="FO29" s="140"/>
      <c r="FP29" s="141"/>
      <c r="FQ29" s="142"/>
      <c r="FR29" s="140"/>
      <c r="FS29" s="141"/>
      <c r="FT29" s="142"/>
      <c r="FU29" s="140"/>
      <c r="FV29" s="141"/>
      <c r="FW29" s="142"/>
      <c r="FX29" s="140"/>
      <c r="FY29" s="141"/>
      <c r="FZ29" s="142"/>
      <c r="GA29" s="140"/>
      <c r="GB29" s="141"/>
      <c r="GC29" s="142"/>
      <c r="GD29" s="140"/>
      <c r="GE29" s="141"/>
      <c r="GF29" s="142"/>
      <c r="GG29" s="140"/>
      <c r="GH29" s="141"/>
      <c r="GI29" s="142"/>
      <c r="GJ29" s="140"/>
      <c r="GK29" s="141"/>
      <c r="GL29" s="142"/>
      <c r="GM29" s="140"/>
      <c r="GN29" s="141"/>
      <c r="GO29" s="142"/>
      <c r="GP29" s="140"/>
      <c r="GQ29" s="141"/>
      <c r="GR29" s="142"/>
      <c r="GS29" s="140"/>
      <c r="GT29" s="141"/>
      <c r="GU29" s="142"/>
      <c r="GV29" s="140"/>
      <c r="GW29" s="141"/>
      <c r="GX29" s="142"/>
      <c r="GY29" s="164"/>
      <c r="GZ29" s="134"/>
      <c r="HA29" s="185"/>
      <c r="HB29" s="164"/>
      <c r="HC29" s="185"/>
      <c r="HD29" s="164"/>
      <c r="HE29" s="185"/>
      <c r="HF29" s="164"/>
      <c r="HG29" s="185"/>
      <c r="HH29" s="164"/>
      <c r="HI29" s="185"/>
      <c r="HJ29" s="164"/>
      <c r="HK29" s="185"/>
      <c r="HL29" s="164"/>
      <c r="HM29" s="185"/>
      <c r="HN29" s="164"/>
      <c r="HO29" s="185"/>
      <c r="HP29" s="164"/>
      <c r="HQ29" s="185"/>
      <c r="HR29" s="164"/>
      <c r="HS29" s="185"/>
      <c r="HT29" s="164"/>
      <c r="HU29" s="185"/>
    </row>
    <row r="30" spans="1:229" x14ac:dyDescent="0.2">
      <c r="A30" s="1753" t="s">
        <v>6055</v>
      </c>
      <c r="B30" s="131"/>
      <c r="C30" s="134"/>
      <c r="D30" s="133"/>
      <c r="E30" s="131"/>
      <c r="F30" s="134"/>
      <c r="G30" s="133"/>
      <c r="H30" s="131"/>
      <c r="I30" s="134"/>
      <c r="J30" s="133"/>
      <c r="K30" s="131"/>
      <c r="L30" s="134"/>
      <c r="M30" s="133"/>
      <c r="N30" s="131"/>
      <c r="O30" s="134"/>
      <c r="P30" s="133"/>
      <c r="Q30" s="131"/>
      <c r="R30" s="134"/>
      <c r="S30" s="133"/>
      <c r="T30" s="131"/>
      <c r="U30" s="134"/>
      <c r="V30" s="133"/>
      <c r="W30" s="131"/>
      <c r="X30" s="134"/>
      <c r="Y30" s="133"/>
      <c r="Z30" s="131"/>
      <c r="AA30" s="134"/>
      <c r="AB30" s="133"/>
      <c r="AC30" s="131"/>
      <c r="AD30" s="134"/>
      <c r="AE30" s="133"/>
      <c r="AF30" s="131"/>
      <c r="AG30" s="134"/>
      <c r="AH30" s="133"/>
      <c r="AI30" s="145">
        <v>927</v>
      </c>
      <c r="AJ30" s="134">
        <v>5</v>
      </c>
      <c r="AK30" s="133">
        <v>0.5</v>
      </c>
      <c r="AL30" s="131"/>
      <c r="AM30" s="134"/>
      <c r="AN30" s="133"/>
      <c r="AO30" s="131"/>
      <c r="AP30" s="134"/>
      <c r="AQ30" s="133"/>
      <c r="AR30" s="131"/>
      <c r="AS30" s="134"/>
      <c r="AT30" s="180"/>
      <c r="AU30" s="131"/>
      <c r="AV30" s="185"/>
      <c r="AW30" s="131"/>
      <c r="AX30" s="185"/>
      <c r="AY30" s="131"/>
      <c r="AZ30" s="185"/>
      <c r="BA30" s="131"/>
      <c r="BB30" s="185"/>
      <c r="BC30" s="131"/>
      <c r="BD30" s="185"/>
      <c r="BE30" s="131"/>
      <c r="BF30" s="185"/>
      <c r="BG30" s="131"/>
      <c r="BH30" s="185"/>
      <c r="BI30" s="131"/>
      <c r="BJ30" s="185"/>
      <c r="BK30" s="131"/>
      <c r="BL30" s="185"/>
      <c r="BM30" s="131"/>
      <c r="BN30" s="185"/>
      <c r="BO30" s="131"/>
      <c r="BP30" s="134"/>
      <c r="BQ30" s="131"/>
      <c r="BR30" s="134"/>
      <c r="BS30" s="133"/>
      <c r="BT30" s="131"/>
      <c r="BU30" s="134"/>
      <c r="BV30" s="131"/>
      <c r="BW30" s="134"/>
      <c r="BX30" s="131"/>
      <c r="BY30" s="134"/>
      <c r="BZ30" s="131"/>
      <c r="CA30" s="134"/>
      <c r="CB30" s="133"/>
      <c r="CC30" s="131"/>
      <c r="CD30" s="134"/>
      <c r="CE30" s="133"/>
      <c r="CF30" s="131"/>
      <c r="CG30" s="134"/>
      <c r="CH30" s="133"/>
      <c r="CI30" s="131"/>
      <c r="CJ30" s="134"/>
      <c r="CK30" s="133"/>
      <c r="CL30" s="131"/>
      <c r="CM30" s="134"/>
      <c r="CN30" s="133"/>
      <c r="CO30" s="131"/>
      <c r="CP30" s="134"/>
      <c r="CQ30" s="133"/>
      <c r="CR30" s="131"/>
      <c r="CS30" s="134"/>
      <c r="CT30" s="133"/>
      <c r="CU30" s="131"/>
      <c r="CV30" s="134"/>
      <c r="CW30" s="133"/>
      <c r="CX30" s="131"/>
      <c r="CY30" s="134"/>
      <c r="CZ30" s="133"/>
      <c r="DA30" s="140"/>
      <c r="DB30" s="141"/>
      <c r="DC30" s="142"/>
      <c r="DD30" s="140"/>
      <c r="DE30" s="141"/>
      <c r="DF30" s="142"/>
      <c r="DG30" s="140"/>
      <c r="DH30" s="141"/>
      <c r="DI30" s="142"/>
      <c r="DJ30" s="140"/>
      <c r="DK30" s="141"/>
      <c r="DL30" s="142"/>
      <c r="DM30" s="140"/>
      <c r="DN30" s="141"/>
      <c r="DO30" s="142"/>
      <c r="DP30" s="140"/>
      <c r="DQ30" s="141"/>
      <c r="DR30" s="142"/>
      <c r="DS30" s="140"/>
      <c r="DT30" s="141"/>
      <c r="DU30" s="142"/>
      <c r="DV30" s="140"/>
      <c r="DW30" s="141"/>
      <c r="DX30" s="142"/>
      <c r="DY30" s="140"/>
      <c r="DZ30" s="141"/>
      <c r="EA30" s="142"/>
      <c r="EB30" s="140"/>
      <c r="EC30" s="141"/>
      <c r="ED30" s="142"/>
      <c r="EE30" s="140"/>
      <c r="EF30" s="141"/>
      <c r="EG30" s="142"/>
      <c r="EH30" s="140"/>
      <c r="EI30" s="141"/>
      <c r="EJ30" s="142"/>
      <c r="EK30" s="140"/>
      <c r="EL30" s="141"/>
      <c r="EM30" s="142"/>
      <c r="EN30" s="140"/>
      <c r="EO30" s="141"/>
      <c r="EP30" s="142"/>
      <c r="EQ30" s="140"/>
      <c r="ER30" s="141"/>
      <c r="ES30" s="142"/>
      <c r="ET30" s="140"/>
      <c r="EU30" s="141"/>
      <c r="EV30" s="142"/>
      <c r="EW30" s="140"/>
      <c r="EX30" s="141"/>
      <c r="EY30" s="142"/>
      <c r="EZ30" s="140"/>
      <c r="FA30" s="141"/>
      <c r="FB30" s="142"/>
      <c r="FC30" s="140"/>
      <c r="FD30" s="141"/>
      <c r="FE30" s="142"/>
      <c r="FF30" s="140"/>
      <c r="FG30" s="141"/>
      <c r="FH30" s="142"/>
      <c r="FI30" s="140"/>
      <c r="FJ30" s="141"/>
      <c r="FK30" s="142"/>
      <c r="FL30" s="140"/>
      <c r="FM30" s="141"/>
      <c r="FN30" s="142"/>
      <c r="FO30" s="140"/>
      <c r="FP30" s="141"/>
      <c r="FQ30" s="142"/>
      <c r="FR30" s="140"/>
      <c r="FS30" s="141"/>
      <c r="FT30" s="142"/>
      <c r="FU30" s="140"/>
      <c r="FV30" s="141"/>
      <c r="FW30" s="142"/>
      <c r="FX30" s="140"/>
      <c r="FY30" s="141"/>
      <c r="FZ30" s="142"/>
      <c r="GA30" s="140"/>
      <c r="GB30" s="141"/>
      <c r="GC30" s="142"/>
      <c r="GD30" s="140"/>
      <c r="GE30" s="141"/>
      <c r="GF30" s="142"/>
      <c r="GG30" s="140"/>
      <c r="GH30" s="141"/>
      <c r="GI30" s="142"/>
      <c r="GJ30" s="140"/>
      <c r="GK30" s="141"/>
      <c r="GL30" s="142"/>
      <c r="GM30" s="140"/>
      <c r="GN30" s="141"/>
      <c r="GO30" s="142"/>
      <c r="GP30" s="140"/>
      <c r="GQ30" s="141"/>
      <c r="GR30" s="142"/>
      <c r="GS30" s="140"/>
      <c r="GT30" s="141"/>
      <c r="GU30" s="142"/>
      <c r="GV30" s="140"/>
      <c r="GW30" s="141"/>
      <c r="GX30" s="142"/>
      <c r="GY30" s="164"/>
      <c r="GZ30" s="134"/>
      <c r="HA30" s="185"/>
      <c r="HB30" s="164"/>
      <c r="HC30" s="185"/>
      <c r="HD30" s="164"/>
      <c r="HE30" s="185"/>
      <c r="HF30" s="164"/>
      <c r="HG30" s="185"/>
      <c r="HH30" s="164"/>
      <c r="HI30" s="185"/>
      <c r="HJ30" s="164"/>
      <c r="HK30" s="185"/>
      <c r="HL30" s="164"/>
      <c r="HM30" s="185"/>
      <c r="HN30" s="164"/>
      <c r="HO30" s="185"/>
      <c r="HP30" s="164"/>
      <c r="HQ30" s="185"/>
      <c r="HR30" s="164"/>
      <c r="HS30" s="185"/>
      <c r="HT30" s="164"/>
      <c r="HU30" s="185"/>
    </row>
    <row r="31" spans="1:229" x14ac:dyDescent="0.2">
      <c r="A31" s="1753" t="s">
        <v>6056</v>
      </c>
      <c r="B31" s="131"/>
      <c r="C31" s="134"/>
      <c r="D31" s="133"/>
      <c r="E31" s="131"/>
      <c r="F31" s="134"/>
      <c r="G31" s="133"/>
      <c r="H31" s="131"/>
      <c r="I31" s="134"/>
      <c r="J31" s="133"/>
      <c r="K31" s="131"/>
      <c r="L31" s="134"/>
      <c r="M31" s="133"/>
      <c r="N31" s="131"/>
      <c r="O31" s="134"/>
      <c r="P31" s="133"/>
      <c r="Q31" s="131"/>
      <c r="R31" s="134"/>
      <c r="S31" s="133"/>
      <c r="T31" s="131"/>
      <c r="U31" s="134"/>
      <c r="V31" s="133"/>
      <c r="W31" s="131"/>
      <c r="X31" s="134"/>
      <c r="Y31" s="133"/>
      <c r="Z31" s="131"/>
      <c r="AA31" s="134"/>
      <c r="AB31" s="133"/>
      <c r="AC31" s="131"/>
      <c r="AD31" s="134"/>
      <c r="AE31" s="133"/>
      <c r="AF31" s="131"/>
      <c r="AG31" s="134"/>
      <c r="AH31" s="133"/>
      <c r="AI31" s="145">
        <v>887</v>
      </c>
      <c r="AJ31" s="134">
        <v>6</v>
      </c>
      <c r="AK31" s="133"/>
      <c r="AL31" s="131">
        <v>616</v>
      </c>
      <c r="AM31" s="134">
        <v>4</v>
      </c>
      <c r="AN31" s="133">
        <v>0.25</v>
      </c>
      <c r="AO31" s="131">
        <f>'1846 Hacienda'!E57</f>
        <v>623</v>
      </c>
      <c r="AP31" s="134">
        <f>'1846 Hacienda'!F57</f>
        <v>2</v>
      </c>
      <c r="AQ31" s="133">
        <f>'1846 Hacienda'!G57</f>
        <v>0</v>
      </c>
      <c r="AR31" s="131"/>
      <c r="AS31" s="134"/>
      <c r="AT31" s="180"/>
      <c r="AU31" s="131"/>
      <c r="AV31" s="185"/>
      <c r="AW31" s="131"/>
      <c r="AX31" s="185"/>
      <c r="AY31" s="131"/>
      <c r="AZ31" s="185"/>
      <c r="BA31" s="131"/>
      <c r="BB31" s="185"/>
      <c r="BC31" s="131"/>
      <c r="BD31" s="185"/>
      <c r="BE31" s="131"/>
      <c r="BF31" s="185"/>
      <c r="BG31" s="131"/>
      <c r="BH31" s="185"/>
      <c r="BI31" s="131"/>
      <c r="BJ31" s="185"/>
      <c r="BK31" s="131"/>
      <c r="BL31" s="185"/>
      <c r="BM31" s="131"/>
      <c r="BN31" s="185"/>
      <c r="BO31" s="131"/>
      <c r="BP31" s="134"/>
      <c r="BQ31" s="131"/>
      <c r="BR31" s="134"/>
      <c r="BS31" s="133"/>
      <c r="BT31" s="131"/>
      <c r="BU31" s="134"/>
      <c r="BV31" s="131"/>
      <c r="BW31" s="134"/>
      <c r="BX31" s="131"/>
      <c r="BY31" s="134"/>
      <c r="BZ31" s="131"/>
      <c r="CA31" s="134"/>
      <c r="CB31" s="133"/>
      <c r="CC31" s="131"/>
      <c r="CD31" s="134"/>
      <c r="CE31" s="133"/>
      <c r="CF31" s="131"/>
      <c r="CG31" s="134"/>
      <c r="CH31" s="133"/>
      <c r="CI31" s="131"/>
      <c r="CJ31" s="134"/>
      <c r="CK31" s="133"/>
      <c r="CL31" s="131"/>
      <c r="CM31" s="134"/>
      <c r="CN31" s="133"/>
      <c r="CO31" s="131"/>
      <c r="CP31" s="134"/>
      <c r="CQ31" s="133"/>
      <c r="CR31" s="131"/>
      <c r="CS31" s="134"/>
      <c r="CT31" s="133"/>
      <c r="CU31" s="131"/>
      <c r="CV31" s="134"/>
      <c r="CW31" s="133"/>
      <c r="CX31" s="131"/>
      <c r="CY31" s="134"/>
      <c r="CZ31" s="133"/>
      <c r="DA31" s="140"/>
      <c r="DB31" s="141"/>
      <c r="DC31" s="142"/>
      <c r="DD31" s="140"/>
      <c r="DE31" s="141"/>
      <c r="DF31" s="142"/>
      <c r="DG31" s="140"/>
      <c r="DH31" s="141"/>
      <c r="DI31" s="142"/>
      <c r="DJ31" s="140"/>
      <c r="DK31" s="141"/>
      <c r="DL31" s="142"/>
      <c r="DM31" s="140"/>
      <c r="DN31" s="141"/>
      <c r="DO31" s="142"/>
      <c r="DP31" s="140"/>
      <c r="DQ31" s="141"/>
      <c r="DR31" s="142"/>
      <c r="DS31" s="140"/>
      <c r="DT31" s="141"/>
      <c r="DU31" s="142"/>
      <c r="DV31" s="140"/>
      <c r="DW31" s="141"/>
      <c r="DX31" s="142"/>
      <c r="DY31" s="140"/>
      <c r="DZ31" s="141"/>
      <c r="EA31" s="142"/>
      <c r="EB31" s="140"/>
      <c r="EC31" s="141"/>
      <c r="ED31" s="142"/>
      <c r="EE31" s="140"/>
      <c r="EF31" s="141"/>
      <c r="EG31" s="142"/>
      <c r="EH31" s="140"/>
      <c r="EI31" s="141"/>
      <c r="EJ31" s="142"/>
      <c r="EK31" s="140"/>
      <c r="EL31" s="141"/>
      <c r="EM31" s="142"/>
      <c r="EN31" s="140"/>
      <c r="EO31" s="141"/>
      <c r="EP31" s="142"/>
      <c r="EQ31" s="140"/>
      <c r="ER31" s="141"/>
      <c r="ES31" s="142"/>
      <c r="ET31" s="140"/>
      <c r="EU31" s="141"/>
      <c r="EV31" s="142"/>
      <c r="EW31" s="140"/>
      <c r="EX31" s="141"/>
      <c r="EY31" s="142"/>
      <c r="EZ31" s="140"/>
      <c r="FA31" s="141"/>
      <c r="FB31" s="142"/>
      <c r="FC31" s="140"/>
      <c r="FD31" s="141"/>
      <c r="FE31" s="142"/>
      <c r="FF31" s="140"/>
      <c r="FG31" s="141"/>
      <c r="FH31" s="142"/>
      <c r="FI31" s="140"/>
      <c r="FJ31" s="141"/>
      <c r="FK31" s="142"/>
      <c r="FL31" s="140"/>
      <c r="FM31" s="141"/>
      <c r="FN31" s="142"/>
      <c r="FO31" s="140"/>
      <c r="FP31" s="141"/>
      <c r="FQ31" s="142"/>
      <c r="FR31" s="140"/>
      <c r="FS31" s="141"/>
      <c r="FT31" s="142"/>
      <c r="FU31" s="140"/>
      <c r="FV31" s="141"/>
      <c r="FW31" s="142"/>
      <c r="FX31" s="140"/>
      <c r="FY31" s="141"/>
      <c r="FZ31" s="142"/>
      <c r="GA31" s="140"/>
      <c r="GB31" s="141"/>
      <c r="GC31" s="142"/>
      <c r="GD31" s="140"/>
      <c r="GE31" s="141"/>
      <c r="GF31" s="142"/>
      <c r="GG31" s="140"/>
      <c r="GH31" s="141"/>
      <c r="GI31" s="142"/>
      <c r="GJ31" s="140"/>
      <c r="GK31" s="141"/>
      <c r="GL31" s="142"/>
      <c r="GM31" s="140"/>
      <c r="GN31" s="141"/>
      <c r="GO31" s="142"/>
      <c r="GP31" s="140"/>
      <c r="GQ31" s="141"/>
      <c r="GR31" s="142"/>
      <c r="GS31" s="140"/>
      <c r="GT31" s="141"/>
      <c r="GU31" s="142"/>
      <c r="GV31" s="140"/>
      <c r="GW31" s="141"/>
      <c r="GX31" s="142"/>
      <c r="GY31" s="164"/>
      <c r="GZ31" s="134"/>
      <c r="HA31" s="185"/>
      <c r="HB31" s="164"/>
      <c r="HC31" s="185"/>
      <c r="HD31" s="164"/>
      <c r="HE31" s="185"/>
      <c r="HF31" s="164"/>
      <c r="HG31" s="185"/>
      <c r="HH31" s="164"/>
      <c r="HI31" s="185"/>
      <c r="HJ31" s="164"/>
      <c r="HK31" s="185"/>
      <c r="HL31" s="164"/>
      <c r="HM31" s="185"/>
      <c r="HN31" s="164"/>
      <c r="HO31" s="185"/>
      <c r="HP31" s="164"/>
      <c r="HQ31" s="185"/>
      <c r="HR31" s="164"/>
      <c r="HS31" s="185"/>
      <c r="HT31" s="164"/>
      <c r="HU31" s="185"/>
    </row>
    <row r="32" spans="1:229" x14ac:dyDescent="0.2">
      <c r="A32" s="106" t="s">
        <v>6057</v>
      </c>
      <c r="B32" s="131"/>
      <c r="C32" s="134"/>
      <c r="D32" s="133"/>
      <c r="E32" s="131"/>
      <c r="F32" s="134"/>
      <c r="G32" s="133"/>
      <c r="H32" s="131"/>
      <c r="I32" s="134"/>
      <c r="J32" s="133"/>
      <c r="K32" s="131"/>
      <c r="L32" s="134"/>
      <c r="M32" s="133"/>
      <c r="N32" s="131"/>
      <c r="O32" s="134"/>
      <c r="P32" s="133"/>
      <c r="Q32" s="131"/>
      <c r="R32" s="134"/>
      <c r="S32" s="133"/>
      <c r="T32" s="131"/>
      <c r="U32" s="134"/>
      <c r="V32" s="133"/>
      <c r="W32" s="131"/>
      <c r="X32" s="134"/>
      <c r="Y32" s="133"/>
      <c r="Z32" s="131"/>
      <c r="AA32" s="134"/>
      <c r="AB32" s="133"/>
      <c r="AC32" s="131"/>
      <c r="AD32" s="134"/>
      <c r="AE32" s="133"/>
      <c r="AF32" s="131"/>
      <c r="AG32" s="134"/>
      <c r="AH32" s="133"/>
      <c r="AI32" s="145">
        <v>68958</v>
      </c>
      <c r="AJ32" s="134">
        <v>6</v>
      </c>
      <c r="AK32" s="133">
        <f>1/2</f>
        <v>0.5</v>
      </c>
      <c r="AL32" s="131"/>
      <c r="AM32" s="134"/>
      <c r="AN32" s="133"/>
      <c r="AO32" s="131"/>
      <c r="AP32" s="134"/>
      <c r="AQ32" s="133"/>
      <c r="AR32" s="131"/>
      <c r="AS32" s="134"/>
      <c r="AT32" s="180"/>
      <c r="AU32" s="131"/>
      <c r="AV32" s="185"/>
      <c r="AW32" s="131"/>
      <c r="AX32" s="185"/>
      <c r="AY32" s="131"/>
      <c r="AZ32" s="185"/>
      <c r="BA32" s="131"/>
      <c r="BB32" s="185"/>
      <c r="BC32" s="131"/>
      <c r="BD32" s="185"/>
      <c r="BE32" s="131"/>
      <c r="BF32" s="185"/>
      <c r="BG32" s="131"/>
      <c r="BH32" s="185"/>
      <c r="BI32" s="131"/>
      <c r="BJ32" s="185"/>
      <c r="BK32" s="131"/>
      <c r="BL32" s="185"/>
      <c r="BM32" s="131"/>
      <c r="BN32" s="185"/>
      <c r="BO32" s="131"/>
      <c r="BP32" s="134"/>
      <c r="BQ32" s="131"/>
      <c r="BR32" s="134"/>
      <c r="BS32" s="133"/>
      <c r="BT32" s="131"/>
      <c r="BU32" s="134"/>
      <c r="BV32" s="131"/>
      <c r="BW32" s="134"/>
      <c r="BX32" s="131"/>
      <c r="BY32" s="134"/>
      <c r="BZ32" s="131"/>
      <c r="CA32" s="134"/>
      <c r="CB32" s="133"/>
      <c r="CC32" s="131"/>
      <c r="CD32" s="134"/>
      <c r="CE32" s="133"/>
      <c r="CF32" s="131"/>
      <c r="CG32" s="134"/>
      <c r="CH32" s="133"/>
      <c r="CI32" s="131"/>
      <c r="CJ32" s="134"/>
      <c r="CK32" s="133"/>
      <c r="CL32" s="131"/>
      <c r="CM32" s="134"/>
      <c r="CN32" s="133"/>
      <c r="CO32" s="131"/>
      <c r="CP32" s="134"/>
      <c r="CQ32" s="133"/>
      <c r="CR32" s="131"/>
      <c r="CS32" s="134"/>
      <c r="CT32" s="133"/>
      <c r="CU32" s="131"/>
      <c r="CV32" s="134"/>
      <c r="CW32" s="133"/>
      <c r="CX32" s="131"/>
      <c r="CY32" s="134"/>
      <c r="CZ32" s="133"/>
      <c r="DA32" s="140"/>
      <c r="DB32" s="141"/>
      <c r="DC32" s="142"/>
      <c r="DD32" s="140"/>
      <c r="DE32" s="141"/>
      <c r="DF32" s="142"/>
      <c r="DG32" s="140"/>
      <c r="DH32" s="141"/>
      <c r="DI32" s="142"/>
      <c r="DJ32" s="140"/>
      <c r="DK32" s="141"/>
      <c r="DL32" s="142"/>
      <c r="DM32" s="140"/>
      <c r="DN32" s="141"/>
      <c r="DO32" s="142"/>
      <c r="DP32" s="140"/>
      <c r="DQ32" s="141"/>
      <c r="DR32" s="142"/>
      <c r="DS32" s="140"/>
      <c r="DT32" s="141"/>
      <c r="DU32" s="142"/>
      <c r="DV32" s="140"/>
      <c r="DW32" s="141"/>
      <c r="DX32" s="142"/>
      <c r="DY32" s="140"/>
      <c r="DZ32" s="141"/>
      <c r="EA32" s="142"/>
      <c r="EB32" s="140"/>
      <c r="EC32" s="141"/>
      <c r="ED32" s="142"/>
      <c r="EE32" s="140"/>
      <c r="EF32" s="141"/>
      <c r="EG32" s="142"/>
      <c r="EH32" s="140"/>
      <c r="EI32" s="141"/>
      <c r="EJ32" s="142"/>
      <c r="EK32" s="140"/>
      <c r="EL32" s="141"/>
      <c r="EM32" s="142"/>
      <c r="EN32" s="140"/>
      <c r="EO32" s="141"/>
      <c r="EP32" s="142"/>
      <c r="EQ32" s="140"/>
      <c r="ER32" s="141"/>
      <c r="ES32" s="142"/>
      <c r="ET32" s="140"/>
      <c r="EU32" s="141"/>
      <c r="EV32" s="142"/>
      <c r="EW32" s="140"/>
      <c r="EX32" s="141"/>
      <c r="EY32" s="142"/>
      <c r="EZ32" s="140"/>
      <c r="FA32" s="141"/>
      <c r="FB32" s="142"/>
      <c r="FC32" s="140"/>
      <c r="FD32" s="141"/>
      <c r="FE32" s="142"/>
      <c r="FF32" s="140"/>
      <c r="FG32" s="141"/>
      <c r="FH32" s="142"/>
      <c r="FI32" s="140"/>
      <c r="FJ32" s="141"/>
      <c r="FK32" s="142"/>
      <c r="FL32" s="140"/>
      <c r="FM32" s="141"/>
      <c r="FN32" s="142"/>
      <c r="FO32" s="140"/>
      <c r="FP32" s="141"/>
      <c r="FQ32" s="142"/>
      <c r="FR32" s="140"/>
      <c r="FS32" s="141"/>
      <c r="FT32" s="142"/>
      <c r="FU32" s="140"/>
      <c r="FV32" s="141"/>
      <c r="FW32" s="142"/>
      <c r="FX32" s="140"/>
      <c r="FY32" s="141"/>
      <c r="FZ32" s="142"/>
      <c r="GA32" s="140"/>
      <c r="GB32" s="141"/>
      <c r="GC32" s="142"/>
      <c r="GD32" s="140"/>
      <c r="GE32" s="141"/>
      <c r="GF32" s="142"/>
      <c r="GG32" s="140"/>
      <c r="GH32" s="141"/>
      <c r="GI32" s="142"/>
      <c r="GJ32" s="140"/>
      <c r="GK32" s="141"/>
      <c r="GL32" s="142"/>
      <c r="GM32" s="140"/>
      <c r="GN32" s="141"/>
      <c r="GO32" s="142"/>
      <c r="GP32" s="140"/>
      <c r="GQ32" s="141"/>
      <c r="GR32" s="142"/>
      <c r="GS32" s="140"/>
      <c r="GT32" s="141"/>
      <c r="GU32" s="142"/>
      <c r="GV32" s="140"/>
      <c r="GW32" s="141"/>
      <c r="GX32" s="142"/>
      <c r="GY32" s="164"/>
      <c r="GZ32" s="134"/>
      <c r="HA32" s="185"/>
      <c r="HB32" s="164"/>
      <c r="HC32" s="185"/>
      <c r="HD32" s="164"/>
      <c r="HE32" s="185"/>
      <c r="HF32" s="164"/>
      <c r="HG32" s="185"/>
      <c r="HH32" s="164"/>
      <c r="HI32" s="185"/>
      <c r="HJ32" s="164"/>
      <c r="HK32" s="185"/>
      <c r="HL32" s="164"/>
      <c r="HM32" s="185"/>
      <c r="HN32" s="164"/>
      <c r="HO32" s="185"/>
      <c r="HP32" s="164"/>
      <c r="HQ32" s="185"/>
      <c r="HR32" s="164"/>
      <c r="HS32" s="185"/>
      <c r="HT32" s="164"/>
      <c r="HU32" s="185"/>
    </row>
    <row r="33" spans="1:229" x14ac:dyDescent="0.2">
      <c r="A33" s="106" t="s">
        <v>1426</v>
      </c>
      <c r="B33" s="131"/>
      <c r="C33" s="134"/>
      <c r="D33" s="133"/>
      <c r="E33" s="131"/>
      <c r="F33" s="134"/>
      <c r="G33" s="133"/>
      <c r="H33" s="131"/>
      <c r="I33" s="134"/>
      <c r="J33" s="133"/>
      <c r="K33" s="131"/>
      <c r="L33" s="134"/>
      <c r="M33" s="133"/>
      <c r="N33" s="131"/>
      <c r="O33" s="134"/>
      <c r="P33" s="133"/>
      <c r="Q33" s="131"/>
      <c r="R33" s="134"/>
      <c r="S33" s="133"/>
      <c r="T33" s="131"/>
      <c r="U33" s="134"/>
      <c r="V33" s="133"/>
      <c r="W33" s="131"/>
      <c r="X33" s="134"/>
      <c r="Y33" s="133"/>
      <c r="Z33" s="131"/>
      <c r="AA33" s="134"/>
      <c r="AB33" s="133"/>
      <c r="AC33" s="131"/>
      <c r="AD33" s="134"/>
      <c r="AE33" s="133"/>
      <c r="AF33" s="131"/>
      <c r="AG33" s="134"/>
      <c r="AH33" s="133"/>
      <c r="AI33" s="145">
        <v>109738</v>
      </c>
      <c r="AJ33" s="134">
        <v>5</v>
      </c>
      <c r="AK33" s="133">
        <v>0.5</v>
      </c>
      <c r="AL33" s="131">
        <v>74828</v>
      </c>
      <c r="AM33" s="134">
        <v>7</v>
      </c>
      <c r="AN33" s="133">
        <v>0.25</v>
      </c>
      <c r="AO33" s="131">
        <f>'1846 Hacienda'!E68</f>
        <v>68262</v>
      </c>
      <c r="AP33" s="134">
        <f>'1846 Hacienda'!F68</f>
        <v>3</v>
      </c>
      <c r="AQ33" s="133">
        <f>'1846 Hacienda'!G68</f>
        <v>0.5</v>
      </c>
      <c r="AR33" s="131"/>
      <c r="AS33" s="134"/>
      <c r="AT33" s="180"/>
      <c r="AU33" s="131"/>
      <c r="AV33" s="185"/>
      <c r="AW33" s="131"/>
      <c r="AX33" s="185"/>
      <c r="AY33" s="131"/>
      <c r="AZ33" s="185"/>
      <c r="BA33" s="131"/>
      <c r="BB33" s="185"/>
      <c r="BC33" s="131"/>
      <c r="BD33" s="185"/>
      <c r="BE33" s="131"/>
      <c r="BF33" s="185"/>
      <c r="BG33" s="131"/>
      <c r="BH33" s="185"/>
      <c r="BI33" s="131"/>
      <c r="BJ33" s="185"/>
      <c r="BK33" s="131"/>
      <c r="BL33" s="185"/>
      <c r="BM33" s="131"/>
      <c r="BN33" s="185"/>
      <c r="BO33" s="131"/>
      <c r="BP33" s="134"/>
      <c r="BQ33" s="131"/>
      <c r="BR33" s="134"/>
      <c r="BS33" s="133"/>
      <c r="BT33" s="131"/>
      <c r="BU33" s="134"/>
      <c r="BV33" s="131"/>
      <c r="BW33" s="134"/>
      <c r="BX33" s="131"/>
      <c r="BY33" s="134"/>
      <c r="BZ33" s="131"/>
      <c r="CA33" s="134"/>
      <c r="CB33" s="133"/>
      <c r="CC33" s="131"/>
      <c r="CD33" s="134"/>
      <c r="CE33" s="133"/>
      <c r="CF33" s="131"/>
      <c r="CG33" s="134"/>
      <c r="CH33" s="133"/>
      <c r="CI33" s="131"/>
      <c r="CJ33" s="134"/>
      <c r="CK33" s="133"/>
      <c r="CL33" s="131"/>
      <c r="CM33" s="134"/>
      <c r="CN33" s="133"/>
      <c r="CO33" s="131"/>
      <c r="CP33" s="134"/>
      <c r="CQ33" s="133"/>
      <c r="CR33" s="131"/>
      <c r="CS33" s="134"/>
      <c r="CT33" s="133"/>
      <c r="CU33" s="131"/>
      <c r="CV33" s="134"/>
      <c r="CW33" s="133"/>
      <c r="CX33" s="131"/>
      <c r="CY33" s="134"/>
      <c r="CZ33" s="133"/>
      <c r="DA33" s="140"/>
      <c r="DB33" s="141"/>
      <c r="DC33" s="142"/>
      <c r="DD33" s="140"/>
      <c r="DE33" s="141"/>
      <c r="DF33" s="142"/>
      <c r="DG33" s="140"/>
      <c r="DH33" s="141"/>
      <c r="DI33" s="142"/>
      <c r="DJ33" s="140"/>
      <c r="DK33" s="141"/>
      <c r="DL33" s="142"/>
      <c r="DM33" s="140"/>
      <c r="DN33" s="141"/>
      <c r="DO33" s="142"/>
      <c r="DP33" s="140"/>
      <c r="DQ33" s="141"/>
      <c r="DR33" s="142"/>
      <c r="DS33" s="140"/>
      <c r="DT33" s="141"/>
      <c r="DU33" s="142"/>
      <c r="DV33" s="140"/>
      <c r="DW33" s="141"/>
      <c r="DX33" s="142"/>
      <c r="DY33" s="140"/>
      <c r="DZ33" s="141"/>
      <c r="EA33" s="142"/>
      <c r="EB33" s="140"/>
      <c r="EC33" s="141"/>
      <c r="ED33" s="142"/>
      <c r="EE33" s="140"/>
      <c r="EF33" s="141"/>
      <c r="EG33" s="142"/>
      <c r="EH33" s="140"/>
      <c r="EI33" s="141"/>
      <c r="EJ33" s="142"/>
      <c r="EK33" s="140"/>
      <c r="EL33" s="141"/>
      <c r="EM33" s="142"/>
      <c r="EN33" s="140"/>
      <c r="EO33" s="141"/>
      <c r="EP33" s="142"/>
      <c r="EQ33" s="140"/>
      <c r="ER33" s="141"/>
      <c r="ES33" s="142"/>
      <c r="ET33" s="140"/>
      <c r="EU33" s="141"/>
      <c r="EV33" s="142"/>
      <c r="EW33" s="140"/>
      <c r="EX33" s="141"/>
      <c r="EY33" s="142"/>
      <c r="EZ33" s="140"/>
      <c r="FA33" s="141"/>
      <c r="FB33" s="142"/>
      <c r="FC33" s="140"/>
      <c r="FD33" s="141"/>
      <c r="FE33" s="142"/>
      <c r="FF33" s="140"/>
      <c r="FG33" s="141"/>
      <c r="FH33" s="142"/>
      <c r="FI33" s="140"/>
      <c r="FJ33" s="141"/>
      <c r="FK33" s="142"/>
      <c r="FL33" s="140"/>
      <c r="FM33" s="141"/>
      <c r="FN33" s="142"/>
      <c r="FO33" s="140"/>
      <c r="FP33" s="141"/>
      <c r="FQ33" s="142"/>
      <c r="FR33" s="140"/>
      <c r="FS33" s="141"/>
      <c r="FT33" s="142"/>
      <c r="FU33" s="140"/>
      <c r="FV33" s="141"/>
      <c r="FW33" s="142"/>
      <c r="FX33" s="140"/>
      <c r="FY33" s="141"/>
      <c r="FZ33" s="142"/>
      <c r="GA33" s="140"/>
      <c r="GB33" s="141"/>
      <c r="GC33" s="142"/>
      <c r="GD33" s="140"/>
      <c r="GE33" s="141"/>
      <c r="GF33" s="142"/>
      <c r="GG33" s="140"/>
      <c r="GH33" s="141"/>
      <c r="GI33" s="142"/>
      <c r="GJ33" s="140"/>
      <c r="GK33" s="141"/>
      <c r="GL33" s="142"/>
      <c r="GM33" s="140"/>
      <c r="GN33" s="141"/>
      <c r="GO33" s="142"/>
      <c r="GP33" s="140"/>
      <c r="GQ33" s="141"/>
      <c r="GR33" s="142"/>
      <c r="GS33" s="140"/>
      <c r="GT33" s="141"/>
      <c r="GU33" s="142"/>
      <c r="GV33" s="140"/>
      <c r="GW33" s="141"/>
      <c r="GX33" s="142"/>
      <c r="GY33" s="164"/>
      <c r="GZ33" s="134"/>
      <c r="HA33" s="185"/>
      <c r="HB33" s="164"/>
      <c r="HC33" s="185"/>
      <c r="HD33" s="164"/>
      <c r="HE33" s="185"/>
      <c r="HF33" s="164"/>
      <c r="HG33" s="185"/>
      <c r="HH33" s="164"/>
      <c r="HI33" s="185"/>
      <c r="HJ33" s="164"/>
      <c r="HK33" s="185"/>
      <c r="HL33" s="164"/>
      <c r="HM33" s="185"/>
      <c r="HN33" s="164"/>
      <c r="HO33" s="185"/>
      <c r="HP33" s="164"/>
      <c r="HQ33" s="185"/>
      <c r="HR33" s="164"/>
      <c r="HS33" s="185"/>
      <c r="HT33" s="164"/>
      <c r="HU33" s="185"/>
    </row>
    <row r="34" spans="1:229" x14ac:dyDescent="0.2">
      <c r="A34" s="1755" t="s">
        <v>3287</v>
      </c>
      <c r="B34" s="131"/>
      <c r="C34" s="134"/>
      <c r="D34" s="133"/>
      <c r="E34" s="131"/>
      <c r="F34" s="134"/>
      <c r="G34" s="133"/>
      <c r="H34" s="131"/>
      <c r="I34" s="134"/>
      <c r="J34" s="133"/>
      <c r="K34" s="131"/>
      <c r="L34" s="134"/>
      <c r="M34" s="133"/>
      <c r="N34" s="131"/>
      <c r="O34" s="134"/>
      <c r="P34" s="133"/>
      <c r="Q34" s="131"/>
      <c r="R34" s="134"/>
      <c r="S34" s="133"/>
      <c r="T34" s="131"/>
      <c r="U34" s="134"/>
      <c r="V34" s="133"/>
      <c r="W34" s="131"/>
      <c r="X34" s="134"/>
      <c r="Y34" s="133"/>
      <c r="Z34" s="131"/>
      <c r="AA34" s="134"/>
      <c r="AB34" s="133"/>
      <c r="AC34" s="131"/>
      <c r="AD34" s="134"/>
      <c r="AE34" s="133"/>
      <c r="AF34" s="131"/>
      <c r="AG34" s="134"/>
      <c r="AH34" s="133"/>
      <c r="AI34" s="145"/>
      <c r="AJ34" s="134"/>
      <c r="AK34" s="133"/>
      <c r="AL34" s="131"/>
      <c r="AM34" s="134"/>
      <c r="AN34" s="133"/>
      <c r="AO34" s="131"/>
      <c r="AP34" s="134"/>
      <c r="AQ34" s="133"/>
      <c r="AR34" s="131"/>
      <c r="AS34" s="134"/>
      <c r="AT34" s="180"/>
      <c r="AU34" s="131"/>
      <c r="AV34" s="185"/>
      <c r="AW34" s="131"/>
      <c r="AX34" s="185"/>
      <c r="AY34" s="131"/>
      <c r="AZ34" s="185"/>
      <c r="BA34" s="131"/>
      <c r="BB34" s="185"/>
      <c r="BC34" s="131"/>
      <c r="BD34" s="185"/>
      <c r="BE34" s="131"/>
      <c r="BF34" s="185"/>
      <c r="BG34" s="131"/>
      <c r="BH34" s="185"/>
      <c r="BI34" s="131"/>
      <c r="BJ34" s="185"/>
      <c r="BK34" s="131"/>
      <c r="BL34" s="185"/>
      <c r="BM34" s="131"/>
      <c r="BN34" s="185"/>
      <c r="BO34" s="131"/>
      <c r="BP34" s="134"/>
      <c r="BQ34" s="131"/>
      <c r="BR34" s="134"/>
      <c r="BS34" s="133"/>
      <c r="BT34" s="131"/>
      <c r="BU34" s="134"/>
      <c r="BV34" s="131"/>
      <c r="BW34" s="134"/>
      <c r="BX34" s="131"/>
      <c r="BY34" s="134"/>
      <c r="BZ34" s="131"/>
      <c r="CA34" s="134"/>
      <c r="CB34" s="133"/>
      <c r="CC34" s="131"/>
      <c r="CD34" s="134"/>
      <c r="CE34" s="133"/>
      <c r="CF34" s="131"/>
      <c r="CG34" s="134"/>
      <c r="CH34" s="133"/>
      <c r="CI34" s="131"/>
      <c r="CJ34" s="134"/>
      <c r="CK34" s="133"/>
      <c r="CL34" s="131"/>
      <c r="CM34" s="134"/>
      <c r="CN34" s="133"/>
      <c r="CO34" s="131"/>
      <c r="CP34" s="134"/>
      <c r="CQ34" s="133"/>
      <c r="CR34" s="131"/>
      <c r="CS34" s="134"/>
      <c r="CT34" s="133"/>
      <c r="CU34" s="131"/>
      <c r="CV34" s="134"/>
      <c r="CW34" s="133"/>
      <c r="CX34" s="131"/>
      <c r="CY34" s="134"/>
      <c r="CZ34" s="133"/>
      <c r="DA34" s="140">
        <f>+'1872 Hacienda'!B16</f>
        <v>1926</v>
      </c>
      <c r="DB34" s="141">
        <f>+'1872 Hacienda'!C16</f>
        <v>37</v>
      </c>
      <c r="DC34" s="142">
        <f>+'1872 Hacienda'!D16</f>
        <v>0.5</v>
      </c>
      <c r="DD34" s="140"/>
      <c r="DE34" s="141"/>
      <c r="DF34" s="142"/>
      <c r="DG34" s="140"/>
      <c r="DH34" s="141"/>
      <c r="DI34" s="142"/>
      <c r="DJ34" s="140">
        <f>+'1875 Hacienda'!B13</f>
        <v>20000</v>
      </c>
      <c r="DK34" s="141"/>
      <c r="DL34" s="142"/>
      <c r="DM34" s="140"/>
      <c r="DN34" s="141"/>
      <c r="DO34" s="142"/>
      <c r="DP34" s="140"/>
      <c r="DQ34" s="141"/>
      <c r="DR34" s="142"/>
      <c r="DS34" s="140"/>
      <c r="DT34" s="141"/>
      <c r="DU34" s="142"/>
      <c r="DV34" s="140">
        <f>+'1880 Hacienda'!B20</f>
        <v>29059</v>
      </c>
      <c r="DW34" s="141">
        <f>+'1880 Hacienda'!C20</f>
        <v>60</v>
      </c>
      <c r="DX34" s="142"/>
      <c r="DY34" s="140">
        <f>+'1880 Hacienda'!B14</f>
        <v>29907</v>
      </c>
      <c r="DZ34" s="141">
        <f>+'1880 Hacienda'!C14</f>
        <v>75</v>
      </c>
      <c r="EA34" s="142">
        <f>+'1880 Hacienda'!D14</f>
        <v>0</v>
      </c>
      <c r="EB34" s="140">
        <f>+'1881 Hacienda'!B13</f>
        <v>29996</v>
      </c>
      <c r="EC34" s="141">
        <f>+'1881 Hacienda'!C13</f>
        <v>300</v>
      </c>
      <c r="ED34" s="142"/>
      <c r="EE34" s="140">
        <f>+'1882 Hacienda'!B13</f>
        <v>43841</v>
      </c>
      <c r="EF34" s="141">
        <f>+'1882 Hacienda'!C13</f>
        <v>90</v>
      </c>
      <c r="EG34" s="142"/>
      <c r="EH34" s="140"/>
      <c r="EI34" s="141"/>
      <c r="EJ34" s="142"/>
      <c r="EK34" s="219"/>
      <c r="EL34" s="143"/>
      <c r="EM34" s="143"/>
      <c r="EN34" s="219"/>
      <c r="EO34" s="143"/>
      <c r="EP34" s="143"/>
      <c r="EQ34" s="219"/>
      <c r="ER34" s="143"/>
      <c r="ES34" s="143"/>
      <c r="ET34" s="219"/>
      <c r="EU34" s="143"/>
      <c r="EV34" s="143"/>
      <c r="EW34" s="219"/>
      <c r="EX34" s="143"/>
      <c r="EY34" s="143"/>
      <c r="EZ34" s="219"/>
      <c r="FA34" s="143"/>
      <c r="FB34" s="143"/>
      <c r="FC34" s="219">
        <f>+'1890 Hacienda'!B216</f>
        <v>155000</v>
      </c>
      <c r="FD34" s="143"/>
      <c r="FE34" s="143"/>
      <c r="FF34" s="219">
        <f>+'1890 Hacienda'!E216</f>
        <v>155000</v>
      </c>
      <c r="FG34" s="143"/>
      <c r="FH34" s="143"/>
      <c r="FI34" s="219"/>
      <c r="FJ34" s="143"/>
      <c r="FK34" s="143"/>
      <c r="FL34" s="219">
        <f>+'1894 Hacienda'!C11</f>
        <v>259168</v>
      </c>
      <c r="FM34" s="143">
        <f>+'1894 Hacienda'!D11</f>
        <v>75</v>
      </c>
      <c r="FN34" s="143"/>
      <c r="FO34" s="219">
        <f>+'1894 Hacienda'!F11</f>
        <v>247980</v>
      </c>
      <c r="FP34" s="143">
        <f>+'1894 Hacienda'!G11</f>
        <v>70</v>
      </c>
      <c r="FQ34" s="143"/>
      <c r="FR34" s="219">
        <f>+'1896 Hacienda'!C12</f>
        <v>243779</v>
      </c>
      <c r="FS34" s="143">
        <f>+'1896 Hacienda'!D12</f>
        <v>25</v>
      </c>
      <c r="FT34" s="143"/>
      <c r="FU34" s="219">
        <f>+'1896 Hacienda'!F12</f>
        <v>288794</v>
      </c>
      <c r="FV34" s="143">
        <f>+'1896 Hacienda'!G12</f>
        <v>80</v>
      </c>
      <c r="FW34" s="143"/>
      <c r="FX34" s="219">
        <f>+'1896 Hacienda'!L12</f>
        <v>275771</v>
      </c>
      <c r="FY34" s="143">
        <f>+'1896 Hacienda'!M12</f>
        <v>20</v>
      </c>
      <c r="FZ34" s="143"/>
      <c r="GA34" s="219">
        <f>+'1898 Hacienda'!E12</f>
        <v>389519</v>
      </c>
      <c r="GB34" s="143">
        <f>+'1898 Hacienda'!F12</f>
        <v>37</v>
      </c>
      <c r="GC34" s="143">
        <f>+'1898 Hacienda'!G12</f>
        <v>0.5</v>
      </c>
      <c r="GD34" s="219">
        <f>+'1898 Hacienda'!K12</f>
        <v>310864</v>
      </c>
      <c r="GE34" s="143">
        <f>+'1898 Hacienda'!L12</f>
        <v>57</v>
      </c>
      <c r="GF34" s="143"/>
      <c r="GG34" s="219"/>
      <c r="GH34" s="143"/>
      <c r="GI34" s="143"/>
      <c r="GJ34" s="219"/>
      <c r="GK34" s="143"/>
      <c r="GL34" s="143"/>
      <c r="GM34" s="219"/>
      <c r="GN34" s="143"/>
      <c r="GO34" s="143"/>
      <c r="GP34" s="219"/>
      <c r="GQ34" s="143"/>
      <c r="GR34" s="143"/>
      <c r="GS34" s="219"/>
      <c r="GT34" s="143"/>
      <c r="GU34" s="143"/>
      <c r="GV34" s="219"/>
      <c r="GW34" s="143"/>
      <c r="GX34" s="143"/>
      <c r="GY34" s="164"/>
      <c r="GZ34" s="134"/>
      <c r="HA34" s="185"/>
      <c r="HB34" s="131">
        <f>'1910 Hacienda'!C8</f>
        <v>100100</v>
      </c>
      <c r="HC34" s="307">
        <f>'1910 Hacienda'!D8</f>
        <v>89</v>
      </c>
      <c r="HD34" s="131">
        <f>'1910 Hacienda'!C33</f>
        <v>217363</v>
      </c>
      <c r="HE34" s="307">
        <f>'1910 Hacienda'!D33</f>
        <v>72</v>
      </c>
      <c r="HF34" s="131">
        <f>'1910 Hacienda'!C62</f>
        <v>245798</v>
      </c>
      <c r="HG34" s="307">
        <f>'1910 Hacienda'!D62</f>
        <v>16</v>
      </c>
      <c r="HH34" s="131">
        <f>'1910 Hacienda'!C92</f>
        <v>271985</v>
      </c>
      <c r="HI34" s="307">
        <f>'1910 Hacienda'!D92</f>
        <v>78</v>
      </c>
      <c r="HJ34" s="131">
        <f>'1910 Hacienda'!C135</f>
        <v>289160</v>
      </c>
      <c r="HK34" s="307">
        <f>'1910 Hacienda'!D135</f>
        <v>80</v>
      </c>
      <c r="HL34" s="131">
        <f>+'1912A Hacienda'!B13</f>
        <v>308799</v>
      </c>
      <c r="HM34" s="307">
        <f>+'1912A Hacienda'!C13</f>
        <v>45</v>
      </c>
      <c r="HN34" s="131">
        <f>+'1912A Hacienda'!B14</f>
        <v>336031</v>
      </c>
      <c r="HO34" s="307">
        <f>+'1912A Hacienda'!C14</f>
        <v>44</v>
      </c>
      <c r="HP34" s="131">
        <f>+'1912 Hacienda'!B16</f>
        <v>381730</v>
      </c>
      <c r="HQ34" s="307">
        <f>+'1912 Hacienda'!C16</f>
        <v>53</v>
      </c>
      <c r="HR34" s="131"/>
      <c r="HS34" s="307"/>
      <c r="HT34" s="131">
        <f>+'1915 Hacienda'!D12</f>
        <v>529052</v>
      </c>
      <c r="HU34" s="307">
        <f>+'1915 Hacienda'!E12</f>
        <v>43</v>
      </c>
    </row>
    <row r="35" spans="1:229" x14ac:dyDescent="0.2">
      <c r="A35" s="134" t="s">
        <v>5052</v>
      </c>
      <c r="B35" s="131"/>
      <c r="C35" s="134"/>
      <c r="D35" s="133"/>
      <c r="E35" s="131"/>
      <c r="F35" s="134"/>
      <c r="G35" s="133"/>
      <c r="H35" s="131"/>
      <c r="I35" s="134"/>
      <c r="J35" s="133"/>
      <c r="K35" s="131"/>
      <c r="L35" s="134"/>
      <c r="M35" s="133"/>
      <c r="N35" s="131"/>
      <c r="O35" s="134"/>
      <c r="P35" s="133"/>
      <c r="Q35" s="131"/>
      <c r="R35" s="134"/>
      <c r="S35" s="133"/>
      <c r="T35" s="131"/>
      <c r="U35" s="134"/>
      <c r="V35" s="133"/>
      <c r="W35" s="131"/>
      <c r="X35" s="134"/>
      <c r="Y35" s="133"/>
      <c r="Z35" s="131"/>
      <c r="AA35" s="134"/>
      <c r="AB35" s="133"/>
      <c r="AC35" s="131"/>
      <c r="AD35" s="134"/>
      <c r="AE35" s="133"/>
      <c r="AF35" s="131"/>
      <c r="AG35" s="134"/>
      <c r="AH35" s="133"/>
      <c r="AI35" s="145"/>
      <c r="AJ35" s="134"/>
      <c r="AK35" s="133"/>
      <c r="AL35" s="131"/>
      <c r="AM35" s="134"/>
      <c r="AN35" s="133"/>
      <c r="AO35" s="131"/>
      <c r="AP35" s="134"/>
      <c r="AQ35" s="133"/>
      <c r="AR35" s="131"/>
      <c r="AS35" s="134"/>
      <c r="AT35" s="180"/>
      <c r="AU35" s="131"/>
      <c r="AV35" s="185"/>
      <c r="AW35" s="131"/>
      <c r="AX35" s="185"/>
      <c r="AY35" s="131"/>
      <c r="AZ35" s="185"/>
      <c r="BA35" s="131"/>
      <c r="BB35" s="185"/>
      <c r="BC35" s="131"/>
      <c r="BD35" s="185"/>
      <c r="BE35" s="131"/>
      <c r="BF35" s="185"/>
      <c r="BG35" s="131"/>
      <c r="BH35" s="185"/>
      <c r="BI35" s="131"/>
      <c r="BJ35" s="185"/>
      <c r="BK35" s="131"/>
      <c r="BL35" s="185"/>
      <c r="BM35" s="131"/>
      <c r="BN35" s="185"/>
      <c r="BO35" s="131"/>
      <c r="BP35" s="134"/>
      <c r="BQ35" s="131"/>
      <c r="BR35" s="134"/>
      <c r="BS35" s="133"/>
      <c r="BT35" s="131"/>
      <c r="BU35" s="134"/>
      <c r="BV35" s="131"/>
      <c r="BW35" s="134"/>
      <c r="BX35" s="131"/>
      <c r="BY35" s="134"/>
      <c r="BZ35" s="131"/>
      <c r="CA35" s="134"/>
      <c r="CB35" s="133"/>
      <c r="CC35" s="131"/>
      <c r="CD35" s="134"/>
      <c r="CE35" s="133"/>
      <c r="CF35" s="131"/>
      <c r="CG35" s="134"/>
      <c r="CH35" s="133"/>
      <c r="CI35" s="131"/>
      <c r="CJ35" s="134"/>
      <c r="CK35" s="133"/>
      <c r="CL35" s="131"/>
      <c r="CM35" s="134"/>
      <c r="CN35" s="133"/>
      <c r="CO35" s="131"/>
      <c r="CP35" s="134"/>
      <c r="CQ35" s="133"/>
      <c r="CR35" s="131"/>
      <c r="CS35" s="134"/>
      <c r="CT35" s="133"/>
      <c r="CU35" s="131"/>
      <c r="CV35" s="134"/>
      <c r="CW35" s="133"/>
      <c r="CX35" s="131"/>
      <c r="CY35" s="134"/>
      <c r="CZ35" s="133"/>
      <c r="DA35" s="140"/>
      <c r="DB35" s="141"/>
      <c r="DC35" s="142"/>
      <c r="DD35" s="140"/>
      <c r="DE35" s="141"/>
      <c r="DF35" s="142"/>
      <c r="DG35" s="140"/>
      <c r="DH35" s="141"/>
      <c r="DI35" s="142"/>
      <c r="DJ35" s="140"/>
      <c r="DK35" s="141"/>
      <c r="DL35" s="142"/>
      <c r="DM35" s="140"/>
      <c r="DN35" s="141"/>
      <c r="DO35" s="142"/>
      <c r="DP35" s="140"/>
      <c r="DQ35" s="141"/>
      <c r="DR35" s="142"/>
      <c r="DS35" s="140"/>
      <c r="DT35" s="141"/>
      <c r="DU35" s="142"/>
      <c r="DV35" s="140"/>
      <c r="DW35" s="141"/>
      <c r="DX35" s="142"/>
      <c r="DY35" s="140"/>
      <c r="DZ35" s="141"/>
      <c r="EA35" s="142"/>
      <c r="EB35" s="140"/>
      <c r="EC35" s="141"/>
      <c r="ED35" s="142"/>
      <c r="EE35" s="140"/>
      <c r="EF35" s="141"/>
      <c r="EG35" s="142"/>
      <c r="EH35" s="140"/>
      <c r="EI35" s="141"/>
      <c r="EJ35" s="142"/>
      <c r="EK35" s="140"/>
      <c r="EL35" s="141"/>
      <c r="EM35" s="142"/>
      <c r="EN35" s="140"/>
      <c r="EO35" s="141"/>
      <c r="EP35" s="142"/>
      <c r="EQ35" s="140"/>
      <c r="ER35" s="141"/>
      <c r="ES35" s="142"/>
      <c r="ET35" s="140"/>
      <c r="EU35" s="141"/>
      <c r="EV35" s="142"/>
      <c r="EW35" s="140"/>
      <c r="EX35" s="141"/>
      <c r="EY35" s="142"/>
      <c r="EZ35" s="140"/>
      <c r="FA35" s="141"/>
      <c r="FB35" s="142"/>
      <c r="FC35" s="140">
        <f>+'1890 Hacienda'!B218</f>
        <v>151832</v>
      </c>
      <c r="FD35" s="141"/>
      <c r="FE35" s="142"/>
      <c r="FF35" s="140">
        <f>+'1890 Hacienda'!E218</f>
        <v>138383</v>
      </c>
      <c r="FG35" s="141"/>
      <c r="FH35" s="142"/>
      <c r="FI35" s="140"/>
      <c r="FJ35" s="141"/>
      <c r="FK35" s="142"/>
      <c r="FL35" s="140">
        <f>+'1894 Hacienda'!C13</f>
        <v>147412</v>
      </c>
      <c r="FM35" s="141">
        <f>+'1894 Hacienda'!D13</f>
        <v>20</v>
      </c>
      <c r="FN35" s="142"/>
      <c r="FO35" s="140">
        <f>+'1894 Hacienda'!F13</f>
        <v>117847</v>
      </c>
      <c r="FP35" s="141"/>
      <c r="FQ35" s="142"/>
      <c r="FR35" s="140">
        <f>+'1896 Hacienda'!C14</f>
        <v>86928</v>
      </c>
      <c r="FS35" s="141"/>
      <c r="FT35" s="142"/>
      <c r="FU35" s="140">
        <f>+'1896 Hacienda'!F14</f>
        <v>127516</v>
      </c>
      <c r="FV35" s="141"/>
      <c r="FW35" s="142"/>
      <c r="FX35" s="140">
        <f>+'1896 Hacienda'!L14</f>
        <v>132513</v>
      </c>
      <c r="FY35" s="141"/>
      <c r="FZ35" s="142"/>
      <c r="GA35" s="140">
        <f>+'1898 Hacienda'!E14</f>
        <v>175558</v>
      </c>
      <c r="GB35" s="141"/>
      <c r="GC35" s="142"/>
      <c r="GD35" s="140">
        <f>+'1898 Hacienda'!K14</f>
        <v>177957</v>
      </c>
      <c r="GE35" s="141"/>
      <c r="GF35" s="142"/>
      <c r="GG35" s="140"/>
      <c r="GH35" s="141"/>
      <c r="GI35" s="142"/>
      <c r="GJ35" s="140"/>
      <c r="GK35" s="141"/>
      <c r="GL35" s="142"/>
      <c r="GM35" s="140"/>
      <c r="GN35" s="141"/>
      <c r="GO35" s="142"/>
      <c r="GP35" s="140"/>
      <c r="GQ35" s="141"/>
      <c r="GR35" s="142"/>
      <c r="GS35" s="140"/>
      <c r="GT35" s="141"/>
      <c r="GU35" s="142"/>
      <c r="GV35" s="140"/>
      <c r="GW35" s="141"/>
      <c r="GX35" s="142"/>
      <c r="GY35" s="164"/>
      <c r="GZ35" s="134"/>
      <c r="HA35" s="185"/>
      <c r="HB35" s="131">
        <f>'1910 Hacienda'!C9</f>
        <v>423145</v>
      </c>
      <c r="HC35" s="307">
        <f>'1910 Hacienda'!D9</f>
        <v>52</v>
      </c>
      <c r="HD35" s="131">
        <f>+'1910 Hacienda'!C34</f>
        <v>450693</v>
      </c>
      <c r="HE35" s="307">
        <f>+'1910 Hacienda'!D34</f>
        <v>54</v>
      </c>
      <c r="HF35" s="131">
        <f>'1910 Hacienda'!C63</f>
        <v>466741</v>
      </c>
      <c r="HG35" s="307">
        <f>'1910 Hacienda'!D63</f>
        <v>50</v>
      </c>
      <c r="HH35" s="131">
        <f>'1910 Hacienda'!C90</f>
        <v>457196</v>
      </c>
      <c r="HI35" s="307">
        <f>'1910 Hacienda'!D90</f>
        <v>89</v>
      </c>
      <c r="HJ35" s="131">
        <f>'1910 Hacienda'!C133</f>
        <v>429128</v>
      </c>
      <c r="HK35" s="307">
        <f>'1910 Hacienda'!D133</f>
        <v>89</v>
      </c>
      <c r="HL35" s="131">
        <f>+'1911 Hacienda'!B29</f>
        <v>474953</v>
      </c>
      <c r="HM35" s="307">
        <f>+'1911 Hacienda'!C29</f>
        <v>88</v>
      </c>
      <c r="HN35" s="131">
        <v>451273</v>
      </c>
      <c r="HO35" s="307">
        <v>70</v>
      </c>
      <c r="HP35" s="131">
        <f>+'1912 Hacienda'!B14</f>
        <v>612211</v>
      </c>
      <c r="HQ35" s="307">
        <f>+'1912 Hacienda'!C14</f>
        <v>70</v>
      </c>
      <c r="HR35" s="131"/>
      <c r="HS35" s="307"/>
      <c r="HT35" s="131">
        <f>+'1915 Hacienda'!D23</f>
        <v>461084</v>
      </c>
      <c r="HU35" s="307">
        <f>+'1915 Hacienda'!E23</f>
        <v>55</v>
      </c>
    </row>
    <row r="36" spans="1:229" x14ac:dyDescent="0.2">
      <c r="A36" s="134" t="s">
        <v>5061</v>
      </c>
      <c r="B36" s="131"/>
      <c r="C36" s="134"/>
      <c r="D36" s="133"/>
      <c r="E36" s="131"/>
      <c r="F36" s="134"/>
      <c r="G36" s="133"/>
      <c r="H36" s="131"/>
      <c r="I36" s="134"/>
      <c r="J36" s="133"/>
      <c r="K36" s="131"/>
      <c r="L36" s="134"/>
      <c r="M36" s="133"/>
      <c r="N36" s="131"/>
      <c r="O36" s="134"/>
      <c r="P36" s="133"/>
      <c r="Q36" s="131"/>
      <c r="R36" s="134"/>
      <c r="S36" s="133"/>
      <c r="T36" s="131"/>
      <c r="U36" s="134"/>
      <c r="V36" s="133"/>
      <c r="W36" s="131"/>
      <c r="X36" s="134"/>
      <c r="Y36" s="133"/>
      <c r="Z36" s="131"/>
      <c r="AA36" s="134"/>
      <c r="AB36" s="133"/>
      <c r="AC36" s="131"/>
      <c r="AD36" s="134"/>
      <c r="AE36" s="133"/>
      <c r="AF36" s="131"/>
      <c r="AG36" s="134"/>
      <c r="AH36" s="133"/>
      <c r="AI36" s="145"/>
      <c r="AJ36" s="134"/>
      <c r="AK36" s="133"/>
      <c r="AL36" s="131"/>
      <c r="AM36" s="134"/>
      <c r="AN36" s="133"/>
      <c r="AO36" s="131"/>
      <c r="AP36" s="134"/>
      <c r="AQ36" s="133"/>
      <c r="AR36" s="131"/>
      <c r="AS36" s="134"/>
      <c r="AT36" s="180"/>
      <c r="AU36" s="131"/>
      <c r="AV36" s="185"/>
      <c r="AW36" s="131"/>
      <c r="AX36" s="185"/>
      <c r="AY36" s="131"/>
      <c r="AZ36" s="185"/>
      <c r="BA36" s="131"/>
      <c r="BB36" s="185"/>
      <c r="BC36" s="131"/>
      <c r="BD36" s="185"/>
      <c r="BE36" s="131"/>
      <c r="BF36" s="185"/>
      <c r="BG36" s="131"/>
      <c r="BH36" s="185"/>
      <c r="BI36" s="131"/>
      <c r="BJ36" s="185"/>
      <c r="BK36" s="131"/>
      <c r="BL36" s="185"/>
      <c r="BM36" s="131"/>
      <c r="BN36" s="185"/>
      <c r="BO36" s="131"/>
      <c r="BP36" s="134"/>
      <c r="BQ36" s="131"/>
      <c r="BR36" s="134"/>
      <c r="BS36" s="133"/>
      <c r="BT36" s="131"/>
      <c r="BU36" s="134"/>
      <c r="BV36" s="131"/>
      <c r="BW36" s="134"/>
      <c r="BX36" s="131"/>
      <c r="BY36" s="134"/>
      <c r="BZ36" s="131"/>
      <c r="CA36" s="134"/>
      <c r="CB36" s="133"/>
      <c r="CC36" s="131"/>
      <c r="CD36" s="134"/>
      <c r="CE36" s="133"/>
      <c r="CF36" s="131"/>
      <c r="CG36" s="134"/>
      <c r="CH36" s="133"/>
      <c r="CI36" s="131"/>
      <c r="CJ36" s="134"/>
      <c r="CK36" s="133"/>
      <c r="CL36" s="131"/>
      <c r="CM36" s="134"/>
      <c r="CN36" s="133"/>
      <c r="CO36" s="131"/>
      <c r="CP36" s="134"/>
      <c r="CQ36" s="133"/>
      <c r="CR36" s="131"/>
      <c r="CS36" s="134"/>
      <c r="CT36" s="133"/>
      <c r="CU36" s="131"/>
      <c r="CV36" s="134"/>
      <c r="CW36" s="133"/>
      <c r="CX36" s="131"/>
      <c r="CY36" s="134"/>
      <c r="CZ36" s="133"/>
      <c r="DA36" s="140"/>
      <c r="DB36" s="141"/>
      <c r="DC36" s="142"/>
      <c r="DD36" s="140"/>
      <c r="DE36" s="141"/>
      <c r="DF36" s="142"/>
      <c r="DG36" s="140"/>
      <c r="DH36" s="141"/>
      <c r="DI36" s="142"/>
      <c r="DJ36" s="140"/>
      <c r="DK36" s="141"/>
      <c r="DL36" s="142"/>
      <c r="DM36" s="140"/>
      <c r="DN36" s="141"/>
      <c r="DO36" s="142"/>
      <c r="DP36" s="140"/>
      <c r="DQ36" s="141"/>
      <c r="DR36" s="142"/>
      <c r="DS36" s="140"/>
      <c r="DT36" s="141"/>
      <c r="DU36" s="142"/>
      <c r="DV36" s="140"/>
      <c r="DW36" s="141"/>
      <c r="DX36" s="142"/>
      <c r="DY36" s="140"/>
      <c r="DZ36" s="141"/>
      <c r="EA36" s="142"/>
      <c r="EB36" s="140"/>
      <c r="EC36" s="141"/>
      <c r="ED36" s="142"/>
      <c r="EE36" s="140"/>
      <c r="EF36" s="141"/>
      <c r="EG36" s="142"/>
      <c r="EH36" s="140"/>
      <c r="EI36" s="141"/>
      <c r="EJ36" s="142"/>
      <c r="EK36" s="140"/>
      <c r="EL36" s="141"/>
      <c r="EM36" s="142"/>
      <c r="EN36" s="140"/>
      <c r="EO36" s="141"/>
      <c r="EP36" s="142"/>
      <c r="EQ36" s="140"/>
      <c r="ER36" s="141"/>
      <c r="ES36" s="142"/>
      <c r="ET36" s="140"/>
      <c r="EU36" s="141"/>
      <c r="EV36" s="142"/>
      <c r="EW36" s="140"/>
      <c r="EX36" s="141"/>
      <c r="EY36" s="142"/>
      <c r="EZ36" s="140"/>
      <c r="FA36" s="141"/>
      <c r="FB36" s="142"/>
      <c r="FC36" s="140">
        <f>+'1890 Hacienda'!B220</f>
        <v>52706</v>
      </c>
      <c r="FD36" s="141">
        <f>+'1890 Hacienda'!C220</f>
        <v>50</v>
      </c>
      <c r="FE36" s="142"/>
      <c r="FF36" s="140">
        <f>+'1890 Hacienda'!E220</f>
        <v>37673</v>
      </c>
      <c r="FG36" s="141">
        <f>+'1890 Hacienda'!F220</f>
        <v>60</v>
      </c>
      <c r="FH36" s="142"/>
      <c r="FI36" s="140"/>
      <c r="FJ36" s="141"/>
      <c r="FK36" s="142"/>
      <c r="FL36" s="140">
        <f>+'1894 Hacienda'!C20</f>
        <v>41785</v>
      </c>
      <c r="FM36" s="141">
        <f>+'1894 Hacienda'!D20</f>
        <v>71</v>
      </c>
      <c r="FN36" s="142"/>
      <c r="FO36" s="140">
        <f>+'1894 Hacienda'!F20</f>
        <v>33028</v>
      </c>
      <c r="FP36" s="141">
        <f>+'1894 Hacienda'!G20</f>
        <v>70</v>
      </c>
      <c r="FQ36" s="142"/>
      <c r="FR36" s="140">
        <f>+'1896 Hacienda'!C21</f>
        <v>25857</v>
      </c>
      <c r="FS36" s="141">
        <f>+'1896 Hacienda'!D21</f>
        <v>50</v>
      </c>
      <c r="FT36" s="142"/>
      <c r="FU36" s="140">
        <f>+'1896 Hacienda'!F21</f>
        <v>26863</v>
      </c>
      <c r="FV36" s="141">
        <f>+'1896 Hacienda'!G21</f>
        <v>45</v>
      </c>
      <c r="FW36" s="142"/>
      <c r="FX36" s="140">
        <f>+'1896 Hacienda'!L21</f>
        <v>21731</v>
      </c>
      <c r="FY36" s="141">
        <f>+'1896 Hacienda'!M21</f>
        <v>40</v>
      </c>
      <c r="FZ36" s="142"/>
      <c r="GA36" s="140">
        <f>+'1898 Hacienda'!E19</f>
        <v>31585</v>
      </c>
      <c r="GB36" s="141">
        <f>+'1898 Hacienda'!F19</f>
        <v>55</v>
      </c>
      <c r="GC36" s="142"/>
      <c r="GD36" s="140">
        <f>+'1898 Hacienda'!K19</f>
        <v>29349</v>
      </c>
      <c r="GE36" s="141">
        <f>+'1898 Hacienda'!L19</f>
        <v>45</v>
      </c>
      <c r="GF36" s="142"/>
      <c r="GG36" s="140"/>
      <c r="GH36" s="141"/>
      <c r="GI36" s="142"/>
      <c r="GJ36" s="140"/>
      <c r="GK36" s="141"/>
      <c r="GL36" s="142"/>
      <c r="GM36" s="140"/>
      <c r="GN36" s="141"/>
      <c r="GO36" s="142"/>
      <c r="GP36" s="140"/>
      <c r="GQ36" s="141"/>
      <c r="GR36" s="142"/>
      <c r="GS36" s="140"/>
      <c r="GT36" s="141"/>
      <c r="GU36" s="142"/>
      <c r="GV36" s="140"/>
      <c r="GW36" s="141"/>
      <c r="GX36" s="142"/>
      <c r="GY36" s="164"/>
      <c r="GZ36" s="134"/>
      <c r="HA36" s="185"/>
      <c r="HB36" s="131">
        <f>'1910 Hacienda'!C10</f>
        <v>13149</v>
      </c>
      <c r="HC36" s="307">
        <f>'1910 Hacienda'!D10</f>
        <v>81</v>
      </c>
      <c r="HD36" s="131">
        <f>'1910 Hacienda'!C35</f>
        <v>573890</v>
      </c>
      <c r="HE36" s="307">
        <f>'1910 Hacienda'!D35</f>
        <v>78</v>
      </c>
      <c r="HF36" s="131">
        <f>'1910 Hacienda'!C64</f>
        <v>338121</v>
      </c>
      <c r="HG36" s="307">
        <f>'1910 Hacienda'!D64</f>
        <v>50</v>
      </c>
      <c r="HH36" s="131">
        <f>'1910 Hacienda'!C97</f>
        <v>61811</v>
      </c>
      <c r="HI36" s="307">
        <f>'1910 Hacienda'!D97</f>
        <v>55</v>
      </c>
      <c r="HJ36" s="131">
        <f>'1910 Hacienda'!C145</f>
        <v>21658</v>
      </c>
      <c r="HK36" s="307">
        <f>'1910 Hacienda'!D145</f>
        <v>63</v>
      </c>
      <c r="HL36" s="131">
        <f>+'1911 Hacienda'!B41</f>
        <v>24800</v>
      </c>
      <c r="HM36" s="307">
        <f>+'1911 Hacienda'!C41</f>
        <v>48</v>
      </c>
      <c r="HN36" s="131"/>
      <c r="HO36" s="307"/>
      <c r="HP36" s="131">
        <f>+'1912 Hacienda'!B26</f>
        <v>23392</v>
      </c>
      <c r="HQ36" s="307">
        <f>+'1912 Hacienda'!C26</f>
        <v>69</v>
      </c>
      <c r="HR36" s="131"/>
      <c r="HS36" s="307"/>
      <c r="HT36" s="131">
        <f>+'1915 Hacienda'!D24</f>
        <v>17848</v>
      </c>
      <c r="HU36" s="307">
        <f>+'1915 Hacienda'!E24</f>
        <v>41</v>
      </c>
    </row>
    <row r="37" spans="1:229" x14ac:dyDescent="0.2">
      <c r="A37" s="134" t="s">
        <v>2340</v>
      </c>
      <c r="B37" s="131"/>
      <c r="C37" s="134"/>
      <c r="D37" s="133"/>
      <c r="E37" s="131"/>
      <c r="F37" s="134"/>
      <c r="G37" s="133"/>
      <c r="H37" s="131"/>
      <c r="I37" s="134"/>
      <c r="J37" s="133"/>
      <c r="K37" s="131"/>
      <c r="L37" s="134"/>
      <c r="M37" s="133"/>
      <c r="N37" s="131"/>
      <c r="O37" s="134"/>
      <c r="P37" s="133"/>
      <c r="Q37" s="131"/>
      <c r="R37" s="134"/>
      <c r="S37" s="133"/>
      <c r="T37" s="131"/>
      <c r="U37" s="134"/>
      <c r="V37" s="133"/>
      <c r="W37" s="131"/>
      <c r="X37" s="134"/>
      <c r="Y37" s="133"/>
      <c r="Z37" s="131"/>
      <c r="AA37" s="134"/>
      <c r="AB37" s="133"/>
      <c r="AC37" s="131"/>
      <c r="AD37" s="134"/>
      <c r="AE37" s="133"/>
      <c r="AF37" s="131"/>
      <c r="AG37" s="134"/>
      <c r="AH37" s="133"/>
      <c r="AI37" s="145"/>
      <c r="AJ37" s="134"/>
      <c r="AK37" s="133"/>
      <c r="AL37" s="131"/>
      <c r="AM37" s="134"/>
      <c r="AN37" s="133"/>
      <c r="AO37" s="131"/>
      <c r="AP37" s="134"/>
      <c r="AQ37" s="133"/>
      <c r="AR37" s="131"/>
      <c r="AS37" s="134"/>
      <c r="AT37" s="180"/>
      <c r="AU37" s="131"/>
      <c r="AV37" s="185"/>
      <c r="AW37" s="131"/>
      <c r="AX37" s="185"/>
      <c r="AY37" s="131"/>
      <c r="AZ37" s="185"/>
      <c r="BA37" s="131"/>
      <c r="BB37" s="185"/>
      <c r="BC37" s="131"/>
      <c r="BD37" s="185"/>
      <c r="BE37" s="131">
        <f>+'1858 Hacienda'!B1050</f>
        <v>14200</v>
      </c>
      <c r="BF37" s="185"/>
      <c r="BG37" s="131"/>
      <c r="BH37" s="185"/>
      <c r="BI37" s="131"/>
      <c r="BJ37" s="185"/>
      <c r="BK37" s="131"/>
      <c r="BL37" s="185"/>
      <c r="BM37" s="131"/>
      <c r="BN37" s="185"/>
      <c r="BO37" s="131"/>
      <c r="BP37" s="134"/>
      <c r="BQ37" s="131"/>
      <c r="BR37" s="134"/>
      <c r="BS37" s="133"/>
      <c r="BT37" s="131"/>
      <c r="BU37" s="134"/>
      <c r="BV37" s="131"/>
      <c r="BW37" s="134"/>
      <c r="BX37" s="131"/>
      <c r="BY37" s="134"/>
      <c r="BZ37" s="131"/>
      <c r="CA37" s="134"/>
      <c r="CB37" s="133"/>
      <c r="CC37" s="131"/>
      <c r="CD37" s="134"/>
      <c r="CE37" s="133"/>
      <c r="CF37" s="131"/>
      <c r="CG37" s="134"/>
      <c r="CH37" s="133"/>
      <c r="CI37" s="131"/>
      <c r="CJ37" s="134"/>
      <c r="CK37" s="133"/>
      <c r="CL37" s="131"/>
      <c r="CM37" s="134"/>
      <c r="CN37" s="133"/>
      <c r="CO37" s="131"/>
      <c r="CP37" s="134"/>
      <c r="CQ37" s="133"/>
      <c r="CR37" s="131"/>
      <c r="CS37" s="134"/>
      <c r="CT37" s="133"/>
      <c r="CU37" s="131"/>
      <c r="CV37" s="134"/>
      <c r="CW37" s="133"/>
      <c r="CX37" s="131"/>
      <c r="CY37" s="134"/>
      <c r="CZ37" s="133"/>
      <c r="DA37" s="140"/>
      <c r="DB37" s="141"/>
      <c r="DC37" s="142"/>
      <c r="DD37" s="140"/>
      <c r="DE37" s="141"/>
      <c r="DF37" s="142"/>
      <c r="DG37" s="140"/>
      <c r="DH37" s="141"/>
      <c r="DI37" s="142"/>
      <c r="DJ37" s="140"/>
      <c r="DK37" s="141"/>
      <c r="DL37" s="142"/>
      <c r="DM37" s="140"/>
      <c r="DN37" s="141"/>
      <c r="DO37" s="142"/>
      <c r="DP37" s="140"/>
      <c r="DQ37" s="141"/>
      <c r="DR37" s="142"/>
      <c r="DS37" s="140"/>
      <c r="DT37" s="141"/>
      <c r="DU37" s="142"/>
      <c r="DV37" s="140"/>
      <c r="DW37" s="141"/>
      <c r="DX37" s="142"/>
      <c r="DY37" s="140"/>
      <c r="DZ37" s="141"/>
      <c r="EA37" s="142"/>
      <c r="EB37" s="140"/>
      <c r="EC37" s="141"/>
      <c r="ED37" s="142"/>
      <c r="EE37" s="140"/>
      <c r="EF37" s="141"/>
      <c r="EG37" s="142"/>
      <c r="EH37" s="140"/>
      <c r="EI37" s="141"/>
      <c r="EJ37" s="142"/>
      <c r="EK37" s="140"/>
      <c r="EL37" s="141"/>
      <c r="EM37" s="142"/>
      <c r="EN37" s="140"/>
      <c r="EO37" s="141"/>
      <c r="EP37" s="142"/>
      <c r="EQ37" s="140"/>
      <c r="ER37" s="141"/>
      <c r="ES37" s="142"/>
      <c r="ET37" s="140"/>
      <c r="EU37" s="141"/>
      <c r="EV37" s="142"/>
      <c r="EW37" s="140"/>
      <c r="EX37" s="141"/>
      <c r="EY37" s="142"/>
      <c r="EZ37" s="140"/>
      <c r="FA37" s="141"/>
      <c r="FB37" s="142"/>
      <c r="FC37" s="140"/>
      <c r="FD37" s="141"/>
      <c r="FE37" s="142"/>
      <c r="FF37" s="140"/>
      <c r="FG37" s="141"/>
      <c r="FH37" s="142"/>
      <c r="FI37" s="140"/>
      <c r="FJ37" s="141"/>
      <c r="FK37" s="142"/>
      <c r="FL37" s="140"/>
      <c r="FM37" s="141"/>
      <c r="FN37" s="142"/>
      <c r="FO37" s="140"/>
      <c r="FP37" s="141"/>
      <c r="FQ37" s="142"/>
      <c r="FR37" s="140"/>
      <c r="FS37" s="141"/>
      <c r="FT37" s="142"/>
      <c r="FU37" s="140"/>
      <c r="FV37" s="141"/>
      <c r="FW37" s="142"/>
      <c r="FX37" s="140"/>
      <c r="FY37" s="141"/>
      <c r="FZ37" s="142"/>
      <c r="GA37" s="140"/>
      <c r="GB37" s="141"/>
      <c r="GC37" s="142"/>
      <c r="GD37" s="140"/>
      <c r="GE37" s="141"/>
      <c r="GF37" s="142"/>
      <c r="GG37" s="140"/>
      <c r="GH37" s="141"/>
      <c r="GI37" s="142"/>
      <c r="GJ37" s="140"/>
      <c r="GK37" s="141"/>
      <c r="GL37" s="142"/>
      <c r="GM37" s="140"/>
      <c r="GN37" s="141"/>
      <c r="GO37" s="142"/>
      <c r="GP37" s="140"/>
      <c r="GQ37" s="141"/>
      <c r="GR37" s="142"/>
      <c r="GS37" s="140"/>
      <c r="GT37" s="141"/>
      <c r="GU37" s="142"/>
      <c r="GV37" s="140"/>
      <c r="GW37" s="141"/>
      <c r="GX37" s="142"/>
      <c r="GY37" s="164"/>
      <c r="GZ37" s="134"/>
      <c r="HA37" s="185"/>
      <c r="HB37" s="131">
        <f>'1910 Hacienda'!C14</f>
        <v>147260</v>
      </c>
      <c r="HC37" s="307">
        <f>'1910 Hacienda'!D14</f>
        <v>0</v>
      </c>
      <c r="HD37" s="131"/>
      <c r="HE37" s="307"/>
      <c r="HF37" s="131"/>
      <c r="HG37" s="307"/>
      <c r="HH37" s="131">
        <f>+'1910 Hacienda'!C103</f>
        <v>80</v>
      </c>
      <c r="HI37" s="307">
        <f>+'1910 Hacienda'!D103</f>
        <v>92</v>
      </c>
      <c r="HJ37" s="131"/>
      <c r="HK37" s="307"/>
      <c r="HL37" s="131"/>
      <c r="HM37" s="307"/>
      <c r="HN37" s="131"/>
      <c r="HO37" s="307"/>
      <c r="HP37" s="131"/>
      <c r="HQ37" s="307"/>
      <c r="HR37" s="131"/>
      <c r="HS37" s="307"/>
      <c r="HT37" s="131"/>
      <c r="HU37" s="307"/>
    </row>
    <row r="38" spans="1:229" x14ac:dyDescent="0.2">
      <c r="A38" s="134" t="s">
        <v>5429</v>
      </c>
      <c r="B38" s="131"/>
      <c r="C38" s="134"/>
      <c r="D38" s="133"/>
      <c r="E38" s="131"/>
      <c r="F38" s="134"/>
      <c r="G38" s="133"/>
      <c r="H38" s="131"/>
      <c r="I38" s="134"/>
      <c r="J38" s="133"/>
      <c r="K38" s="131"/>
      <c r="L38" s="134"/>
      <c r="M38" s="133"/>
      <c r="N38" s="131"/>
      <c r="O38" s="134"/>
      <c r="P38" s="133"/>
      <c r="Q38" s="131"/>
      <c r="R38" s="134"/>
      <c r="S38" s="133"/>
      <c r="T38" s="131"/>
      <c r="U38" s="134"/>
      <c r="V38" s="133"/>
      <c r="W38" s="131"/>
      <c r="X38" s="134"/>
      <c r="Y38" s="133"/>
      <c r="Z38" s="131"/>
      <c r="AA38" s="134"/>
      <c r="AB38" s="133"/>
      <c r="AC38" s="131"/>
      <c r="AD38" s="134"/>
      <c r="AE38" s="133"/>
      <c r="AF38" s="131"/>
      <c r="AG38" s="134"/>
      <c r="AH38" s="133"/>
      <c r="AI38" s="145"/>
      <c r="AJ38" s="134"/>
      <c r="AK38" s="133"/>
      <c r="AL38" s="131"/>
      <c r="AM38" s="134"/>
      <c r="AN38" s="133"/>
      <c r="AO38" s="131"/>
      <c r="AP38" s="134"/>
      <c r="AQ38" s="133"/>
      <c r="AR38" s="131"/>
      <c r="AS38" s="134"/>
      <c r="AT38" s="180"/>
      <c r="AU38" s="131"/>
      <c r="AV38" s="185"/>
      <c r="AW38" s="131"/>
      <c r="AX38" s="185"/>
      <c r="AY38" s="131"/>
      <c r="AZ38" s="185"/>
      <c r="BA38" s="131"/>
      <c r="BB38" s="185"/>
      <c r="BC38" s="131"/>
      <c r="BD38" s="185"/>
      <c r="BE38" s="131"/>
      <c r="BF38" s="185"/>
      <c r="BG38" s="131"/>
      <c r="BH38" s="185"/>
      <c r="BI38" s="131"/>
      <c r="BJ38" s="185"/>
      <c r="BK38" s="131"/>
      <c r="BL38" s="185"/>
      <c r="BM38" s="131"/>
      <c r="BN38" s="185"/>
      <c r="BO38" s="131"/>
      <c r="BP38" s="134"/>
      <c r="BQ38" s="131"/>
      <c r="BR38" s="134"/>
      <c r="BS38" s="133"/>
      <c r="BT38" s="131"/>
      <c r="BU38" s="134"/>
      <c r="BV38" s="131"/>
      <c r="BW38" s="134"/>
      <c r="BX38" s="131"/>
      <c r="BY38" s="134"/>
      <c r="BZ38" s="131"/>
      <c r="CA38" s="134"/>
      <c r="CB38" s="133"/>
      <c r="CC38" s="131"/>
      <c r="CD38" s="134"/>
      <c r="CE38" s="133"/>
      <c r="CF38" s="131"/>
      <c r="CG38" s="134"/>
      <c r="CH38" s="133"/>
      <c r="CI38" s="131"/>
      <c r="CJ38" s="134"/>
      <c r="CK38" s="133"/>
      <c r="CL38" s="131"/>
      <c r="CM38" s="134"/>
      <c r="CN38" s="133"/>
      <c r="CO38" s="131"/>
      <c r="CP38" s="134"/>
      <c r="CQ38" s="133"/>
      <c r="CR38" s="131"/>
      <c r="CS38" s="134"/>
      <c r="CT38" s="133"/>
      <c r="CU38" s="131"/>
      <c r="CV38" s="134"/>
      <c r="CW38" s="133"/>
      <c r="CX38" s="131"/>
      <c r="CY38" s="134"/>
      <c r="CZ38" s="133"/>
      <c r="DA38" s="140"/>
      <c r="DB38" s="141"/>
      <c r="DC38" s="142"/>
      <c r="DD38" s="140"/>
      <c r="DE38" s="141"/>
      <c r="DF38" s="142"/>
      <c r="DG38" s="140"/>
      <c r="DH38" s="141"/>
      <c r="DI38" s="142"/>
      <c r="DJ38" s="140"/>
      <c r="DK38" s="141"/>
      <c r="DL38" s="142"/>
      <c r="DM38" s="140"/>
      <c r="DN38" s="141"/>
      <c r="DO38" s="142"/>
      <c r="DP38" s="140"/>
      <c r="DQ38" s="141"/>
      <c r="DR38" s="142"/>
      <c r="DS38" s="140"/>
      <c r="DT38" s="141"/>
      <c r="DU38" s="142"/>
      <c r="DV38" s="140"/>
      <c r="DW38" s="141"/>
      <c r="DX38" s="142"/>
      <c r="DY38" s="140"/>
      <c r="DZ38" s="141"/>
      <c r="EA38" s="142"/>
      <c r="EB38" s="140"/>
      <c r="EC38" s="141"/>
      <c r="ED38" s="142"/>
      <c r="EE38" s="140"/>
      <c r="EF38" s="141"/>
      <c r="EG38" s="142"/>
      <c r="EH38" s="140"/>
      <c r="EI38" s="141"/>
      <c r="EJ38" s="142"/>
      <c r="EK38" s="140"/>
      <c r="EL38" s="141"/>
      <c r="EM38" s="142"/>
      <c r="EN38" s="140"/>
      <c r="EO38" s="141"/>
      <c r="EP38" s="142"/>
      <c r="EQ38" s="140"/>
      <c r="ER38" s="141"/>
      <c r="ES38" s="142"/>
      <c r="ET38" s="140"/>
      <c r="EU38" s="141"/>
      <c r="EV38" s="142"/>
      <c r="EW38" s="140"/>
      <c r="EX38" s="141"/>
      <c r="EY38" s="142"/>
      <c r="EZ38" s="140"/>
      <c r="FA38" s="141"/>
      <c r="FB38" s="142"/>
      <c r="FC38" s="140"/>
      <c r="FD38" s="141"/>
      <c r="FE38" s="142"/>
      <c r="FF38" s="140"/>
      <c r="FG38" s="141"/>
      <c r="FH38" s="142"/>
      <c r="FI38" s="140"/>
      <c r="FJ38" s="141"/>
      <c r="FK38" s="142"/>
      <c r="FL38" s="140"/>
      <c r="FM38" s="141"/>
      <c r="FN38" s="142"/>
      <c r="FO38" s="140"/>
      <c r="FP38" s="141"/>
      <c r="FQ38" s="142"/>
      <c r="FR38" s="140"/>
      <c r="FS38" s="141"/>
      <c r="FT38" s="142"/>
      <c r="FU38" s="140"/>
      <c r="FV38" s="141"/>
      <c r="FW38" s="142"/>
      <c r="FX38" s="140"/>
      <c r="FY38" s="141"/>
      <c r="FZ38" s="142"/>
      <c r="GA38" s="140"/>
      <c r="GB38" s="141"/>
      <c r="GC38" s="142"/>
      <c r="GD38" s="140"/>
      <c r="GE38" s="141"/>
      <c r="GF38" s="142"/>
      <c r="GG38" s="140"/>
      <c r="GH38" s="141"/>
      <c r="GI38" s="142"/>
      <c r="GJ38" s="140"/>
      <c r="GK38" s="141"/>
      <c r="GL38" s="142"/>
      <c r="GM38" s="140"/>
      <c r="GN38" s="141"/>
      <c r="GO38" s="142"/>
      <c r="GP38" s="140"/>
      <c r="GQ38" s="141"/>
      <c r="GR38" s="142"/>
      <c r="GS38" s="140"/>
      <c r="GT38" s="141"/>
      <c r="GU38" s="142"/>
      <c r="GV38" s="140"/>
      <c r="GW38" s="141"/>
      <c r="GX38" s="142"/>
      <c r="GY38" s="164"/>
      <c r="GZ38" s="134"/>
      <c r="HA38" s="185"/>
      <c r="HB38" s="131">
        <f>'1910 Hacienda'!C15</f>
        <v>10000</v>
      </c>
      <c r="HC38" s="307">
        <f>'1910 Hacienda'!D15</f>
        <v>0</v>
      </c>
      <c r="HD38" s="131"/>
      <c r="HE38" s="307"/>
      <c r="HF38" s="131"/>
      <c r="HG38" s="307"/>
      <c r="HH38" s="131"/>
      <c r="HI38" s="307"/>
      <c r="HJ38" s="131">
        <f>'1910 Hacienda'!C144</f>
        <v>39364</v>
      </c>
      <c r="HK38" s="307">
        <f>'1910 Hacienda'!D144</f>
        <v>37</v>
      </c>
      <c r="HL38" s="131">
        <f>+'1911 Hacienda'!B38</f>
        <v>10000</v>
      </c>
      <c r="HM38" s="307">
        <f>+'1911 Hacienda'!C38</f>
        <v>0</v>
      </c>
      <c r="HN38" s="131"/>
      <c r="HO38" s="307"/>
      <c r="HP38" s="131"/>
      <c r="HQ38" s="307"/>
      <c r="HR38" s="131"/>
      <c r="HS38" s="307"/>
      <c r="HT38" s="131"/>
      <c r="HU38" s="307"/>
    </row>
    <row r="39" spans="1:229" x14ac:dyDescent="0.2">
      <c r="A39" s="178" t="s">
        <v>5562</v>
      </c>
      <c r="B39" s="131"/>
      <c r="C39" s="134"/>
      <c r="D39" s="133"/>
      <c r="E39" s="131"/>
      <c r="F39" s="134"/>
      <c r="G39" s="133"/>
      <c r="H39" s="131"/>
      <c r="I39" s="134"/>
      <c r="J39" s="133"/>
      <c r="K39" s="131"/>
      <c r="L39" s="134"/>
      <c r="M39" s="133"/>
      <c r="N39" s="131"/>
      <c r="O39" s="134"/>
      <c r="P39" s="133"/>
      <c r="Q39" s="131"/>
      <c r="R39" s="134"/>
      <c r="S39" s="133"/>
      <c r="T39" s="131"/>
      <c r="U39" s="134"/>
      <c r="V39" s="133"/>
      <c r="W39" s="131"/>
      <c r="X39" s="134"/>
      <c r="Y39" s="133"/>
      <c r="Z39" s="131"/>
      <c r="AA39" s="134"/>
      <c r="AB39" s="133"/>
      <c r="AC39" s="131"/>
      <c r="AD39" s="134"/>
      <c r="AE39" s="133"/>
      <c r="AF39" s="131"/>
      <c r="AG39" s="134"/>
      <c r="AH39" s="133"/>
      <c r="AI39" s="145"/>
      <c r="AJ39" s="134"/>
      <c r="AK39" s="133"/>
      <c r="AL39" s="131"/>
      <c r="AM39" s="134"/>
      <c r="AN39" s="133"/>
      <c r="AO39" s="131"/>
      <c r="AP39" s="134"/>
      <c r="AQ39" s="133"/>
      <c r="AR39" s="131"/>
      <c r="AS39" s="134"/>
      <c r="AT39" s="180"/>
      <c r="AU39" s="131"/>
      <c r="AV39" s="185"/>
      <c r="AW39" s="131"/>
      <c r="AX39" s="185"/>
      <c r="AY39" s="131"/>
      <c r="AZ39" s="185"/>
      <c r="BA39" s="131"/>
      <c r="BB39" s="185"/>
      <c r="BC39" s="131"/>
      <c r="BD39" s="185"/>
      <c r="BE39" s="131"/>
      <c r="BF39" s="185"/>
      <c r="BG39" s="131"/>
      <c r="BH39" s="185"/>
      <c r="BI39" s="131"/>
      <c r="BJ39" s="185"/>
      <c r="BK39" s="131"/>
      <c r="BL39" s="185"/>
      <c r="BM39" s="131"/>
      <c r="BN39" s="185"/>
      <c r="BO39" s="131"/>
      <c r="BP39" s="134"/>
      <c r="BQ39" s="131"/>
      <c r="BR39" s="134"/>
      <c r="BS39" s="133"/>
      <c r="BT39" s="131"/>
      <c r="BU39" s="134"/>
      <c r="BV39" s="131"/>
      <c r="BW39" s="134"/>
      <c r="BX39" s="131"/>
      <c r="BY39" s="134"/>
      <c r="BZ39" s="131"/>
      <c r="CA39" s="134"/>
      <c r="CB39" s="133"/>
      <c r="CC39" s="131"/>
      <c r="CD39" s="134"/>
      <c r="CE39" s="133"/>
      <c r="CF39" s="131"/>
      <c r="CG39" s="134"/>
      <c r="CH39" s="133"/>
      <c r="CI39" s="131"/>
      <c r="CJ39" s="134"/>
      <c r="CK39" s="133"/>
      <c r="CL39" s="131"/>
      <c r="CM39" s="134"/>
      <c r="CN39" s="133"/>
      <c r="CO39" s="131"/>
      <c r="CP39" s="134"/>
      <c r="CQ39" s="133"/>
      <c r="CR39" s="131"/>
      <c r="CS39" s="134"/>
      <c r="CT39" s="133"/>
      <c r="CU39" s="131"/>
      <c r="CV39" s="134"/>
      <c r="CW39" s="133"/>
      <c r="CX39" s="131"/>
      <c r="CY39" s="134"/>
      <c r="CZ39" s="133"/>
      <c r="DA39" s="140"/>
      <c r="DB39" s="141"/>
      <c r="DC39" s="142"/>
      <c r="DD39" s="140"/>
      <c r="DE39" s="141"/>
      <c r="DF39" s="142"/>
      <c r="DG39" s="140"/>
      <c r="DH39" s="141"/>
      <c r="DI39" s="142"/>
      <c r="DJ39" s="140"/>
      <c r="DK39" s="141"/>
      <c r="DL39" s="142"/>
      <c r="DM39" s="140"/>
      <c r="DN39" s="141"/>
      <c r="DO39" s="142"/>
      <c r="DP39" s="140"/>
      <c r="DQ39" s="141"/>
      <c r="DR39" s="142"/>
      <c r="DS39" s="140"/>
      <c r="DT39" s="141"/>
      <c r="DU39" s="142"/>
      <c r="DV39" s="140"/>
      <c r="DW39" s="141"/>
      <c r="DX39" s="142"/>
      <c r="DY39" s="140"/>
      <c r="DZ39" s="141"/>
      <c r="EA39" s="142"/>
      <c r="EB39" s="140"/>
      <c r="EC39" s="141"/>
      <c r="ED39" s="142"/>
      <c r="EE39" s="140"/>
      <c r="EF39" s="141"/>
      <c r="EG39" s="142"/>
      <c r="EH39" s="140"/>
      <c r="EI39" s="141"/>
      <c r="EJ39" s="142"/>
      <c r="EK39" s="140"/>
      <c r="EL39" s="141"/>
      <c r="EM39" s="142"/>
      <c r="EN39" s="140"/>
      <c r="EO39" s="141"/>
      <c r="EP39" s="142"/>
      <c r="EQ39" s="140"/>
      <c r="ER39" s="141"/>
      <c r="ES39" s="142"/>
      <c r="ET39" s="140"/>
      <c r="EU39" s="141"/>
      <c r="EV39" s="142"/>
      <c r="EW39" s="140"/>
      <c r="EX39" s="141"/>
      <c r="EY39" s="142"/>
      <c r="EZ39" s="140"/>
      <c r="FA39" s="141"/>
      <c r="FB39" s="142"/>
      <c r="FC39" s="140"/>
      <c r="FD39" s="141"/>
      <c r="FE39" s="142"/>
      <c r="FF39" s="140"/>
      <c r="FG39" s="141"/>
      <c r="FH39" s="142"/>
      <c r="FI39" s="140"/>
      <c r="FJ39" s="141"/>
      <c r="FK39" s="142"/>
      <c r="FL39" s="140"/>
      <c r="FM39" s="141"/>
      <c r="FN39" s="142"/>
      <c r="FO39" s="140"/>
      <c r="FP39" s="141"/>
      <c r="FQ39" s="142"/>
      <c r="FR39" s="140"/>
      <c r="FS39" s="141"/>
      <c r="FT39" s="142"/>
      <c r="FU39" s="140"/>
      <c r="FV39" s="141"/>
      <c r="FW39" s="142"/>
      <c r="FX39" s="140"/>
      <c r="FY39" s="141"/>
      <c r="FZ39" s="142"/>
      <c r="GA39" s="140"/>
      <c r="GB39" s="141"/>
      <c r="GC39" s="142"/>
      <c r="GD39" s="140"/>
      <c r="GE39" s="141"/>
      <c r="GF39" s="142"/>
      <c r="GG39" s="140"/>
      <c r="GH39" s="141"/>
      <c r="GI39" s="142"/>
      <c r="GJ39" s="140"/>
      <c r="GK39" s="141"/>
      <c r="GL39" s="142"/>
      <c r="GM39" s="140"/>
      <c r="GN39" s="141"/>
      <c r="GO39" s="142"/>
      <c r="GP39" s="140"/>
      <c r="GQ39" s="141"/>
      <c r="GR39" s="142"/>
      <c r="GS39" s="140"/>
      <c r="GT39" s="141"/>
      <c r="GU39" s="142"/>
      <c r="GV39" s="140"/>
      <c r="GW39" s="141"/>
      <c r="GX39" s="142"/>
      <c r="GY39" s="164"/>
      <c r="GZ39" s="134"/>
      <c r="HA39" s="185"/>
      <c r="HB39" s="131"/>
      <c r="HC39" s="307"/>
      <c r="HD39" s="131"/>
      <c r="HE39" s="307"/>
      <c r="HF39" s="131"/>
      <c r="HG39" s="307"/>
      <c r="HH39" s="131"/>
      <c r="HI39" s="307"/>
      <c r="HJ39" s="131"/>
      <c r="HK39" s="307"/>
      <c r="HL39" s="131">
        <f>+'1911 Hacienda'!B39</f>
        <v>16000</v>
      </c>
      <c r="HM39" s="307">
        <f>+'1911 Hacienda'!C39</f>
        <v>0</v>
      </c>
      <c r="HN39" s="131"/>
      <c r="HO39" s="307"/>
      <c r="HP39" s="131">
        <f>+'1912 Hacienda'!B24</f>
        <v>16000</v>
      </c>
      <c r="HQ39" s="307"/>
      <c r="HR39" s="131"/>
      <c r="HS39" s="307"/>
      <c r="HT39" s="131">
        <f>+'1915 Hacienda'!D5</f>
        <v>16000</v>
      </c>
      <c r="HU39" s="307">
        <f>+'1915 Hacienda'!E5</f>
        <v>0</v>
      </c>
    </row>
    <row r="40" spans="1:229" x14ac:dyDescent="0.2">
      <c r="A40" s="1608" t="s">
        <v>5062</v>
      </c>
      <c r="B40" s="131"/>
      <c r="C40" s="134"/>
      <c r="D40" s="133"/>
      <c r="E40" s="131"/>
      <c r="F40" s="134"/>
      <c r="G40" s="133"/>
      <c r="H40" s="131"/>
      <c r="I40" s="134"/>
      <c r="J40" s="133"/>
      <c r="K40" s="131"/>
      <c r="L40" s="134"/>
      <c r="M40" s="133"/>
      <c r="N40" s="131"/>
      <c r="O40" s="134"/>
      <c r="P40" s="133"/>
      <c r="Q40" s="131"/>
      <c r="R40" s="134"/>
      <c r="S40" s="133"/>
      <c r="T40" s="131"/>
      <c r="U40" s="134"/>
      <c r="V40" s="133"/>
      <c r="W40" s="131"/>
      <c r="X40" s="134"/>
      <c r="Y40" s="133"/>
      <c r="Z40" s="131"/>
      <c r="AA40" s="134"/>
      <c r="AB40" s="133"/>
      <c r="AC40" s="131"/>
      <c r="AD40" s="134"/>
      <c r="AE40" s="133"/>
      <c r="AF40" s="131"/>
      <c r="AG40" s="134"/>
      <c r="AH40" s="133"/>
      <c r="AI40" s="145"/>
      <c r="AJ40" s="134"/>
      <c r="AK40" s="133"/>
      <c r="AL40" s="131"/>
      <c r="AM40" s="134"/>
      <c r="AN40" s="133"/>
      <c r="AO40" s="131"/>
      <c r="AP40" s="134"/>
      <c r="AQ40" s="133"/>
      <c r="AR40" s="131"/>
      <c r="AS40" s="134"/>
      <c r="AT40" s="180"/>
      <c r="AU40" s="131"/>
      <c r="AV40" s="185"/>
      <c r="AW40" s="131"/>
      <c r="AX40" s="185"/>
      <c r="AY40" s="131"/>
      <c r="AZ40" s="185"/>
      <c r="BA40" s="131"/>
      <c r="BB40" s="185"/>
      <c r="BC40" s="131"/>
      <c r="BD40" s="185"/>
      <c r="BE40" s="131"/>
      <c r="BF40" s="185"/>
      <c r="BG40" s="131"/>
      <c r="BH40" s="185"/>
      <c r="BI40" s="131"/>
      <c r="BJ40" s="185"/>
      <c r="BK40" s="131"/>
      <c r="BL40" s="185"/>
      <c r="BM40" s="131"/>
      <c r="BN40" s="185"/>
      <c r="BO40" s="131"/>
      <c r="BP40" s="134"/>
      <c r="BQ40" s="131"/>
      <c r="BR40" s="134"/>
      <c r="BS40" s="133"/>
      <c r="BT40" s="131"/>
      <c r="BU40" s="134"/>
      <c r="BV40" s="131"/>
      <c r="BW40" s="134"/>
      <c r="BX40" s="131"/>
      <c r="BY40" s="134"/>
      <c r="BZ40" s="131"/>
      <c r="CA40" s="134"/>
      <c r="CB40" s="133"/>
      <c r="CC40" s="131"/>
      <c r="CD40" s="134"/>
      <c r="CE40" s="133"/>
      <c r="CF40" s="131"/>
      <c r="CG40" s="134"/>
      <c r="CH40" s="133"/>
      <c r="CI40" s="131"/>
      <c r="CJ40" s="134"/>
      <c r="CK40" s="133"/>
      <c r="CL40" s="131"/>
      <c r="CM40" s="134"/>
      <c r="CN40" s="133"/>
      <c r="CO40" s="131"/>
      <c r="CP40" s="134"/>
      <c r="CQ40" s="133"/>
      <c r="CR40" s="131"/>
      <c r="CS40" s="134"/>
      <c r="CT40" s="133"/>
      <c r="CU40" s="131"/>
      <c r="CV40" s="134"/>
      <c r="CW40" s="133"/>
      <c r="CX40" s="131"/>
      <c r="CY40" s="134"/>
      <c r="CZ40" s="133"/>
      <c r="DA40" s="140"/>
      <c r="DB40" s="141"/>
      <c r="DC40" s="142"/>
      <c r="DD40" s="140"/>
      <c r="DE40" s="141"/>
      <c r="DF40" s="142"/>
      <c r="DG40" s="140"/>
      <c r="DH40" s="141"/>
      <c r="DI40" s="142"/>
      <c r="DJ40" s="140"/>
      <c r="DK40" s="141"/>
      <c r="DL40" s="142"/>
      <c r="DM40" s="140"/>
      <c r="DN40" s="141"/>
      <c r="DO40" s="142"/>
      <c r="DP40" s="140"/>
      <c r="DQ40" s="141"/>
      <c r="DR40" s="142"/>
      <c r="DS40" s="140"/>
      <c r="DT40" s="141"/>
      <c r="DU40" s="142"/>
      <c r="DV40" s="140"/>
      <c r="DW40" s="141"/>
      <c r="DX40" s="142"/>
      <c r="DY40" s="140"/>
      <c r="DZ40" s="141"/>
      <c r="EA40" s="142"/>
      <c r="EB40" s="140"/>
      <c r="EC40" s="141"/>
      <c r="ED40" s="142"/>
      <c r="EE40" s="140"/>
      <c r="EF40" s="141"/>
      <c r="EG40" s="142"/>
      <c r="EH40" s="140"/>
      <c r="EI40" s="141"/>
      <c r="EJ40" s="142"/>
      <c r="EK40" s="140"/>
      <c r="EL40" s="141"/>
      <c r="EM40" s="142"/>
      <c r="EN40" s="140"/>
      <c r="EO40" s="141"/>
      <c r="EP40" s="142"/>
      <c r="EQ40" s="140"/>
      <c r="ER40" s="141"/>
      <c r="ES40" s="142"/>
      <c r="ET40" s="140"/>
      <c r="EU40" s="141"/>
      <c r="EV40" s="142"/>
      <c r="EW40" s="140"/>
      <c r="EX40" s="141"/>
      <c r="EY40" s="142"/>
      <c r="EZ40" s="140"/>
      <c r="FA40" s="141"/>
      <c r="FB40" s="142"/>
      <c r="FC40" s="140">
        <f>+'1890 Hacienda'!B232</f>
        <v>22500</v>
      </c>
      <c r="FD40" s="141"/>
      <c r="FE40" s="142"/>
      <c r="FF40" s="140">
        <f>+'1890 Hacienda'!E232</f>
        <v>22500</v>
      </c>
      <c r="FG40" s="141"/>
      <c r="FH40" s="142"/>
      <c r="FI40" s="140"/>
      <c r="FJ40" s="141"/>
      <c r="FK40" s="142"/>
      <c r="FL40" s="140">
        <f>+'1894 Hacienda'!C21</f>
        <v>22500</v>
      </c>
      <c r="FM40" s="141"/>
      <c r="FN40" s="142"/>
      <c r="FO40" s="140">
        <f>+'1894 Hacienda'!F21</f>
        <v>22500</v>
      </c>
      <c r="FP40" s="141"/>
      <c r="FQ40" s="142"/>
      <c r="FR40" s="140">
        <f>+'1896 Hacienda'!C22</f>
        <v>22500</v>
      </c>
      <c r="FS40" s="141"/>
      <c r="FT40" s="142"/>
      <c r="FU40" s="140">
        <f>+'1896 Hacienda'!F22</f>
        <v>30000</v>
      </c>
      <c r="FV40" s="141"/>
      <c r="FW40" s="142"/>
      <c r="FX40" s="140">
        <f>+'1896 Hacienda'!L22</f>
        <v>30000</v>
      </c>
      <c r="FY40" s="141"/>
      <c r="FZ40" s="142"/>
      <c r="GA40" s="140">
        <f>+'1898 Hacienda'!E20</f>
        <v>30000</v>
      </c>
      <c r="GB40" s="141"/>
      <c r="GC40" s="142"/>
      <c r="GD40" s="140">
        <f>+'1898 Hacienda'!K20</f>
        <v>30000</v>
      </c>
      <c r="GE40" s="141"/>
      <c r="GF40" s="142"/>
      <c r="GG40" s="140"/>
      <c r="GH40" s="141"/>
      <c r="GI40" s="142"/>
      <c r="GJ40" s="140"/>
      <c r="GK40" s="141"/>
      <c r="GL40" s="142"/>
      <c r="GM40" s="140"/>
      <c r="GN40" s="141"/>
      <c r="GO40" s="142"/>
      <c r="GP40" s="140"/>
      <c r="GQ40" s="141"/>
      <c r="GR40" s="142"/>
      <c r="GS40" s="140"/>
      <c r="GT40" s="141"/>
      <c r="GU40" s="142"/>
      <c r="GV40" s="140"/>
      <c r="GW40" s="141"/>
      <c r="GX40" s="142"/>
      <c r="GY40" s="164"/>
      <c r="GZ40" s="134"/>
      <c r="HA40" s="185"/>
      <c r="HB40" s="131"/>
      <c r="HC40" s="307"/>
      <c r="HD40" s="131"/>
      <c r="HE40" s="307"/>
      <c r="HF40" s="131"/>
      <c r="HG40" s="307"/>
      <c r="HH40" s="131"/>
      <c r="HI40" s="307"/>
      <c r="HJ40" s="131"/>
      <c r="HK40" s="307"/>
      <c r="HL40" s="131"/>
      <c r="HM40" s="307"/>
      <c r="HN40" s="131"/>
      <c r="HO40" s="307"/>
      <c r="HP40" s="131"/>
      <c r="HQ40" s="307"/>
      <c r="HR40" s="131"/>
      <c r="HS40" s="307"/>
      <c r="HT40" s="131"/>
      <c r="HU40" s="307"/>
    </row>
    <row r="41" spans="1:229" ht="30" x14ac:dyDescent="0.2">
      <c r="A41" s="1608" t="s">
        <v>6058</v>
      </c>
      <c r="B41" s="131"/>
      <c r="C41" s="134"/>
      <c r="D41" s="133"/>
      <c r="E41" s="131"/>
      <c r="F41" s="134"/>
      <c r="G41" s="133"/>
      <c r="H41" s="131"/>
      <c r="I41" s="134"/>
      <c r="J41" s="133"/>
      <c r="K41" s="131"/>
      <c r="L41" s="134"/>
      <c r="M41" s="133"/>
      <c r="N41" s="131"/>
      <c r="O41" s="134"/>
      <c r="P41" s="133"/>
      <c r="Q41" s="131"/>
      <c r="R41" s="134"/>
      <c r="S41" s="133"/>
      <c r="T41" s="131"/>
      <c r="U41" s="134"/>
      <c r="V41" s="133"/>
      <c r="W41" s="131"/>
      <c r="X41" s="134"/>
      <c r="Y41" s="133"/>
      <c r="Z41" s="131"/>
      <c r="AA41" s="134"/>
      <c r="AB41" s="133"/>
      <c r="AC41" s="131"/>
      <c r="AD41" s="134"/>
      <c r="AE41" s="133"/>
      <c r="AF41" s="131"/>
      <c r="AG41" s="134"/>
      <c r="AH41" s="133"/>
      <c r="AI41" s="145"/>
      <c r="AJ41" s="134"/>
      <c r="AK41" s="133"/>
      <c r="AL41" s="131"/>
      <c r="AM41" s="134"/>
      <c r="AN41" s="133"/>
      <c r="AO41" s="131"/>
      <c r="AP41" s="134"/>
      <c r="AQ41" s="133"/>
      <c r="AR41" s="131"/>
      <c r="AS41" s="134"/>
      <c r="AT41" s="180"/>
      <c r="AU41" s="131"/>
      <c r="AV41" s="185"/>
      <c r="AW41" s="131"/>
      <c r="AX41" s="185"/>
      <c r="AY41" s="131"/>
      <c r="AZ41" s="185"/>
      <c r="BA41" s="131"/>
      <c r="BB41" s="185"/>
      <c r="BC41" s="131"/>
      <c r="BD41" s="185"/>
      <c r="BE41" s="131"/>
      <c r="BF41" s="185"/>
      <c r="BG41" s="131"/>
      <c r="BH41" s="185"/>
      <c r="BI41" s="131"/>
      <c r="BJ41" s="185"/>
      <c r="BK41" s="131"/>
      <c r="BL41" s="185"/>
      <c r="BM41" s="131"/>
      <c r="BN41" s="185"/>
      <c r="BO41" s="131"/>
      <c r="BP41" s="134"/>
      <c r="BQ41" s="131"/>
      <c r="BR41" s="134"/>
      <c r="BS41" s="133"/>
      <c r="BT41" s="131"/>
      <c r="BU41" s="134"/>
      <c r="BV41" s="131"/>
      <c r="BW41" s="134"/>
      <c r="BX41" s="131"/>
      <c r="BY41" s="134"/>
      <c r="BZ41" s="131"/>
      <c r="CA41" s="134"/>
      <c r="CB41" s="133"/>
      <c r="CC41" s="131"/>
      <c r="CD41" s="134"/>
      <c r="CE41" s="133"/>
      <c r="CF41" s="131"/>
      <c r="CG41" s="134"/>
      <c r="CH41" s="133"/>
      <c r="CI41" s="131"/>
      <c r="CJ41" s="134"/>
      <c r="CK41" s="133"/>
      <c r="CL41" s="131"/>
      <c r="CM41" s="134"/>
      <c r="CN41" s="133"/>
      <c r="CO41" s="131"/>
      <c r="CP41" s="134"/>
      <c r="CQ41" s="133"/>
      <c r="CR41" s="131"/>
      <c r="CS41" s="134"/>
      <c r="CT41" s="133"/>
      <c r="CU41" s="131"/>
      <c r="CV41" s="134"/>
      <c r="CW41" s="133"/>
      <c r="CX41" s="131"/>
      <c r="CY41" s="134"/>
      <c r="CZ41" s="133"/>
      <c r="DA41" s="140"/>
      <c r="DB41" s="141"/>
      <c r="DC41" s="142"/>
      <c r="DD41" s="140"/>
      <c r="DE41" s="141"/>
      <c r="DF41" s="142"/>
      <c r="DG41" s="140"/>
      <c r="DH41" s="141"/>
      <c r="DI41" s="142"/>
      <c r="DJ41" s="140"/>
      <c r="DK41" s="141"/>
      <c r="DL41" s="142"/>
      <c r="DM41" s="140"/>
      <c r="DN41" s="141"/>
      <c r="DO41" s="142"/>
      <c r="DP41" s="140"/>
      <c r="DQ41" s="141"/>
      <c r="DR41" s="142"/>
      <c r="DS41" s="140"/>
      <c r="DT41" s="141"/>
      <c r="DU41" s="142"/>
      <c r="DV41" s="140"/>
      <c r="DW41" s="141"/>
      <c r="DX41" s="142"/>
      <c r="DY41" s="140"/>
      <c r="DZ41" s="141"/>
      <c r="EA41" s="142"/>
      <c r="EB41" s="140"/>
      <c r="EC41" s="141"/>
      <c r="ED41" s="142"/>
      <c r="EE41" s="140"/>
      <c r="EF41" s="141"/>
      <c r="EG41" s="142"/>
      <c r="EH41" s="140"/>
      <c r="EI41" s="141"/>
      <c r="EJ41" s="142"/>
      <c r="EK41" s="140"/>
      <c r="EL41" s="141"/>
      <c r="EM41" s="142"/>
      <c r="EN41" s="140"/>
      <c r="EO41" s="141"/>
      <c r="EP41" s="142"/>
      <c r="EQ41" s="140"/>
      <c r="ER41" s="141"/>
      <c r="ES41" s="142"/>
      <c r="ET41" s="140"/>
      <c r="EU41" s="141"/>
      <c r="EV41" s="142"/>
      <c r="EW41" s="140"/>
      <c r="EX41" s="141"/>
      <c r="EY41" s="142"/>
      <c r="EZ41" s="140"/>
      <c r="FA41" s="141"/>
      <c r="FB41" s="142"/>
      <c r="FC41" s="140">
        <f>+'1890 Hacienda'!B233</f>
        <v>7999</v>
      </c>
      <c r="FD41" s="141">
        <f>+'1890 Hacienda'!C233</f>
        <v>80</v>
      </c>
      <c r="FE41" s="142"/>
      <c r="FF41" s="140">
        <f>+'1890 Hacienda'!E233</f>
        <v>3999</v>
      </c>
      <c r="FG41" s="141">
        <f>+'1890 Hacienda'!F233</f>
        <v>90</v>
      </c>
      <c r="FH41" s="142"/>
      <c r="FI41" s="140"/>
      <c r="FJ41" s="141"/>
      <c r="FK41" s="142"/>
      <c r="FL41" s="140">
        <f>+'1894 Hacienda'!C22</f>
        <v>4000</v>
      </c>
      <c r="FM41" s="141"/>
      <c r="FN41" s="142"/>
      <c r="FO41" s="140">
        <f>+'1894 Hacienda'!F22</f>
        <v>3999</v>
      </c>
      <c r="FP41" s="141">
        <f>+'1894 Hacienda'!G22</f>
        <v>55</v>
      </c>
      <c r="FQ41" s="142"/>
      <c r="FR41" s="140">
        <f>+'1896 Hacienda'!C23</f>
        <v>3666</v>
      </c>
      <c r="FS41" s="141">
        <f>+'1896 Hacienda'!D23</f>
        <v>60</v>
      </c>
      <c r="FT41" s="142"/>
      <c r="FU41" s="140">
        <f>+'1896 Hacienda'!F23</f>
        <v>3666</v>
      </c>
      <c r="FV41" s="141">
        <f>+'1896 Hacienda'!G23</f>
        <v>55</v>
      </c>
      <c r="FW41" s="142"/>
      <c r="FX41" s="140">
        <f>+'1896 Hacienda'!L23</f>
        <v>3999</v>
      </c>
      <c r="FY41" s="141">
        <f>+'1896 Hacienda'!M23</f>
        <v>90</v>
      </c>
      <c r="FZ41" s="142"/>
      <c r="GA41" s="140">
        <f>+'1898 Hacienda'!E21</f>
        <v>3999</v>
      </c>
      <c r="GB41" s="141"/>
      <c r="GC41" s="142"/>
      <c r="GD41" s="140">
        <f>+'1898 Hacienda'!K21</f>
        <v>3999</v>
      </c>
      <c r="GE41" s="141">
        <f>+'1898 Hacienda'!L21</f>
        <v>90</v>
      </c>
      <c r="GF41" s="142"/>
      <c r="GG41" s="140"/>
      <c r="GH41" s="141"/>
      <c r="GI41" s="142"/>
      <c r="GJ41" s="140"/>
      <c r="GK41" s="141"/>
      <c r="GL41" s="142"/>
      <c r="GM41" s="140"/>
      <c r="GN41" s="141"/>
      <c r="GO41" s="142"/>
      <c r="GP41" s="140"/>
      <c r="GQ41" s="141"/>
      <c r="GR41" s="142"/>
      <c r="GS41" s="140"/>
      <c r="GT41" s="141"/>
      <c r="GU41" s="142"/>
      <c r="GV41" s="140"/>
      <c r="GW41" s="141"/>
      <c r="GX41" s="142"/>
      <c r="GY41" s="164"/>
      <c r="GZ41" s="134"/>
      <c r="HA41" s="185"/>
      <c r="HB41" s="131"/>
      <c r="HC41" s="307"/>
      <c r="HD41" s="131"/>
      <c r="HE41" s="307"/>
      <c r="HF41" s="131"/>
      <c r="HG41" s="307"/>
      <c r="HH41" s="131"/>
      <c r="HI41" s="307"/>
      <c r="HJ41" s="131"/>
      <c r="HK41" s="307"/>
      <c r="HL41" s="131"/>
      <c r="HM41" s="307"/>
      <c r="HN41" s="131"/>
      <c r="HO41" s="307"/>
      <c r="HP41" s="131"/>
      <c r="HQ41" s="307"/>
      <c r="HR41" s="131"/>
      <c r="HS41" s="307"/>
      <c r="HT41" s="131"/>
      <c r="HU41" s="307"/>
    </row>
    <row r="42" spans="1:229" x14ac:dyDescent="0.2">
      <c r="A42" s="134" t="s">
        <v>2763</v>
      </c>
      <c r="B42" s="131"/>
      <c r="C42" s="134"/>
      <c r="D42" s="133"/>
      <c r="E42" s="131"/>
      <c r="F42" s="134"/>
      <c r="G42" s="133"/>
      <c r="H42" s="131"/>
      <c r="I42" s="134"/>
      <c r="J42" s="133"/>
      <c r="K42" s="131"/>
      <c r="L42" s="134"/>
      <c r="M42" s="133"/>
      <c r="N42" s="131"/>
      <c r="O42" s="134"/>
      <c r="P42" s="133"/>
      <c r="Q42" s="131"/>
      <c r="R42" s="134"/>
      <c r="S42" s="133"/>
      <c r="T42" s="131"/>
      <c r="U42" s="134"/>
      <c r="V42" s="133"/>
      <c r="W42" s="131"/>
      <c r="X42" s="134"/>
      <c r="Y42" s="133"/>
      <c r="Z42" s="131"/>
      <c r="AA42" s="134"/>
      <c r="AB42" s="133"/>
      <c r="AC42" s="131"/>
      <c r="AD42" s="134"/>
      <c r="AE42" s="133"/>
      <c r="AF42" s="131"/>
      <c r="AG42" s="134"/>
      <c r="AH42" s="133"/>
      <c r="AI42" s="145"/>
      <c r="AJ42" s="134"/>
      <c r="AK42" s="133"/>
      <c r="AL42" s="131"/>
      <c r="AM42" s="134"/>
      <c r="AN42" s="133"/>
      <c r="AO42" s="131"/>
      <c r="AP42" s="134"/>
      <c r="AQ42" s="133"/>
      <c r="AR42" s="131"/>
      <c r="AS42" s="134"/>
      <c r="AT42" s="180"/>
      <c r="AU42" s="131"/>
      <c r="AV42" s="185"/>
      <c r="AW42" s="131"/>
      <c r="AX42" s="185"/>
      <c r="AY42" s="131"/>
      <c r="AZ42" s="185"/>
      <c r="BA42" s="131"/>
      <c r="BB42" s="185"/>
      <c r="BC42" s="131"/>
      <c r="BD42" s="185"/>
      <c r="BE42" s="131"/>
      <c r="BF42" s="185"/>
      <c r="BG42" s="131"/>
      <c r="BH42" s="185"/>
      <c r="BI42" s="131"/>
      <c r="BJ42" s="185"/>
      <c r="BK42" s="131"/>
      <c r="BL42" s="185"/>
      <c r="BM42" s="131"/>
      <c r="BN42" s="185"/>
      <c r="BO42" s="131"/>
      <c r="BP42" s="134"/>
      <c r="BQ42" s="131"/>
      <c r="BR42" s="134"/>
      <c r="BS42" s="133"/>
      <c r="BT42" s="131"/>
      <c r="BU42" s="134"/>
      <c r="BV42" s="131"/>
      <c r="BW42" s="134"/>
      <c r="BX42" s="131"/>
      <c r="BY42" s="134"/>
      <c r="BZ42" s="131"/>
      <c r="CA42" s="134"/>
      <c r="CB42" s="133"/>
      <c r="CC42" s="131"/>
      <c r="CD42" s="134"/>
      <c r="CE42" s="133"/>
      <c r="CF42" s="131"/>
      <c r="CG42" s="134"/>
      <c r="CH42" s="133"/>
      <c r="CI42" s="131"/>
      <c r="CJ42" s="134"/>
      <c r="CK42" s="133"/>
      <c r="CL42" s="131"/>
      <c r="CM42" s="134"/>
      <c r="CN42" s="133"/>
      <c r="CO42" s="131"/>
      <c r="CP42" s="134"/>
      <c r="CQ42" s="133"/>
      <c r="CR42" s="131"/>
      <c r="CS42" s="134"/>
      <c r="CT42" s="133"/>
      <c r="CU42" s="131"/>
      <c r="CV42" s="134"/>
      <c r="CW42" s="133"/>
      <c r="CX42" s="131"/>
      <c r="CY42" s="134"/>
      <c r="CZ42" s="133"/>
      <c r="DA42" s="140"/>
      <c r="DB42" s="141"/>
      <c r="DC42" s="142"/>
      <c r="DD42" s="140"/>
      <c r="DE42" s="141"/>
      <c r="DF42" s="142"/>
      <c r="DG42" s="140"/>
      <c r="DH42" s="141"/>
      <c r="DI42" s="142"/>
      <c r="DJ42" s="140"/>
      <c r="DK42" s="141"/>
      <c r="DL42" s="142"/>
      <c r="DM42" s="140"/>
      <c r="DN42" s="141"/>
      <c r="DO42" s="142"/>
      <c r="DP42" s="140"/>
      <c r="DQ42" s="141"/>
      <c r="DR42" s="142"/>
      <c r="DS42" s="140"/>
      <c r="DT42" s="141"/>
      <c r="DU42" s="142"/>
      <c r="DV42" s="140"/>
      <c r="DW42" s="141"/>
      <c r="DX42" s="142"/>
      <c r="DY42" s="140">
        <f>+'1880 Hacienda'!B15</f>
        <v>15539</v>
      </c>
      <c r="DZ42" s="141">
        <f>+'1880 Hacienda'!C15</f>
        <v>60</v>
      </c>
      <c r="EA42" s="142">
        <f>+'1880 Hacienda'!D15</f>
        <v>0</v>
      </c>
      <c r="EB42" s="140">
        <f>+'1881 Hacienda'!B15</f>
        <v>331485</v>
      </c>
      <c r="EC42" s="141">
        <f>+'1881 Hacienda'!C15</f>
        <v>920</v>
      </c>
      <c r="ED42" s="142">
        <f>+'1881 Hacienda'!D15</f>
        <v>0.5</v>
      </c>
      <c r="EE42" s="140">
        <f>+'1882 Hacienda'!B17</f>
        <v>649632</v>
      </c>
      <c r="EF42" s="141">
        <f>+'1882 Hacienda'!C17</f>
        <v>27</v>
      </c>
      <c r="EG42" s="142">
        <f>+'1882 Hacienda'!D17</f>
        <v>0.5</v>
      </c>
      <c r="EH42" s="140">
        <f>+'1883 Hacienda'!B11</f>
        <v>50000</v>
      </c>
      <c r="EI42" s="141"/>
      <c r="EJ42" s="142"/>
      <c r="EK42" s="140"/>
      <c r="EL42" s="141"/>
      <c r="EM42" s="142"/>
      <c r="EN42" s="140"/>
      <c r="EO42" s="141"/>
      <c r="EP42" s="142"/>
      <c r="EQ42" s="140"/>
      <c r="ER42" s="141"/>
      <c r="ES42" s="142"/>
      <c r="ET42" s="140"/>
      <c r="EU42" s="141"/>
      <c r="EV42" s="142"/>
      <c r="EW42" s="140"/>
      <c r="EX42" s="141"/>
      <c r="EY42" s="142"/>
      <c r="EZ42" s="140"/>
      <c r="FA42" s="141"/>
      <c r="FB42" s="142"/>
      <c r="FC42" s="140">
        <f>+'1890 Hacienda'!B236</f>
        <v>3479283</v>
      </c>
      <c r="FD42" s="141">
        <f>+'1890 Hacienda'!C236</f>
        <v>90</v>
      </c>
      <c r="FE42" s="142"/>
      <c r="FF42" s="140">
        <f>+'1890 Hacienda'!E236</f>
        <v>763591</v>
      </c>
      <c r="FG42" s="141">
        <f>+'1890 Hacienda'!F236</f>
        <v>45</v>
      </c>
      <c r="FH42" s="142"/>
      <c r="FI42" s="140"/>
      <c r="FJ42" s="141"/>
      <c r="FK42" s="142"/>
      <c r="FL42" s="140">
        <f>+'1894 Hacienda'!C29</f>
        <v>556216</v>
      </c>
      <c r="FM42" s="141">
        <f>+'1894 Hacienda'!D29</f>
        <v>45</v>
      </c>
      <c r="FN42" s="142"/>
      <c r="FO42" s="140">
        <f>+'1894 Hacienda'!F29</f>
        <v>680332</v>
      </c>
      <c r="FP42" s="141">
        <f>+'1894 Hacienda'!G29</f>
        <v>87</v>
      </c>
      <c r="FQ42" s="142">
        <f>+'1894 Hacienda'!H29</f>
        <v>0.5</v>
      </c>
      <c r="FR42" s="140">
        <f>+'1896 Hacienda'!C30</f>
        <v>580859</v>
      </c>
      <c r="FS42" s="141">
        <f>+'1896 Hacienda'!D30</f>
        <v>27</v>
      </c>
      <c r="FT42" s="142">
        <f>+'1896 Hacienda'!E30</f>
        <v>0.5</v>
      </c>
      <c r="FU42" s="140">
        <f>+'1896 Hacienda'!F30</f>
        <v>687788</v>
      </c>
      <c r="FV42" s="141">
        <f>+'1896 Hacienda'!G30</f>
        <v>5</v>
      </c>
      <c r="FW42" s="142"/>
      <c r="FX42" s="140">
        <f>+'1896 Hacienda'!L30</f>
        <v>77858</v>
      </c>
      <c r="FY42" s="141">
        <f>+'1896 Hacienda'!M30</f>
        <v>20</v>
      </c>
      <c r="FZ42" s="142"/>
      <c r="GA42" s="140">
        <f>+'1898 Hacienda'!E28</f>
        <v>357035</v>
      </c>
      <c r="GB42" s="141">
        <f>+'1898 Hacienda'!F28</f>
        <v>20</v>
      </c>
      <c r="GC42" s="142"/>
      <c r="GD42" s="140">
        <f>+'1898 Hacienda'!K28</f>
        <v>350284</v>
      </c>
      <c r="GE42" s="141">
        <f>+'1898 Hacienda'!L28</f>
        <v>80</v>
      </c>
      <c r="GF42" s="142"/>
      <c r="GG42" s="140"/>
      <c r="GH42" s="141"/>
      <c r="GI42" s="142"/>
      <c r="GJ42" s="140"/>
      <c r="GK42" s="141"/>
      <c r="GL42" s="142"/>
      <c r="GM42" s="140"/>
      <c r="GN42" s="141"/>
      <c r="GO42" s="142"/>
      <c r="GP42" s="140"/>
      <c r="GQ42" s="141"/>
      <c r="GR42" s="142"/>
      <c r="GS42" s="140"/>
      <c r="GT42" s="141"/>
      <c r="GU42" s="142"/>
      <c r="GV42" s="140"/>
      <c r="GW42" s="141"/>
      <c r="GX42" s="142"/>
      <c r="GY42" s="164"/>
      <c r="GZ42" s="134"/>
      <c r="HA42" s="185"/>
      <c r="HB42" s="131">
        <f>'1910 Hacienda'!C11</f>
        <v>120822</v>
      </c>
      <c r="HC42" s="307">
        <f>'1910 Hacienda'!D11</f>
        <v>50</v>
      </c>
      <c r="HD42" s="131">
        <f>'1910 Hacienda'!C36</f>
        <v>218151</v>
      </c>
      <c r="HE42" s="307">
        <f>'1910 Hacienda'!D36</f>
        <v>95</v>
      </c>
      <c r="HF42" s="131">
        <f>'1910 Hacienda'!C65</f>
        <v>156054</v>
      </c>
      <c r="HG42" s="307">
        <f>'1910 Hacienda'!D65</f>
        <v>22</v>
      </c>
      <c r="HH42" s="131">
        <f>'1910 Hacienda'!C108</f>
        <v>97607</v>
      </c>
      <c r="HI42" s="307">
        <f>'1910 Hacienda'!D108</f>
        <v>78</v>
      </c>
      <c r="HJ42" s="131">
        <f>'1910 Hacienda'!C156</f>
        <v>133304</v>
      </c>
      <c r="HK42" s="307">
        <f>'1910 Hacienda'!D156</f>
        <v>78</v>
      </c>
      <c r="HL42" s="131">
        <f>+'1911 Hacienda'!B48</f>
        <v>55641</v>
      </c>
      <c r="HM42" s="307">
        <f>+'1911 Hacienda'!C48</f>
        <v>31</v>
      </c>
      <c r="HN42" s="131"/>
      <c r="HO42" s="307"/>
      <c r="HP42" s="131"/>
      <c r="HQ42" s="307"/>
      <c r="HR42" s="131"/>
      <c r="HS42" s="307"/>
      <c r="HT42" s="131">
        <f>+'1915 Hacienda'!D38</f>
        <v>97354</v>
      </c>
      <c r="HU42" s="307">
        <f>+'1915 Hacienda'!E38</f>
        <v>6</v>
      </c>
    </row>
    <row r="43" spans="1:229" x14ac:dyDescent="0.2">
      <c r="A43" s="134" t="s">
        <v>5070</v>
      </c>
      <c r="B43" s="131"/>
      <c r="C43" s="134"/>
      <c r="D43" s="133"/>
      <c r="E43" s="131"/>
      <c r="F43" s="134"/>
      <c r="G43" s="133"/>
      <c r="H43" s="131"/>
      <c r="I43" s="134"/>
      <c r="J43" s="133"/>
      <c r="K43" s="131"/>
      <c r="L43" s="134"/>
      <c r="M43" s="133"/>
      <c r="N43" s="131"/>
      <c r="O43" s="134"/>
      <c r="P43" s="133"/>
      <c r="Q43" s="131"/>
      <c r="R43" s="134"/>
      <c r="S43" s="133"/>
      <c r="T43" s="131"/>
      <c r="U43" s="134"/>
      <c r="V43" s="133"/>
      <c r="W43" s="131"/>
      <c r="X43" s="134"/>
      <c r="Y43" s="133"/>
      <c r="Z43" s="131"/>
      <c r="AA43" s="134"/>
      <c r="AB43" s="133"/>
      <c r="AC43" s="131"/>
      <c r="AD43" s="134"/>
      <c r="AE43" s="133"/>
      <c r="AF43" s="131"/>
      <c r="AG43" s="134"/>
      <c r="AH43" s="133"/>
      <c r="AI43" s="145"/>
      <c r="AJ43" s="134"/>
      <c r="AK43" s="133"/>
      <c r="AL43" s="131"/>
      <c r="AM43" s="134"/>
      <c r="AN43" s="133"/>
      <c r="AO43" s="131"/>
      <c r="AP43" s="134"/>
      <c r="AQ43" s="133"/>
      <c r="AR43" s="131"/>
      <c r="AS43" s="134"/>
      <c r="AT43" s="180"/>
      <c r="AU43" s="131"/>
      <c r="AV43" s="185"/>
      <c r="AW43" s="131"/>
      <c r="AX43" s="185"/>
      <c r="AY43" s="131"/>
      <c r="AZ43" s="185"/>
      <c r="BA43" s="131"/>
      <c r="BB43" s="185"/>
      <c r="BC43" s="131"/>
      <c r="BD43" s="185"/>
      <c r="BE43" s="131"/>
      <c r="BF43" s="185"/>
      <c r="BG43" s="131"/>
      <c r="BH43" s="185"/>
      <c r="BI43" s="131"/>
      <c r="BJ43" s="185"/>
      <c r="BK43" s="131"/>
      <c r="BL43" s="185"/>
      <c r="BM43" s="131"/>
      <c r="BN43" s="185"/>
      <c r="BO43" s="131"/>
      <c r="BP43" s="134"/>
      <c r="BQ43" s="131"/>
      <c r="BR43" s="134"/>
      <c r="BS43" s="133"/>
      <c r="BT43" s="131"/>
      <c r="BU43" s="134"/>
      <c r="BV43" s="131"/>
      <c r="BW43" s="134"/>
      <c r="BX43" s="131"/>
      <c r="BY43" s="134"/>
      <c r="BZ43" s="131"/>
      <c r="CA43" s="134"/>
      <c r="CB43" s="133"/>
      <c r="CC43" s="131"/>
      <c r="CD43" s="134"/>
      <c r="CE43" s="133"/>
      <c r="CF43" s="131"/>
      <c r="CG43" s="134"/>
      <c r="CH43" s="133"/>
      <c r="CI43" s="131"/>
      <c r="CJ43" s="134"/>
      <c r="CK43" s="133"/>
      <c r="CL43" s="131"/>
      <c r="CM43" s="134"/>
      <c r="CN43" s="133"/>
      <c r="CO43" s="131"/>
      <c r="CP43" s="134"/>
      <c r="CQ43" s="133"/>
      <c r="CR43" s="131"/>
      <c r="CS43" s="134"/>
      <c r="CT43" s="133"/>
      <c r="CU43" s="131"/>
      <c r="CV43" s="134"/>
      <c r="CW43" s="133"/>
      <c r="CX43" s="131"/>
      <c r="CY43" s="134"/>
      <c r="CZ43" s="133"/>
      <c r="DA43" s="140"/>
      <c r="DB43" s="141"/>
      <c r="DC43" s="142"/>
      <c r="DD43" s="140"/>
      <c r="DE43" s="141"/>
      <c r="DF43" s="142"/>
      <c r="DG43" s="140"/>
      <c r="DH43" s="141"/>
      <c r="DI43" s="142"/>
      <c r="DJ43" s="140"/>
      <c r="DK43" s="141"/>
      <c r="DL43" s="142"/>
      <c r="DM43" s="140"/>
      <c r="DN43" s="141"/>
      <c r="DO43" s="142"/>
      <c r="DP43" s="140"/>
      <c r="DQ43" s="141"/>
      <c r="DR43" s="142"/>
      <c r="DS43" s="140"/>
      <c r="DT43" s="141"/>
      <c r="DU43" s="142"/>
      <c r="DV43" s="140"/>
      <c r="DW43" s="141"/>
      <c r="DX43" s="142"/>
      <c r="DY43" s="140"/>
      <c r="DZ43" s="141"/>
      <c r="EA43" s="142"/>
      <c r="EB43" s="140"/>
      <c r="EC43" s="141"/>
      <c r="ED43" s="142"/>
      <c r="EE43" s="140"/>
      <c r="EF43" s="141"/>
      <c r="EG43" s="142"/>
      <c r="EH43" s="140"/>
      <c r="EI43" s="141"/>
      <c r="EJ43" s="142"/>
      <c r="EK43" s="140"/>
      <c r="EL43" s="141"/>
      <c r="EM43" s="142"/>
      <c r="EN43" s="140"/>
      <c r="EO43" s="141"/>
      <c r="EP43" s="142"/>
      <c r="EQ43" s="140"/>
      <c r="ER43" s="141"/>
      <c r="ES43" s="142"/>
      <c r="ET43" s="140"/>
      <c r="EU43" s="141"/>
      <c r="EV43" s="142"/>
      <c r="EW43" s="140"/>
      <c r="EX43" s="141"/>
      <c r="EY43" s="142"/>
      <c r="EZ43" s="140"/>
      <c r="FA43" s="141"/>
      <c r="FB43" s="142"/>
      <c r="FC43" s="140"/>
      <c r="FD43" s="141"/>
      <c r="FE43" s="142"/>
      <c r="FF43" s="140"/>
      <c r="FG43" s="141"/>
      <c r="FH43" s="142"/>
      <c r="FI43" s="140"/>
      <c r="FJ43" s="141"/>
      <c r="FK43" s="142"/>
      <c r="FL43" s="140"/>
      <c r="FM43" s="141"/>
      <c r="FN43" s="142"/>
      <c r="FO43" s="140">
        <f>+'1894 Hacienda'!F30</f>
        <v>1720</v>
      </c>
      <c r="FP43" s="141"/>
      <c r="FQ43" s="142"/>
      <c r="FR43" s="140">
        <f>+'1896 Hacienda'!C31</f>
        <v>645</v>
      </c>
      <c r="FS43" s="141"/>
      <c r="FT43" s="142"/>
      <c r="FU43" s="140">
        <f>+'1896 Hacienda'!F31</f>
        <v>2075</v>
      </c>
      <c r="FV43" s="141"/>
      <c r="FW43" s="142"/>
      <c r="FX43" s="140">
        <f>+'1896 Hacienda'!L31</f>
        <v>2295</v>
      </c>
      <c r="FY43" s="141"/>
      <c r="FZ43" s="142"/>
      <c r="GA43" s="140">
        <f>+'1898 Hacienda'!E29</f>
        <v>1655</v>
      </c>
      <c r="GB43" s="141"/>
      <c r="GC43" s="142"/>
      <c r="GD43" s="140">
        <f>+'1898 Hacienda'!K29</f>
        <v>1375</v>
      </c>
      <c r="GE43" s="141"/>
      <c r="GF43" s="142"/>
      <c r="GG43" s="140"/>
      <c r="GH43" s="141"/>
      <c r="GI43" s="142"/>
      <c r="GJ43" s="140"/>
      <c r="GK43" s="141"/>
      <c r="GL43" s="142"/>
      <c r="GM43" s="140"/>
      <c r="GN43" s="141"/>
      <c r="GO43" s="142"/>
      <c r="GP43" s="140"/>
      <c r="GQ43" s="141"/>
      <c r="GR43" s="142"/>
      <c r="GS43" s="140"/>
      <c r="GT43" s="141"/>
      <c r="GU43" s="142"/>
      <c r="GV43" s="140"/>
      <c r="GW43" s="141"/>
      <c r="GX43" s="142"/>
      <c r="GY43" s="164"/>
      <c r="GZ43" s="134"/>
      <c r="HA43" s="185"/>
      <c r="HB43" s="131">
        <f>'1910 Hacienda'!C12</f>
        <v>385</v>
      </c>
      <c r="HC43" s="307">
        <f>'1910 Hacienda'!D12</f>
        <v>0</v>
      </c>
      <c r="HD43" s="131">
        <f>'1910 Hacienda'!C37</f>
        <v>750</v>
      </c>
      <c r="HE43" s="307">
        <f>'1910 Hacienda'!D37</f>
        <v>40</v>
      </c>
      <c r="HF43" s="131">
        <f>'1910 Hacienda'!C66</f>
        <v>514</v>
      </c>
      <c r="HG43" s="307">
        <f>'1910 Hacienda'!D66</f>
        <v>60</v>
      </c>
      <c r="HH43" s="131">
        <f>'1910 Hacienda'!C93</f>
        <v>339</v>
      </c>
      <c r="HI43" s="307">
        <f>'1910 Hacienda'!D93</f>
        <v>80</v>
      </c>
      <c r="HJ43" s="131">
        <f>'1910 Hacienda'!C139</f>
        <v>295</v>
      </c>
      <c r="HK43" s="307">
        <f>'1910 Hacienda'!D139</f>
        <v>60</v>
      </c>
      <c r="HL43" s="131">
        <f>+'1911 Hacienda'!B35</f>
        <v>328</v>
      </c>
      <c r="HM43" s="307">
        <f>+'1911 Hacienda'!C35</f>
        <v>60</v>
      </c>
      <c r="HN43" s="131"/>
      <c r="HO43" s="307"/>
      <c r="HP43" s="131">
        <f>+'1912 Hacienda'!B20</f>
        <v>578</v>
      </c>
      <c r="HQ43" s="307">
        <f>+'1912 Hacienda'!C20</f>
        <v>60</v>
      </c>
      <c r="HR43" s="131"/>
      <c r="HS43" s="307"/>
      <c r="HT43" s="131"/>
      <c r="HU43" s="307"/>
    </row>
    <row r="44" spans="1:229" x14ac:dyDescent="0.2">
      <c r="A44" s="134" t="s">
        <v>5894</v>
      </c>
      <c r="B44" s="131"/>
      <c r="C44" s="134"/>
      <c r="D44" s="133"/>
      <c r="E44" s="131"/>
      <c r="F44" s="134"/>
      <c r="G44" s="133"/>
      <c r="H44" s="131"/>
      <c r="I44" s="134"/>
      <c r="J44" s="133"/>
      <c r="K44" s="131"/>
      <c r="L44" s="134"/>
      <c r="M44" s="133"/>
      <c r="N44" s="131"/>
      <c r="O44" s="134"/>
      <c r="P44" s="133"/>
      <c r="Q44" s="131"/>
      <c r="R44" s="134"/>
      <c r="S44" s="133"/>
      <c r="T44" s="131"/>
      <c r="U44" s="134"/>
      <c r="V44" s="133"/>
      <c r="W44" s="131"/>
      <c r="X44" s="134"/>
      <c r="Y44" s="133"/>
      <c r="Z44" s="131"/>
      <c r="AA44" s="134"/>
      <c r="AB44" s="133"/>
      <c r="AC44" s="131"/>
      <c r="AD44" s="134"/>
      <c r="AE44" s="133"/>
      <c r="AF44" s="131"/>
      <c r="AG44" s="134"/>
      <c r="AH44" s="133"/>
      <c r="AI44" s="145"/>
      <c r="AJ44" s="134"/>
      <c r="AK44" s="133"/>
      <c r="AL44" s="131"/>
      <c r="AM44" s="134"/>
      <c r="AN44" s="133"/>
      <c r="AO44" s="131"/>
      <c r="AP44" s="134"/>
      <c r="AQ44" s="133"/>
      <c r="AR44" s="131"/>
      <c r="AS44" s="134"/>
      <c r="AT44" s="180"/>
      <c r="AU44" s="131"/>
      <c r="AV44" s="185"/>
      <c r="AW44" s="131"/>
      <c r="AX44" s="185"/>
      <c r="AY44" s="131"/>
      <c r="AZ44" s="185"/>
      <c r="BA44" s="131"/>
      <c r="BB44" s="185"/>
      <c r="BC44" s="131"/>
      <c r="BD44" s="185"/>
      <c r="BE44" s="131"/>
      <c r="BF44" s="185"/>
      <c r="BG44" s="131"/>
      <c r="BH44" s="185"/>
      <c r="BI44" s="131"/>
      <c r="BJ44" s="185"/>
      <c r="BK44" s="131"/>
      <c r="BL44" s="185"/>
      <c r="BM44" s="131"/>
      <c r="BN44" s="185"/>
      <c r="BO44" s="131"/>
      <c r="BP44" s="134"/>
      <c r="BQ44" s="131"/>
      <c r="BR44" s="134"/>
      <c r="BS44" s="133"/>
      <c r="BT44" s="131"/>
      <c r="BU44" s="134"/>
      <c r="BV44" s="131"/>
      <c r="BW44" s="134"/>
      <c r="BX44" s="131"/>
      <c r="BY44" s="134"/>
      <c r="BZ44" s="131"/>
      <c r="CA44" s="134"/>
      <c r="CB44" s="133"/>
      <c r="CC44" s="131"/>
      <c r="CD44" s="134"/>
      <c r="CE44" s="133"/>
      <c r="CF44" s="131"/>
      <c r="CG44" s="134"/>
      <c r="CH44" s="133"/>
      <c r="CI44" s="131"/>
      <c r="CJ44" s="134"/>
      <c r="CK44" s="133"/>
      <c r="CL44" s="131"/>
      <c r="CM44" s="134"/>
      <c r="CN44" s="133"/>
      <c r="CO44" s="131"/>
      <c r="CP44" s="134"/>
      <c r="CQ44" s="133"/>
      <c r="CR44" s="131"/>
      <c r="CS44" s="134"/>
      <c r="CT44" s="133"/>
      <c r="CU44" s="131"/>
      <c r="CV44" s="134"/>
      <c r="CW44" s="133"/>
      <c r="CX44" s="131"/>
      <c r="CY44" s="134"/>
      <c r="CZ44" s="133"/>
      <c r="DA44" s="140"/>
      <c r="DB44" s="141"/>
      <c r="DC44" s="142"/>
      <c r="DD44" s="140"/>
      <c r="DE44" s="141"/>
      <c r="DF44" s="142"/>
      <c r="DG44" s="140"/>
      <c r="DH44" s="141"/>
      <c r="DI44" s="142"/>
      <c r="DJ44" s="140"/>
      <c r="DK44" s="141"/>
      <c r="DL44" s="142"/>
      <c r="DM44" s="140"/>
      <c r="DN44" s="141"/>
      <c r="DO44" s="142"/>
      <c r="DP44" s="140"/>
      <c r="DQ44" s="141"/>
      <c r="DR44" s="142"/>
      <c r="DS44" s="140"/>
      <c r="DT44" s="141"/>
      <c r="DU44" s="142"/>
      <c r="DV44" s="140"/>
      <c r="DW44" s="141"/>
      <c r="DX44" s="142"/>
      <c r="DY44" s="140"/>
      <c r="DZ44" s="141"/>
      <c r="EA44" s="142"/>
      <c r="EB44" s="140"/>
      <c r="EC44" s="141"/>
      <c r="ED44" s="142"/>
      <c r="EE44" s="140"/>
      <c r="EF44" s="141"/>
      <c r="EG44" s="142"/>
      <c r="EH44" s="140"/>
      <c r="EI44" s="141"/>
      <c r="EJ44" s="142"/>
      <c r="EK44" s="140"/>
      <c r="EL44" s="141"/>
      <c r="EM44" s="142"/>
      <c r="EN44" s="140"/>
      <c r="EO44" s="141"/>
      <c r="EP44" s="142"/>
      <c r="EQ44" s="140"/>
      <c r="ER44" s="141"/>
      <c r="ES44" s="142"/>
      <c r="ET44" s="140"/>
      <c r="EU44" s="141"/>
      <c r="EV44" s="142"/>
      <c r="EW44" s="140"/>
      <c r="EX44" s="141"/>
      <c r="EY44" s="142"/>
      <c r="EZ44" s="140"/>
      <c r="FA44" s="141"/>
      <c r="FB44" s="142"/>
      <c r="FC44" s="140"/>
      <c r="FD44" s="141"/>
      <c r="FE44" s="142"/>
      <c r="FF44" s="140"/>
      <c r="FG44" s="141"/>
      <c r="FH44" s="142"/>
      <c r="FI44" s="140"/>
      <c r="FJ44" s="141"/>
      <c r="FK44" s="142"/>
      <c r="FL44" s="140"/>
      <c r="FM44" s="141"/>
      <c r="FN44" s="142"/>
      <c r="FO44" s="140"/>
      <c r="FP44" s="141"/>
      <c r="FQ44" s="142"/>
      <c r="FR44" s="140"/>
      <c r="FS44" s="141"/>
      <c r="FT44" s="142"/>
      <c r="FU44" s="140"/>
      <c r="FV44" s="141"/>
      <c r="FW44" s="142"/>
      <c r="FX44" s="140"/>
      <c r="FY44" s="141"/>
      <c r="FZ44" s="142"/>
      <c r="GA44" s="140"/>
      <c r="GB44" s="141"/>
      <c r="GC44" s="142"/>
      <c r="GD44" s="140"/>
      <c r="GE44" s="141"/>
      <c r="GF44" s="142"/>
      <c r="GG44" s="140"/>
      <c r="GH44" s="141"/>
      <c r="GI44" s="142"/>
      <c r="GJ44" s="140"/>
      <c r="GK44" s="141"/>
      <c r="GL44" s="142"/>
      <c r="GM44" s="140"/>
      <c r="GN44" s="141"/>
      <c r="GO44" s="142"/>
      <c r="GP44" s="140"/>
      <c r="GQ44" s="141"/>
      <c r="GR44" s="142"/>
      <c r="GS44" s="140"/>
      <c r="GT44" s="141"/>
      <c r="GU44" s="142"/>
      <c r="GV44" s="140"/>
      <c r="GW44" s="141"/>
      <c r="GX44" s="142"/>
      <c r="GY44" s="164"/>
      <c r="GZ44" s="134"/>
      <c r="HA44" s="185"/>
      <c r="HB44" s="131"/>
      <c r="HC44" s="307"/>
      <c r="HD44" s="131"/>
      <c r="HE44" s="307"/>
      <c r="HF44" s="131"/>
      <c r="HG44" s="307"/>
      <c r="HH44" s="131"/>
      <c r="HI44" s="307"/>
      <c r="HJ44" s="131"/>
      <c r="HK44" s="307"/>
      <c r="HL44" s="131"/>
      <c r="HM44" s="307"/>
      <c r="HN44" s="131"/>
      <c r="HO44" s="307"/>
      <c r="HP44" s="131"/>
      <c r="HQ44" s="307"/>
      <c r="HR44" s="131"/>
      <c r="HS44" s="307"/>
      <c r="HT44" s="131">
        <f>+'1915 Hacienda'!D26</f>
        <v>1019</v>
      </c>
      <c r="HU44" s="307">
        <f>+'1915 Hacienda'!E26</f>
        <v>20</v>
      </c>
    </row>
    <row r="45" spans="1:229" x14ac:dyDescent="0.2">
      <c r="A45" s="164" t="s">
        <v>5895</v>
      </c>
      <c r="B45" s="131"/>
      <c r="C45" s="134"/>
      <c r="D45" s="133"/>
      <c r="E45" s="131"/>
      <c r="F45" s="134"/>
      <c r="G45" s="133"/>
      <c r="H45" s="131"/>
      <c r="I45" s="134"/>
      <c r="J45" s="133"/>
      <c r="K45" s="131"/>
      <c r="L45" s="134"/>
      <c r="M45" s="133"/>
      <c r="N45" s="131"/>
      <c r="O45" s="134"/>
      <c r="P45" s="133"/>
      <c r="Q45" s="131"/>
      <c r="R45" s="134"/>
      <c r="S45" s="133"/>
      <c r="T45" s="131"/>
      <c r="U45" s="134"/>
      <c r="V45" s="133"/>
      <c r="W45" s="131"/>
      <c r="X45" s="134"/>
      <c r="Y45" s="133"/>
      <c r="Z45" s="131"/>
      <c r="AA45" s="134"/>
      <c r="AB45" s="133"/>
      <c r="AC45" s="131"/>
      <c r="AD45" s="134"/>
      <c r="AE45" s="133"/>
      <c r="AF45" s="131"/>
      <c r="AG45" s="134"/>
      <c r="AH45" s="133"/>
      <c r="AI45" s="145"/>
      <c r="AJ45" s="134"/>
      <c r="AK45" s="133"/>
      <c r="AL45" s="131"/>
      <c r="AM45" s="134"/>
      <c r="AN45" s="133"/>
      <c r="AO45" s="131"/>
      <c r="AP45" s="134"/>
      <c r="AQ45" s="133"/>
      <c r="AR45" s="131"/>
      <c r="AS45" s="134"/>
      <c r="AT45" s="180"/>
      <c r="AU45" s="131"/>
      <c r="AV45" s="185"/>
      <c r="AW45" s="131"/>
      <c r="AX45" s="185"/>
      <c r="AY45" s="131"/>
      <c r="AZ45" s="185"/>
      <c r="BA45" s="131"/>
      <c r="BB45" s="185"/>
      <c r="BC45" s="131"/>
      <c r="BD45" s="185"/>
      <c r="BE45" s="131"/>
      <c r="BF45" s="185"/>
      <c r="BG45" s="131"/>
      <c r="BH45" s="185"/>
      <c r="BI45" s="131"/>
      <c r="BJ45" s="185"/>
      <c r="BK45" s="131"/>
      <c r="BL45" s="185"/>
      <c r="BM45" s="131"/>
      <c r="BN45" s="185"/>
      <c r="BO45" s="131"/>
      <c r="BP45" s="134"/>
      <c r="BQ45" s="131"/>
      <c r="BR45" s="134"/>
      <c r="BS45" s="133"/>
      <c r="BT45" s="131"/>
      <c r="BU45" s="134"/>
      <c r="BV45" s="131"/>
      <c r="BW45" s="134"/>
      <c r="BX45" s="131"/>
      <c r="BY45" s="134"/>
      <c r="BZ45" s="131"/>
      <c r="CA45" s="134"/>
      <c r="CB45" s="133"/>
      <c r="CC45" s="131"/>
      <c r="CD45" s="134"/>
      <c r="CE45" s="133"/>
      <c r="CF45" s="131"/>
      <c r="CG45" s="134"/>
      <c r="CH45" s="133"/>
      <c r="CI45" s="131"/>
      <c r="CJ45" s="134"/>
      <c r="CK45" s="133"/>
      <c r="CL45" s="131"/>
      <c r="CM45" s="134"/>
      <c r="CN45" s="133"/>
      <c r="CO45" s="131"/>
      <c r="CP45" s="134"/>
      <c r="CQ45" s="133"/>
      <c r="CR45" s="131"/>
      <c r="CS45" s="134"/>
      <c r="CT45" s="133"/>
      <c r="CU45" s="131"/>
      <c r="CV45" s="134"/>
      <c r="CW45" s="133"/>
      <c r="CX45" s="131"/>
      <c r="CY45" s="134"/>
      <c r="CZ45" s="133"/>
      <c r="DA45" s="140"/>
      <c r="DB45" s="141"/>
      <c r="DC45" s="142"/>
      <c r="DD45" s="140"/>
      <c r="DE45" s="141"/>
      <c r="DF45" s="142"/>
      <c r="DG45" s="140"/>
      <c r="DH45" s="141"/>
      <c r="DI45" s="142"/>
      <c r="DJ45" s="140"/>
      <c r="DK45" s="141"/>
      <c r="DL45" s="142"/>
      <c r="DM45" s="140"/>
      <c r="DN45" s="141"/>
      <c r="DO45" s="142"/>
      <c r="DP45" s="140"/>
      <c r="DQ45" s="141"/>
      <c r="DR45" s="142"/>
      <c r="DS45" s="140"/>
      <c r="DT45" s="141"/>
      <c r="DU45" s="142"/>
      <c r="DV45" s="140"/>
      <c r="DW45" s="141"/>
      <c r="DX45" s="142"/>
      <c r="DY45" s="140"/>
      <c r="DZ45" s="141"/>
      <c r="EA45" s="142"/>
      <c r="EB45" s="140"/>
      <c r="EC45" s="141"/>
      <c r="ED45" s="142"/>
      <c r="EE45" s="140"/>
      <c r="EF45" s="141"/>
      <c r="EG45" s="142"/>
      <c r="EH45" s="140"/>
      <c r="EI45" s="141"/>
      <c r="EJ45" s="142"/>
      <c r="EK45" s="140"/>
      <c r="EL45" s="141"/>
      <c r="EM45" s="142"/>
      <c r="EN45" s="140"/>
      <c r="EO45" s="141"/>
      <c r="EP45" s="142"/>
      <c r="EQ45" s="140"/>
      <c r="ER45" s="141"/>
      <c r="ES45" s="142"/>
      <c r="ET45" s="140"/>
      <c r="EU45" s="141"/>
      <c r="EV45" s="142"/>
      <c r="EW45" s="140"/>
      <c r="EX45" s="141"/>
      <c r="EY45" s="142"/>
      <c r="EZ45" s="140"/>
      <c r="FA45" s="141"/>
      <c r="FB45" s="142"/>
      <c r="FC45" s="140"/>
      <c r="FD45" s="141"/>
      <c r="FE45" s="142"/>
      <c r="FF45" s="140"/>
      <c r="FG45" s="141"/>
      <c r="FH45" s="142"/>
      <c r="FI45" s="140"/>
      <c r="FJ45" s="141"/>
      <c r="FK45" s="142"/>
      <c r="FL45" s="140"/>
      <c r="FM45" s="141"/>
      <c r="FN45" s="142"/>
      <c r="FO45" s="140"/>
      <c r="FP45" s="141"/>
      <c r="FQ45" s="142"/>
      <c r="FR45" s="140"/>
      <c r="FS45" s="141"/>
      <c r="FT45" s="142"/>
      <c r="FU45" s="140"/>
      <c r="FV45" s="141"/>
      <c r="FW45" s="142"/>
      <c r="FX45" s="140"/>
      <c r="FY45" s="141"/>
      <c r="FZ45" s="142"/>
      <c r="GA45" s="140"/>
      <c r="GB45" s="141"/>
      <c r="GC45" s="142"/>
      <c r="GD45" s="140"/>
      <c r="GE45" s="141"/>
      <c r="GF45" s="142"/>
      <c r="GG45" s="140"/>
      <c r="GH45" s="141"/>
      <c r="GI45" s="142"/>
      <c r="GJ45" s="140"/>
      <c r="GK45" s="141"/>
      <c r="GL45" s="142"/>
      <c r="GM45" s="140"/>
      <c r="GN45" s="141"/>
      <c r="GO45" s="142"/>
      <c r="GP45" s="140"/>
      <c r="GQ45" s="141"/>
      <c r="GR45" s="142"/>
      <c r="GS45" s="140"/>
      <c r="GT45" s="141"/>
      <c r="GU45" s="142"/>
      <c r="GV45" s="140"/>
      <c r="GW45" s="141"/>
      <c r="GX45" s="142"/>
      <c r="GY45" s="164"/>
      <c r="GZ45" s="134"/>
      <c r="HA45" s="185"/>
      <c r="HB45" s="131"/>
      <c r="HC45" s="307"/>
      <c r="HD45" s="131"/>
      <c r="HE45" s="307"/>
      <c r="HF45" s="131"/>
      <c r="HG45" s="307"/>
      <c r="HH45" s="131"/>
      <c r="HI45" s="307"/>
      <c r="HJ45" s="131"/>
      <c r="HK45" s="307"/>
      <c r="HL45" s="131"/>
      <c r="HM45" s="307"/>
      <c r="HN45" s="131"/>
      <c r="HO45" s="307"/>
      <c r="HP45" s="131"/>
      <c r="HQ45" s="307"/>
      <c r="HR45" s="131"/>
      <c r="HS45" s="307"/>
      <c r="HT45" s="131">
        <f>+'1915 Hacienda'!D30</f>
        <v>127588</v>
      </c>
      <c r="HU45" s="307">
        <f>+'1915 Hacienda'!E30</f>
        <v>81</v>
      </c>
    </row>
    <row r="46" spans="1:229" x14ac:dyDescent="0.2">
      <c r="A46" s="134" t="s">
        <v>5428</v>
      </c>
      <c r="B46" s="131"/>
      <c r="C46" s="134"/>
      <c r="D46" s="133"/>
      <c r="E46" s="131"/>
      <c r="F46" s="134"/>
      <c r="G46" s="133"/>
      <c r="H46" s="131"/>
      <c r="I46" s="134"/>
      <c r="J46" s="133"/>
      <c r="K46" s="131"/>
      <c r="L46" s="134"/>
      <c r="M46" s="133"/>
      <c r="N46" s="131"/>
      <c r="O46" s="134"/>
      <c r="P46" s="133"/>
      <c r="Q46" s="131"/>
      <c r="R46" s="134"/>
      <c r="S46" s="133"/>
      <c r="T46" s="131"/>
      <c r="U46" s="134"/>
      <c r="V46" s="133"/>
      <c r="W46" s="131"/>
      <c r="X46" s="134"/>
      <c r="Y46" s="133"/>
      <c r="Z46" s="131"/>
      <c r="AA46" s="134"/>
      <c r="AB46" s="133"/>
      <c r="AC46" s="131"/>
      <c r="AD46" s="134"/>
      <c r="AE46" s="133"/>
      <c r="AF46" s="131"/>
      <c r="AG46" s="134"/>
      <c r="AH46" s="133"/>
      <c r="AI46" s="145"/>
      <c r="AJ46" s="134"/>
      <c r="AK46" s="133"/>
      <c r="AL46" s="131"/>
      <c r="AM46" s="134"/>
      <c r="AN46" s="133"/>
      <c r="AO46" s="131"/>
      <c r="AP46" s="134"/>
      <c r="AQ46" s="133"/>
      <c r="AR46" s="131"/>
      <c r="AS46" s="134"/>
      <c r="AT46" s="180"/>
      <c r="AU46" s="131"/>
      <c r="AV46" s="185"/>
      <c r="AW46" s="131"/>
      <c r="AX46" s="185"/>
      <c r="AY46" s="131"/>
      <c r="AZ46" s="185"/>
      <c r="BA46" s="131">
        <f>+'1858 Hacienda'!B495</f>
        <v>17067</v>
      </c>
      <c r="BB46" s="185">
        <f>+'1858 Hacienda'!C495</f>
        <v>606</v>
      </c>
      <c r="BC46" s="131"/>
      <c r="BD46" s="185"/>
      <c r="BE46" s="131">
        <f>+'1858 Hacienda'!B1049</f>
        <v>25349</v>
      </c>
      <c r="BF46" s="185">
        <f>+'1858 Hacienda'!C1049</f>
        <v>168</v>
      </c>
      <c r="BG46" s="131">
        <f>+'1858 Hacienda'!B1069</f>
        <v>16463</v>
      </c>
      <c r="BH46" s="185">
        <f>+'1858 Hacienda'!C1069</f>
        <v>435</v>
      </c>
      <c r="BI46" s="131">
        <f>+'1858 Hacienda'!B1089</f>
        <v>57773</v>
      </c>
      <c r="BJ46" s="185">
        <f>+'1858 Hacienda'!C1089</f>
        <v>325</v>
      </c>
      <c r="BK46" s="131">
        <f>+'1858 Hacienda'!B1110</f>
        <v>30528</v>
      </c>
      <c r="BL46" s="185">
        <f>+'1858 Hacienda'!C1110</f>
        <v>145</v>
      </c>
      <c r="BM46" s="131">
        <f>+'1858 Hacienda'!B1123</f>
        <v>45813</v>
      </c>
      <c r="BN46" s="185">
        <f>+'1858 Hacienda'!C1123</f>
        <v>430</v>
      </c>
      <c r="BO46" s="131"/>
      <c r="BP46" s="134"/>
      <c r="BQ46" s="131">
        <f>+'1858 Hacienda'!B284</f>
        <v>22366</v>
      </c>
      <c r="BR46" s="134">
        <f>+'1858 Hacienda'!C284</f>
        <v>63</v>
      </c>
      <c r="BS46" s="133">
        <f>+'1858 Hacienda'!D284</f>
        <v>0</v>
      </c>
      <c r="BT46" s="131"/>
      <c r="BU46" s="134"/>
      <c r="BV46" s="131"/>
      <c r="BW46" s="134"/>
      <c r="BX46" s="131"/>
      <c r="BY46" s="134"/>
      <c r="BZ46" s="131"/>
      <c r="CA46" s="134"/>
      <c r="CB46" s="133"/>
      <c r="CC46" s="131"/>
      <c r="CD46" s="134"/>
      <c r="CE46" s="133"/>
      <c r="CF46" s="131"/>
      <c r="CG46" s="134"/>
      <c r="CH46" s="133"/>
      <c r="CI46" s="131">
        <f>+'1869 Hacienda'!B49</f>
        <v>76789</v>
      </c>
      <c r="CK46" s="133"/>
      <c r="CL46" s="131">
        <f>+'1869 Hacienda'!C49</f>
        <v>0</v>
      </c>
      <c r="CN46" s="133"/>
      <c r="CO46" s="131">
        <f>+'1869 Hacienda'!D49</f>
        <v>90927</v>
      </c>
      <c r="CQ46" s="133"/>
      <c r="CR46" s="131">
        <f>+'1869 Hacienda'!E49</f>
        <v>102200</v>
      </c>
      <c r="CT46" s="133"/>
      <c r="CU46" s="107">
        <f>+'1869 Hacienda'!F49</f>
        <v>14700</v>
      </c>
      <c r="CV46" s="134"/>
      <c r="CW46" s="133"/>
      <c r="CX46" s="131">
        <f>+'1869 Hacienda'!B10</f>
        <v>26600</v>
      </c>
      <c r="CY46" s="134"/>
      <c r="CZ46" s="133"/>
      <c r="DA46" s="140">
        <f>+'1872 Hacienda'!B11</f>
        <v>37271</v>
      </c>
      <c r="DB46" s="141">
        <f>+'1872 Hacienda'!C11</f>
        <v>50</v>
      </c>
      <c r="DC46" s="142">
        <f>+'1872 Hacienda'!D11</f>
        <v>0</v>
      </c>
      <c r="DD46" s="140"/>
      <c r="DE46" s="141"/>
      <c r="DF46" s="142"/>
      <c r="DG46" s="140"/>
      <c r="DH46" s="141"/>
      <c r="DI46" s="142"/>
      <c r="DJ46" s="140">
        <f>+'1875 Hacienda'!B15</f>
        <v>80000</v>
      </c>
      <c r="DK46" s="141"/>
      <c r="DL46" s="142"/>
      <c r="DM46" s="140"/>
      <c r="DN46" s="141"/>
      <c r="DO46" s="142"/>
      <c r="DP46" s="140"/>
      <c r="DQ46" s="141"/>
      <c r="DR46" s="142"/>
      <c r="DS46" s="140"/>
      <c r="DT46" s="141"/>
      <c r="DU46" s="142"/>
      <c r="DV46" s="140"/>
      <c r="DW46" s="141"/>
      <c r="DX46" s="142"/>
      <c r="DY46" s="140">
        <f>+'1880 Hacienda'!B7</f>
        <v>37200</v>
      </c>
      <c r="DZ46" s="141">
        <f>+'1880 Hacienda'!C7</f>
        <v>35</v>
      </c>
      <c r="EA46" s="142"/>
      <c r="EB46" s="140">
        <f>+'1881 Hacienda'!B7</f>
        <v>12560</v>
      </c>
      <c r="EC46" s="141">
        <f>+'1881 Hacienda'!C7</f>
        <v>738</v>
      </c>
      <c r="ED46" s="142"/>
      <c r="EE46" s="140">
        <f>+'1882 Hacienda'!B14</f>
        <v>2940</v>
      </c>
      <c r="EF46" s="141">
        <f>+'1882 Hacienda'!C14</f>
        <v>10</v>
      </c>
      <c r="EG46" s="142">
        <f>+'1882 Hacienda'!D14</f>
        <v>0</v>
      </c>
      <c r="EH46" s="140"/>
      <c r="EI46" s="141"/>
      <c r="EJ46" s="142"/>
      <c r="EK46" s="140"/>
      <c r="EL46" s="141"/>
      <c r="EM46" s="142"/>
      <c r="EN46" s="140"/>
      <c r="EO46" s="141"/>
      <c r="EP46" s="142"/>
      <c r="EQ46" s="140"/>
      <c r="ER46" s="141"/>
      <c r="ES46" s="142"/>
      <c r="ET46" s="140"/>
      <c r="EU46" s="141"/>
      <c r="EV46" s="142"/>
      <c r="EW46" s="140"/>
      <c r="EX46" s="141"/>
      <c r="EY46" s="142"/>
      <c r="EZ46" s="140"/>
      <c r="FA46" s="141"/>
      <c r="FB46" s="142"/>
      <c r="FC46" s="140">
        <f>+'1890 Hacienda'!B221</f>
        <v>42650</v>
      </c>
      <c r="FD46" s="141"/>
      <c r="FE46" s="142"/>
      <c r="FF46" s="140"/>
      <c r="FG46" s="141"/>
      <c r="FH46" s="142"/>
      <c r="FI46" s="140"/>
      <c r="FJ46" s="141"/>
      <c r="FK46" s="142"/>
      <c r="FL46" s="140"/>
      <c r="FM46" s="141"/>
      <c r="FN46" s="142"/>
      <c r="FO46" s="140">
        <f>+'1894 Hacienda'!F25</f>
        <v>18827</v>
      </c>
      <c r="FP46" s="141">
        <f>+'1894 Hacienda'!G25</f>
        <v>10</v>
      </c>
      <c r="FQ46" s="142"/>
      <c r="FR46" s="140">
        <f>+'1896 Hacienda'!C26</f>
        <v>3917</v>
      </c>
      <c r="FS46" s="141"/>
      <c r="FT46" s="142"/>
      <c r="FU46" s="140">
        <f>+'1896 Hacienda'!F26</f>
        <v>123486</v>
      </c>
      <c r="FV46" s="141">
        <f>+'1896 Hacienda'!G26</f>
        <v>20</v>
      </c>
      <c r="FW46" s="142"/>
      <c r="FX46" s="140">
        <f>+'1896 Hacienda'!L26</f>
        <v>5584</v>
      </c>
      <c r="FY46" s="141">
        <f>+'1896 Hacienda'!M26</f>
        <v>65</v>
      </c>
      <c r="FZ46" s="142"/>
      <c r="GA46" s="140">
        <f>+'1898 Hacienda'!E24</f>
        <v>10884</v>
      </c>
      <c r="GB46" s="141">
        <f>+'1898 Hacienda'!F24</f>
        <v>25</v>
      </c>
      <c r="GC46" s="142"/>
      <c r="GD46" s="140">
        <f>+'1898 Hacienda'!K24</f>
        <v>18959</v>
      </c>
      <c r="GE46" s="141">
        <f>+'1898 Hacienda'!L24</f>
        <v>40</v>
      </c>
      <c r="GF46" s="142"/>
      <c r="GG46" s="140"/>
      <c r="GH46" s="141"/>
      <c r="GI46" s="142"/>
      <c r="GJ46" s="140"/>
      <c r="GK46" s="141"/>
      <c r="GL46" s="142"/>
      <c r="GM46" s="140"/>
      <c r="GN46" s="141"/>
      <c r="GO46" s="142"/>
      <c r="GP46" s="140"/>
      <c r="GQ46" s="141"/>
      <c r="GR46" s="142"/>
      <c r="GS46" s="140"/>
      <c r="GT46" s="141"/>
      <c r="GU46" s="142"/>
      <c r="GV46" s="140"/>
      <c r="GW46" s="141"/>
      <c r="GX46" s="142"/>
      <c r="GY46" s="164"/>
      <c r="GZ46" s="134"/>
      <c r="HA46" s="185"/>
      <c r="HB46" s="131">
        <f>'1910 Hacienda'!C13</f>
        <v>7946</v>
      </c>
      <c r="HC46" s="307">
        <f>'1910 Hacienda'!D13</f>
        <v>83</v>
      </c>
      <c r="HD46" s="131">
        <f>'1910 Hacienda'!C38</f>
        <v>25590</v>
      </c>
      <c r="HE46" s="307">
        <f>'1910 Hacienda'!D38</f>
        <v>40</v>
      </c>
      <c r="HF46" s="131">
        <f>'1910 Hacienda'!C67</f>
        <v>17458</v>
      </c>
      <c r="HG46" s="307">
        <f>'1910 Hacienda'!D67</f>
        <v>77</v>
      </c>
      <c r="HH46" s="131">
        <f>'1910 Hacienda'!C94</f>
        <v>1011651</v>
      </c>
      <c r="HI46" s="307">
        <f>'1910 Hacienda'!D94</f>
        <v>38</v>
      </c>
      <c r="HJ46" s="131">
        <f>'1910 Hacienda'!C138</f>
        <v>20973</v>
      </c>
      <c r="HK46" s="307">
        <f>'1910 Hacienda'!D138</f>
        <v>28</v>
      </c>
      <c r="HL46" s="131">
        <f>+'1911 Hacienda'!B34</f>
        <v>38223</v>
      </c>
      <c r="HM46" s="307">
        <f>+'1911 Hacienda'!C34</f>
        <v>93</v>
      </c>
      <c r="HN46" s="131"/>
      <c r="HO46" s="307"/>
      <c r="HP46" s="131">
        <f>+'1912 Hacienda'!B19</f>
        <v>18277</v>
      </c>
      <c r="HQ46" s="307">
        <f>+'1912 Hacienda'!C19</f>
        <v>58</v>
      </c>
      <c r="HR46" s="131"/>
      <c r="HS46" s="307"/>
      <c r="HT46" s="131">
        <f>+'1915 Hacienda'!D6</f>
        <v>8750</v>
      </c>
      <c r="HU46" s="307">
        <f>+'1915 Hacienda'!E6</f>
        <v>97</v>
      </c>
    </row>
    <row r="47" spans="1:229" x14ac:dyDescent="0.2">
      <c r="A47" s="134" t="s">
        <v>5430</v>
      </c>
      <c r="B47" s="131"/>
      <c r="C47" s="134"/>
      <c r="D47" s="133"/>
      <c r="E47" s="131"/>
      <c r="F47" s="134"/>
      <c r="G47" s="133"/>
      <c r="H47" s="131"/>
      <c r="I47" s="134"/>
      <c r="J47" s="133"/>
      <c r="K47" s="131"/>
      <c r="L47" s="134"/>
      <c r="M47" s="133"/>
      <c r="N47" s="131"/>
      <c r="O47" s="134"/>
      <c r="P47" s="133"/>
      <c r="Q47" s="131"/>
      <c r="R47" s="134"/>
      <c r="S47" s="133"/>
      <c r="T47" s="131"/>
      <c r="U47" s="134"/>
      <c r="V47" s="133"/>
      <c r="W47" s="131"/>
      <c r="X47" s="134"/>
      <c r="Y47" s="133"/>
      <c r="Z47" s="131"/>
      <c r="AA47" s="134"/>
      <c r="AB47" s="133"/>
      <c r="AC47" s="131"/>
      <c r="AD47" s="134"/>
      <c r="AE47" s="133"/>
      <c r="AF47" s="131"/>
      <c r="AG47" s="134"/>
      <c r="AH47" s="133"/>
      <c r="AI47" s="145"/>
      <c r="AJ47" s="134"/>
      <c r="AK47" s="133"/>
      <c r="AL47" s="131"/>
      <c r="AM47" s="134"/>
      <c r="AN47" s="133"/>
      <c r="AO47" s="131"/>
      <c r="AP47" s="134"/>
      <c r="AQ47" s="133"/>
      <c r="AR47" s="131"/>
      <c r="AS47" s="134"/>
      <c r="AT47" s="180"/>
      <c r="AU47" s="131"/>
      <c r="AV47" s="185"/>
      <c r="AW47" s="131"/>
      <c r="AX47" s="185"/>
      <c r="AY47" s="131"/>
      <c r="AZ47" s="185"/>
      <c r="BA47" s="131"/>
      <c r="BB47" s="185"/>
      <c r="BC47" s="131"/>
      <c r="BD47" s="185"/>
      <c r="BE47" s="131"/>
      <c r="BF47" s="185"/>
      <c r="BG47" s="131"/>
      <c r="BH47" s="185"/>
      <c r="BI47" s="131"/>
      <c r="BJ47" s="185"/>
      <c r="BK47" s="131"/>
      <c r="BL47" s="185"/>
      <c r="BM47" s="131"/>
      <c r="BN47" s="185"/>
      <c r="BO47" s="131"/>
      <c r="BP47" s="134"/>
      <c r="BQ47" s="131"/>
      <c r="BR47" s="134"/>
      <c r="BS47" s="133"/>
      <c r="BT47" s="131"/>
      <c r="BU47" s="134"/>
      <c r="BV47" s="131"/>
      <c r="BW47" s="134"/>
      <c r="BX47" s="131"/>
      <c r="BY47" s="134"/>
      <c r="BZ47" s="131"/>
      <c r="CA47" s="134"/>
      <c r="CB47" s="133"/>
      <c r="CC47" s="131"/>
      <c r="CD47" s="134"/>
      <c r="CE47" s="133"/>
      <c r="CF47" s="131"/>
      <c r="CG47" s="134"/>
      <c r="CH47" s="133"/>
      <c r="CI47" s="131"/>
      <c r="CJ47" s="134"/>
      <c r="CK47" s="133"/>
      <c r="CL47" s="131"/>
      <c r="CM47" s="134"/>
      <c r="CN47" s="133"/>
      <c r="CO47" s="131"/>
      <c r="CP47" s="134"/>
      <c r="CQ47" s="133"/>
      <c r="CR47" s="131"/>
      <c r="CS47" s="134"/>
      <c r="CT47" s="133"/>
      <c r="CU47" s="131"/>
      <c r="CV47" s="134"/>
      <c r="CW47" s="133"/>
      <c r="CX47" s="131"/>
      <c r="CY47" s="134"/>
      <c r="CZ47" s="133"/>
      <c r="DA47" s="140"/>
      <c r="DB47" s="141"/>
      <c r="DC47" s="142"/>
      <c r="DD47" s="140"/>
      <c r="DE47" s="141"/>
      <c r="DF47" s="142"/>
      <c r="DG47" s="140"/>
      <c r="DH47" s="141"/>
      <c r="DI47" s="142"/>
      <c r="DJ47" s="140"/>
      <c r="DK47" s="141"/>
      <c r="DL47" s="142"/>
      <c r="DM47" s="140"/>
      <c r="DN47" s="141"/>
      <c r="DO47" s="142"/>
      <c r="DP47" s="140"/>
      <c r="DQ47" s="141"/>
      <c r="DR47" s="142"/>
      <c r="DS47" s="140"/>
      <c r="DT47" s="141"/>
      <c r="DU47" s="142"/>
      <c r="DV47" s="140"/>
      <c r="DW47" s="141"/>
      <c r="DX47" s="142"/>
      <c r="DY47" s="140"/>
      <c r="DZ47" s="141"/>
      <c r="EA47" s="142"/>
      <c r="EB47" s="140"/>
      <c r="EC47" s="141"/>
      <c r="ED47" s="142"/>
      <c r="EE47" s="140"/>
      <c r="EF47" s="141"/>
      <c r="EG47" s="142"/>
      <c r="EH47" s="140"/>
      <c r="EI47" s="141"/>
      <c r="EJ47" s="142"/>
      <c r="EK47" s="140"/>
      <c r="EL47" s="141"/>
      <c r="EM47" s="142"/>
      <c r="EN47" s="140"/>
      <c r="EO47" s="141"/>
      <c r="EP47" s="142"/>
      <c r="EQ47" s="140"/>
      <c r="ER47" s="141"/>
      <c r="ES47" s="142"/>
      <c r="ET47" s="140"/>
      <c r="EU47" s="141"/>
      <c r="EV47" s="142"/>
      <c r="EW47" s="140"/>
      <c r="EX47" s="141"/>
      <c r="EY47" s="142"/>
      <c r="EZ47" s="140"/>
      <c r="FA47" s="141"/>
      <c r="FB47" s="142"/>
      <c r="FC47" s="140">
        <f>+'1890 Hacienda'!B229</f>
        <v>1423</v>
      </c>
      <c r="FD47" s="141">
        <f>+'1890 Hacienda'!C229</f>
        <v>50</v>
      </c>
      <c r="FE47" s="142"/>
      <c r="FF47" s="140">
        <f>+'1890 Hacienda'!E229</f>
        <v>2212</v>
      </c>
      <c r="FG47" s="141">
        <f>+'1890 Hacienda'!F229</f>
        <v>35</v>
      </c>
      <c r="FH47" s="142"/>
      <c r="FI47" s="140"/>
      <c r="FJ47" s="141"/>
      <c r="FK47" s="142"/>
      <c r="FL47" s="140">
        <f>+'1894 Hacienda'!C24</f>
        <v>1938</v>
      </c>
      <c r="FM47" s="141">
        <f>+'1894 Hacienda'!D24</f>
        <v>5</v>
      </c>
      <c r="FN47" s="142"/>
      <c r="FO47" s="140">
        <f>+'1894 Hacienda'!F24</f>
        <v>2170</v>
      </c>
      <c r="FP47" s="141">
        <f>+'1894 Hacienda'!G24</f>
        <v>35</v>
      </c>
      <c r="FQ47" s="142"/>
      <c r="FR47" s="140">
        <f>+'1896 Hacienda'!C25</f>
        <v>3440</v>
      </c>
      <c r="FS47" s="141">
        <f>+'1896 Hacienda'!D25</f>
        <v>20</v>
      </c>
      <c r="FT47" s="142"/>
      <c r="FU47" s="140">
        <f>+'1896 Hacienda'!F25</f>
        <v>5886</v>
      </c>
      <c r="FV47" s="141">
        <f>+'1896 Hacienda'!G25</f>
        <v>75</v>
      </c>
      <c r="FW47" s="142"/>
      <c r="FX47" s="140">
        <f>+'1896 Hacienda'!L25</f>
        <v>7016</v>
      </c>
      <c r="FY47" s="141">
        <f>+'1896 Hacienda'!M25</f>
        <v>95</v>
      </c>
      <c r="FZ47" s="142"/>
      <c r="GA47" s="140">
        <f>+'1898 Hacienda'!E23</f>
        <v>17187</v>
      </c>
      <c r="GB47" s="141">
        <f>+'1898 Hacienda'!F23</f>
        <v>60</v>
      </c>
      <c r="GC47" s="142"/>
      <c r="GD47" s="140">
        <f>+'1898 Hacienda'!K23</f>
        <v>20947</v>
      </c>
      <c r="GE47" s="141">
        <f>+'1898 Hacienda'!L23</f>
        <v>60</v>
      </c>
      <c r="GF47" s="142"/>
      <c r="GG47" s="140"/>
      <c r="GH47" s="141"/>
      <c r="GI47" s="142"/>
      <c r="GJ47" s="140"/>
      <c r="GK47" s="141"/>
      <c r="GL47" s="142"/>
      <c r="GM47" s="140"/>
      <c r="GN47" s="141"/>
      <c r="GO47" s="142"/>
      <c r="GP47" s="140"/>
      <c r="GQ47" s="141"/>
      <c r="GR47" s="142"/>
      <c r="GS47" s="140"/>
      <c r="GT47" s="141"/>
      <c r="GU47" s="142"/>
      <c r="GV47" s="140"/>
      <c r="GW47" s="141"/>
      <c r="GX47" s="142"/>
      <c r="GY47" s="164"/>
      <c r="GZ47" s="134"/>
      <c r="HA47" s="185"/>
      <c r="HB47" s="131">
        <f>'1910 Hacienda'!C16</f>
        <v>62953</v>
      </c>
      <c r="HC47" s="307">
        <f>'1910 Hacienda'!D16</f>
        <v>61</v>
      </c>
      <c r="HD47" s="131">
        <f>'1910 Hacienda'!C40</f>
        <v>250169</v>
      </c>
      <c r="HE47" s="307">
        <f>'1910 Hacienda'!D40</f>
        <v>36</v>
      </c>
      <c r="HF47" s="131">
        <f>'1910 Hacienda'!C68</f>
        <v>130209</v>
      </c>
      <c r="HG47" s="307">
        <f>'1910 Hacienda'!D68</f>
        <v>92</v>
      </c>
      <c r="HH47" s="131">
        <f>'1910 Hacienda'!C88</f>
        <v>139278</v>
      </c>
      <c r="HI47" s="307">
        <f>'1910 Hacienda'!D88</f>
        <v>26</v>
      </c>
      <c r="HJ47" s="131">
        <f>'1910 Hacienda'!C130</f>
        <v>139658</v>
      </c>
      <c r="HK47" s="307">
        <f>'1910 Hacienda'!D130</f>
        <v>25</v>
      </c>
      <c r="HL47" s="131">
        <f>+'1911 Hacienda'!B26</f>
        <v>181243</v>
      </c>
      <c r="HM47" s="307">
        <f>+'1911 Hacienda'!C26</f>
        <v>98</v>
      </c>
      <c r="HN47" s="131"/>
      <c r="HO47" s="307"/>
      <c r="HP47" s="131">
        <f>+'1912 Hacienda'!B6</f>
        <v>254419</v>
      </c>
      <c r="HQ47" s="307">
        <f>+'1912 Hacienda'!C6</f>
        <v>41</v>
      </c>
      <c r="HR47" s="131"/>
      <c r="HS47" s="307"/>
      <c r="HT47" s="131">
        <f>+'1915 Hacienda'!D15</f>
        <v>73811</v>
      </c>
      <c r="HU47" s="307">
        <f>+'1915 Hacienda'!E15</f>
        <v>55</v>
      </c>
    </row>
    <row r="48" spans="1:229" x14ac:dyDescent="0.2">
      <c r="A48" s="134" t="s">
        <v>5431</v>
      </c>
      <c r="B48" s="131"/>
      <c r="C48" s="134"/>
      <c r="D48" s="133"/>
      <c r="E48" s="131"/>
      <c r="F48" s="134"/>
      <c r="G48" s="133"/>
      <c r="H48" s="131"/>
      <c r="I48" s="134"/>
      <c r="J48" s="133"/>
      <c r="K48" s="131"/>
      <c r="L48" s="134"/>
      <c r="M48" s="133"/>
      <c r="N48" s="131"/>
      <c r="O48" s="134"/>
      <c r="P48" s="133"/>
      <c r="Q48" s="131"/>
      <c r="R48" s="134"/>
      <c r="S48" s="133"/>
      <c r="T48" s="131"/>
      <c r="U48" s="134"/>
      <c r="V48" s="133"/>
      <c r="W48" s="131"/>
      <c r="X48" s="134"/>
      <c r="Y48" s="133"/>
      <c r="Z48" s="131"/>
      <c r="AA48" s="134"/>
      <c r="AB48" s="133"/>
      <c r="AC48" s="131"/>
      <c r="AD48" s="134"/>
      <c r="AE48" s="133"/>
      <c r="AF48" s="131"/>
      <c r="AG48" s="134"/>
      <c r="AH48" s="133"/>
      <c r="AI48" s="145"/>
      <c r="AJ48" s="134"/>
      <c r="AK48" s="133"/>
      <c r="AL48" s="131"/>
      <c r="AM48" s="134"/>
      <c r="AN48" s="133"/>
      <c r="AO48" s="131"/>
      <c r="AP48" s="134"/>
      <c r="AQ48" s="133"/>
      <c r="AR48" s="131"/>
      <c r="AS48" s="134"/>
      <c r="AT48" s="180"/>
      <c r="AU48" s="131"/>
      <c r="AV48" s="185"/>
      <c r="AW48" s="131"/>
      <c r="AX48" s="185"/>
      <c r="AY48" s="131"/>
      <c r="AZ48" s="185"/>
      <c r="BA48" s="131"/>
      <c r="BB48" s="185"/>
      <c r="BC48" s="131"/>
      <c r="BD48" s="185"/>
      <c r="BE48" s="131"/>
      <c r="BF48" s="185"/>
      <c r="BG48" s="131"/>
      <c r="BH48" s="185"/>
      <c r="BI48" s="131"/>
      <c r="BJ48" s="185"/>
      <c r="BK48" s="131"/>
      <c r="BL48" s="185"/>
      <c r="BM48" s="131"/>
      <c r="BN48" s="185"/>
      <c r="BO48" s="131"/>
      <c r="BP48" s="134"/>
      <c r="BQ48" s="131"/>
      <c r="BR48" s="134"/>
      <c r="BS48" s="133"/>
      <c r="BT48" s="131"/>
      <c r="BU48" s="134"/>
      <c r="BV48" s="131"/>
      <c r="BW48" s="134"/>
      <c r="BX48" s="131"/>
      <c r="BY48" s="134"/>
      <c r="BZ48" s="131"/>
      <c r="CA48" s="134"/>
      <c r="CB48" s="133"/>
      <c r="CC48" s="131"/>
      <c r="CD48" s="134"/>
      <c r="CE48" s="133"/>
      <c r="CF48" s="131"/>
      <c r="CG48" s="134"/>
      <c r="CH48" s="133"/>
      <c r="CI48" s="131"/>
      <c r="CJ48" s="134"/>
      <c r="CK48" s="133"/>
      <c r="CL48" s="131"/>
      <c r="CM48" s="134"/>
      <c r="CN48" s="133"/>
      <c r="CO48" s="131"/>
      <c r="CP48" s="134"/>
      <c r="CQ48" s="133"/>
      <c r="CR48" s="131"/>
      <c r="CS48" s="134"/>
      <c r="CT48" s="133"/>
      <c r="CU48" s="131"/>
      <c r="CV48" s="134"/>
      <c r="CW48" s="133"/>
      <c r="CX48" s="131"/>
      <c r="CY48" s="134"/>
      <c r="CZ48" s="133"/>
      <c r="DA48" s="140"/>
      <c r="DB48" s="141"/>
      <c r="DC48" s="142"/>
      <c r="DD48" s="140"/>
      <c r="DE48" s="141"/>
      <c r="DF48" s="142"/>
      <c r="DG48" s="140"/>
      <c r="DH48" s="141"/>
      <c r="DI48" s="142"/>
      <c r="DJ48" s="140"/>
      <c r="DK48" s="141"/>
      <c r="DL48" s="142"/>
      <c r="DM48" s="140"/>
      <c r="DN48" s="141"/>
      <c r="DO48" s="142"/>
      <c r="DP48" s="140"/>
      <c r="DQ48" s="141"/>
      <c r="DR48" s="142"/>
      <c r="DS48" s="140"/>
      <c r="DT48" s="141"/>
      <c r="DU48" s="142"/>
      <c r="DV48" s="140"/>
      <c r="DW48" s="141"/>
      <c r="DX48" s="142"/>
      <c r="DY48" s="140"/>
      <c r="DZ48" s="141"/>
      <c r="EA48" s="142"/>
      <c r="EB48" s="140"/>
      <c r="EC48" s="141"/>
      <c r="ED48" s="142"/>
      <c r="EE48" s="140"/>
      <c r="EF48" s="141"/>
      <c r="EG48" s="142"/>
      <c r="EH48" s="140"/>
      <c r="EI48" s="141"/>
      <c r="EJ48" s="142"/>
      <c r="EK48" s="140"/>
      <c r="EL48" s="141"/>
      <c r="EM48" s="142"/>
      <c r="EN48" s="140"/>
      <c r="EO48" s="141"/>
      <c r="EP48" s="142"/>
      <c r="EQ48" s="140"/>
      <c r="ER48" s="141"/>
      <c r="ES48" s="142"/>
      <c r="ET48" s="140"/>
      <c r="EU48" s="141"/>
      <c r="EV48" s="142"/>
      <c r="EW48" s="140"/>
      <c r="EX48" s="141"/>
      <c r="EY48" s="142"/>
      <c r="EZ48" s="140"/>
      <c r="FA48" s="141"/>
      <c r="FB48" s="142"/>
      <c r="FC48" s="140"/>
      <c r="FD48" s="141"/>
      <c r="FE48" s="142"/>
      <c r="FF48" s="140"/>
      <c r="FG48" s="141"/>
      <c r="FH48" s="142"/>
      <c r="FI48" s="140"/>
      <c r="FJ48" s="141"/>
      <c r="FK48" s="142"/>
      <c r="FL48" s="140"/>
      <c r="FM48" s="141"/>
      <c r="FN48" s="142"/>
      <c r="FO48" s="140"/>
      <c r="FP48" s="141"/>
      <c r="FQ48" s="142"/>
      <c r="FR48" s="140"/>
      <c r="FS48" s="141"/>
      <c r="FT48" s="142"/>
      <c r="FU48" s="140"/>
      <c r="FV48" s="141"/>
      <c r="FW48" s="142"/>
      <c r="FX48" s="140"/>
      <c r="FY48" s="141"/>
      <c r="FZ48" s="142"/>
      <c r="GA48" s="140"/>
      <c r="GB48" s="141"/>
      <c r="GC48" s="142"/>
      <c r="GD48" s="140"/>
      <c r="GE48" s="141"/>
      <c r="GF48" s="142"/>
      <c r="GG48" s="140"/>
      <c r="GH48" s="141"/>
      <c r="GI48" s="142"/>
      <c r="GJ48" s="140"/>
      <c r="GK48" s="141"/>
      <c r="GL48" s="142"/>
      <c r="GM48" s="140"/>
      <c r="GN48" s="141"/>
      <c r="GO48" s="142"/>
      <c r="GP48" s="140"/>
      <c r="GQ48" s="141"/>
      <c r="GR48" s="142"/>
      <c r="GS48" s="140"/>
      <c r="GT48" s="141"/>
      <c r="GU48" s="142"/>
      <c r="GV48" s="140"/>
      <c r="GW48" s="141"/>
      <c r="GX48" s="142"/>
      <c r="GY48" s="164"/>
      <c r="GZ48" s="134"/>
      <c r="HA48" s="185"/>
      <c r="HB48" s="131">
        <f>'1910 Hacienda'!C17</f>
        <v>953869</v>
      </c>
      <c r="HC48" s="307">
        <f>'1910 Hacienda'!D17</f>
        <v>90</v>
      </c>
      <c r="HD48" s="131"/>
      <c r="HE48" s="307"/>
      <c r="HF48" s="131"/>
      <c r="HG48" s="307"/>
      <c r="HH48" s="131"/>
      <c r="HI48" s="307"/>
      <c r="HJ48" s="131"/>
      <c r="HK48" s="307"/>
      <c r="HL48" s="131"/>
      <c r="HM48" s="307"/>
      <c r="HN48" s="131"/>
      <c r="HO48" s="307"/>
      <c r="HP48" s="131"/>
      <c r="HQ48" s="307"/>
      <c r="HR48" s="131"/>
      <c r="HS48" s="307"/>
      <c r="HT48" s="131"/>
      <c r="HU48" s="307"/>
    </row>
    <row r="49" spans="1:229" x14ac:dyDescent="0.2">
      <c r="A49" s="134" t="s">
        <v>5440</v>
      </c>
      <c r="B49" s="131"/>
      <c r="C49" s="134"/>
      <c r="D49" s="133"/>
      <c r="E49" s="131"/>
      <c r="F49" s="134"/>
      <c r="G49" s="133"/>
      <c r="H49" s="131"/>
      <c r="I49" s="134"/>
      <c r="J49" s="133"/>
      <c r="K49" s="131"/>
      <c r="L49" s="134"/>
      <c r="M49" s="133"/>
      <c r="N49" s="131"/>
      <c r="O49" s="134"/>
      <c r="P49" s="133"/>
      <c r="Q49" s="131"/>
      <c r="R49" s="134"/>
      <c r="S49" s="133"/>
      <c r="T49" s="131"/>
      <c r="U49" s="134"/>
      <c r="V49" s="133"/>
      <c r="W49" s="131"/>
      <c r="X49" s="134"/>
      <c r="Y49" s="133"/>
      <c r="Z49" s="131"/>
      <c r="AA49" s="134"/>
      <c r="AB49" s="133"/>
      <c r="AC49" s="131"/>
      <c r="AD49" s="134"/>
      <c r="AE49" s="133"/>
      <c r="AF49" s="131"/>
      <c r="AG49" s="134"/>
      <c r="AH49" s="133"/>
      <c r="AI49" s="145"/>
      <c r="AJ49" s="134"/>
      <c r="AK49" s="133"/>
      <c r="AL49" s="131"/>
      <c r="AM49" s="134"/>
      <c r="AN49" s="133"/>
      <c r="AO49" s="131"/>
      <c r="AP49" s="134"/>
      <c r="AQ49" s="133"/>
      <c r="AR49" s="131"/>
      <c r="AS49" s="134"/>
      <c r="AT49" s="180"/>
      <c r="AU49" s="131"/>
      <c r="AV49" s="185"/>
      <c r="AW49" s="131"/>
      <c r="AX49" s="185"/>
      <c r="AY49" s="131"/>
      <c r="AZ49" s="185"/>
      <c r="BA49" s="131"/>
      <c r="BB49" s="185"/>
      <c r="BC49" s="131"/>
      <c r="BD49" s="185"/>
      <c r="BE49" s="131"/>
      <c r="BF49" s="185"/>
      <c r="BG49" s="131"/>
      <c r="BH49" s="185"/>
      <c r="BI49" s="131"/>
      <c r="BJ49" s="185"/>
      <c r="BK49" s="131"/>
      <c r="BL49" s="185"/>
      <c r="BM49" s="131"/>
      <c r="BN49" s="185"/>
      <c r="BO49" s="131"/>
      <c r="BP49" s="134"/>
      <c r="BQ49" s="131"/>
      <c r="BR49" s="134"/>
      <c r="BS49" s="133"/>
      <c r="BT49" s="131"/>
      <c r="BU49" s="134"/>
      <c r="BV49" s="131"/>
      <c r="BW49" s="134"/>
      <c r="BX49" s="131"/>
      <c r="BY49" s="134"/>
      <c r="BZ49" s="131"/>
      <c r="CA49" s="134"/>
      <c r="CB49" s="133"/>
      <c r="CC49" s="131"/>
      <c r="CD49" s="134"/>
      <c r="CE49" s="133"/>
      <c r="CF49" s="131"/>
      <c r="CG49" s="134"/>
      <c r="CH49" s="133"/>
      <c r="CI49" s="131"/>
      <c r="CJ49" s="134"/>
      <c r="CK49" s="133"/>
      <c r="CL49" s="131"/>
      <c r="CM49" s="134"/>
      <c r="CN49" s="133"/>
      <c r="CO49" s="131"/>
      <c r="CP49" s="134"/>
      <c r="CQ49" s="133"/>
      <c r="CR49" s="131"/>
      <c r="CS49" s="134"/>
      <c r="CT49" s="133"/>
      <c r="CU49" s="131"/>
      <c r="CV49" s="134"/>
      <c r="CW49" s="133"/>
      <c r="CX49" s="131"/>
      <c r="CY49" s="134"/>
      <c r="CZ49" s="133"/>
      <c r="DA49" s="140"/>
      <c r="DB49" s="141"/>
      <c r="DC49" s="142"/>
      <c r="DD49" s="140"/>
      <c r="DE49" s="141"/>
      <c r="DF49" s="142"/>
      <c r="DG49" s="140"/>
      <c r="DH49" s="141"/>
      <c r="DI49" s="142"/>
      <c r="DJ49" s="140"/>
      <c r="DK49" s="141"/>
      <c r="DL49" s="142"/>
      <c r="DM49" s="140"/>
      <c r="DN49" s="141"/>
      <c r="DO49" s="142"/>
      <c r="DP49" s="140"/>
      <c r="DQ49" s="141"/>
      <c r="DR49" s="142"/>
      <c r="DS49" s="140"/>
      <c r="DT49" s="141"/>
      <c r="DU49" s="142"/>
      <c r="DV49" s="140"/>
      <c r="DW49" s="141"/>
      <c r="DX49" s="142"/>
      <c r="DY49" s="140"/>
      <c r="DZ49" s="141"/>
      <c r="EA49" s="142"/>
      <c r="EB49" s="140"/>
      <c r="EC49" s="141"/>
      <c r="ED49" s="142"/>
      <c r="EE49" s="140"/>
      <c r="EF49" s="141"/>
      <c r="EG49" s="142"/>
      <c r="EH49" s="140"/>
      <c r="EI49" s="141"/>
      <c r="EJ49" s="142"/>
      <c r="EK49" s="140"/>
      <c r="EL49" s="141"/>
      <c r="EM49" s="142"/>
      <c r="EN49" s="140"/>
      <c r="EO49" s="141"/>
      <c r="EP49" s="142"/>
      <c r="EQ49" s="140"/>
      <c r="ER49" s="141"/>
      <c r="ES49" s="142"/>
      <c r="ET49" s="140"/>
      <c r="EU49" s="141"/>
      <c r="EV49" s="142"/>
      <c r="EW49" s="140"/>
      <c r="EX49" s="141"/>
      <c r="EY49" s="142"/>
      <c r="EZ49" s="140"/>
      <c r="FA49" s="141"/>
      <c r="FB49" s="142"/>
      <c r="FC49" s="140"/>
      <c r="FD49" s="141"/>
      <c r="FE49" s="142"/>
      <c r="FF49" s="140"/>
      <c r="FG49" s="141"/>
      <c r="FH49" s="142"/>
      <c r="FI49" s="140"/>
      <c r="FJ49" s="141"/>
      <c r="FK49" s="142"/>
      <c r="FL49" s="140"/>
      <c r="FM49" s="141"/>
      <c r="FN49" s="142"/>
      <c r="FO49" s="140"/>
      <c r="FP49" s="141"/>
      <c r="FQ49" s="142"/>
      <c r="FR49" s="140"/>
      <c r="FS49" s="141"/>
      <c r="FT49" s="142"/>
      <c r="FU49" s="140"/>
      <c r="FV49" s="141"/>
      <c r="FW49" s="142"/>
      <c r="FX49" s="140"/>
      <c r="FY49" s="141"/>
      <c r="FZ49" s="142"/>
      <c r="GA49" s="140"/>
      <c r="GB49" s="141"/>
      <c r="GC49" s="142"/>
      <c r="GD49" s="140"/>
      <c r="GE49" s="141"/>
      <c r="GF49" s="142"/>
      <c r="GG49" s="140"/>
      <c r="GH49" s="141"/>
      <c r="GI49" s="142"/>
      <c r="GJ49" s="140"/>
      <c r="GK49" s="141"/>
      <c r="GL49" s="142"/>
      <c r="GM49" s="140"/>
      <c r="GN49" s="141"/>
      <c r="GO49" s="142"/>
      <c r="GP49" s="140"/>
      <c r="GQ49" s="141"/>
      <c r="GR49" s="142"/>
      <c r="GS49" s="140"/>
      <c r="GT49" s="141"/>
      <c r="GU49" s="142"/>
      <c r="GV49" s="140"/>
      <c r="GW49" s="141"/>
      <c r="GX49" s="142"/>
      <c r="GY49" s="164"/>
      <c r="GZ49" s="134"/>
      <c r="HA49" s="185"/>
      <c r="HB49" s="131"/>
      <c r="HC49" s="307"/>
      <c r="HD49" s="131">
        <f>'1910 Hacienda'!C42</f>
        <v>1637228</v>
      </c>
      <c r="HE49" s="307">
        <f>'1910 Hacienda'!D42</f>
        <v>80</v>
      </c>
      <c r="HF49" s="131">
        <f>'1910 Hacienda'!C70</f>
        <v>2095001</v>
      </c>
      <c r="HG49" s="307">
        <f>'1910 Hacienda'!D70</f>
        <v>36</v>
      </c>
      <c r="HH49" s="131">
        <f>'1910 Hacienda'!C105</f>
        <v>2206991</v>
      </c>
      <c r="HI49" s="307">
        <f>'1910 Hacienda'!D105</f>
        <v>76</v>
      </c>
      <c r="HJ49" s="131"/>
      <c r="HK49" s="307"/>
      <c r="HL49" s="131"/>
      <c r="HM49" s="307"/>
      <c r="HN49" s="131"/>
      <c r="HO49" s="307"/>
      <c r="HP49" s="131"/>
      <c r="HQ49" s="307"/>
      <c r="HR49" s="131"/>
      <c r="HS49" s="307"/>
      <c r="HT49" s="131"/>
      <c r="HU49" s="307"/>
    </row>
    <row r="50" spans="1:229" x14ac:dyDescent="0.2">
      <c r="A50" s="134" t="s">
        <v>5476</v>
      </c>
      <c r="B50" s="131"/>
      <c r="C50" s="134"/>
      <c r="D50" s="133"/>
      <c r="E50" s="131"/>
      <c r="F50" s="134"/>
      <c r="G50" s="133"/>
      <c r="H50" s="131"/>
      <c r="I50" s="134"/>
      <c r="J50" s="133"/>
      <c r="K50" s="131"/>
      <c r="L50" s="134"/>
      <c r="M50" s="133"/>
      <c r="N50" s="131"/>
      <c r="O50" s="134"/>
      <c r="P50" s="133"/>
      <c r="Q50" s="131"/>
      <c r="R50" s="134"/>
      <c r="S50" s="133"/>
      <c r="T50" s="131"/>
      <c r="U50" s="134"/>
      <c r="V50" s="133"/>
      <c r="W50" s="131"/>
      <c r="X50" s="134"/>
      <c r="Y50" s="133"/>
      <c r="Z50" s="131"/>
      <c r="AA50" s="134"/>
      <c r="AB50" s="133"/>
      <c r="AC50" s="131"/>
      <c r="AD50" s="134"/>
      <c r="AE50" s="133"/>
      <c r="AF50" s="131"/>
      <c r="AG50" s="134"/>
      <c r="AH50" s="133"/>
      <c r="AI50" s="145"/>
      <c r="AJ50" s="134"/>
      <c r="AK50" s="133"/>
      <c r="AL50" s="131"/>
      <c r="AM50" s="134"/>
      <c r="AN50" s="133"/>
      <c r="AO50" s="131"/>
      <c r="AP50" s="134"/>
      <c r="AQ50" s="133"/>
      <c r="AR50" s="131"/>
      <c r="AS50" s="134"/>
      <c r="AT50" s="180"/>
      <c r="AU50" s="131"/>
      <c r="AV50" s="185"/>
      <c r="AW50" s="131"/>
      <c r="AX50" s="185"/>
      <c r="AY50" s="131"/>
      <c r="AZ50" s="185"/>
      <c r="BA50" s="131"/>
      <c r="BB50" s="185"/>
      <c r="BC50" s="131"/>
      <c r="BD50" s="185"/>
      <c r="BE50" s="131"/>
      <c r="BF50" s="185"/>
      <c r="BG50" s="131"/>
      <c r="BH50" s="185"/>
      <c r="BI50" s="131"/>
      <c r="BJ50" s="185"/>
      <c r="BK50" s="131"/>
      <c r="BL50" s="185"/>
      <c r="BM50" s="131"/>
      <c r="BN50" s="185"/>
      <c r="BO50" s="131"/>
      <c r="BP50" s="134"/>
      <c r="BQ50" s="131"/>
      <c r="BR50" s="134"/>
      <c r="BS50" s="133"/>
      <c r="BT50" s="131"/>
      <c r="BU50" s="134"/>
      <c r="BV50" s="131"/>
      <c r="BW50" s="134"/>
      <c r="BX50" s="131"/>
      <c r="BY50" s="134"/>
      <c r="BZ50" s="131"/>
      <c r="CA50" s="134"/>
      <c r="CB50" s="133"/>
      <c r="CC50" s="131"/>
      <c r="CD50" s="134"/>
      <c r="CE50" s="133"/>
      <c r="CF50" s="131"/>
      <c r="CG50" s="134"/>
      <c r="CH50" s="133"/>
      <c r="CI50" s="131"/>
      <c r="CJ50" s="134"/>
      <c r="CK50" s="133"/>
      <c r="CL50" s="131"/>
      <c r="CM50" s="134"/>
      <c r="CN50" s="133"/>
      <c r="CO50" s="131"/>
      <c r="CP50" s="134"/>
      <c r="CQ50" s="133"/>
      <c r="CR50" s="131"/>
      <c r="CS50" s="134"/>
      <c r="CT50" s="133"/>
      <c r="CU50" s="131"/>
      <c r="CV50" s="134"/>
      <c r="CW50" s="133"/>
      <c r="CX50" s="131"/>
      <c r="CY50" s="134"/>
      <c r="CZ50" s="133"/>
      <c r="DA50" s="140"/>
      <c r="DB50" s="141"/>
      <c r="DC50" s="142"/>
      <c r="DD50" s="140"/>
      <c r="DE50" s="141"/>
      <c r="DF50" s="142"/>
      <c r="DG50" s="140"/>
      <c r="DH50" s="141"/>
      <c r="DI50" s="142"/>
      <c r="DJ50" s="140"/>
      <c r="DK50" s="141"/>
      <c r="DL50" s="142"/>
      <c r="DM50" s="140"/>
      <c r="DN50" s="141"/>
      <c r="DO50" s="142"/>
      <c r="DP50" s="140"/>
      <c r="DQ50" s="141"/>
      <c r="DR50" s="142"/>
      <c r="DS50" s="140"/>
      <c r="DT50" s="141"/>
      <c r="DU50" s="142"/>
      <c r="DV50" s="140"/>
      <c r="DW50" s="141"/>
      <c r="DX50" s="142"/>
      <c r="DY50" s="140"/>
      <c r="DZ50" s="141"/>
      <c r="EA50" s="142"/>
      <c r="EB50" s="140"/>
      <c r="EC50" s="141"/>
      <c r="ED50" s="142"/>
      <c r="EE50" s="140"/>
      <c r="EF50" s="141"/>
      <c r="EG50" s="142"/>
      <c r="EH50" s="140"/>
      <c r="EI50" s="141"/>
      <c r="EJ50" s="142"/>
      <c r="EK50" s="140"/>
      <c r="EL50" s="141"/>
      <c r="EM50" s="142"/>
      <c r="EN50" s="140"/>
      <c r="EO50" s="141"/>
      <c r="EP50" s="142"/>
      <c r="EQ50" s="140"/>
      <c r="ER50" s="141"/>
      <c r="ES50" s="142"/>
      <c r="ET50" s="140"/>
      <c r="EU50" s="141"/>
      <c r="EV50" s="142"/>
      <c r="EW50" s="140"/>
      <c r="EX50" s="141"/>
      <c r="EY50" s="142"/>
      <c r="EZ50" s="140"/>
      <c r="FA50" s="141"/>
      <c r="FB50" s="142"/>
      <c r="FC50" s="140"/>
      <c r="FD50" s="141"/>
      <c r="FE50" s="142"/>
      <c r="FF50" s="140"/>
      <c r="FG50" s="141"/>
      <c r="FH50" s="142"/>
      <c r="FI50" s="140"/>
      <c r="FJ50" s="141"/>
      <c r="FK50" s="142"/>
      <c r="FL50" s="140"/>
      <c r="FM50" s="141"/>
      <c r="FN50" s="142"/>
      <c r="FO50" s="140"/>
      <c r="FP50" s="141"/>
      <c r="FQ50" s="142"/>
      <c r="FR50" s="140"/>
      <c r="FS50" s="141"/>
      <c r="FT50" s="142"/>
      <c r="FU50" s="140"/>
      <c r="FV50" s="141"/>
      <c r="FW50" s="142"/>
      <c r="FX50" s="140"/>
      <c r="FY50" s="141"/>
      <c r="FZ50" s="142"/>
      <c r="GA50" s="140"/>
      <c r="GB50" s="141"/>
      <c r="GC50" s="142"/>
      <c r="GD50" s="140"/>
      <c r="GE50" s="141"/>
      <c r="GF50" s="142"/>
      <c r="GG50" s="140"/>
      <c r="GH50" s="141"/>
      <c r="GI50" s="142"/>
      <c r="GJ50" s="140"/>
      <c r="GK50" s="141"/>
      <c r="GL50" s="142"/>
      <c r="GM50" s="140"/>
      <c r="GN50" s="141"/>
      <c r="GO50" s="142"/>
      <c r="GP50" s="140"/>
      <c r="GQ50" s="141"/>
      <c r="GR50" s="142"/>
      <c r="GS50" s="140"/>
      <c r="GT50" s="141"/>
      <c r="GU50" s="142"/>
      <c r="GV50" s="140"/>
      <c r="GW50" s="141"/>
      <c r="GX50" s="142"/>
      <c r="GY50" s="164"/>
      <c r="GZ50" s="134"/>
      <c r="HA50" s="185"/>
      <c r="HB50" s="131"/>
      <c r="HC50" s="307"/>
      <c r="HD50" s="131"/>
      <c r="HE50" s="307"/>
      <c r="HF50" s="131"/>
      <c r="HG50" s="307"/>
      <c r="HH50" s="131"/>
      <c r="HI50" s="307"/>
      <c r="HJ50" s="131">
        <f>'1910 Hacienda'!C147</f>
        <v>1743105</v>
      </c>
      <c r="HK50" s="307">
        <f>'1910 Hacienda'!D147</f>
        <v>27</v>
      </c>
      <c r="HL50" s="131"/>
      <c r="HM50" s="307"/>
      <c r="HN50" s="131"/>
      <c r="HO50" s="307"/>
      <c r="HP50" s="131"/>
      <c r="HQ50" s="307"/>
      <c r="HR50" s="131"/>
      <c r="HS50" s="307"/>
      <c r="HT50" s="131"/>
      <c r="HU50" s="307"/>
    </row>
    <row r="51" spans="1:229" x14ac:dyDescent="0.2">
      <c r="A51" s="134" t="s">
        <v>5477</v>
      </c>
      <c r="B51" s="131"/>
      <c r="C51" s="134"/>
      <c r="D51" s="133"/>
      <c r="E51" s="131"/>
      <c r="F51" s="134"/>
      <c r="G51" s="133"/>
      <c r="H51" s="131"/>
      <c r="I51" s="134"/>
      <c r="J51" s="133"/>
      <c r="K51" s="131"/>
      <c r="L51" s="134"/>
      <c r="M51" s="133"/>
      <c r="N51" s="131"/>
      <c r="O51" s="134"/>
      <c r="P51" s="133"/>
      <c r="Q51" s="131"/>
      <c r="R51" s="134"/>
      <c r="S51" s="133"/>
      <c r="T51" s="131"/>
      <c r="U51" s="134"/>
      <c r="V51" s="133"/>
      <c r="W51" s="131"/>
      <c r="X51" s="134"/>
      <c r="Y51" s="133"/>
      <c r="Z51" s="131"/>
      <c r="AA51" s="134"/>
      <c r="AB51" s="133"/>
      <c r="AC51" s="131"/>
      <c r="AD51" s="134"/>
      <c r="AE51" s="133"/>
      <c r="AF51" s="131"/>
      <c r="AG51" s="134"/>
      <c r="AH51" s="133"/>
      <c r="AI51" s="145"/>
      <c r="AJ51" s="134"/>
      <c r="AK51" s="133"/>
      <c r="AL51" s="131"/>
      <c r="AM51" s="134"/>
      <c r="AN51" s="133"/>
      <c r="AO51" s="131"/>
      <c r="AP51" s="134"/>
      <c r="AQ51" s="133"/>
      <c r="AR51" s="131"/>
      <c r="AS51" s="134"/>
      <c r="AT51" s="180"/>
      <c r="AU51" s="131"/>
      <c r="AV51" s="185"/>
      <c r="AW51" s="131"/>
      <c r="AX51" s="185"/>
      <c r="AY51" s="131"/>
      <c r="AZ51" s="185"/>
      <c r="BA51" s="131"/>
      <c r="BB51" s="185"/>
      <c r="BC51" s="131"/>
      <c r="BD51" s="185"/>
      <c r="BE51" s="131"/>
      <c r="BF51" s="185"/>
      <c r="BG51" s="131"/>
      <c r="BH51" s="185"/>
      <c r="BI51" s="131"/>
      <c r="BJ51" s="185"/>
      <c r="BK51" s="131"/>
      <c r="BL51" s="185"/>
      <c r="BM51" s="131"/>
      <c r="BN51" s="185"/>
      <c r="BO51" s="131"/>
      <c r="BP51" s="134"/>
      <c r="BQ51" s="131"/>
      <c r="BR51" s="134"/>
      <c r="BS51" s="133"/>
      <c r="BT51" s="131"/>
      <c r="BU51" s="134"/>
      <c r="BV51" s="131"/>
      <c r="BW51" s="134"/>
      <c r="BX51" s="131"/>
      <c r="BY51" s="134"/>
      <c r="BZ51" s="131"/>
      <c r="CA51" s="134"/>
      <c r="CB51" s="133"/>
      <c r="CC51" s="131"/>
      <c r="CD51" s="134"/>
      <c r="CE51" s="133"/>
      <c r="CF51" s="131"/>
      <c r="CG51" s="134"/>
      <c r="CH51" s="133"/>
      <c r="CI51" s="131"/>
      <c r="CJ51" s="134"/>
      <c r="CK51" s="133"/>
      <c r="CL51" s="131"/>
      <c r="CM51" s="134"/>
      <c r="CN51" s="133"/>
      <c r="CO51" s="131"/>
      <c r="CP51" s="134"/>
      <c r="CQ51" s="133"/>
      <c r="CR51" s="131"/>
      <c r="CS51" s="134"/>
      <c r="CT51" s="133"/>
      <c r="CU51" s="131"/>
      <c r="CV51" s="134"/>
      <c r="CW51" s="133"/>
      <c r="CX51" s="131"/>
      <c r="CY51" s="134"/>
      <c r="CZ51" s="133"/>
      <c r="DA51" s="140"/>
      <c r="DB51" s="141"/>
      <c r="DC51" s="142"/>
      <c r="DD51" s="140"/>
      <c r="DE51" s="141"/>
      <c r="DF51" s="142"/>
      <c r="DG51" s="140"/>
      <c r="DH51" s="141"/>
      <c r="DI51" s="142"/>
      <c r="DJ51" s="140"/>
      <c r="DK51" s="141"/>
      <c r="DL51" s="142"/>
      <c r="DM51" s="140"/>
      <c r="DN51" s="141"/>
      <c r="DO51" s="142"/>
      <c r="DP51" s="140"/>
      <c r="DQ51" s="141"/>
      <c r="DR51" s="142"/>
      <c r="DS51" s="140"/>
      <c r="DT51" s="141"/>
      <c r="DU51" s="142"/>
      <c r="DV51" s="140"/>
      <c r="DW51" s="141"/>
      <c r="DX51" s="142"/>
      <c r="DY51" s="140"/>
      <c r="DZ51" s="141"/>
      <c r="EA51" s="142"/>
      <c r="EB51" s="140"/>
      <c r="EC51" s="141"/>
      <c r="ED51" s="142"/>
      <c r="EE51" s="140"/>
      <c r="EF51" s="141"/>
      <c r="EG51" s="142"/>
      <c r="EH51" s="140"/>
      <c r="EI51" s="141"/>
      <c r="EJ51" s="142"/>
      <c r="EK51" s="140"/>
      <c r="EL51" s="141"/>
      <c r="EM51" s="142"/>
      <c r="EN51" s="140"/>
      <c r="EO51" s="141"/>
      <c r="EP51" s="142"/>
      <c r="EQ51" s="140"/>
      <c r="ER51" s="141"/>
      <c r="ES51" s="142"/>
      <c r="ET51" s="140"/>
      <c r="EU51" s="141"/>
      <c r="EV51" s="142"/>
      <c r="EW51" s="140"/>
      <c r="EX51" s="141"/>
      <c r="EY51" s="142"/>
      <c r="EZ51" s="140"/>
      <c r="FA51" s="141"/>
      <c r="FB51" s="142"/>
      <c r="FC51" s="140"/>
      <c r="FD51" s="141"/>
      <c r="FE51" s="142"/>
      <c r="FF51" s="140"/>
      <c r="FG51" s="141"/>
      <c r="FH51" s="142"/>
      <c r="FI51" s="140"/>
      <c r="FJ51" s="141"/>
      <c r="FK51" s="142"/>
      <c r="FL51" s="140"/>
      <c r="FM51" s="141"/>
      <c r="FN51" s="142"/>
      <c r="FO51" s="140"/>
      <c r="FP51" s="141"/>
      <c r="FQ51" s="142"/>
      <c r="FR51" s="140"/>
      <c r="FS51" s="141"/>
      <c r="FT51" s="142"/>
      <c r="FU51" s="140"/>
      <c r="FV51" s="141"/>
      <c r="FW51" s="142"/>
      <c r="FX51" s="140"/>
      <c r="FY51" s="141"/>
      <c r="FZ51" s="142"/>
      <c r="GA51" s="140"/>
      <c r="GB51" s="141"/>
      <c r="GC51" s="142"/>
      <c r="GD51" s="140"/>
      <c r="GE51" s="141"/>
      <c r="GF51" s="142"/>
      <c r="GG51" s="140"/>
      <c r="GH51" s="141"/>
      <c r="GI51" s="142"/>
      <c r="GJ51" s="140"/>
      <c r="GK51" s="141"/>
      <c r="GL51" s="142"/>
      <c r="GM51" s="140"/>
      <c r="GN51" s="141"/>
      <c r="GO51" s="142"/>
      <c r="GP51" s="140"/>
      <c r="GQ51" s="141"/>
      <c r="GR51" s="142"/>
      <c r="GS51" s="140"/>
      <c r="GT51" s="141"/>
      <c r="GU51" s="142"/>
      <c r="GV51" s="140"/>
      <c r="GW51" s="141"/>
      <c r="GX51" s="142"/>
      <c r="GY51" s="164"/>
      <c r="GZ51" s="134"/>
      <c r="HA51" s="185"/>
      <c r="HB51" s="131"/>
      <c r="HC51" s="307"/>
      <c r="HD51" s="131"/>
      <c r="HE51" s="307"/>
      <c r="HF51" s="131"/>
      <c r="HG51" s="307"/>
      <c r="HH51" s="131"/>
      <c r="HI51" s="307"/>
      <c r="HJ51" s="131">
        <f>'1910 Hacienda'!C148</f>
        <v>294012</v>
      </c>
      <c r="HK51" s="307">
        <f>'1910 Hacienda'!D148</f>
        <v>24</v>
      </c>
      <c r="HL51" s="131"/>
      <c r="HM51" s="307"/>
      <c r="HN51" s="131"/>
      <c r="HO51" s="307"/>
      <c r="HP51" s="131"/>
      <c r="HQ51" s="307"/>
      <c r="HR51" s="131"/>
      <c r="HS51" s="307"/>
      <c r="HT51" s="131"/>
      <c r="HU51" s="307"/>
    </row>
    <row r="52" spans="1:229" x14ac:dyDescent="0.2">
      <c r="A52" s="134" t="s">
        <v>5318</v>
      </c>
      <c r="B52" s="131"/>
      <c r="C52" s="134"/>
      <c r="D52" s="133"/>
      <c r="E52" s="131"/>
      <c r="F52" s="134"/>
      <c r="G52" s="133"/>
      <c r="H52" s="131"/>
      <c r="I52" s="134"/>
      <c r="J52" s="133"/>
      <c r="K52" s="131"/>
      <c r="L52" s="134"/>
      <c r="M52" s="133"/>
      <c r="N52" s="131"/>
      <c r="O52" s="134"/>
      <c r="P52" s="133"/>
      <c r="Q52" s="131"/>
      <c r="R52" s="134"/>
      <c r="S52" s="133"/>
      <c r="T52" s="131"/>
      <c r="U52" s="134"/>
      <c r="V52" s="133"/>
      <c r="W52" s="131"/>
      <c r="X52" s="134"/>
      <c r="Y52" s="133"/>
      <c r="Z52" s="131"/>
      <c r="AA52" s="134"/>
      <c r="AB52" s="133"/>
      <c r="AC52" s="131"/>
      <c r="AD52" s="134"/>
      <c r="AE52" s="133"/>
      <c r="AF52" s="131"/>
      <c r="AG52" s="134"/>
      <c r="AH52" s="133"/>
      <c r="AI52" s="145"/>
      <c r="AJ52" s="134"/>
      <c r="AK52" s="133"/>
      <c r="AL52" s="131"/>
      <c r="AM52" s="134"/>
      <c r="AN52" s="133"/>
      <c r="AO52" s="131"/>
      <c r="AP52" s="134"/>
      <c r="AQ52" s="133"/>
      <c r="AR52" s="131"/>
      <c r="AS52" s="134"/>
      <c r="AT52" s="180"/>
      <c r="AU52" s="131"/>
      <c r="AV52" s="185"/>
      <c r="AW52" s="131"/>
      <c r="AX52" s="185"/>
      <c r="AY52" s="131"/>
      <c r="AZ52" s="185"/>
      <c r="BA52" s="131"/>
      <c r="BB52" s="185"/>
      <c r="BC52" s="131"/>
      <c r="BD52" s="185"/>
      <c r="BE52" s="131"/>
      <c r="BF52" s="185"/>
      <c r="BG52" s="131"/>
      <c r="BH52" s="185"/>
      <c r="BI52" s="131"/>
      <c r="BJ52" s="185"/>
      <c r="BK52" s="131"/>
      <c r="BL52" s="185"/>
      <c r="BM52" s="131"/>
      <c r="BN52" s="185"/>
      <c r="BO52" s="131"/>
      <c r="BP52" s="134"/>
      <c r="BQ52" s="131"/>
      <c r="BR52" s="134"/>
      <c r="BS52" s="133"/>
      <c r="BT52" s="131"/>
      <c r="BU52" s="134"/>
      <c r="BV52" s="131"/>
      <c r="BW52" s="134"/>
      <c r="BX52" s="131"/>
      <c r="BY52" s="134"/>
      <c r="BZ52" s="131"/>
      <c r="CA52" s="134"/>
      <c r="CB52" s="133"/>
      <c r="CC52" s="131"/>
      <c r="CD52" s="134"/>
      <c r="CE52" s="133"/>
      <c r="CF52" s="131"/>
      <c r="CG52" s="134"/>
      <c r="CH52" s="133"/>
      <c r="CI52" s="131"/>
      <c r="CJ52" s="134"/>
      <c r="CK52" s="133"/>
      <c r="CL52" s="131"/>
      <c r="CM52" s="134"/>
      <c r="CN52" s="133"/>
      <c r="CO52" s="131"/>
      <c r="CP52" s="134"/>
      <c r="CQ52" s="133"/>
      <c r="CR52" s="131"/>
      <c r="CS52" s="134"/>
      <c r="CT52" s="133"/>
      <c r="CU52" s="131"/>
      <c r="CV52" s="134"/>
      <c r="CW52" s="133"/>
      <c r="CX52" s="131"/>
      <c r="CY52" s="134"/>
      <c r="CZ52" s="133"/>
      <c r="DA52" s="140"/>
      <c r="DB52" s="141"/>
      <c r="DC52" s="142"/>
      <c r="DD52" s="140"/>
      <c r="DE52" s="141"/>
      <c r="DF52" s="142"/>
      <c r="DG52" s="140"/>
      <c r="DH52" s="141"/>
      <c r="DI52" s="142"/>
      <c r="DJ52" s="140"/>
      <c r="DK52" s="141"/>
      <c r="DL52" s="142"/>
      <c r="DM52" s="140"/>
      <c r="DN52" s="141"/>
      <c r="DO52" s="142"/>
      <c r="DP52" s="140"/>
      <c r="DQ52" s="141"/>
      <c r="DR52" s="142"/>
      <c r="DS52" s="140"/>
      <c r="DT52" s="141"/>
      <c r="DU52" s="142"/>
      <c r="DV52" s="140"/>
      <c r="DW52" s="141"/>
      <c r="DX52" s="142"/>
      <c r="DY52" s="140"/>
      <c r="DZ52" s="141"/>
      <c r="EA52" s="142"/>
      <c r="EB52" s="140"/>
      <c r="EC52" s="141"/>
      <c r="ED52" s="142"/>
      <c r="EE52" s="140"/>
      <c r="EF52" s="141"/>
      <c r="EG52" s="142"/>
      <c r="EH52" s="140"/>
      <c r="EI52" s="141"/>
      <c r="EJ52" s="142"/>
      <c r="EK52" s="140"/>
      <c r="EL52" s="141"/>
      <c r="EM52" s="142"/>
      <c r="EN52" s="140"/>
      <c r="EO52" s="141"/>
      <c r="EP52" s="142"/>
      <c r="EQ52" s="140"/>
      <c r="ER52" s="141"/>
      <c r="ES52" s="142"/>
      <c r="ET52" s="140"/>
      <c r="EU52" s="141"/>
      <c r="EV52" s="142"/>
      <c r="EW52" s="140"/>
      <c r="EX52" s="141"/>
      <c r="EY52" s="142"/>
      <c r="EZ52" s="140"/>
      <c r="FA52" s="141"/>
      <c r="FB52" s="142"/>
      <c r="FC52" s="140"/>
      <c r="FD52" s="141"/>
      <c r="FE52" s="142"/>
      <c r="FF52" s="140"/>
      <c r="FG52" s="141"/>
      <c r="FH52" s="142"/>
      <c r="FI52" s="140"/>
      <c r="FJ52" s="141"/>
      <c r="FK52" s="142"/>
      <c r="FL52" s="140"/>
      <c r="FM52" s="141"/>
      <c r="FN52" s="142"/>
      <c r="FO52" s="140"/>
      <c r="FP52" s="141"/>
      <c r="FQ52" s="142"/>
      <c r="FR52" s="140">
        <f>+'1896 Hacienda'!C11</f>
        <v>25852</v>
      </c>
      <c r="FS52" s="141">
        <f>+'1896 Hacienda'!D11</f>
        <v>50</v>
      </c>
      <c r="FT52" s="142"/>
      <c r="FU52" s="140">
        <f>+'1896 Hacienda'!F11</f>
        <v>494332</v>
      </c>
      <c r="FV52" s="141">
        <f>+'1896 Hacienda'!G11</f>
        <v>80</v>
      </c>
      <c r="FW52" s="142"/>
      <c r="FX52" s="140">
        <f>+'1896 Hacienda'!L11</f>
        <v>663126</v>
      </c>
      <c r="FY52" s="141">
        <f>+'1896 Hacienda'!M11</f>
        <v>12</v>
      </c>
      <c r="FZ52" s="142">
        <f>+'1896 Hacienda'!N11</f>
        <v>0.5</v>
      </c>
      <c r="GA52" s="140">
        <f>+'1898 Hacienda'!E10</f>
        <v>804751</v>
      </c>
      <c r="GB52" s="141">
        <f>+'1898 Hacienda'!F10</f>
        <v>75</v>
      </c>
      <c r="GC52" s="142"/>
      <c r="GD52" s="140">
        <f>+'1898 Hacienda'!K10</f>
        <v>659477</v>
      </c>
      <c r="GE52" s="141">
        <f>+'1898 Hacienda'!L10</f>
        <v>70</v>
      </c>
      <c r="GF52" s="142"/>
      <c r="GG52" s="140"/>
      <c r="GH52" s="141"/>
      <c r="GI52" s="142"/>
      <c r="GJ52" s="140"/>
      <c r="GK52" s="141"/>
      <c r="GL52" s="142"/>
      <c r="GM52" s="140"/>
      <c r="GN52" s="141"/>
      <c r="GO52" s="142"/>
      <c r="GP52" s="140"/>
      <c r="GQ52" s="141"/>
      <c r="GR52" s="142"/>
      <c r="GS52" s="140"/>
      <c r="GT52" s="141"/>
      <c r="GU52" s="142"/>
      <c r="GV52" s="140"/>
      <c r="GW52" s="141"/>
      <c r="GX52" s="142"/>
      <c r="GY52" s="164"/>
      <c r="GZ52" s="134"/>
      <c r="HA52" s="185"/>
      <c r="HB52" s="131">
        <f>'1910 Hacienda'!C18</f>
        <v>55837</v>
      </c>
      <c r="HC52" s="307">
        <f>'1910 Hacienda'!D18</f>
        <v>19</v>
      </c>
      <c r="HD52" s="131">
        <f>'1910 Hacienda'!C43</f>
        <v>349757</v>
      </c>
      <c r="HE52" s="307">
        <f>'1910 Hacienda'!D43</f>
        <v>29</v>
      </c>
      <c r="HF52" s="131">
        <f>'1910 Hacienda'!C71</f>
        <v>517534</v>
      </c>
      <c r="HG52" s="307">
        <f>'1910 Hacienda'!D71</f>
        <v>89</v>
      </c>
      <c r="HH52" s="131">
        <f>'1910 Hacienda'!C106</f>
        <v>299566</v>
      </c>
      <c r="HI52" s="307">
        <f>'1910 Hacienda'!D106</f>
        <v>48</v>
      </c>
      <c r="HJ52" s="131">
        <f>'1910 Hacienda'!C151</f>
        <v>292337</v>
      </c>
      <c r="HK52" s="307">
        <f>'1910 Hacienda'!D151</f>
        <v>36</v>
      </c>
      <c r="HL52" s="131"/>
      <c r="HM52" s="307"/>
      <c r="HN52" s="131"/>
      <c r="HO52" s="307"/>
      <c r="HP52" s="131"/>
      <c r="HQ52" s="307"/>
      <c r="HR52" s="131"/>
      <c r="HS52" s="307"/>
      <c r="HT52" s="131"/>
      <c r="HU52" s="307"/>
    </row>
    <row r="53" spans="1:229" x14ac:dyDescent="0.2">
      <c r="A53" s="178" t="s">
        <v>5566</v>
      </c>
      <c r="B53" s="131"/>
      <c r="C53" s="134"/>
      <c r="D53" s="133"/>
      <c r="E53" s="131"/>
      <c r="F53" s="134"/>
      <c r="G53" s="133"/>
      <c r="H53" s="131"/>
      <c r="I53" s="134"/>
      <c r="J53" s="133"/>
      <c r="K53" s="131"/>
      <c r="L53" s="134"/>
      <c r="M53" s="133"/>
      <c r="N53" s="131"/>
      <c r="O53" s="134"/>
      <c r="P53" s="133"/>
      <c r="Q53" s="131"/>
      <c r="R53" s="134"/>
      <c r="S53" s="133"/>
      <c r="T53" s="131"/>
      <c r="U53" s="134"/>
      <c r="V53" s="133"/>
      <c r="W53" s="131"/>
      <c r="X53" s="134"/>
      <c r="Y53" s="133"/>
      <c r="Z53" s="131"/>
      <c r="AA53" s="134"/>
      <c r="AB53" s="133"/>
      <c r="AC53" s="131"/>
      <c r="AD53" s="134"/>
      <c r="AE53" s="133"/>
      <c r="AF53" s="131"/>
      <c r="AG53" s="134"/>
      <c r="AH53" s="133"/>
      <c r="AI53" s="145"/>
      <c r="AJ53" s="134"/>
      <c r="AK53" s="133"/>
      <c r="AL53" s="131"/>
      <c r="AM53" s="134"/>
      <c r="AN53" s="133"/>
      <c r="AO53" s="131"/>
      <c r="AP53" s="134"/>
      <c r="AQ53" s="133"/>
      <c r="AR53" s="131"/>
      <c r="AS53" s="134"/>
      <c r="AT53" s="180"/>
      <c r="AU53" s="131"/>
      <c r="AV53" s="185"/>
      <c r="AW53" s="131"/>
      <c r="AX53" s="185"/>
      <c r="AY53" s="131"/>
      <c r="AZ53" s="185"/>
      <c r="BA53" s="131"/>
      <c r="BB53" s="185"/>
      <c r="BC53" s="131"/>
      <c r="BD53" s="185"/>
      <c r="BE53" s="131"/>
      <c r="BF53" s="185"/>
      <c r="BG53" s="131"/>
      <c r="BH53" s="185"/>
      <c r="BI53" s="131"/>
      <c r="BJ53" s="185"/>
      <c r="BK53" s="131"/>
      <c r="BL53" s="185"/>
      <c r="BM53" s="131"/>
      <c r="BN53" s="185"/>
      <c r="BO53" s="131"/>
      <c r="BP53" s="134"/>
      <c r="BQ53" s="131"/>
      <c r="BR53" s="134"/>
      <c r="BS53" s="133"/>
      <c r="BT53" s="131"/>
      <c r="BU53" s="134"/>
      <c r="BV53" s="131"/>
      <c r="BW53" s="134"/>
      <c r="BX53" s="131"/>
      <c r="BY53" s="134"/>
      <c r="BZ53" s="131"/>
      <c r="CA53" s="134"/>
      <c r="CB53" s="133"/>
      <c r="CC53" s="131"/>
      <c r="CD53" s="134"/>
      <c r="CE53" s="133"/>
      <c r="CF53" s="131"/>
      <c r="CG53" s="134"/>
      <c r="CH53" s="133"/>
      <c r="CI53" s="131"/>
      <c r="CJ53" s="134"/>
      <c r="CK53" s="133"/>
      <c r="CL53" s="131"/>
      <c r="CM53" s="134"/>
      <c r="CN53" s="133"/>
      <c r="CO53" s="131"/>
      <c r="CP53" s="134"/>
      <c r="CQ53" s="133"/>
      <c r="CR53" s="131"/>
      <c r="CS53" s="134"/>
      <c r="CT53" s="133"/>
      <c r="CU53" s="131"/>
      <c r="CV53" s="134"/>
      <c r="CW53" s="133"/>
      <c r="CX53" s="131"/>
      <c r="CY53" s="134"/>
      <c r="CZ53" s="133"/>
      <c r="DA53" s="140"/>
      <c r="DB53" s="141"/>
      <c r="DC53" s="142"/>
      <c r="DD53" s="140"/>
      <c r="DE53" s="141"/>
      <c r="DF53" s="142"/>
      <c r="DG53" s="140"/>
      <c r="DH53" s="141"/>
      <c r="DI53" s="142"/>
      <c r="DJ53" s="140"/>
      <c r="DK53" s="141"/>
      <c r="DL53" s="142"/>
      <c r="DM53" s="140"/>
      <c r="DN53" s="141"/>
      <c r="DO53" s="142"/>
      <c r="DP53" s="140"/>
      <c r="DQ53" s="141"/>
      <c r="DR53" s="142"/>
      <c r="DS53" s="140"/>
      <c r="DT53" s="141"/>
      <c r="DU53" s="142"/>
      <c r="DV53" s="140"/>
      <c r="DW53" s="141"/>
      <c r="DX53" s="142"/>
      <c r="DY53" s="140"/>
      <c r="DZ53" s="141"/>
      <c r="EA53" s="142"/>
      <c r="EB53" s="140"/>
      <c r="EC53" s="141"/>
      <c r="ED53" s="142"/>
      <c r="EE53" s="140"/>
      <c r="EF53" s="141"/>
      <c r="EG53" s="142"/>
      <c r="EH53" s="140"/>
      <c r="EI53" s="141"/>
      <c r="EJ53" s="142"/>
      <c r="EK53" s="140"/>
      <c r="EL53" s="141"/>
      <c r="EM53" s="142"/>
      <c r="EN53" s="140"/>
      <c r="EO53" s="141"/>
      <c r="EP53" s="142"/>
      <c r="EQ53" s="140"/>
      <c r="ER53" s="141"/>
      <c r="ES53" s="142"/>
      <c r="ET53" s="140"/>
      <c r="EU53" s="141"/>
      <c r="EV53" s="142"/>
      <c r="EW53" s="140"/>
      <c r="EX53" s="141"/>
      <c r="EY53" s="142"/>
      <c r="EZ53" s="140"/>
      <c r="FA53" s="141"/>
      <c r="FB53" s="142"/>
      <c r="FC53" s="140"/>
      <c r="FD53" s="141"/>
      <c r="FE53" s="142"/>
      <c r="FF53" s="140"/>
      <c r="FG53" s="141"/>
      <c r="FH53" s="142"/>
      <c r="FI53" s="140"/>
      <c r="FJ53" s="141"/>
      <c r="FK53" s="142"/>
      <c r="FL53" s="140"/>
      <c r="FM53" s="141"/>
      <c r="FN53" s="142"/>
      <c r="FO53" s="140"/>
      <c r="FP53" s="141"/>
      <c r="FQ53" s="142"/>
      <c r="FR53" s="140"/>
      <c r="FS53" s="141"/>
      <c r="FT53" s="142"/>
      <c r="FU53" s="140"/>
      <c r="FV53" s="141"/>
      <c r="FW53" s="142"/>
      <c r="FX53" s="140"/>
      <c r="FY53" s="141"/>
      <c r="FZ53" s="142"/>
      <c r="GA53" s="140"/>
      <c r="GB53" s="141"/>
      <c r="GC53" s="142"/>
      <c r="GD53" s="140"/>
      <c r="GE53" s="141"/>
      <c r="GF53" s="142"/>
      <c r="GG53" s="140"/>
      <c r="GH53" s="141"/>
      <c r="GI53" s="142"/>
      <c r="GJ53" s="140"/>
      <c r="GK53" s="141"/>
      <c r="GL53" s="142"/>
      <c r="GM53" s="140"/>
      <c r="GN53" s="141"/>
      <c r="GO53" s="142"/>
      <c r="GP53" s="140"/>
      <c r="GQ53" s="141"/>
      <c r="GR53" s="142"/>
      <c r="GS53" s="140"/>
      <c r="GT53" s="141"/>
      <c r="GU53" s="142"/>
      <c r="GV53" s="140"/>
      <c r="GW53" s="141"/>
      <c r="GX53" s="142"/>
      <c r="GY53" s="164"/>
      <c r="GZ53" s="134"/>
      <c r="HA53" s="185"/>
      <c r="HB53" s="131"/>
      <c r="HC53" s="307"/>
      <c r="HD53" s="131"/>
      <c r="HE53" s="307"/>
      <c r="HF53" s="131"/>
      <c r="HG53" s="307"/>
      <c r="HH53" s="131"/>
      <c r="HI53" s="307"/>
      <c r="HJ53" s="131"/>
      <c r="HK53" s="307"/>
      <c r="HL53" s="131">
        <f>+'1911 Hacienda'!B43</f>
        <v>28086</v>
      </c>
      <c r="HM53" s="307">
        <f>+'1911 Hacienda'!C43</f>
        <v>99</v>
      </c>
      <c r="HN53" s="131">
        <v>26545</v>
      </c>
      <c r="HO53" s="307">
        <v>59</v>
      </c>
      <c r="HP53" s="131">
        <f>+'1912 Hacienda'!B28</f>
        <v>38104</v>
      </c>
      <c r="HQ53" s="307">
        <f>+'1912 Hacienda'!C28</f>
        <v>43</v>
      </c>
      <c r="HR53" s="131"/>
      <c r="HS53" s="307"/>
      <c r="HT53" s="131">
        <f>+'1915 Hacienda'!D29</f>
        <v>1599</v>
      </c>
      <c r="HU53" s="307">
        <f>+'1915 Hacienda'!E29</f>
        <v>99</v>
      </c>
    </row>
    <row r="54" spans="1:229" x14ac:dyDescent="0.2">
      <c r="A54" s="134" t="s">
        <v>5432</v>
      </c>
      <c r="B54" s="131"/>
      <c r="C54" s="134"/>
      <c r="D54" s="133"/>
      <c r="E54" s="131"/>
      <c r="F54" s="134"/>
      <c r="G54" s="133"/>
      <c r="H54" s="131"/>
      <c r="I54" s="134"/>
      <c r="J54" s="133"/>
      <c r="K54" s="131"/>
      <c r="L54" s="134"/>
      <c r="M54" s="133"/>
      <c r="N54" s="131"/>
      <c r="O54" s="134"/>
      <c r="P54" s="133"/>
      <c r="Q54" s="131"/>
      <c r="R54" s="134"/>
      <c r="S54" s="133"/>
      <c r="T54" s="131"/>
      <c r="U54" s="134"/>
      <c r="V54" s="133"/>
      <c r="W54" s="131"/>
      <c r="X54" s="134"/>
      <c r="Y54" s="133"/>
      <c r="Z54" s="131"/>
      <c r="AA54" s="134"/>
      <c r="AB54" s="133"/>
      <c r="AC54" s="131"/>
      <c r="AD54" s="134"/>
      <c r="AE54" s="133"/>
      <c r="AF54" s="131"/>
      <c r="AG54" s="134"/>
      <c r="AH54" s="133"/>
      <c r="AI54" s="145"/>
      <c r="AJ54" s="134"/>
      <c r="AK54" s="133"/>
      <c r="AL54" s="131"/>
      <c r="AM54" s="134"/>
      <c r="AN54" s="133"/>
      <c r="AO54" s="131"/>
      <c r="AP54" s="134"/>
      <c r="AQ54" s="133"/>
      <c r="AR54" s="131"/>
      <c r="AS54" s="134"/>
      <c r="AT54" s="180"/>
      <c r="AU54" s="131"/>
      <c r="AV54" s="185"/>
      <c r="AW54" s="131"/>
      <c r="AX54" s="185"/>
      <c r="AY54" s="131"/>
      <c r="AZ54" s="185"/>
      <c r="BA54" s="131"/>
      <c r="BB54" s="185"/>
      <c r="BC54" s="131"/>
      <c r="BD54" s="185"/>
      <c r="BE54" s="131"/>
      <c r="BF54" s="185"/>
      <c r="BG54" s="131"/>
      <c r="BH54" s="185"/>
      <c r="BI54" s="131"/>
      <c r="BJ54" s="185"/>
      <c r="BK54" s="131"/>
      <c r="BL54" s="185"/>
      <c r="BM54" s="131"/>
      <c r="BN54" s="185"/>
      <c r="BO54" s="131"/>
      <c r="BP54" s="134"/>
      <c r="BQ54" s="131"/>
      <c r="BR54" s="134"/>
      <c r="BS54" s="133"/>
      <c r="BT54" s="131"/>
      <c r="BU54" s="134"/>
      <c r="BV54" s="131"/>
      <c r="BW54" s="134"/>
      <c r="BX54" s="131"/>
      <c r="BY54" s="134"/>
      <c r="BZ54" s="131"/>
      <c r="CA54" s="134"/>
      <c r="CB54" s="133"/>
      <c r="CC54" s="131"/>
      <c r="CD54" s="134"/>
      <c r="CE54" s="133"/>
      <c r="CF54" s="131"/>
      <c r="CG54" s="134"/>
      <c r="CH54" s="133"/>
      <c r="CI54" s="131"/>
      <c r="CJ54" s="134"/>
      <c r="CK54" s="133"/>
      <c r="CL54" s="131"/>
      <c r="CM54" s="134"/>
      <c r="CN54" s="133"/>
      <c r="CO54" s="131"/>
      <c r="CP54" s="134"/>
      <c r="CQ54" s="133"/>
      <c r="CR54" s="131"/>
      <c r="CS54" s="134"/>
      <c r="CT54" s="133"/>
      <c r="CU54" s="131"/>
      <c r="CV54" s="134"/>
      <c r="CW54" s="133"/>
      <c r="CX54" s="131"/>
      <c r="CY54" s="134"/>
      <c r="CZ54" s="133"/>
      <c r="DA54" s="140"/>
      <c r="DB54" s="141"/>
      <c r="DC54" s="142"/>
      <c r="DD54" s="140"/>
      <c r="DE54" s="141"/>
      <c r="DF54" s="142"/>
      <c r="DG54" s="140"/>
      <c r="DH54" s="141"/>
      <c r="DI54" s="142"/>
      <c r="DJ54" s="140"/>
      <c r="DK54" s="141"/>
      <c r="DL54" s="142"/>
      <c r="DM54" s="140"/>
      <c r="DN54" s="141"/>
      <c r="DO54" s="142"/>
      <c r="DP54" s="140"/>
      <c r="DQ54" s="141"/>
      <c r="DR54" s="142"/>
      <c r="DS54" s="140"/>
      <c r="DT54" s="141"/>
      <c r="DU54" s="142"/>
      <c r="DV54" s="140"/>
      <c r="DW54" s="141"/>
      <c r="DX54" s="142"/>
      <c r="DY54" s="140"/>
      <c r="DZ54" s="141"/>
      <c r="EA54" s="142"/>
      <c r="EB54" s="140"/>
      <c r="EC54" s="141"/>
      <c r="ED54" s="142"/>
      <c r="EE54" s="140"/>
      <c r="EF54" s="141"/>
      <c r="EG54" s="142"/>
      <c r="EH54" s="140"/>
      <c r="EI54" s="141"/>
      <c r="EJ54" s="142"/>
      <c r="EK54" s="140"/>
      <c r="EL54" s="141"/>
      <c r="EM54" s="142"/>
      <c r="EN54" s="140"/>
      <c r="EO54" s="141"/>
      <c r="EP54" s="142"/>
      <c r="EQ54" s="140"/>
      <c r="ER54" s="141"/>
      <c r="ES54" s="142"/>
      <c r="ET54" s="140"/>
      <c r="EU54" s="141"/>
      <c r="EV54" s="142"/>
      <c r="EW54" s="140"/>
      <c r="EX54" s="141"/>
      <c r="EY54" s="142"/>
      <c r="EZ54" s="140"/>
      <c r="FA54" s="141"/>
      <c r="FB54" s="142"/>
      <c r="FC54" s="140"/>
      <c r="FD54" s="141"/>
      <c r="FE54" s="142"/>
      <c r="FF54" s="140"/>
      <c r="FG54" s="141"/>
      <c r="FH54" s="142"/>
      <c r="FI54" s="140"/>
      <c r="FJ54" s="141"/>
      <c r="FK54" s="142"/>
      <c r="FL54" s="140"/>
      <c r="FM54" s="141"/>
      <c r="FN54" s="142"/>
      <c r="FO54" s="140"/>
      <c r="FP54" s="141"/>
      <c r="FQ54" s="142"/>
      <c r="FR54" s="140"/>
      <c r="FS54" s="141"/>
      <c r="FT54" s="142"/>
      <c r="FU54" s="140"/>
      <c r="FV54" s="141"/>
      <c r="FW54" s="142"/>
      <c r="FX54" s="140"/>
      <c r="FY54" s="141"/>
      <c r="FZ54" s="142"/>
      <c r="GA54" s="140"/>
      <c r="GB54" s="141"/>
      <c r="GC54" s="142"/>
      <c r="GD54" s="140">
        <f>+'1898 Hacienda'!K11</f>
        <v>320930</v>
      </c>
      <c r="GE54" s="141">
        <f>+'1898 Hacienda'!L11</f>
        <v>20</v>
      </c>
      <c r="GF54" s="142"/>
      <c r="GG54" s="140"/>
      <c r="GH54" s="141"/>
      <c r="GI54" s="142"/>
      <c r="GJ54" s="140"/>
      <c r="GK54" s="141"/>
      <c r="GL54" s="142"/>
      <c r="GM54" s="140"/>
      <c r="GN54" s="141"/>
      <c r="GO54" s="142"/>
      <c r="GP54" s="140"/>
      <c r="GQ54" s="141"/>
      <c r="GR54" s="142"/>
      <c r="GS54" s="140"/>
      <c r="GT54" s="141"/>
      <c r="GU54" s="142"/>
      <c r="GV54" s="140"/>
      <c r="GW54" s="141"/>
      <c r="GX54" s="142"/>
      <c r="GY54" s="164"/>
      <c r="GZ54" s="134"/>
      <c r="HA54" s="185"/>
      <c r="HB54" s="131">
        <f>'1910 Hacienda'!C19</f>
        <v>23138</v>
      </c>
      <c r="HC54" s="307">
        <f>'1910 Hacienda'!D19</f>
        <v>0</v>
      </c>
      <c r="HD54" s="131">
        <f>'1910 Hacienda'!C44</f>
        <v>80227</v>
      </c>
      <c r="HE54" s="307">
        <f>'1910 Hacienda'!D44</f>
        <v>27</v>
      </c>
      <c r="HF54" s="131">
        <f>'1910 Hacienda'!C72</f>
        <v>233850</v>
      </c>
      <c r="HG54" s="307">
        <f>'1910 Hacienda'!D72</f>
        <v>69</v>
      </c>
      <c r="HH54" s="131">
        <f>'1910 Hacienda'!C107</f>
        <v>444325</v>
      </c>
      <c r="HI54" s="307">
        <f>'1910 Hacienda'!D107</f>
        <v>94</v>
      </c>
      <c r="HJ54" s="131">
        <f>'1910 Hacienda'!C152</f>
        <v>126501</v>
      </c>
      <c r="HK54" s="307">
        <f>'1910 Hacienda'!D152</f>
        <v>53</v>
      </c>
      <c r="HL54" s="131"/>
      <c r="HM54" s="307"/>
      <c r="HN54" s="131"/>
      <c r="HO54" s="307"/>
      <c r="HP54" s="131"/>
      <c r="HQ54" s="307"/>
      <c r="HR54" s="131"/>
      <c r="HS54" s="307"/>
      <c r="HT54" s="131"/>
      <c r="HU54" s="307"/>
    </row>
    <row r="55" spans="1:229" x14ac:dyDescent="0.2">
      <c r="A55" s="178" t="s">
        <v>5567</v>
      </c>
      <c r="B55" s="131"/>
      <c r="C55" s="134"/>
      <c r="D55" s="133"/>
      <c r="E55" s="131"/>
      <c r="F55" s="134"/>
      <c r="G55" s="133"/>
      <c r="H55" s="131"/>
      <c r="I55" s="134"/>
      <c r="J55" s="133"/>
      <c r="K55" s="131"/>
      <c r="L55" s="134"/>
      <c r="M55" s="133"/>
      <c r="N55" s="131"/>
      <c r="O55" s="134"/>
      <c r="P55" s="133"/>
      <c r="Q55" s="131"/>
      <c r="R55" s="134"/>
      <c r="S55" s="133"/>
      <c r="T55" s="131"/>
      <c r="U55" s="134"/>
      <c r="V55" s="133"/>
      <c r="W55" s="131"/>
      <c r="X55" s="134"/>
      <c r="Y55" s="133"/>
      <c r="Z55" s="131"/>
      <c r="AA55" s="134"/>
      <c r="AB55" s="133"/>
      <c r="AC55" s="131"/>
      <c r="AD55" s="134"/>
      <c r="AE55" s="133"/>
      <c r="AF55" s="131"/>
      <c r="AG55" s="134"/>
      <c r="AH55" s="133"/>
      <c r="AI55" s="145"/>
      <c r="AJ55" s="134"/>
      <c r="AK55" s="133"/>
      <c r="AL55" s="131"/>
      <c r="AM55" s="134"/>
      <c r="AN55" s="133"/>
      <c r="AO55" s="131"/>
      <c r="AP55" s="134"/>
      <c r="AQ55" s="133"/>
      <c r="AR55" s="131"/>
      <c r="AS55" s="134"/>
      <c r="AT55" s="180"/>
      <c r="AU55" s="131"/>
      <c r="AV55" s="185"/>
      <c r="AW55" s="131"/>
      <c r="AX55" s="185"/>
      <c r="AY55" s="131"/>
      <c r="AZ55" s="185"/>
      <c r="BA55" s="131"/>
      <c r="BB55" s="185"/>
      <c r="BC55" s="131"/>
      <c r="BD55" s="185"/>
      <c r="BE55" s="131"/>
      <c r="BF55" s="185"/>
      <c r="BG55" s="131"/>
      <c r="BH55" s="185"/>
      <c r="BI55" s="131"/>
      <c r="BJ55" s="185"/>
      <c r="BK55" s="131"/>
      <c r="BL55" s="185"/>
      <c r="BM55" s="131"/>
      <c r="BN55" s="185"/>
      <c r="BO55" s="131"/>
      <c r="BP55" s="134"/>
      <c r="BQ55" s="131"/>
      <c r="BR55" s="134"/>
      <c r="BS55" s="133"/>
      <c r="BT55" s="131"/>
      <c r="BU55" s="134"/>
      <c r="BV55" s="131"/>
      <c r="BW55" s="134"/>
      <c r="BX55" s="131"/>
      <c r="BY55" s="134"/>
      <c r="BZ55" s="131"/>
      <c r="CA55" s="134"/>
      <c r="CB55" s="133"/>
      <c r="CC55" s="131"/>
      <c r="CD55" s="134"/>
      <c r="CE55" s="133"/>
      <c r="CF55" s="131"/>
      <c r="CG55" s="134"/>
      <c r="CH55" s="133"/>
      <c r="CI55" s="131"/>
      <c r="CJ55" s="134"/>
      <c r="CK55" s="133"/>
      <c r="CL55" s="131"/>
      <c r="CM55" s="134"/>
      <c r="CN55" s="133"/>
      <c r="CO55" s="131"/>
      <c r="CP55" s="134"/>
      <c r="CQ55" s="133"/>
      <c r="CR55" s="131"/>
      <c r="CS55" s="134"/>
      <c r="CT55" s="133"/>
      <c r="CU55" s="131"/>
      <c r="CV55" s="134"/>
      <c r="CW55" s="133"/>
      <c r="CX55" s="131"/>
      <c r="CY55" s="134"/>
      <c r="CZ55" s="133"/>
      <c r="DA55" s="140"/>
      <c r="DB55" s="141"/>
      <c r="DC55" s="142"/>
      <c r="DD55" s="140"/>
      <c r="DE55" s="141"/>
      <c r="DF55" s="142"/>
      <c r="DG55" s="140"/>
      <c r="DH55" s="141"/>
      <c r="DI55" s="142"/>
      <c r="DJ55" s="140"/>
      <c r="DK55" s="141"/>
      <c r="DL55" s="142"/>
      <c r="DM55" s="140"/>
      <c r="DN55" s="141"/>
      <c r="DO55" s="142"/>
      <c r="DP55" s="140"/>
      <c r="DQ55" s="141"/>
      <c r="DR55" s="142"/>
      <c r="DS55" s="140"/>
      <c r="DT55" s="141"/>
      <c r="DU55" s="142"/>
      <c r="DV55" s="140"/>
      <c r="DW55" s="141"/>
      <c r="DX55" s="142"/>
      <c r="DY55" s="140"/>
      <c r="DZ55" s="141"/>
      <c r="EA55" s="142"/>
      <c r="EB55" s="140"/>
      <c r="EC55" s="141"/>
      <c r="ED55" s="142"/>
      <c r="EE55" s="140"/>
      <c r="EF55" s="141"/>
      <c r="EG55" s="142"/>
      <c r="EH55" s="140"/>
      <c r="EI55" s="141"/>
      <c r="EJ55" s="142"/>
      <c r="EK55" s="140"/>
      <c r="EL55" s="141"/>
      <c r="EM55" s="142"/>
      <c r="EN55" s="140"/>
      <c r="EO55" s="141"/>
      <c r="EP55" s="142"/>
      <c r="EQ55" s="140"/>
      <c r="ER55" s="141"/>
      <c r="ES55" s="142"/>
      <c r="ET55" s="140"/>
      <c r="EU55" s="141"/>
      <c r="EV55" s="142"/>
      <c r="EW55" s="140"/>
      <c r="EX55" s="141"/>
      <c r="EY55" s="142"/>
      <c r="EZ55" s="140"/>
      <c r="FA55" s="141"/>
      <c r="FB55" s="142"/>
      <c r="FC55" s="140"/>
      <c r="FD55" s="141"/>
      <c r="FE55" s="142"/>
      <c r="FF55" s="140"/>
      <c r="FG55" s="141"/>
      <c r="FH55" s="142"/>
      <c r="FI55" s="140"/>
      <c r="FJ55" s="141"/>
      <c r="FK55" s="142"/>
      <c r="FL55" s="140"/>
      <c r="FM55" s="141"/>
      <c r="FN55" s="142"/>
      <c r="FO55" s="140"/>
      <c r="FP55" s="141"/>
      <c r="FQ55" s="142"/>
      <c r="FR55" s="140"/>
      <c r="FS55" s="141"/>
      <c r="FT55" s="142"/>
      <c r="FU55" s="140"/>
      <c r="FV55" s="141"/>
      <c r="FW55" s="142"/>
      <c r="FX55" s="140"/>
      <c r="FY55" s="141"/>
      <c r="FZ55" s="142"/>
      <c r="GA55" s="140"/>
      <c r="GB55" s="141"/>
      <c r="GC55" s="142"/>
      <c r="GD55" s="140"/>
      <c r="GE55" s="141"/>
      <c r="GF55" s="142"/>
      <c r="GG55" s="140"/>
      <c r="GH55" s="141"/>
      <c r="GI55" s="142"/>
      <c r="GJ55" s="140"/>
      <c r="GK55" s="141"/>
      <c r="GL55" s="142"/>
      <c r="GM55" s="140"/>
      <c r="GN55" s="141"/>
      <c r="GO55" s="142"/>
      <c r="GP55" s="140"/>
      <c r="GQ55" s="141"/>
      <c r="GR55" s="142"/>
      <c r="GS55" s="140"/>
      <c r="GT55" s="141"/>
      <c r="GU55" s="142"/>
      <c r="GV55" s="140"/>
      <c r="GW55" s="141"/>
      <c r="GX55" s="142"/>
      <c r="GY55" s="164"/>
      <c r="GZ55" s="134"/>
      <c r="HA55" s="185"/>
      <c r="HB55" s="131"/>
      <c r="HC55" s="307"/>
      <c r="HD55" s="131"/>
      <c r="HE55" s="307"/>
      <c r="HF55" s="131"/>
      <c r="HG55" s="307"/>
      <c r="HH55" s="131"/>
      <c r="HI55" s="307"/>
      <c r="HJ55" s="131"/>
      <c r="HK55" s="307"/>
      <c r="HL55" s="131">
        <f>+'1911 Hacienda'!B44</f>
        <v>20977</v>
      </c>
      <c r="HM55" s="307">
        <f>+'1911 Hacienda'!C44</f>
        <v>44</v>
      </c>
      <c r="HN55" s="131">
        <v>30514</v>
      </c>
      <c r="HO55" s="307">
        <v>35</v>
      </c>
      <c r="HP55" s="131">
        <f>+'1912 Hacienda'!B29</f>
        <v>39402</v>
      </c>
      <c r="HQ55" s="307">
        <f>+'1912 Hacienda'!C29</f>
        <v>56</v>
      </c>
      <c r="HR55" s="131"/>
      <c r="HS55" s="307"/>
      <c r="HT55" s="131">
        <f>+'1915 Hacienda'!D28</f>
        <v>1902</v>
      </c>
      <c r="HU55" s="307">
        <f>+'1915 Hacienda'!E28</f>
        <v>34</v>
      </c>
    </row>
    <row r="56" spans="1:229" x14ac:dyDescent="0.2">
      <c r="A56" s="134" t="s">
        <v>5433</v>
      </c>
      <c r="B56" s="131"/>
      <c r="C56" s="134"/>
      <c r="D56" s="133"/>
      <c r="E56" s="131"/>
      <c r="F56" s="134"/>
      <c r="G56" s="133"/>
      <c r="H56" s="131"/>
      <c r="I56" s="134"/>
      <c r="J56" s="133"/>
      <c r="K56" s="131"/>
      <c r="L56" s="134"/>
      <c r="M56" s="133"/>
      <c r="N56" s="131"/>
      <c r="O56" s="134"/>
      <c r="P56" s="133"/>
      <c r="Q56" s="131"/>
      <c r="R56" s="134"/>
      <c r="S56" s="133"/>
      <c r="T56" s="131"/>
      <c r="U56" s="134"/>
      <c r="V56" s="133"/>
      <c r="W56" s="131"/>
      <c r="X56" s="134"/>
      <c r="Y56" s="133"/>
      <c r="Z56" s="131"/>
      <c r="AA56" s="134"/>
      <c r="AB56" s="133"/>
      <c r="AC56" s="131"/>
      <c r="AD56" s="134"/>
      <c r="AE56" s="133"/>
      <c r="AF56" s="131"/>
      <c r="AG56" s="134"/>
      <c r="AH56" s="133"/>
      <c r="AI56" s="145"/>
      <c r="AJ56" s="134"/>
      <c r="AK56" s="133"/>
      <c r="AL56" s="131"/>
      <c r="AM56" s="134"/>
      <c r="AN56" s="133"/>
      <c r="AO56" s="131"/>
      <c r="AP56" s="134"/>
      <c r="AQ56" s="133"/>
      <c r="AR56" s="131"/>
      <c r="AS56" s="134"/>
      <c r="AT56" s="180"/>
      <c r="AU56" s="131"/>
      <c r="AV56" s="185"/>
      <c r="AW56" s="131"/>
      <c r="AX56" s="185"/>
      <c r="AY56" s="131"/>
      <c r="AZ56" s="185"/>
      <c r="BA56" s="131"/>
      <c r="BB56" s="185"/>
      <c r="BC56" s="131"/>
      <c r="BD56" s="185"/>
      <c r="BE56" s="131"/>
      <c r="BF56" s="185"/>
      <c r="BG56" s="131"/>
      <c r="BH56" s="185"/>
      <c r="BI56" s="131"/>
      <c r="BJ56" s="185"/>
      <c r="BK56" s="131"/>
      <c r="BL56" s="185"/>
      <c r="BM56" s="131"/>
      <c r="BN56" s="185"/>
      <c r="BO56" s="131"/>
      <c r="BP56" s="134"/>
      <c r="BQ56" s="131"/>
      <c r="BR56" s="134"/>
      <c r="BS56" s="133"/>
      <c r="BT56" s="131"/>
      <c r="BU56" s="134"/>
      <c r="BV56" s="131"/>
      <c r="BW56" s="134"/>
      <c r="BX56" s="131"/>
      <c r="BY56" s="134"/>
      <c r="BZ56" s="131"/>
      <c r="CA56" s="134"/>
      <c r="CB56" s="133"/>
      <c r="CC56" s="131"/>
      <c r="CD56" s="134"/>
      <c r="CE56" s="133"/>
      <c r="CF56" s="131"/>
      <c r="CG56" s="134"/>
      <c r="CH56" s="133"/>
      <c r="CI56" s="131"/>
      <c r="CJ56" s="134"/>
      <c r="CK56" s="133"/>
      <c r="CL56" s="131"/>
      <c r="CM56" s="134"/>
      <c r="CN56" s="133"/>
      <c r="CO56" s="131"/>
      <c r="CP56" s="134"/>
      <c r="CQ56" s="133"/>
      <c r="CR56" s="131"/>
      <c r="CS56" s="134"/>
      <c r="CT56" s="133"/>
      <c r="CU56" s="131"/>
      <c r="CV56" s="134"/>
      <c r="CW56" s="133"/>
      <c r="CX56" s="131"/>
      <c r="CY56" s="134"/>
      <c r="CZ56" s="133"/>
      <c r="DA56" s="140"/>
      <c r="DB56" s="141"/>
      <c r="DC56" s="142"/>
      <c r="DD56" s="140"/>
      <c r="DE56" s="141"/>
      <c r="DF56" s="142"/>
      <c r="DG56" s="140"/>
      <c r="DH56" s="141"/>
      <c r="DI56" s="142"/>
      <c r="DJ56" s="140"/>
      <c r="DK56" s="141"/>
      <c r="DL56" s="142"/>
      <c r="DM56" s="140"/>
      <c r="DN56" s="141"/>
      <c r="DO56" s="142"/>
      <c r="DP56" s="140"/>
      <c r="DQ56" s="141"/>
      <c r="DR56" s="142"/>
      <c r="DS56" s="140"/>
      <c r="DT56" s="141"/>
      <c r="DU56" s="142"/>
      <c r="DV56" s="140"/>
      <c r="DW56" s="141"/>
      <c r="DX56" s="142"/>
      <c r="DY56" s="140"/>
      <c r="DZ56" s="141"/>
      <c r="EA56" s="142"/>
      <c r="EB56" s="140"/>
      <c r="EC56" s="141"/>
      <c r="ED56" s="142"/>
      <c r="EE56" s="140"/>
      <c r="EF56" s="141"/>
      <c r="EG56" s="142"/>
      <c r="EH56" s="140"/>
      <c r="EI56" s="141"/>
      <c r="EJ56" s="142"/>
      <c r="EK56" s="140"/>
      <c r="EL56" s="141"/>
      <c r="EM56" s="142"/>
      <c r="EN56" s="140"/>
      <c r="EO56" s="141"/>
      <c r="EP56" s="142"/>
      <c r="EQ56" s="140"/>
      <c r="ER56" s="141"/>
      <c r="ES56" s="142"/>
      <c r="ET56" s="140"/>
      <c r="EU56" s="141"/>
      <c r="EV56" s="142"/>
      <c r="EW56" s="140"/>
      <c r="EX56" s="141"/>
      <c r="EY56" s="142"/>
      <c r="EZ56" s="140"/>
      <c r="FA56" s="141"/>
      <c r="FB56" s="142"/>
      <c r="FC56" s="140"/>
      <c r="FD56" s="141"/>
      <c r="FE56" s="142"/>
      <c r="FF56" s="140"/>
      <c r="FG56" s="141"/>
      <c r="FH56" s="142"/>
      <c r="FI56" s="140"/>
      <c r="FJ56" s="141"/>
      <c r="FK56" s="142"/>
      <c r="FL56" s="140"/>
      <c r="FM56" s="141"/>
      <c r="FN56" s="142"/>
      <c r="FO56" s="140"/>
      <c r="FP56" s="141"/>
      <c r="FQ56" s="142"/>
      <c r="FR56" s="140"/>
      <c r="FS56" s="141"/>
      <c r="FT56" s="142"/>
      <c r="FU56" s="140"/>
      <c r="FV56" s="141"/>
      <c r="FW56" s="142"/>
      <c r="FX56" s="140"/>
      <c r="FY56" s="141"/>
      <c r="FZ56" s="142"/>
      <c r="GA56" s="140"/>
      <c r="GB56" s="141"/>
      <c r="GC56" s="142"/>
      <c r="GD56" s="140"/>
      <c r="GE56" s="141"/>
      <c r="GF56" s="142"/>
      <c r="GG56" s="140"/>
      <c r="GH56" s="141"/>
      <c r="GI56" s="142"/>
      <c r="GJ56" s="140"/>
      <c r="GK56" s="141"/>
      <c r="GL56" s="142"/>
      <c r="GM56" s="140"/>
      <c r="GN56" s="141"/>
      <c r="GO56" s="142"/>
      <c r="GP56" s="140"/>
      <c r="GQ56" s="141"/>
      <c r="GR56" s="142"/>
      <c r="GS56" s="140"/>
      <c r="GT56" s="141"/>
      <c r="GU56" s="142"/>
      <c r="GV56" s="140"/>
      <c r="GW56" s="141"/>
      <c r="GX56" s="142"/>
      <c r="GY56" s="164"/>
      <c r="GZ56" s="134"/>
      <c r="HA56" s="185"/>
      <c r="HB56" s="131">
        <f>'1910 Hacienda'!C20</f>
        <v>96830</v>
      </c>
      <c r="HC56" s="307">
        <f>'1910 Hacienda'!D20</f>
        <v>9</v>
      </c>
      <c r="HD56" s="131">
        <f>'1910 Hacienda'!C45</f>
        <v>510189</v>
      </c>
      <c r="HE56" s="307">
        <f>'1910 Hacienda'!D45</f>
        <v>55</v>
      </c>
      <c r="HF56" s="131">
        <f>'1910 Hacienda'!C73</f>
        <v>749376</v>
      </c>
      <c r="HG56" s="307">
        <f>'1910 Hacienda'!D73</f>
        <v>7</v>
      </c>
      <c r="HH56" s="131">
        <f>'1910 Hacienda'!C101</f>
        <v>619492</v>
      </c>
      <c r="HI56" s="307">
        <f>'1910 Hacienda'!D101</f>
        <v>43</v>
      </c>
      <c r="HJ56" s="131"/>
      <c r="HK56" s="307"/>
      <c r="HL56" s="131"/>
      <c r="HM56" s="307"/>
      <c r="HN56" s="131"/>
      <c r="HO56" s="307"/>
      <c r="HP56" s="131"/>
      <c r="HQ56" s="307"/>
      <c r="HR56" s="131"/>
      <c r="HS56" s="307"/>
      <c r="HT56" s="131"/>
      <c r="HU56" s="307"/>
    </row>
    <row r="57" spans="1:229" x14ac:dyDescent="0.2">
      <c r="A57" s="134" t="s">
        <v>5434</v>
      </c>
      <c r="B57" s="131"/>
      <c r="C57" s="134"/>
      <c r="D57" s="133"/>
      <c r="E57" s="131"/>
      <c r="F57" s="134"/>
      <c r="G57" s="133"/>
      <c r="H57" s="131"/>
      <c r="I57" s="134"/>
      <c r="J57" s="133"/>
      <c r="K57" s="131"/>
      <c r="L57" s="134"/>
      <c r="M57" s="133"/>
      <c r="N57" s="131"/>
      <c r="O57" s="134"/>
      <c r="P57" s="133"/>
      <c r="Q57" s="131"/>
      <c r="R57" s="134"/>
      <c r="S57" s="133"/>
      <c r="T57" s="131"/>
      <c r="U57" s="134"/>
      <c r="V57" s="133"/>
      <c r="W57" s="131"/>
      <c r="X57" s="134"/>
      <c r="Y57" s="133"/>
      <c r="Z57" s="131"/>
      <c r="AA57" s="134"/>
      <c r="AB57" s="133"/>
      <c r="AC57" s="131"/>
      <c r="AD57" s="134"/>
      <c r="AE57" s="133"/>
      <c r="AF57" s="131"/>
      <c r="AG57" s="134"/>
      <c r="AH57" s="133"/>
      <c r="AI57" s="145"/>
      <c r="AJ57" s="134"/>
      <c r="AK57" s="133"/>
      <c r="AL57" s="131"/>
      <c r="AM57" s="134"/>
      <c r="AN57" s="133"/>
      <c r="AO57" s="131"/>
      <c r="AP57" s="134"/>
      <c r="AQ57" s="133"/>
      <c r="AR57" s="131"/>
      <c r="AS57" s="134"/>
      <c r="AT57" s="180"/>
      <c r="AU57" s="131"/>
      <c r="AV57" s="185"/>
      <c r="AW57" s="131"/>
      <c r="AX57" s="185"/>
      <c r="AY57" s="131"/>
      <c r="AZ57" s="185"/>
      <c r="BA57" s="131"/>
      <c r="BB57" s="185"/>
      <c r="BC57" s="131"/>
      <c r="BD57" s="185"/>
      <c r="BE57" s="131"/>
      <c r="BF57" s="185"/>
      <c r="BG57" s="131"/>
      <c r="BH57" s="185"/>
      <c r="BI57" s="131"/>
      <c r="BJ57" s="185"/>
      <c r="BK57" s="131"/>
      <c r="BL57" s="185"/>
      <c r="BM57" s="131"/>
      <c r="BN57" s="185"/>
      <c r="BO57" s="131"/>
      <c r="BP57" s="134"/>
      <c r="BQ57" s="131"/>
      <c r="BR57" s="134"/>
      <c r="BS57" s="133"/>
      <c r="BT57" s="131"/>
      <c r="BU57" s="134"/>
      <c r="BV57" s="131"/>
      <c r="BW57" s="134"/>
      <c r="BX57" s="131"/>
      <c r="BY57" s="134"/>
      <c r="BZ57" s="131"/>
      <c r="CA57" s="134"/>
      <c r="CB57" s="133"/>
      <c r="CC57" s="131"/>
      <c r="CD57" s="134"/>
      <c r="CE57" s="133"/>
      <c r="CF57" s="131"/>
      <c r="CG57" s="134"/>
      <c r="CH57" s="133"/>
      <c r="CI57" s="131"/>
      <c r="CJ57" s="134"/>
      <c r="CK57" s="133"/>
      <c r="CL57" s="131"/>
      <c r="CM57" s="134"/>
      <c r="CN57" s="133"/>
      <c r="CO57" s="131"/>
      <c r="CP57" s="134"/>
      <c r="CQ57" s="133"/>
      <c r="CR57" s="131"/>
      <c r="CS57" s="134"/>
      <c r="CT57" s="133"/>
      <c r="CU57" s="131"/>
      <c r="CV57" s="134"/>
      <c r="CW57" s="133"/>
      <c r="CX57" s="131"/>
      <c r="CY57" s="134"/>
      <c r="CZ57" s="133"/>
      <c r="DA57" s="140"/>
      <c r="DB57" s="141"/>
      <c r="DC57" s="142"/>
      <c r="DD57" s="140"/>
      <c r="DE57" s="141"/>
      <c r="DF57" s="142"/>
      <c r="DG57" s="140"/>
      <c r="DH57" s="141"/>
      <c r="DI57" s="142"/>
      <c r="DJ57" s="140"/>
      <c r="DK57" s="141"/>
      <c r="DL57" s="142"/>
      <c r="DM57" s="140"/>
      <c r="DN57" s="141"/>
      <c r="DO57" s="142"/>
      <c r="DP57" s="140"/>
      <c r="DQ57" s="141"/>
      <c r="DR57" s="142"/>
      <c r="DS57" s="140"/>
      <c r="DT57" s="141"/>
      <c r="DU57" s="142"/>
      <c r="DV57" s="140"/>
      <c r="DW57" s="141"/>
      <c r="DX57" s="142"/>
      <c r="DY57" s="140"/>
      <c r="DZ57" s="141"/>
      <c r="EA57" s="142"/>
      <c r="EB57" s="140"/>
      <c r="EC57" s="141"/>
      <c r="ED57" s="142"/>
      <c r="EE57" s="140"/>
      <c r="EF57" s="141"/>
      <c r="EG57" s="142"/>
      <c r="EH57" s="140"/>
      <c r="EI57" s="141"/>
      <c r="EJ57" s="142"/>
      <c r="EK57" s="140"/>
      <c r="EL57" s="141"/>
      <c r="EM57" s="142"/>
      <c r="EN57" s="140"/>
      <c r="EO57" s="141"/>
      <c r="EP57" s="142"/>
      <c r="EQ57" s="140"/>
      <c r="ER57" s="141"/>
      <c r="ES57" s="142"/>
      <c r="ET57" s="140"/>
      <c r="EU57" s="141"/>
      <c r="EV57" s="142"/>
      <c r="EW57" s="140">
        <f>+'1890 Hacienda'!B177</f>
        <v>341959</v>
      </c>
      <c r="EX57" s="141">
        <f>+'1890 Hacienda'!C177</f>
        <v>55</v>
      </c>
      <c r="EY57" s="142"/>
      <c r="EZ57" s="140">
        <f>+'1890 Hacienda'!B178</f>
        <v>395559</v>
      </c>
      <c r="FA57" s="141">
        <f>+'1890 Hacienda'!C178</f>
        <v>55</v>
      </c>
      <c r="FB57" s="142"/>
      <c r="FC57" s="140">
        <f>+'1890 Hacienda'!B213</f>
        <v>2075705</v>
      </c>
      <c r="FD57" s="141">
        <f>+'1890 Hacienda'!C213</f>
        <v>55</v>
      </c>
      <c r="FE57" s="142"/>
      <c r="FF57" s="140">
        <f>+'1890 Hacienda'!E213</f>
        <v>1086905</v>
      </c>
      <c r="FG57" s="141">
        <f>+'1890 Hacienda'!F213</f>
        <v>28</v>
      </c>
      <c r="FH57" s="142"/>
      <c r="FI57" s="140"/>
      <c r="FJ57" s="141"/>
      <c r="FK57" s="142"/>
      <c r="FL57" s="140">
        <f>+'1894 Hacienda'!C9</f>
        <v>909795</v>
      </c>
      <c r="FM57" s="141"/>
      <c r="FN57" s="142"/>
      <c r="FO57" s="140">
        <f>+'1894 Hacienda'!F9</f>
        <v>878968</v>
      </c>
      <c r="FP57" s="141">
        <f>+'1894 Hacienda'!G9</f>
        <v>25</v>
      </c>
      <c r="FQ57" s="142"/>
      <c r="FR57" s="140">
        <f>+'1896 Hacienda'!C9</f>
        <v>1008858</v>
      </c>
      <c r="FS57" s="141"/>
      <c r="FT57" s="142"/>
      <c r="FU57" s="140">
        <f>+'1896 Hacienda'!F9</f>
        <v>1090425</v>
      </c>
      <c r="FV57" s="141">
        <f>+'1896 Hacienda'!G9</f>
        <v>90</v>
      </c>
      <c r="FW57" s="142"/>
      <c r="FX57" s="140">
        <f>+'1896 Hacienda'!L9</f>
        <v>1718844</v>
      </c>
      <c r="FY57" s="141">
        <f>+'1896 Hacienda'!M9</f>
        <v>55</v>
      </c>
      <c r="FZ57" s="142"/>
      <c r="GA57" s="140">
        <f>+'1898 Hacienda'!E8</f>
        <v>1115062</v>
      </c>
      <c r="GB57" s="141">
        <f>+'1898 Hacienda'!F8</f>
        <v>95</v>
      </c>
      <c r="GC57" s="142"/>
      <c r="GD57" s="140">
        <f>+'1898 Hacienda'!K8</f>
        <v>78520</v>
      </c>
      <c r="GE57" s="141"/>
      <c r="GF57" s="142"/>
      <c r="GG57" s="140"/>
      <c r="GH57" s="141"/>
      <c r="GI57" s="142"/>
      <c r="GJ57" s="140"/>
      <c r="GK57" s="141"/>
      <c r="GL57" s="142"/>
      <c r="GM57" s="140"/>
      <c r="GN57" s="141"/>
      <c r="GO57" s="142"/>
      <c r="GP57" s="140"/>
      <c r="GQ57" s="141"/>
      <c r="GR57" s="142"/>
      <c r="GS57" s="140"/>
      <c r="GT57" s="141"/>
      <c r="GU57" s="142"/>
      <c r="GV57" s="140"/>
      <c r="GW57" s="141"/>
      <c r="GX57" s="142"/>
      <c r="GY57" s="164"/>
      <c r="GZ57" s="134"/>
      <c r="HA57" s="185"/>
      <c r="HB57" s="131">
        <f>'1910 Hacienda'!C21</f>
        <v>466448</v>
      </c>
      <c r="HC57" s="307">
        <f>'1910 Hacienda'!D21</f>
        <v>58</v>
      </c>
      <c r="HD57" s="131">
        <f>'1910 Hacienda'!C46</f>
        <v>861280</v>
      </c>
      <c r="HE57" s="307">
        <f>'1910 Hacienda'!D46</f>
        <v>44</v>
      </c>
      <c r="HF57" s="131">
        <f>'1910 Hacienda'!C74</f>
        <v>1489237</v>
      </c>
      <c r="HG57" s="307">
        <f>'1910 Hacienda'!D74</f>
        <v>64</v>
      </c>
      <c r="HH57" s="131">
        <f>'1910 Hacienda'!C102</f>
        <v>1608251</v>
      </c>
      <c r="HI57" s="307">
        <f>'1910 Hacienda'!D102</f>
        <v>51</v>
      </c>
      <c r="HJ57" s="131"/>
      <c r="HK57" s="307"/>
      <c r="HL57" s="131"/>
      <c r="HM57" s="307"/>
      <c r="HN57" s="131"/>
      <c r="HO57" s="307"/>
      <c r="HP57" s="131"/>
      <c r="HQ57" s="307"/>
      <c r="HR57" s="131"/>
      <c r="HS57" s="307"/>
      <c r="HT57" s="131"/>
      <c r="HU57" s="307"/>
    </row>
    <row r="58" spans="1:229" x14ac:dyDescent="0.2">
      <c r="A58" s="134" t="s">
        <v>5475</v>
      </c>
      <c r="B58" s="131"/>
      <c r="C58" s="134"/>
      <c r="D58" s="133"/>
      <c r="E58" s="131"/>
      <c r="F58" s="134"/>
      <c r="G58" s="133"/>
      <c r="H58" s="131"/>
      <c r="I58" s="134"/>
      <c r="J58" s="133"/>
      <c r="K58" s="131"/>
      <c r="L58" s="134"/>
      <c r="M58" s="133"/>
      <c r="N58" s="131"/>
      <c r="O58" s="134"/>
      <c r="P58" s="133"/>
      <c r="Q58" s="131"/>
      <c r="R58" s="134"/>
      <c r="S58" s="133"/>
      <c r="T58" s="131"/>
      <c r="U58" s="134"/>
      <c r="V58" s="133"/>
      <c r="W58" s="131"/>
      <c r="X58" s="134"/>
      <c r="Y58" s="133"/>
      <c r="Z58" s="131"/>
      <c r="AA58" s="134"/>
      <c r="AB58" s="133"/>
      <c r="AC58" s="131"/>
      <c r="AD58" s="134"/>
      <c r="AE58" s="133"/>
      <c r="AF58" s="131"/>
      <c r="AG58" s="134"/>
      <c r="AH58" s="133"/>
      <c r="AI58" s="145"/>
      <c r="AJ58" s="134"/>
      <c r="AK58" s="133"/>
      <c r="AL58" s="131"/>
      <c r="AM58" s="134"/>
      <c r="AN58" s="133"/>
      <c r="AO58" s="131"/>
      <c r="AP58" s="134"/>
      <c r="AQ58" s="133"/>
      <c r="AR58" s="131"/>
      <c r="AS58" s="134"/>
      <c r="AT58" s="180"/>
      <c r="AU58" s="131"/>
      <c r="AV58" s="185"/>
      <c r="AW58" s="131"/>
      <c r="AX58" s="185"/>
      <c r="AY58" s="131"/>
      <c r="AZ58" s="185"/>
      <c r="BA58" s="131"/>
      <c r="BB58" s="185"/>
      <c r="BC58" s="131"/>
      <c r="BD58" s="185"/>
      <c r="BE58" s="131"/>
      <c r="BF58" s="185"/>
      <c r="BG58" s="131"/>
      <c r="BH58" s="185"/>
      <c r="BI58" s="131"/>
      <c r="BJ58" s="185"/>
      <c r="BK58" s="131"/>
      <c r="BL58" s="185"/>
      <c r="BM58" s="131"/>
      <c r="BN58" s="185"/>
      <c r="BO58" s="131"/>
      <c r="BP58" s="134"/>
      <c r="BQ58" s="131"/>
      <c r="BR58" s="134"/>
      <c r="BS58" s="133"/>
      <c r="BT58" s="131"/>
      <c r="BU58" s="134"/>
      <c r="BV58" s="131"/>
      <c r="BW58" s="134"/>
      <c r="BX58" s="131"/>
      <c r="BY58" s="134"/>
      <c r="BZ58" s="131"/>
      <c r="CA58" s="134"/>
      <c r="CB58" s="133"/>
      <c r="CC58" s="131"/>
      <c r="CD58" s="134"/>
      <c r="CE58" s="133"/>
      <c r="CF58" s="131"/>
      <c r="CG58" s="134"/>
      <c r="CH58" s="133"/>
      <c r="CI58" s="131"/>
      <c r="CJ58" s="134"/>
      <c r="CK58" s="133"/>
      <c r="CL58" s="131"/>
      <c r="CM58" s="134"/>
      <c r="CN58" s="133"/>
      <c r="CO58" s="131"/>
      <c r="CP58" s="134"/>
      <c r="CQ58" s="133"/>
      <c r="CR58" s="131"/>
      <c r="CS58" s="134"/>
      <c r="CT58" s="133"/>
      <c r="CU58" s="131"/>
      <c r="CV58" s="134"/>
      <c r="CW58" s="133"/>
      <c r="CX58" s="131"/>
      <c r="CY58" s="134"/>
      <c r="CZ58" s="133"/>
      <c r="DA58" s="140"/>
      <c r="DB58" s="141"/>
      <c r="DC58" s="142"/>
      <c r="DD58" s="140"/>
      <c r="DE58" s="141"/>
      <c r="DF58" s="142"/>
      <c r="DG58" s="140"/>
      <c r="DH58" s="141"/>
      <c r="DI58" s="142"/>
      <c r="DJ58" s="140"/>
      <c r="DK58" s="141"/>
      <c r="DL58" s="142"/>
      <c r="DM58" s="140"/>
      <c r="DN58" s="141"/>
      <c r="DO58" s="142"/>
      <c r="DP58" s="140"/>
      <c r="DQ58" s="141"/>
      <c r="DR58" s="142"/>
      <c r="DS58" s="140"/>
      <c r="DT58" s="141"/>
      <c r="DU58" s="142"/>
      <c r="DV58" s="140"/>
      <c r="DW58" s="141"/>
      <c r="DX58" s="142"/>
      <c r="DY58" s="140"/>
      <c r="DZ58" s="141"/>
      <c r="EA58" s="142"/>
      <c r="EB58" s="140"/>
      <c r="EC58" s="141"/>
      <c r="ED58" s="142"/>
      <c r="EE58" s="140"/>
      <c r="EF58" s="141"/>
      <c r="EG58" s="142"/>
      <c r="EH58" s="140"/>
      <c r="EI58" s="141"/>
      <c r="EJ58" s="142"/>
      <c r="EK58" s="140"/>
      <c r="EL58" s="141"/>
      <c r="EM58" s="142"/>
      <c r="EN58" s="140"/>
      <c r="EO58" s="141"/>
      <c r="EP58" s="142"/>
      <c r="EQ58" s="140"/>
      <c r="ER58" s="141"/>
      <c r="ES58" s="142"/>
      <c r="ET58" s="140"/>
      <c r="EU58" s="141"/>
      <c r="EV58" s="142"/>
      <c r="EW58" s="140"/>
      <c r="EX58" s="141"/>
      <c r="EY58" s="142"/>
      <c r="EZ58" s="140"/>
      <c r="FA58" s="141"/>
      <c r="FB58" s="142"/>
      <c r="FC58" s="140"/>
      <c r="FD58" s="141"/>
      <c r="FE58" s="142"/>
      <c r="FF58" s="140"/>
      <c r="FG58" s="141"/>
      <c r="FH58" s="142"/>
      <c r="FI58" s="140"/>
      <c r="FJ58" s="141"/>
      <c r="FK58" s="142"/>
      <c r="FL58" s="140"/>
      <c r="FM58" s="141"/>
      <c r="FN58" s="142"/>
      <c r="FO58" s="140"/>
      <c r="FP58" s="141"/>
      <c r="FQ58" s="142"/>
      <c r="FR58" s="140"/>
      <c r="FS58" s="141"/>
      <c r="FT58" s="142"/>
      <c r="FU58" s="140"/>
      <c r="FV58" s="141"/>
      <c r="FW58" s="142"/>
      <c r="FX58" s="140"/>
      <c r="FY58" s="141"/>
      <c r="FZ58" s="142"/>
      <c r="GA58" s="140"/>
      <c r="GB58" s="141"/>
      <c r="GC58" s="142"/>
      <c r="GD58" s="140"/>
      <c r="GE58" s="141"/>
      <c r="GF58" s="142"/>
      <c r="GG58" s="140"/>
      <c r="GH58" s="141"/>
      <c r="GI58" s="142"/>
      <c r="GJ58" s="140"/>
      <c r="GK58" s="141"/>
      <c r="GL58" s="142"/>
      <c r="GM58" s="140"/>
      <c r="GN58" s="141"/>
      <c r="GO58" s="142"/>
      <c r="GP58" s="140"/>
      <c r="GQ58" s="141"/>
      <c r="GR58" s="142"/>
      <c r="GS58" s="140"/>
      <c r="GT58" s="141"/>
      <c r="GU58" s="142"/>
      <c r="GV58" s="140"/>
      <c r="GW58" s="141"/>
      <c r="GX58" s="142"/>
      <c r="GY58" s="164"/>
      <c r="GZ58" s="134"/>
      <c r="HA58" s="185"/>
      <c r="HB58" s="131"/>
      <c r="HC58" s="307"/>
      <c r="HD58" s="131"/>
      <c r="HE58" s="307"/>
      <c r="HF58" s="131"/>
      <c r="HG58" s="307"/>
      <c r="HH58" s="131"/>
      <c r="HI58" s="307"/>
      <c r="HJ58" s="131">
        <f>'1910 Hacienda'!C146</f>
        <v>966862</v>
      </c>
      <c r="HK58" s="307">
        <f>'1910 Hacienda'!D146</f>
        <v>22</v>
      </c>
      <c r="HL58" s="131"/>
      <c r="HM58" s="307"/>
      <c r="HN58" s="131"/>
      <c r="HO58" s="307"/>
      <c r="HP58" s="131"/>
      <c r="HQ58" s="307"/>
      <c r="HR58" s="131"/>
      <c r="HS58" s="307"/>
      <c r="HT58" s="131"/>
      <c r="HU58" s="307"/>
    </row>
    <row r="59" spans="1:229" x14ac:dyDescent="0.2">
      <c r="A59" s="134" t="s">
        <v>5439</v>
      </c>
      <c r="B59" s="131"/>
      <c r="C59" s="134"/>
      <c r="D59" s="133"/>
      <c r="E59" s="131"/>
      <c r="F59" s="134"/>
      <c r="G59" s="133"/>
      <c r="H59" s="131"/>
      <c r="I59" s="134"/>
      <c r="J59" s="133"/>
      <c r="K59" s="131"/>
      <c r="L59" s="134"/>
      <c r="M59" s="133"/>
      <c r="N59" s="131"/>
      <c r="O59" s="134"/>
      <c r="P59" s="133"/>
      <c r="Q59" s="131"/>
      <c r="R59" s="134"/>
      <c r="S59" s="133"/>
      <c r="T59" s="131"/>
      <c r="U59" s="134"/>
      <c r="V59" s="133"/>
      <c r="W59" s="131"/>
      <c r="X59" s="134"/>
      <c r="Y59" s="133"/>
      <c r="Z59" s="131"/>
      <c r="AA59" s="134"/>
      <c r="AB59" s="133"/>
      <c r="AC59" s="131"/>
      <c r="AD59" s="134"/>
      <c r="AE59" s="133"/>
      <c r="AF59" s="131"/>
      <c r="AG59" s="134"/>
      <c r="AH59" s="133"/>
      <c r="AI59" s="145"/>
      <c r="AJ59" s="134"/>
      <c r="AK59" s="133"/>
      <c r="AL59" s="131"/>
      <c r="AM59" s="134"/>
      <c r="AN59" s="133"/>
      <c r="AO59" s="131"/>
      <c r="AP59" s="134"/>
      <c r="AQ59" s="133"/>
      <c r="AR59" s="131"/>
      <c r="AS59" s="134"/>
      <c r="AT59" s="180"/>
      <c r="AU59" s="131"/>
      <c r="AV59" s="185"/>
      <c r="AW59" s="131"/>
      <c r="AX59" s="185"/>
      <c r="AY59" s="131"/>
      <c r="AZ59" s="185"/>
      <c r="BA59" s="131"/>
      <c r="BB59" s="185"/>
      <c r="BC59" s="131"/>
      <c r="BD59" s="185"/>
      <c r="BE59" s="131"/>
      <c r="BF59" s="185"/>
      <c r="BG59" s="131"/>
      <c r="BH59" s="185"/>
      <c r="BI59" s="131"/>
      <c r="BJ59" s="185"/>
      <c r="BK59" s="131"/>
      <c r="BL59" s="185"/>
      <c r="BM59" s="131"/>
      <c r="BN59" s="185"/>
      <c r="BO59" s="131"/>
      <c r="BP59" s="134"/>
      <c r="BQ59" s="131"/>
      <c r="BR59" s="134"/>
      <c r="BS59" s="133"/>
      <c r="BT59" s="131"/>
      <c r="BU59" s="134"/>
      <c r="BV59" s="131"/>
      <c r="BW59" s="134"/>
      <c r="BX59" s="131"/>
      <c r="BY59" s="134"/>
      <c r="BZ59" s="131"/>
      <c r="CA59" s="134"/>
      <c r="CB59" s="133"/>
      <c r="CC59" s="131"/>
      <c r="CD59" s="134"/>
      <c r="CE59" s="133"/>
      <c r="CF59" s="131"/>
      <c r="CG59" s="134"/>
      <c r="CH59" s="133"/>
      <c r="CI59" s="131"/>
      <c r="CJ59" s="134"/>
      <c r="CK59" s="133"/>
      <c r="CL59" s="131"/>
      <c r="CM59" s="134"/>
      <c r="CN59" s="133"/>
      <c r="CO59" s="131"/>
      <c r="CP59" s="134"/>
      <c r="CQ59" s="133"/>
      <c r="CR59" s="131"/>
      <c r="CS59" s="134"/>
      <c r="CT59" s="133"/>
      <c r="CU59" s="131"/>
      <c r="CV59" s="134"/>
      <c r="CW59" s="133"/>
      <c r="CX59" s="131"/>
      <c r="CY59" s="134"/>
      <c r="CZ59" s="133"/>
      <c r="DA59" s="140"/>
      <c r="DB59" s="141"/>
      <c r="DC59" s="142"/>
      <c r="DD59" s="140"/>
      <c r="DE59" s="141"/>
      <c r="DF59" s="142"/>
      <c r="DG59" s="140"/>
      <c r="DH59" s="141"/>
      <c r="DI59" s="142"/>
      <c r="DJ59" s="140"/>
      <c r="DK59" s="141"/>
      <c r="DL59" s="142"/>
      <c r="DM59" s="140"/>
      <c r="DN59" s="141"/>
      <c r="DO59" s="142"/>
      <c r="DP59" s="140"/>
      <c r="DQ59" s="141"/>
      <c r="DR59" s="142"/>
      <c r="DS59" s="140"/>
      <c r="DT59" s="141"/>
      <c r="DU59" s="142"/>
      <c r="DV59" s="140"/>
      <c r="DW59" s="141"/>
      <c r="DX59" s="142"/>
      <c r="DY59" s="140"/>
      <c r="DZ59" s="141"/>
      <c r="EA59" s="142"/>
      <c r="EB59" s="140"/>
      <c r="EC59" s="141"/>
      <c r="ED59" s="142"/>
      <c r="EE59" s="140"/>
      <c r="EF59" s="141"/>
      <c r="EG59" s="142"/>
      <c r="EH59" s="140"/>
      <c r="EI59" s="141"/>
      <c r="EJ59" s="142"/>
      <c r="EK59" s="140"/>
      <c r="EL59" s="141"/>
      <c r="EM59" s="142"/>
      <c r="EN59" s="140"/>
      <c r="EO59" s="141"/>
      <c r="EP59" s="142"/>
      <c r="EQ59" s="140"/>
      <c r="ER59" s="141"/>
      <c r="ES59" s="142"/>
      <c r="ET59" s="140"/>
      <c r="EU59" s="141"/>
      <c r="EV59" s="142"/>
      <c r="EW59" s="140"/>
      <c r="EX59" s="141"/>
      <c r="EY59" s="142"/>
      <c r="EZ59" s="140"/>
      <c r="FA59" s="141"/>
      <c r="FB59" s="142"/>
      <c r="FC59" s="140"/>
      <c r="FD59" s="141"/>
      <c r="FE59" s="142"/>
      <c r="FF59" s="140"/>
      <c r="FG59" s="141"/>
      <c r="FH59" s="142"/>
      <c r="FI59" s="140"/>
      <c r="FJ59" s="141"/>
      <c r="FK59" s="142"/>
      <c r="FL59" s="140"/>
      <c r="FM59" s="141"/>
      <c r="FN59" s="142"/>
      <c r="FO59" s="140"/>
      <c r="FP59" s="141"/>
      <c r="FQ59" s="142"/>
      <c r="FR59" s="140"/>
      <c r="FS59" s="141"/>
      <c r="FT59" s="142"/>
      <c r="FU59" s="140"/>
      <c r="FV59" s="141"/>
      <c r="FW59" s="142"/>
      <c r="FX59" s="140"/>
      <c r="FY59" s="141"/>
      <c r="FZ59" s="142"/>
      <c r="GA59" s="140"/>
      <c r="GB59" s="141"/>
      <c r="GC59" s="142"/>
      <c r="GD59" s="140"/>
      <c r="GE59" s="141"/>
      <c r="GF59" s="142"/>
      <c r="GG59" s="140"/>
      <c r="GH59" s="141"/>
      <c r="GI59" s="142"/>
      <c r="GJ59" s="140"/>
      <c r="GK59" s="141"/>
      <c r="GL59" s="142"/>
      <c r="GM59" s="140"/>
      <c r="GN59" s="141"/>
      <c r="GO59" s="142"/>
      <c r="GP59" s="140"/>
      <c r="GQ59" s="141"/>
      <c r="GR59" s="142"/>
      <c r="GS59" s="140"/>
      <c r="GT59" s="141"/>
      <c r="GU59" s="142"/>
      <c r="GV59" s="140"/>
      <c r="GW59" s="141"/>
      <c r="GX59" s="142"/>
      <c r="GY59" s="164"/>
      <c r="GZ59" s="134"/>
      <c r="HA59" s="185"/>
      <c r="HB59" s="131"/>
      <c r="HC59" s="307"/>
      <c r="HD59" s="131">
        <f>'1910 Hacienda'!C41</f>
        <v>1250</v>
      </c>
      <c r="HE59" s="307">
        <f>'1910 Hacienda'!D41</f>
        <v>0</v>
      </c>
      <c r="HF59" s="131">
        <f>'1910 Hacienda'!C69</f>
        <v>1250</v>
      </c>
      <c r="HG59" s="307">
        <f>'1910 Hacienda'!D69</f>
        <v>0</v>
      </c>
      <c r="HH59" s="131">
        <f>'1910 Hacienda'!C96</f>
        <v>524</v>
      </c>
      <c r="HI59" s="307"/>
      <c r="HJ59" s="131"/>
      <c r="HK59" s="307"/>
      <c r="HL59" s="131"/>
      <c r="HM59" s="307"/>
      <c r="HN59" s="131"/>
      <c r="HO59" s="307"/>
      <c r="HP59" s="131"/>
      <c r="HQ59" s="307"/>
      <c r="HR59" s="131"/>
      <c r="HS59" s="307"/>
      <c r="HT59" s="131"/>
      <c r="HU59" s="307"/>
    </row>
    <row r="60" spans="1:229" x14ac:dyDescent="0.2">
      <c r="A60" s="184" t="s">
        <v>5442</v>
      </c>
      <c r="B60" s="131"/>
      <c r="C60" s="134"/>
      <c r="D60" s="133"/>
      <c r="E60" s="131"/>
      <c r="F60" s="134"/>
      <c r="G60" s="133"/>
      <c r="H60" s="131"/>
      <c r="I60" s="134"/>
      <c r="J60" s="133"/>
      <c r="K60" s="131"/>
      <c r="L60" s="134"/>
      <c r="M60" s="133"/>
      <c r="N60" s="131"/>
      <c r="O60" s="134"/>
      <c r="P60" s="133"/>
      <c r="Q60" s="131"/>
      <c r="R60" s="134"/>
      <c r="S60" s="133"/>
      <c r="T60" s="131"/>
      <c r="U60" s="134"/>
      <c r="V60" s="133"/>
      <c r="W60" s="131"/>
      <c r="X60" s="134"/>
      <c r="Y60" s="133"/>
      <c r="Z60" s="131"/>
      <c r="AA60" s="134"/>
      <c r="AB60" s="133"/>
      <c r="AC60" s="131"/>
      <c r="AD60" s="134"/>
      <c r="AE60" s="133"/>
      <c r="AF60" s="131"/>
      <c r="AG60" s="134"/>
      <c r="AH60" s="133"/>
      <c r="AI60" s="145"/>
      <c r="AJ60" s="134"/>
      <c r="AK60" s="133"/>
      <c r="AL60" s="131"/>
      <c r="AM60" s="134"/>
      <c r="AN60" s="133"/>
      <c r="AO60" s="131"/>
      <c r="AP60" s="134"/>
      <c r="AQ60" s="133"/>
      <c r="AR60" s="131"/>
      <c r="AS60" s="134"/>
      <c r="AT60" s="180"/>
      <c r="AU60" s="131"/>
      <c r="AV60" s="185"/>
      <c r="AW60" s="131"/>
      <c r="AX60" s="185"/>
      <c r="AY60" s="131"/>
      <c r="AZ60" s="185"/>
      <c r="BA60" s="131"/>
      <c r="BB60" s="185"/>
      <c r="BC60" s="131"/>
      <c r="BD60" s="185"/>
      <c r="BE60" s="131"/>
      <c r="BF60" s="185"/>
      <c r="BG60" s="131"/>
      <c r="BH60" s="185"/>
      <c r="BI60" s="131"/>
      <c r="BJ60" s="185"/>
      <c r="BK60" s="131"/>
      <c r="BL60" s="185"/>
      <c r="BM60" s="131"/>
      <c r="BN60" s="185"/>
      <c r="BO60" s="131"/>
      <c r="BP60" s="134"/>
      <c r="BQ60" s="131"/>
      <c r="BR60" s="134"/>
      <c r="BS60" s="133"/>
      <c r="BT60" s="131"/>
      <c r="BU60" s="134"/>
      <c r="BV60" s="131"/>
      <c r="BW60" s="134"/>
      <c r="BX60" s="131"/>
      <c r="BY60" s="134"/>
      <c r="BZ60" s="131"/>
      <c r="CA60" s="134"/>
      <c r="CB60" s="133"/>
      <c r="CC60" s="131"/>
      <c r="CD60" s="134"/>
      <c r="CE60" s="133"/>
      <c r="CF60" s="131"/>
      <c r="CG60" s="134"/>
      <c r="CH60" s="133"/>
      <c r="CI60" s="131">
        <f>+'1869 Hacienda'!B46</f>
        <v>34000</v>
      </c>
      <c r="CK60" s="133"/>
      <c r="CL60" s="131">
        <f>+'1869 Hacienda'!C46</f>
        <v>34000</v>
      </c>
      <c r="CN60" s="133"/>
      <c r="CO60" s="131">
        <f>+'1869 Hacienda'!D46</f>
        <v>1000000</v>
      </c>
      <c r="CQ60" s="133"/>
      <c r="CR60" s="131">
        <f>+'1869 Hacienda'!E46</f>
        <v>497904</v>
      </c>
      <c r="CT60" s="133"/>
      <c r="CU60" s="107">
        <f>+'1869 Hacienda'!F46</f>
        <v>250000</v>
      </c>
      <c r="CV60" s="134"/>
      <c r="CW60" s="133"/>
      <c r="CX60" s="131"/>
      <c r="CY60" s="134"/>
      <c r="CZ60" s="133"/>
      <c r="DA60" s="140"/>
      <c r="DB60" s="141"/>
      <c r="DC60" s="142"/>
      <c r="DD60" s="140"/>
      <c r="DE60" s="141"/>
      <c r="DF60" s="142"/>
      <c r="DG60" s="140"/>
      <c r="DH60" s="141"/>
      <c r="DI60" s="142"/>
      <c r="DJ60" s="140"/>
      <c r="DK60" s="141"/>
      <c r="DL60" s="142"/>
      <c r="DM60" s="140"/>
      <c r="DN60" s="141"/>
      <c r="DO60" s="142"/>
      <c r="DP60" s="140"/>
      <c r="DQ60" s="141"/>
      <c r="DR60" s="142"/>
      <c r="DS60" s="140"/>
      <c r="DT60" s="141"/>
      <c r="DU60" s="142"/>
      <c r="DV60" s="140"/>
      <c r="DW60" s="141"/>
      <c r="DX60" s="142"/>
      <c r="DY60" s="140"/>
      <c r="DZ60" s="141"/>
      <c r="EA60" s="142"/>
      <c r="EB60" s="140"/>
      <c r="EC60" s="141"/>
      <c r="ED60" s="142"/>
      <c r="EE60" s="140"/>
      <c r="EF60" s="141"/>
      <c r="EG60" s="142"/>
      <c r="EH60" s="140"/>
      <c r="EI60" s="141"/>
      <c r="EJ60" s="142"/>
      <c r="EK60" s="140"/>
      <c r="EL60" s="141"/>
      <c r="EM60" s="142"/>
      <c r="EN60" s="140"/>
      <c r="EO60" s="141"/>
      <c r="EP60" s="142"/>
      <c r="EQ60" s="140"/>
      <c r="ER60" s="141"/>
      <c r="ES60" s="142"/>
      <c r="ET60" s="140"/>
      <c r="EU60" s="141"/>
      <c r="EV60" s="142"/>
      <c r="EW60" s="140"/>
      <c r="EX60" s="141"/>
      <c r="EY60" s="142"/>
      <c r="EZ60" s="140"/>
      <c r="FA60" s="141"/>
      <c r="FB60" s="142"/>
      <c r="FC60" s="140"/>
      <c r="FD60" s="141"/>
      <c r="FE60" s="142"/>
      <c r="FF60" s="140"/>
      <c r="FG60" s="141"/>
      <c r="FH60" s="142"/>
      <c r="FI60" s="140"/>
      <c r="FJ60" s="141"/>
      <c r="FK60" s="142"/>
      <c r="FL60" s="140"/>
      <c r="FM60" s="141"/>
      <c r="FN60" s="142"/>
      <c r="FO60" s="140"/>
      <c r="FP60" s="141"/>
      <c r="FQ60" s="142"/>
      <c r="FR60" s="140"/>
      <c r="FS60" s="141"/>
      <c r="FT60" s="142"/>
      <c r="FU60" s="140"/>
      <c r="FV60" s="141"/>
      <c r="FW60" s="142"/>
      <c r="FX60" s="140"/>
      <c r="FY60" s="141"/>
      <c r="FZ60" s="142"/>
      <c r="GA60" s="140"/>
      <c r="GB60" s="141"/>
      <c r="GC60" s="142"/>
      <c r="GD60" s="140"/>
      <c r="GE60" s="141"/>
      <c r="GF60" s="142"/>
      <c r="GG60" s="140"/>
      <c r="GH60" s="141"/>
      <c r="GI60" s="142"/>
      <c r="GJ60" s="140"/>
      <c r="GK60" s="141"/>
      <c r="GL60" s="142"/>
      <c r="GM60" s="140"/>
      <c r="GN60" s="141"/>
      <c r="GO60" s="142"/>
      <c r="GP60" s="140"/>
      <c r="GQ60" s="141"/>
      <c r="GR60" s="142"/>
      <c r="GS60" s="140"/>
      <c r="GT60" s="141"/>
      <c r="GU60" s="142"/>
      <c r="GV60" s="140"/>
      <c r="GW60" s="141"/>
      <c r="GX60" s="142"/>
      <c r="GY60" s="164"/>
      <c r="GZ60" s="134"/>
      <c r="HA60" s="185"/>
      <c r="HB60" s="164"/>
      <c r="HC60" s="185"/>
      <c r="HD60" s="164">
        <f>'1910 Hacienda'!C47</f>
        <v>73738</v>
      </c>
      <c r="HE60" s="185">
        <f>'1910 Hacienda'!D47</f>
        <v>80</v>
      </c>
      <c r="HF60" s="164">
        <f>'1910 Hacienda'!C75</f>
        <v>87452</v>
      </c>
      <c r="HG60" s="185">
        <f>'1910 Hacienda'!D75</f>
        <v>3</v>
      </c>
      <c r="HH60" s="164">
        <f>'1910 Hacienda'!C95</f>
        <v>19745</v>
      </c>
      <c r="HI60" s="185">
        <f>'1910 Hacienda'!D95</f>
        <v>36</v>
      </c>
      <c r="HJ60" s="164">
        <f>'1910 Hacienda'!C137</f>
        <v>67336</v>
      </c>
      <c r="HK60" s="185">
        <f>'1910 Hacienda'!D137</f>
        <v>51</v>
      </c>
      <c r="HL60" s="164">
        <f>+'1911 Hacienda'!B33</f>
        <v>243052</v>
      </c>
      <c r="HM60" s="185">
        <f>+'1911 Hacienda'!C33</f>
        <v>66</v>
      </c>
      <c r="HN60" s="164"/>
      <c r="HO60" s="185"/>
      <c r="HP60" s="164"/>
      <c r="HQ60" s="185"/>
      <c r="HR60" s="164"/>
      <c r="HS60" s="185"/>
      <c r="HT60" s="164"/>
      <c r="HU60" s="185"/>
    </row>
    <row r="61" spans="1:229" x14ac:dyDescent="0.2">
      <c r="A61" s="184" t="s">
        <v>1991</v>
      </c>
      <c r="B61" s="131"/>
      <c r="C61" s="134"/>
      <c r="D61" s="133"/>
      <c r="E61" s="131"/>
      <c r="F61" s="134"/>
      <c r="G61" s="133"/>
      <c r="H61" s="131"/>
      <c r="I61" s="134"/>
      <c r="J61" s="133"/>
      <c r="K61" s="131"/>
      <c r="L61" s="134"/>
      <c r="M61" s="133"/>
      <c r="N61" s="131"/>
      <c r="O61" s="134"/>
      <c r="P61" s="133"/>
      <c r="Q61" s="131"/>
      <c r="R61" s="134"/>
      <c r="S61" s="133"/>
      <c r="T61" s="131"/>
      <c r="U61" s="134"/>
      <c r="V61" s="133"/>
      <c r="W61" s="131"/>
      <c r="X61" s="134"/>
      <c r="Y61" s="133"/>
      <c r="Z61" s="131"/>
      <c r="AA61" s="134"/>
      <c r="AB61" s="133"/>
      <c r="AC61" s="131"/>
      <c r="AD61" s="134"/>
      <c r="AE61" s="133"/>
      <c r="AF61" s="131"/>
      <c r="AG61" s="134"/>
      <c r="AH61" s="133"/>
      <c r="AI61" s="145"/>
      <c r="AJ61" s="134"/>
      <c r="AK61" s="133"/>
      <c r="AL61" s="131"/>
      <c r="AM61" s="134"/>
      <c r="AN61" s="133"/>
      <c r="AO61" s="131"/>
      <c r="AP61" s="134"/>
      <c r="AQ61" s="133"/>
      <c r="AR61" s="131"/>
      <c r="AS61" s="134"/>
      <c r="AT61" s="180"/>
      <c r="AU61" s="131"/>
      <c r="AV61" s="185"/>
      <c r="AW61" s="131"/>
      <c r="AX61" s="185"/>
      <c r="AY61" s="131"/>
      <c r="AZ61" s="185"/>
      <c r="BA61" s="131"/>
      <c r="BB61" s="185"/>
      <c r="BC61" s="131"/>
      <c r="BD61" s="185"/>
      <c r="BE61" s="131"/>
      <c r="BF61" s="185"/>
      <c r="BG61" s="131"/>
      <c r="BH61" s="185"/>
      <c r="BI61" s="131"/>
      <c r="BJ61" s="185"/>
      <c r="BK61" s="131"/>
      <c r="BL61" s="185"/>
      <c r="BM61" s="131"/>
      <c r="BN61" s="185"/>
      <c r="BO61" s="131"/>
      <c r="BP61" s="134"/>
      <c r="BQ61" s="131">
        <f>+'1858 Hacienda'!B283</f>
        <v>17723</v>
      </c>
      <c r="BR61" s="134">
        <f>+'1858 Hacienda'!C283</f>
        <v>36</v>
      </c>
      <c r="BS61" s="133">
        <f>+'1858 Hacienda'!D283</f>
        <v>0</v>
      </c>
      <c r="BT61" s="131"/>
      <c r="BU61" s="134"/>
      <c r="BV61" s="131"/>
      <c r="BW61" s="134"/>
      <c r="BX61" s="131"/>
      <c r="BY61" s="134"/>
      <c r="BZ61" s="131"/>
      <c r="CA61" s="134"/>
      <c r="CB61" s="133"/>
      <c r="CC61" s="131"/>
      <c r="CD61" s="134"/>
      <c r="CE61" s="133"/>
      <c r="CF61" s="131"/>
      <c r="CG61" s="134"/>
      <c r="CH61" s="133"/>
      <c r="CI61" s="131"/>
      <c r="CJ61" s="134"/>
      <c r="CK61" s="133"/>
      <c r="CL61" s="131"/>
      <c r="CM61" s="134"/>
      <c r="CN61" s="133"/>
      <c r="CO61" s="131"/>
      <c r="CP61" s="134"/>
      <c r="CQ61" s="133"/>
      <c r="CR61" s="131"/>
      <c r="CS61" s="134"/>
      <c r="CT61" s="133"/>
      <c r="CU61" s="131"/>
      <c r="CV61" s="134"/>
      <c r="CW61" s="133"/>
      <c r="CX61" s="131">
        <f>+'1869 Hacienda'!B8</f>
        <v>250000</v>
      </c>
      <c r="CY61" s="134"/>
      <c r="CZ61" s="133"/>
      <c r="DA61" s="140">
        <f>+'1872 Hacienda'!B8</f>
        <v>187500</v>
      </c>
      <c r="DB61" s="141"/>
      <c r="DC61" s="142"/>
      <c r="DD61" s="140"/>
      <c r="DE61" s="141"/>
      <c r="DF61" s="142"/>
      <c r="DG61" s="140"/>
      <c r="DH61" s="141"/>
      <c r="DI61" s="142"/>
      <c r="DJ61" s="140">
        <f>+'1875 Hacienda'!B11</f>
        <v>250000</v>
      </c>
      <c r="DK61" s="141"/>
      <c r="DL61" s="142"/>
      <c r="DM61" s="140"/>
      <c r="DN61" s="141"/>
      <c r="DO61" s="142"/>
      <c r="DP61" s="140"/>
      <c r="DQ61" s="141"/>
      <c r="DR61" s="142"/>
      <c r="DS61" s="140"/>
      <c r="DT61" s="141"/>
      <c r="DU61" s="142"/>
      <c r="DV61" s="140"/>
      <c r="DW61" s="141"/>
      <c r="DX61" s="142"/>
      <c r="DY61" s="140">
        <f>+'1880 Hacienda'!B8</f>
        <v>250000</v>
      </c>
      <c r="DZ61" s="141"/>
      <c r="EA61" s="142"/>
      <c r="EB61" s="140">
        <f>+'1881 Hacienda'!B8</f>
        <v>190750</v>
      </c>
      <c r="EC61" s="141">
        <f>+'1881 Hacienda'!C8</f>
        <v>0</v>
      </c>
      <c r="ED61" s="142"/>
      <c r="EE61" s="140">
        <f>+'1882 Hacienda'!B7</f>
        <v>260000</v>
      </c>
      <c r="EF61" s="141">
        <f>+'1882 Hacienda'!C7</f>
        <v>0</v>
      </c>
      <c r="EG61" s="142">
        <f>+'1882 Hacienda'!D7</f>
        <v>0</v>
      </c>
      <c r="EH61" s="140"/>
      <c r="EI61" s="141"/>
      <c r="EJ61" s="142"/>
      <c r="EK61" s="140"/>
      <c r="EL61" s="141"/>
      <c r="EM61" s="142"/>
      <c r="EN61" s="140"/>
      <c r="EO61" s="141"/>
      <c r="EP61" s="142"/>
      <c r="EQ61" s="140"/>
      <c r="ER61" s="141"/>
      <c r="ES61" s="142"/>
      <c r="ET61" s="140"/>
      <c r="EU61" s="141"/>
      <c r="EV61" s="142"/>
      <c r="EW61" s="140"/>
      <c r="EX61" s="141"/>
      <c r="EY61" s="142"/>
      <c r="EZ61" s="140"/>
      <c r="FA61" s="141"/>
      <c r="FB61" s="142"/>
      <c r="FC61" s="140">
        <f>+'1890 Hacienda'!B222</f>
        <v>70000</v>
      </c>
      <c r="FD61" s="141"/>
      <c r="FE61" s="142"/>
      <c r="FF61" s="140">
        <f>+'1890 Hacienda'!E222</f>
        <v>35000</v>
      </c>
      <c r="FG61" s="141"/>
      <c r="FH61" s="142"/>
      <c r="FI61" s="140"/>
      <c r="FJ61" s="141"/>
      <c r="FK61" s="142"/>
      <c r="FL61" s="140">
        <f>+'1894 Hacienda'!C17</f>
        <v>19500</v>
      </c>
      <c r="FM61" s="141"/>
      <c r="FN61" s="142"/>
      <c r="FO61" s="140">
        <f>+'1894 Hacienda'!F17</f>
        <v>38955</v>
      </c>
      <c r="FP61" s="141"/>
      <c r="FQ61" s="142" t="str">
        <f>+'1894 Hacienda'!H17</f>
        <v>p/m</v>
      </c>
      <c r="FR61" s="140">
        <f>+'1896 Hacienda'!C18</f>
        <v>23670</v>
      </c>
      <c r="FS61" s="141"/>
      <c r="FT61" s="142"/>
      <c r="FU61" s="140">
        <f>+'1896 Hacienda'!F18</f>
        <v>24670</v>
      </c>
      <c r="FV61" s="141"/>
      <c r="FW61" s="142"/>
      <c r="FX61" s="140"/>
      <c r="FY61" s="141"/>
      <c r="FZ61" s="142"/>
      <c r="GA61" s="140"/>
      <c r="GB61" s="141"/>
      <c r="GC61" s="142"/>
      <c r="GD61" s="140"/>
      <c r="GE61" s="141"/>
      <c r="GF61" s="142"/>
      <c r="GG61" s="140"/>
      <c r="GH61" s="141"/>
      <c r="GI61" s="142"/>
      <c r="GJ61" s="140"/>
      <c r="GK61" s="141"/>
      <c r="GL61" s="142"/>
      <c r="GM61" s="140"/>
      <c r="GN61" s="141"/>
      <c r="GO61" s="142"/>
      <c r="GP61" s="140"/>
      <c r="GQ61" s="141"/>
      <c r="GR61" s="142"/>
      <c r="GS61" s="140"/>
      <c r="GT61" s="141"/>
      <c r="GU61" s="142"/>
      <c r="GV61" s="140"/>
      <c r="GW61" s="141"/>
      <c r="GX61" s="142"/>
      <c r="GY61" s="164"/>
      <c r="GZ61" s="134"/>
      <c r="HA61" s="185"/>
      <c r="HB61" s="164"/>
      <c r="HC61" s="185"/>
      <c r="HD61" s="164"/>
      <c r="HE61" s="185"/>
      <c r="HF61" s="164"/>
      <c r="HG61" s="185"/>
      <c r="HH61" s="164"/>
      <c r="HI61" s="185"/>
      <c r="HJ61" s="164"/>
      <c r="HK61" s="185"/>
      <c r="HL61" s="164"/>
      <c r="HM61" s="185"/>
      <c r="HN61" s="164"/>
      <c r="HO61" s="185"/>
      <c r="HP61" s="164"/>
      <c r="HQ61" s="185"/>
      <c r="HR61" s="164"/>
      <c r="HS61" s="185"/>
      <c r="HT61" s="164"/>
      <c r="HU61" s="185"/>
    </row>
    <row r="62" spans="1:229" ht="30" x14ac:dyDescent="0.2">
      <c r="A62" s="683" t="str">
        <f>+'1898 Hacienda'!A17</f>
        <v>Ferrocarrill de Panamá $10.000 (oro) (Premio computado al 150 por 100 de $15.000)</v>
      </c>
      <c r="B62" s="131"/>
      <c r="C62" s="134"/>
      <c r="D62" s="133"/>
      <c r="E62" s="131"/>
      <c r="F62" s="134"/>
      <c r="G62" s="133"/>
      <c r="H62" s="131"/>
      <c r="I62" s="134"/>
      <c r="J62" s="133"/>
      <c r="K62" s="131"/>
      <c r="L62" s="134"/>
      <c r="M62" s="133"/>
      <c r="N62" s="131"/>
      <c r="O62" s="134"/>
      <c r="P62" s="133"/>
      <c r="Q62" s="131"/>
      <c r="R62" s="134"/>
      <c r="S62" s="133"/>
      <c r="T62" s="131"/>
      <c r="U62" s="134"/>
      <c r="V62" s="133"/>
      <c r="W62" s="131"/>
      <c r="X62" s="134"/>
      <c r="Y62" s="133"/>
      <c r="Z62" s="131"/>
      <c r="AA62" s="134"/>
      <c r="AB62" s="133"/>
      <c r="AC62" s="131"/>
      <c r="AD62" s="134"/>
      <c r="AE62" s="133"/>
      <c r="AF62" s="131"/>
      <c r="AG62" s="134"/>
      <c r="AH62" s="133"/>
      <c r="AI62" s="145"/>
      <c r="AJ62" s="134"/>
      <c r="AK62" s="133"/>
      <c r="AL62" s="131"/>
      <c r="AM62" s="134"/>
      <c r="AN62" s="133"/>
      <c r="AO62" s="131"/>
      <c r="AP62" s="134"/>
      <c r="AQ62" s="133"/>
      <c r="AR62" s="131"/>
      <c r="AS62" s="134"/>
      <c r="AT62" s="180"/>
      <c r="AU62" s="131"/>
      <c r="AV62" s="185"/>
      <c r="AW62" s="131"/>
      <c r="AX62" s="185"/>
      <c r="AY62" s="131"/>
      <c r="AZ62" s="185"/>
      <c r="BA62" s="131"/>
      <c r="BB62" s="185"/>
      <c r="BC62" s="131"/>
      <c r="BD62" s="185"/>
      <c r="BE62" s="131"/>
      <c r="BF62" s="185"/>
      <c r="BG62" s="131"/>
      <c r="BH62" s="185"/>
      <c r="BI62" s="131"/>
      <c r="BJ62" s="185"/>
      <c r="BK62" s="131"/>
      <c r="BL62" s="185"/>
      <c r="BM62" s="131"/>
      <c r="BN62" s="185"/>
      <c r="BO62" s="131"/>
      <c r="BP62" s="134"/>
      <c r="BQ62" s="131"/>
      <c r="BR62" s="134"/>
      <c r="BS62" s="133"/>
      <c r="BT62" s="131"/>
      <c r="BU62" s="134"/>
      <c r="BV62" s="131"/>
      <c r="BW62" s="134"/>
      <c r="BX62" s="131"/>
      <c r="BY62" s="134"/>
      <c r="BZ62" s="131"/>
      <c r="CA62" s="134"/>
      <c r="CB62" s="133"/>
      <c r="CC62" s="131"/>
      <c r="CD62" s="134"/>
      <c r="CE62" s="133"/>
      <c r="CF62" s="131"/>
      <c r="CG62" s="134"/>
      <c r="CH62" s="133"/>
      <c r="CI62" s="131"/>
      <c r="CJ62" s="134"/>
      <c r="CK62" s="133"/>
      <c r="CL62" s="131"/>
      <c r="CM62" s="134"/>
      <c r="CN62" s="133"/>
      <c r="CO62" s="131"/>
      <c r="CP62" s="134"/>
      <c r="CQ62" s="133"/>
      <c r="CR62" s="131"/>
      <c r="CS62" s="134"/>
      <c r="CT62" s="133"/>
      <c r="CU62" s="131"/>
      <c r="CV62" s="134"/>
      <c r="CW62" s="133"/>
      <c r="CX62" s="131"/>
      <c r="CY62" s="134"/>
      <c r="CZ62" s="133"/>
      <c r="DA62" s="140"/>
      <c r="DB62" s="141"/>
      <c r="DC62" s="142"/>
      <c r="DD62" s="140"/>
      <c r="DE62" s="141"/>
      <c r="DF62" s="142"/>
      <c r="DG62" s="140"/>
      <c r="DH62" s="141"/>
      <c r="DI62" s="142"/>
      <c r="DJ62" s="140"/>
      <c r="DK62" s="141"/>
      <c r="DL62" s="142"/>
      <c r="DM62" s="140"/>
      <c r="DN62" s="141"/>
      <c r="DO62" s="142"/>
      <c r="DP62" s="140"/>
      <c r="DQ62" s="141"/>
      <c r="DR62" s="142"/>
      <c r="DS62" s="140"/>
      <c r="DT62" s="141"/>
      <c r="DU62" s="142"/>
      <c r="DV62" s="140"/>
      <c r="DW62" s="141"/>
      <c r="DX62" s="142"/>
      <c r="DY62" s="140"/>
      <c r="DZ62" s="141"/>
      <c r="EA62" s="142"/>
      <c r="EB62" s="140"/>
      <c r="EC62" s="141"/>
      <c r="ED62" s="142"/>
      <c r="EE62" s="140"/>
      <c r="EF62" s="141"/>
      <c r="EG62" s="142"/>
      <c r="EH62" s="140"/>
      <c r="EI62" s="141"/>
      <c r="EJ62" s="142"/>
      <c r="EK62" s="140"/>
      <c r="EL62" s="141"/>
      <c r="EM62" s="142"/>
      <c r="EN62" s="140"/>
      <c r="EO62" s="141"/>
      <c r="EP62" s="142"/>
      <c r="EQ62" s="140"/>
      <c r="ER62" s="141"/>
      <c r="ES62" s="142"/>
      <c r="ET62" s="140"/>
      <c r="EU62" s="141"/>
      <c r="EV62" s="142"/>
      <c r="EW62" s="140"/>
      <c r="EX62" s="141"/>
      <c r="EY62" s="142"/>
      <c r="EZ62" s="140"/>
      <c r="FA62" s="141"/>
      <c r="FB62" s="142"/>
      <c r="FC62" s="140"/>
      <c r="FD62" s="141"/>
      <c r="FE62" s="142"/>
      <c r="FF62" s="140"/>
      <c r="FG62" s="141"/>
      <c r="FH62" s="142"/>
      <c r="FI62" s="140"/>
      <c r="FJ62" s="141"/>
      <c r="FK62" s="142"/>
      <c r="FL62" s="140"/>
      <c r="FM62" s="141"/>
      <c r="FN62" s="142"/>
      <c r="FO62" s="140"/>
      <c r="FP62" s="141"/>
      <c r="FQ62" s="142"/>
      <c r="FR62" s="140"/>
      <c r="FS62" s="141"/>
      <c r="FT62" s="142"/>
      <c r="FU62" s="140"/>
      <c r="FV62" s="141"/>
      <c r="FW62" s="142"/>
      <c r="FX62" s="140">
        <f>+'1898 Hacienda'!B17</f>
        <v>25000</v>
      </c>
      <c r="FY62" s="141"/>
      <c r="FZ62" s="142"/>
      <c r="GA62" s="140">
        <f>+'1898 Hacienda'!E17</f>
        <v>25000</v>
      </c>
      <c r="GB62" s="141"/>
      <c r="GC62" s="142"/>
      <c r="GD62" s="140">
        <f>+'1898 Hacienda'!K17</f>
        <v>25000</v>
      </c>
      <c r="GE62" s="141"/>
      <c r="GF62" s="142"/>
      <c r="GG62" s="140"/>
      <c r="GH62" s="141"/>
      <c r="GI62" s="142"/>
      <c r="GJ62" s="140"/>
      <c r="GK62" s="141"/>
      <c r="GL62" s="142"/>
      <c r="GM62" s="140"/>
      <c r="GN62" s="141"/>
      <c r="GO62" s="142"/>
      <c r="GP62" s="140"/>
      <c r="GQ62" s="141"/>
      <c r="GR62" s="142"/>
      <c r="GS62" s="140"/>
      <c r="GT62" s="141"/>
      <c r="GU62" s="142"/>
      <c r="GV62" s="140"/>
      <c r="GW62" s="141"/>
      <c r="GX62" s="142"/>
      <c r="GY62" s="164"/>
      <c r="GZ62" s="134"/>
      <c r="HA62" s="185"/>
      <c r="HB62" s="164"/>
      <c r="HC62" s="185"/>
      <c r="HD62" s="164"/>
      <c r="HE62" s="185"/>
      <c r="HF62" s="164"/>
      <c r="HG62" s="185"/>
      <c r="HH62" s="164"/>
      <c r="HI62" s="185"/>
      <c r="HJ62" s="164"/>
      <c r="HK62" s="185"/>
      <c r="HL62" s="164"/>
      <c r="HM62" s="185"/>
      <c r="HN62" s="164"/>
      <c r="HO62" s="185"/>
      <c r="HP62" s="164"/>
      <c r="HQ62" s="185"/>
      <c r="HR62" s="164"/>
      <c r="HS62" s="185"/>
      <c r="HT62" s="164"/>
      <c r="HU62" s="185"/>
    </row>
    <row r="63" spans="1:229" x14ac:dyDescent="0.2">
      <c r="A63" s="184" t="s">
        <v>6059</v>
      </c>
      <c r="B63" s="131"/>
      <c r="C63" s="134"/>
      <c r="D63" s="133"/>
      <c r="E63" s="131"/>
      <c r="F63" s="134"/>
      <c r="G63" s="133"/>
      <c r="H63" s="131"/>
      <c r="I63" s="134"/>
      <c r="J63" s="133"/>
      <c r="K63" s="131"/>
      <c r="L63" s="134"/>
      <c r="M63" s="133"/>
      <c r="N63" s="131"/>
      <c r="O63" s="134"/>
      <c r="P63" s="133"/>
      <c r="Q63" s="131"/>
      <c r="R63" s="134"/>
      <c r="S63" s="133"/>
      <c r="T63" s="131"/>
      <c r="U63" s="134"/>
      <c r="V63" s="133"/>
      <c r="W63" s="131"/>
      <c r="X63" s="134"/>
      <c r="Y63" s="133"/>
      <c r="Z63" s="131"/>
      <c r="AA63" s="134"/>
      <c r="AB63" s="133"/>
      <c r="AC63" s="131"/>
      <c r="AD63" s="134"/>
      <c r="AE63" s="133"/>
      <c r="AF63" s="131"/>
      <c r="AG63" s="134"/>
      <c r="AH63" s="133"/>
      <c r="AI63" s="145"/>
      <c r="AJ63" s="134"/>
      <c r="AK63" s="133"/>
      <c r="AL63" s="131"/>
      <c r="AM63" s="134"/>
      <c r="AN63" s="133"/>
      <c r="AO63" s="131"/>
      <c r="AP63" s="134"/>
      <c r="AQ63" s="133"/>
      <c r="AR63" s="131"/>
      <c r="AS63" s="134"/>
      <c r="AT63" s="180"/>
      <c r="AU63" s="131"/>
      <c r="AV63" s="185"/>
      <c r="AW63" s="131"/>
      <c r="AX63" s="185"/>
      <c r="AY63" s="131"/>
      <c r="AZ63" s="185"/>
      <c r="BA63" s="131"/>
      <c r="BB63" s="185"/>
      <c r="BC63" s="131"/>
      <c r="BD63" s="185"/>
      <c r="BE63" s="131"/>
      <c r="BF63" s="185"/>
      <c r="BG63" s="131"/>
      <c r="BH63" s="185"/>
      <c r="BI63" s="131"/>
      <c r="BJ63" s="185"/>
      <c r="BK63" s="131"/>
      <c r="BL63" s="185"/>
      <c r="BM63" s="131"/>
      <c r="BN63" s="185"/>
      <c r="BO63" s="131"/>
      <c r="BP63" s="134"/>
      <c r="BQ63" s="131"/>
      <c r="BR63" s="134"/>
      <c r="BS63" s="133"/>
      <c r="BT63" s="131"/>
      <c r="BU63" s="134"/>
      <c r="BV63" s="131"/>
      <c r="BW63" s="134"/>
      <c r="BX63" s="131"/>
      <c r="BY63" s="134"/>
      <c r="BZ63" s="131"/>
      <c r="CA63" s="134"/>
      <c r="CB63" s="133"/>
      <c r="CC63" s="131"/>
      <c r="CD63" s="134"/>
      <c r="CE63" s="133"/>
      <c r="CF63" s="131"/>
      <c r="CG63" s="134"/>
      <c r="CH63" s="133"/>
      <c r="CI63" s="131"/>
      <c r="CJ63" s="134"/>
      <c r="CK63" s="133"/>
      <c r="CL63" s="131"/>
      <c r="CM63" s="134"/>
      <c r="CN63" s="133"/>
      <c r="CO63" s="131"/>
      <c r="CP63" s="134"/>
      <c r="CQ63" s="133"/>
      <c r="CR63" s="131"/>
      <c r="CS63" s="134"/>
      <c r="CT63" s="133"/>
      <c r="CU63" s="131"/>
      <c r="CV63" s="134"/>
      <c r="CW63" s="133"/>
      <c r="CX63" s="131"/>
      <c r="CY63" s="134"/>
      <c r="CZ63" s="133"/>
      <c r="DA63" s="140"/>
      <c r="DB63" s="141"/>
      <c r="DC63" s="142"/>
      <c r="DD63" s="140"/>
      <c r="DE63" s="141"/>
      <c r="DF63" s="142"/>
      <c r="DG63" s="140"/>
      <c r="DH63" s="141"/>
      <c r="DI63" s="142"/>
      <c r="DJ63" s="140"/>
      <c r="DK63" s="141"/>
      <c r="DL63" s="142"/>
      <c r="DM63" s="140"/>
      <c r="DN63" s="141"/>
      <c r="DO63" s="142"/>
      <c r="DP63" s="140"/>
      <c r="DQ63" s="141"/>
      <c r="DR63" s="142"/>
      <c r="DS63" s="140"/>
      <c r="DT63" s="141"/>
      <c r="DU63" s="142"/>
      <c r="DV63" s="140"/>
      <c r="DW63" s="141"/>
      <c r="DX63" s="142"/>
      <c r="DY63" s="140">
        <f>+'1880 Hacienda'!B9</f>
        <v>138237</v>
      </c>
      <c r="DZ63" s="141"/>
      <c r="EA63" s="142"/>
      <c r="EB63" s="140">
        <f>+'1881 Hacienda'!B9</f>
        <v>139051</v>
      </c>
      <c r="EC63" s="141">
        <f>+'1881 Hacienda'!C9</f>
        <v>200</v>
      </c>
      <c r="ED63" s="142"/>
      <c r="EE63" s="140">
        <f>+'1882 Hacienda'!B8</f>
        <v>162088</v>
      </c>
      <c r="EF63" s="141">
        <f>+'1882 Hacienda'!C8</f>
        <v>15</v>
      </c>
      <c r="EG63" s="142">
        <f>+'1882 Hacienda'!D8</f>
        <v>0</v>
      </c>
      <c r="EH63" s="140"/>
      <c r="EI63" s="141"/>
      <c r="EJ63" s="142"/>
      <c r="EK63" s="140"/>
      <c r="EL63" s="141"/>
      <c r="EM63" s="142"/>
      <c r="EN63" s="140"/>
      <c r="EO63" s="141"/>
      <c r="EP63" s="142"/>
      <c r="EQ63" s="140"/>
      <c r="ER63" s="141"/>
      <c r="ES63" s="142"/>
      <c r="ET63" s="140"/>
      <c r="EU63" s="141"/>
      <c r="EV63" s="142"/>
      <c r="EW63" s="140"/>
      <c r="EX63" s="141"/>
      <c r="EY63" s="142"/>
      <c r="EZ63" s="140"/>
      <c r="FA63" s="141"/>
      <c r="FB63" s="142"/>
      <c r="FC63" s="140"/>
      <c r="FD63" s="141"/>
      <c r="FE63" s="142"/>
      <c r="FF63" s="140"/>
      <c r="FG63" s="141"/>
      <c r="FH63" s="142"/>
      <c r="FI63" s="140"/>
      <c r="FJ63" s="141"/>
      <c r="FK63" s="142"/>
      <c r="FL63" s="140"/>
      <c r="FM63" s="141"/>
      <c r="FN63" s="142"/>
      <c r="FO63" s="140"/>
      <c r="FP63" s="141"/>
      <c r="FQ63" s="142"/>
      <c r="FR63" s="140"/>
      <c r="FS63" s="141"/>
      <c r="FT63" s="142"/>
      <c r="FU63" s="140"/>
      <c r="FV63" s="141"/>
      <c r="FW63" s="142"/>
      <c r="FX63" s="140"/>
      <c r="FY63" s="141"/>
      <c r="FZ63" s="142"/>
      <c r="GA63" s="140"/>
      <c r="GB63" s="141"/>
      <c r="GC63" s="142"/>
      <c r="GD63" s="140"/>
      <c r="GE63" s="141"/>
      <c r="GF63" s="142"/>
      <c r="GG63" s="140"/>
      <c r="GH63" s="141"/>
      <c r="GI63" s="142"/>
      <c r="GJ63" s="140"/>
      <c r="GK63" s="141"/>
      <c r="GL63" s="142"/>
      <c r="GM63" s="140"/>
      <c r="GN63" s="141"/>
      <c r="GO63" s="142"/>
      <c r="GP63" s="140"/>
      <c r="GQ63" s="141"/>
      <c r="GR63" s="142"/>
      <c r="GS63" s="140"/>
      <c r="GT63" s="141"/>
      <c r="GU63" s="142"/>
      <c r="GV63" s="140"/>
      <c r="GW63" s="141"/>
      <c r="GX63" s="142"/>
      <c r="GY63" s="164"/>
      <c r="GZ63" s="134"/>
      <c r="HA63" s="185"/>
      <c r="HB63" s="164"/>
      <c r="HC63" s="185"/>
      <c r="HD63" s="164"/>
      <c r="HE63" s="185"/>
      <c r="HF63" s="164"/>
      <c r="HG63" s="185"/>
      <c r="HH63" s="164"/>
      <c r="HI63" s="185"/>
      <c r="HJ63" s="164"/>
      <c r="HK63" s="185"/>
      <c r="HL63" s="164"/>
      <c r="HM63" s="185"/>
      <c r="HN63" s="164"/>
      <c r="HO63" s="185"/>
      <c r="HP63" s="164"/>
      <c r="HQ63" s="185"/>
      <c r="HR63" s="164"/>
      <c r="HS63" s="185"/>
      <c r="HT63" s="164"/>
      <c r="HU63" s="185"/>
    </row>
    <row r="64" spans="1:229" x14ac:dyDescent="0.2">
      <c r="A64" s="184" t="s">
        <v>5180</v>
      </c>
      <c r="B64" s="131"/>
      <c r="C64" s="134"/>
      <c r="D64" s="133"/>
      <c r="E64" s="131"/>
      <c r="F64" s="134"/>
      <c r="G64" s="133"/>
      <c r="H64" s="131"/>
      <c r="I64" s="134"/>
      <c r="J64" s="133"/>
      <c r="K64" s="131"/>
      <c r="L64" s="134"/>
      <c r="M64" s="133"/>
      <c r="N64" s="131"/>
      <c r="O64" s="134"/>
      <c r="P64" s="133"/>
      <c r="Q64" s="131"/>
      <c r="R64" s="134"/>
      <c r="S64" s="133"/>
      <c r="T64" s="131"/>
      <c r="U64" s="134"/>
      <c r="V64" s="133"/>
      <c r="W64" s="131"/>
      <c r="X64" s="134"/>
      <c r="Y64" s="133"/>
      <c r="Z64" s="131"/>
      <c r="AA64" s="134"/>
      <c r="AB64" s="133"/>
      <c r="AC64" s="131"/>
      <c r="AD64" s="134"/>
      <c r="AE64" s="133"/>
      <c r="AF64" s="131"/>
      <c r="AG64" s="134"/>
      <c r="AH64" s="133"/>
      <c r="AI64" s="145"/>
      <c r="AJ64" s="134"/>
      <c r="AK64" s="133"/>
      <c r="AL64" s="131"/>
      <c r="AM64" s="134"/>
      <c r="AN64" s="133"/>
      <c r="AO64" s="131"/>
      <c r="AP64" s="134"/>
      <c r="AQ64" s="133"/>
      <c r="AR64" s="131"/>
      <c r="AS64" s="134"/>
      <c r="AT64" s="180"/>
      <c r="AU64" s="131"/>
      <c r="AV64" s="185"/>
      <c r="AW64" s="131"/>
      <c r="AX64" s="185"/>
      <c r="AY64" s="131"/>
      <c r="AZ64" s="185"/>
      <c r="BA64" s="131"/>
      <c r="BB64" s="185"/>
      <c r="BC64" s="131"/>
      <c r="BD64" s="185"/>
      <c r="BE64" s="131"/>
      <c r="BF64" s="185"/>
      <c r="BG64" s="131"/>
      <c r="BH64" s="185"/>
      <c r="BI64" s="131"/>
      <c r="BJ64" s="185"/>
      <c r="BK64" s="131"/>
      <c r="BL64" s="185"/>
      <c r="BM64" s="131"/>
      <c r="BN64" s="185"/>
      <c r="BO64" s="131"/>
      <c r="BP64" s="134"/>
      <c r="BQ64" s="131"/>
      <c r="BR64" s="134"/>
      <c r="BS64" s="133"/>
      <c r="BT64" s="131"/>
      <c r="BU64" s="134"/>
      <c r="BV64" s="131"/>
      <c r="BW64" s="134"/>
      <c r="BX64" s="131"/>
      <c r="BY64" s="134"/>
      <c r="BZ64" s="131"/>
      <c r="CA64" s="134"/>
      <c r="CB64" s="133"/>
      <c r="CC64" s="131"/>
      <c r="CD64" s="134"/>
      <c r="CE64" s="133"/>
      <c r="CF64" s="131"/>
      <c r="CG64" s="134"/>
      <c r="CH64" s="133"/>
      <c r="CI64" s="131"/>
      <c r="CJ64" s="134"/>
      <c r="CK64" s="133"/>
      <c r="CL64" s="131"/>
      <c r="CM64" s="134"/>
      <c r="CN64" s="133"/>
      <c r="CO64" s="131"/>
      <c r="CP64" s="134"/>
      <c r="CQ64" s="133"/>
      <c r="CR64" s="131"/>
      <c r="CS64" s="134"/>
      <c r="CT64" s="133"/>
      <c r="CU64" s="131"/>
      <c r="CV64" s="134"/>
      <c r="CW64" s="133"/>
      <c r="CX64" s="131"/>
      <c r="CY64" s="134"/>
      <c r="CZ64" s="133"/>
      <c r="DA64" s="140"/>
      <c r="DB64" s="141"/>
      <c r="DC64" s="142"/>
      <c r="DD64" s="140"/>
      <c r="DE64" s="141"/>
      <c r="DF64" s="142"/>
      <c r="DG64" s="140"/>
      <c r="DH64" s="141"/>
      <c r="DI64" s="142"/>
      <c r="DJ64" s="140"/>
      <c r="DK64" s="141"/>
      <c r="DL64" s="142"/>
      <c r="DM64" s="140"/>
      <c r="DN64" s="141"/>
      <c r="DO64" s="142"/>
      <c r="DP64" s="140"/>
      <c r="DQ64" s="141"/>
      <c r="DR64" s="142"/>
      <c r="DS64" s="140"/>
      <c r="DT64" s="141"/>
      <c r="DU64" s="142"/>
      <c r="DV64" s="140"/>
      <c r="DW64" s="141"/>
      <c r="DX64" s="142"/>
      <c r="DY64" s="140"/>
      <c r="DZ64" s="141"/>
      <c r="EA64" s="142"/>
      <c r="EB64" s="140"/>
      <c r="EC64" s="141"/>
      <c r="ED64" s="142"/>
      <c r="EE64" s="140"/>
      <c r="EF64" s="141"/>
      <c r="EG64" s="142"/>
      <c r="EH64" s="140"/>
      <c r="EI64" s="141"/>
      <c r="EJ64" s="142"/>
      <c r="EK64" s="140"/>
      <c r="EL64" s="141"/>
      <c r="EM64" s="142"/>
      <c r="EN64" s="140"/>
      <c r="EO64" s="141"/>
      <c r="EP64" s="142"/>
      <c r="EQ64" s="140"/>
      <c r="ER64" s="141"/>
      <c r="ES64" s="142"/>
      <c r="ET64" s="140"/>
      <c r="EU64" s="141"/>
      <c r="EV64" s="142"/>
      <c r="EW64" s="140"/>
      <c r="EX64" s="141"/>
      <c r="EY64" s="142"/>
      <c r="EZ64" s="140"/>
      <c r="FA64" s="141"/>
      <c r="FB64" s="142"/>
      <c r="FC64" s="140">
        <f>+'1890 Hacienda'!B224</f>
        <v>30910</v>
      </c>
      <c r="FD64" s="141">
        <f>+'1890 Hacienda'!C224</f>
        <v>32</v>
      </c>
      <c r="FE64" s="142">
        <f>+'1890 Hacienda'!D224</f>
        <v>0.5</v>
      </c>
      <c r="FF64" s="140">
        <f>+'1890 Hacienda'!E224</f>
        <v>29738</v>
      </c>
      <c r="FG64" s="141">
        <f>+'1890 Hacienda'!F224</f>
        <v>7</v>
      </c>
      <c r="FH64" s="142">
        <f>+'1890 Hacienda'!G224</f>
        <v>0.5</v>
      </c>
      <c r="FI64" s="140"/>
      <c r="FJ64" s="141"/>
      <c r="FK64" s="142"/>
      <c r="FL64" s="140">
        <f>+'1894 Hacienda'!C19</f>
        <v>52443</v>
      </c>
      <c r="FM64" s="141">
        <f>+'1894 Hacienda'!D19</f>
        <v>72</v>
      </c>
      <c r="FN64" s="142">
        <f>+'1894 Hacienda'!E19</f>
        <v>0.5</v>
      </c>
      <c r="FO64" s="140">
        <f>+'1894 Hacienda'!F19</f>
        <v>52602</v>
      </c>
      <c r="FP64" s="141">
        <f>+'1894 Hacienda'!G19</f>
        <v>87</v>
      </c>
      <c r="FQ64" s="142">
        <f>+'1894 Hacienda'!H19</f>
        <v>0.5</v>
      </c>
      <c r="FR64" s="140">
        <f>+'1896 Hacienda'!C20</f>
        <v>13929</v>
      </c>
      <c r="FS64" s="141">
        <f>+'1896 Hacienda'!D20</f>
        <v>12</v>
      </c>
      <c r="FT64" s="142">
        <f>+'1896 Hacienda'!E20</f>
        <v>0.5</v>
      </c>
      <c r="FU64" s="140"/>
      <c r="FV64" s="141"/>
      <c r="FW64" s="142"/>
      <c r="FX64" s="140"/>
      <c r="FY64" s="141"/>
      <c r="FZ64" s="142"/>
      <c r="GA64" s="140"/>
      <c r="GB64" s="141"/>
      <c r="GC64" s="142"/>
      <c r="GD64" s="140"/>
      <c r="GE64" s="141"/>
      <c r="GF64" s="142"/>
      <c r="GG64" s="140"/>
      <c r="GH64" s="141"/>
      <c r="GI64" s="142"/>
      <c r="GJ64" s="140"/>
      <c r="GK64" s="141"/>
      <c r="GL64" s="142"/>
      <c r="GM64" s="140"/>
      <c r="GN64" s="141"/>
      <c r="GO64" s="142"/>
      <c r="GP64" s="140"/>
      <c r="GQ64" s="141"/>
      <c r="GR64" s="142"/>
      <c r="GS64" s="140"/>
      <c r="GT64" s="141"/>
      <c r="GU64" s="142"/>
      <c r="GV64" s="140"/>
      <c r="GW64" s="141"/>
      <c r="GX64" s="142"/>
      <c r="GY64" s="164"/>
      <c r="GZ64" s="134"/>
      <c r="HA64" s="185"/>
      <c r="HB64" s="164"/>
      <c r="HC64" s="185"/>
      <c r="HD64" s="164"/>
      <c r="HE64" s="185"/>
      <c r="HF64" s="164"/>
      <c r="HG64" s="185"/>
      <c r="HH64" s="164"/>
      <c r="HI64" s="185"/>
      <c r="HJ64" s="164"/>
      <c r="HK64" s="185"/>
      <c r="HL64" s="164"/>
      <c r="HM64" s="185"/>
      <c r="HN64" s="164"/>
      <c r="HO64" s="185"/>
      <c r="HP64" s="164"/>
      <c r="HQ64" s="185"/>
      <c r="HR64" s="164"/>
      <c r="HS64" s="185"/>
      <c r="HT64" s="164"/>
      <c r="HU64" s="185"/>
    </row>
    <row r="65" spans="1:229" x14ac:dyDescent="0.2">
      <c r="A65" s="184" t="s">
        <v>6060</v>
      </c>
      <c r="B65" s="131"/>
      <c r="C65" s="134"/>
      <c r="D65" s="133"/>
      <c r="E65" s="131"/>
      <c r="F65" s="134"/>
      <c r="G65" s="133"/>
      <c r="H65" s="131"/>
      <c r="I65" s="134"/>
      <c r="J65" s="133"/>
      <c r="K65" s="131"/>
      <c r="L65" s="134"/>
      <c r="M65" s="133"/>
      <c r="N65" s="131"/>
      <c r="O65" s="134"/>
      <c r="P65" s="133"/>
      <c r="Q65" s="131"/>
      <c r="R65" s="134"/>
      <c r="S65" s="133"/>
      <c r="T65" s="131"/>
      <c r="U65" s="134"/>
      <c r="V65" s="133"/>
      <c r="W65" s="131"/>
      <c r="X65" s="134"/>
      <c r="Y65" s="133"/>
      <c r="Z65" s="131"/>
      <c r="AA65" s="134"/>
      <c r="AB65" s="133"/>
      <c r="AC65" s="131"/>
      <c r="AD65" s="134"/>
      <c r="AE65" s="133"/>
      <c r="AF65" s="131"/>
      <c r="AG65" s="134"/>
      <c r="AH65" s="133"/>
      <c r="AI65" s="145"/>
      <c r="AJ65" s="134"/>
      <c r="AK65" s="133"/>
      <c r="AL65" s="131"/>
      <c r="AM65" s="134"/>
      <c r="AN65" s="133"/>
      <c r="AO65" s="131"/>
      <c r="AP65" s="134"/>
      <c r="AQ65" s="133"/>
      <c r="AR65" s="131"/>
      <c r="AS65" s="134"/>
      <c r="AT65" s="180"/>
      <c r="AU65" s="131"/>
      <c r="AV65" s="185"/>
      <c r="AW65" s="131"/>
      <c r="AX65" s="185"/>
      <c r="AY65" s="131"/>
      <c r="AZ65" s="185"/>
      <c r="BA65" s="131"/>
      <c r="BB65" s="185"/>
      <c r="BC65" s="131"/>
      <c r="BD65" s="185"/>
      <c r="BE65" s="131"/>
      <c r="BF65" s="185"/>
      <c r="BG65" s="131"/>
      <c r="BH65" s="185"/>
      <c r="BI65" s="131"/>
      <c r="BJ65" s="185"/>
      <c r="BK65" s="131"/>
      <c r="BL65" s="185"/>
      <c r="BM65" s="131"/>
      <c r="BN65" s="185"/>
      <c r="BO65" s="131"/>
      <c r="BP65" s="134"/>
      <c r="BQ65" s="131"/>
      <c r="BR65" s="134"/>
      <c r="BS65" s="133"/>
      <c r="BT65" s="131"/>
      <c r="BU65" s="134"/>
      <c r="BV65" s="131"/>
      <c r="BW65" s="134"/>
      <c r="BX65" s="131"/>
      <c r="BY65" s="134"/>
      <c r="BZ65" s="131"/>
      <c r="CA65" s="134"/>
      <c r="CB65" s="133"/>
      <c r="CC65" s="131"/>
      <c r="CD65" s="134"/>
      <c r="CE65" s="133"/>
      <c r="CF65" s="131"/>
      <c r="CG65" s="134"/>
      <c r="CH65" s="133"/>
      <c r="CI65" s="131"/>
      <c r="CJ65" s="134"/>
      <c r="CK65" s="133"/>
      <c r="CL65" s="131"/>
      <c r="CM65" s="134"/>
      <c r="CN65" s="133"/>
      <c r="CO65" s="131"/>
      <c r="CP65" s="134"/>
      <c r="CQ65" s="133"/>
      <c r="CR65" s="131"/>
      <c r="CS65" s="134"/>
      <c r="CT65" s="133"/>
      <c r="CU65" s="131"/>
      <c r="CV65" s="134"/>
      <c r="CW65" s="133"/>
      <c r="CX65" s="131"/>
      <c r="CY65" s="134"/>
      <c r="CZ65" s="133"/>
      <c r="DA65" s="140"/>
      <c r="DB65" s="141"/>
      <c r="DC65" s="142"/>
      <c r="DD65" s="140"/>
      <c r="DE65" s="141"/>
      <c r="DF65" s="142"/>
      <c r="DG65" s="140"/>
      <c r="DH65" s="141"/>
      <c r="DI65" s="142"/>
      <c r="DJ65" s="140"/>
      <c r="DK65" s="141"/>
      <c r="DL65" s="142"/>
      <c r="DM65" s="140"/>
      <c r="DN65" s="141"/>
      <c r="DO65" s="142"/>
      <c r="DP65" s="140"/>
      <c r="DQ65" s="141"/>
      <c r="DR65" s="142"/>
      <c r="DS65" s="140"/>
      <c r="DT65" s="141"/>
      <c r="DU65" s="142"/>
      <c r="DV65" s="140"/>
      <c r="DW65" s="141"/>
      <c r="DX65" s="142"/>
      <c r="DY65" s="140"/>
      <c r="DZ65" s="141"/>
      <c r="EA65" s="142"/>
      <c r="EB65" s="140"/>
      <c r="EC65" s="141"/>
      <c r="ED65" s="142"/>
      <c r="EE65" s="140"/>
      <c r="EF65" s="141"/>
      <c r="EG65" s="142"/>
      <c r="EH65" s="140"/>
      <c r="EI65" s="141"/>
      <c r="EJ65" s="142"/>
      <c r="EK65" s="140"/>
      <c r="EL65" s="141"/>
      <c r="EM65" s="142"/>
      <c r="EN65" s="140"/>
      <c r="EO65" s="141"/>
      <c r="EP65" s="142"/>
      <c r="EQ65" s="140"/>
      <c r="ER65" s="141"/>
      <c r="ES65" s="142"/>
      <c r="ET65" s="140"/>
      <c r="EU65" s="141"/>
      <c r="EV65" s="142"/>
      <c r="EW65" s="140"/>
      <c r="EX65" s="141"/>
      <c r="EY65" s="142"/>
      <c r="EZ65" s="140"/>
      <c r="FA65" s="141"/>
      <c r="FB65" s="142"/>
      <c r="FC65" s="140">
        <f>+'1890 Hacienda'!B226</f>
        <v>36000</v>
      </c>
      <c r="FD65" s="141"/>
      <c r="FE65" s="142"/>
      <c r="FF65" s="140">
        <f>+'1890 Hacienda'!E226</f>
        <v>43515</v>
      </c>
      <c r="FG65" s="141">
        <f>+'1890 Hacienda'!F226</f>
        <v>48</v>
      </c>
      <c r="FH65" s="142"/>
      <c r="FI65" s="140"/>
      <c r="FJ65" s="141"/>
      <c r="FK65" s="142"/>
      <c r="FL65" s="140"/>
      <c r="FM65" s="141"/>
      <c r="FN65" s="142"/>
      <c r="FO65" s="140"/>
      <c r="FP65" s="141"/>
      <c r="FQ65" s="142"/>
      <c r="FR65" s="140"/>
      <c r="FS65" s="141"/>
      <c r="FT65" s="142"/>
      <c r="FU65" s="140"/>
      <c r="FV65" s="141"/>
      <c r="FW65" s="142"/>
      <c r="FX65" s="140"/>
      <c r="FY65" s="141"/>
      <c r="FZ65" s="142"/>
      <c r="GA65" s="140"/>
      <c r="GB65" s="141"/>
      <c r="GC65" s="142"/>
      <c r="GD65" s="140"/>
      <c r="GE65" s="141"/>
      <c r="GF65" s="142"/>
      <c r="GG65" s="140"/>
      <c r="GH65" s="141"/>
      <c r="GI65" s="142"/>
      <c r="GJ65" s="140"/>
      <c r="GK65" s="141"/>
      <c r="GL65" s="142"/>
      <c r="GM65" s="140"/>
      <c r="GN65" s="141"/>
      <c r="GO65" s="142"/>
      <c r="GP65" s="140"/>
      <c r="GQ65" s="141"/>
      <c r="GR65" s="142"/>
      <c r="GS65" s="140"/>
      <c r="GT65" s="141"/>
      <c r="GU65" s="142"/>
      <c r="GV65" s="140"/>
      <c r="GW65" s="141"/>
      <c r="GX65" s="142"/>
      <c r="GY65" s="164"/>
      <c r="GZ65" s="134"/>
      <c r="HA65" s="185"/>
      <c r="HB65" s="164"/>
      <c r="HC65" s="185"/>
      <c r="HD65" s="164"/>
      <c r="HE65" s="185"/>
      <c r="HF65" s="164"/>
      <c r="HG65" s="185"/>
      <c r="HH65" s="164"/>
      <c r="HI65" s="185"/>
      <c r="HJ65" s="164"/>
      <c r="HK65" s="185"/>
      <c r="HL65" s="164"/>
      <c r="HM65" s="185"/>
      <c r="HN65" s="164"/>
      <c r="HO65" s="185"/>
      <c r="HP65" s="164"/>
      <c r="HQ65" s="185"/>
      <c r="HR65" s="164"/>
      <c r="HS65" s="185"/>
      <c r="HT65" s="164"/>
      <c r="HU65" s="185"/>
    </row>
    <row r="66" spans="1:229" x14ac:dyDescent="0.2">
      <c r="A66" s="184" t="s">
        <v>5859</v>
      </c>
      <c r="B66" s="131"/>
      <c r="C66" s="134"/>
      <c r="D66" s="133"/>
      <c r="E66" s="131"/>
      <c r="F66" s="134"/>
      <c r="G66" s="133"/>
      <c r="H66" s="131"/>
      <c r="I66" s="134"/>
      <c r="J66" s="133"/>
      <c r="K66" s="131"/>
      <c r="L66" s="134"/>
      <c r="M66" s="133"/>
      <c r="N66" s="131"/>
      <c r="O66" s="134"/>
      <c r="P66" s="133"/>
      <c r="Q66" s="131"/>
      <c r="R66" s="134"/>
      <c r="S66" s="133"/>
      <c r="T66" s="131"/>
      <c r="U66" s="134"/>
      <c r="V66" s="133"/>
      <c r="W66" s="131"/>
      <c r="X66" s="134"/>
      <c r="Y66" s="133"/>
      <c r="Z66" s="131"/>
      <c r="AA66" s="134"/>
      <c r="AB66" s="133"/>
      <c r="AC66" s="131"/>
      <c r="AD66" s="134"/>
      <c r="AE66" s="133"/>
      <c r="AF66" s="131"/>
      <c r="AG66" s="134"/>
      <c r="AH66" s="133"/>
      <c r="AI66" s="145"/>
      <c r="AJ66" s="134"/>
      <c r="AK66" s="133"/>
      <c r="AL66" s="131"/>
      <c r="AM66" s="134"/>
      <c r="AN66" s="133"/>
      <c r="AO66" s="131"/>
      <c r="AP66" s="134"/>
      <c r="AQ66" s="133"/>
      <c r="AR66" s="131"/>
      <c r="AS66" s="134"/>
      <c r="AT66" s="180"/>
      <c r="AU66" s="131"/>
      <c r="AV66" s="185"/>
      <c r="AW66" s="131"/>
      <c r="AX66" s="185"/>
      <c r="AY66" s="131"/>
      <c r="AZ66" s="185"/>
      <c r="BA66" s="131"/>
      <c r="BB66" s="185"/>
      <c r="BC66" s="131"/>
      <c r="BD66" s="185"/>
      <c r="BE66" s="131"/>
      <c r="BF66" s="185"/>
      <c r="BG66" s="131"/>
      <c r="BH66" s="185"/>
      <c r="BI66" s="131"/>
      <c r="BJ66" s="185"/>
      <c r="BK66" s="131"/>
      <c r="BL66" s="185"/>
      <c r="BM66" s="131"/>
      <c r="BN66" s="185"/>
      <c r="BO66" s="131"/>
      <c r="BP66" s="134"/>
      <c r="BQ66" s="131"/>
      <c r="BR66" s="134"/>
      <c r="BS66" s="133"/>
      <c r="BT66" s="131"/>
      <c r="BU66" s="134"/>
      <c r="BV66" s="131"/>
      <c r="BW66" s="134"/>
      <c r="BX66" s="131"/>
      <c r="BY66" s="134"/>
      <c r="BZ66" s="131"/>
      <c r="CA66" s="134"/>
      <c r="CB66" s="133"/>
      <c r="CC66" s="131"/>
      <c r="CD66" s="134"/>
      <c r="CE66" s="133"/>
      <c r="CF66" s="131"/>
      <c r="CG66" s="134"/>
      <c r="CH66" s="133"/>
      <c r="CI66" s="131"/>
      <c r="CJ66" s="134"/>
      <c r="CK66" s="133"/>
      <c r="CL66" s="131"/>
      <c r="CM66" s="134"/>
      <c r="CN66" s="133"/>
      <c r="CO66" s="131"/>
      <c r="CP66" s="134"/>
      <c r="CQ66" s="133"/>
      <c r="CR66" s="131"/>
      <c r="CS66" s="134"/>
      <c r="CT66" s="133"/>
      <c r="CU66" s="131"/>
      <c r="CV66" s="134"/>
      <c r="CW66" s="133"/>
      <c r="CX66" s="131"/>
      <c r="CY66" s="134"/>
      <c r="CZ66" s="133"/>
      <c r="DA66" s="140"/>
      <c r="DB66" s="141"/>
      <c r="DC66" s="142"/>
      <c r="DD66" s="140"/>
      <c r="DE66" s="141"/>
      <c r="DF66" s="142"/>
      <c r="DG66" s="140"/>
      <c r="DH66" s="141"/>
      <c r="DI66" s="142"/>
      <c r="DJ66" s="140"/>
      <c r="DK66" s="141"/>
      <c r="DL66" s="142"/>
      <c r="DM66" s="140"/>
      <c r="DN66" s="141"/>
      <c r="DO66" s="142"/>
      <c r="DP66" s="140"/>
      <c r="DQ66" s="141"/>
      <c r="DR66" s="142"/>
      <c r="DS66" s="140"/>
      <c r="DT66" s="141"/>
      <c r="DU66" s="142"/>
      <c r="DV66" s="140"/>
      <c r="DW66" s="141"/>
      <c r="DX66" s="142"/>
      <c r="DY66" s="140"/>
      <c r="DZ66" s="141"/>
      <c r="EA66" s="142"/>
      <c r="EB66" s="140"/>
      <c r="EC66" s="141"/>
      <c r="ED66" s="142"/>
      <c r="EE66" s="140"/>
      <c r="EF66" s="141"/>
      <c r="EG66" s="142"/>
      <c r="EH66" s="140"/>
      <c r="EI66" s="141"/>
      <c r="EJ66" s="142"/>
      <c r="EK66" s="140"/>
      <c r="EL66" s="141"/>
      <c r="EM66" s="142"/>
      <c r="EN66" s="140"/>
      <c r="EO66" s="141"/>
      <c r="EP66" s="142"/>
      <c r="EQ66" s="140"/>
      <c r="ER66" s="141"/>
      <c r="ES66" s="142"/>
      <c r="ET66" s="140"/>
      <c r="EU66" s="141"/>
      <c r="EV66" s="142"/>
      <c r="EW66" s="140"/>
      <c r="EX66" s="141"/>
      <c r="EY66" s="142"/>
      <c r="EZ66" s="140"/>
      <c r="FA66" s="141"/>
      <c r="FB66" s="142"/>
      <c r="FC66" s="140"/>
      <c r="FD66" s="141"/>
      <c r="FE66" s="142"/>
      <c r="FF66" s="140"/>
      <c r="FG66" s="141"/>
      <c r="FH66" s="142"/>
      <c r="FI66" s="140"/>
      <c r="FJ66" s="141"/>
      <c r="FK66" s="142"/>
      <c r="FL66" s="140"/>
      <c r="FM66" s="141"/>
      <c r="FN66" s="142"/>
      <c r="FO66" s="140"/>
      <c r="FP66" s="141"/>
      <c r="FQ66" s="142"/>
      <c r="FR66" s="140"/>
      <c r="FS66" s="141"/>
      <c r="FT66" s="142"/>
      <c r="FU66" s="140"/>
      <c r="FV66" s="141"/>
      <c r="FW66" s="142"/>
      <c r="FX66" s="140">
        <f>+'1898 Hacienda'!B18</f>
        <v>17286</v>
      </c>
      <c r="FY66" s="141">
        <f>+'1898 Hacienda'!C18</f>
        <v>25</v>
      </c>
      <c r="FZ66" s="142"/>
      <c r="GA66" s="140"/>
      <c r="GB66" s="141"/>
      <c r="GC66" s="142"/>
      <c r="GD66" s="140">
        <f>+'1898 Hacienda'!K18</f>
        <v>145693</v>
      </c>
      <c r="GE66" s="141">
        <f>+'1898 Hacienda'!L18</f>
        <v>60</v>
      </c>
      <c r="GF66" s="142"/>
      <c r="GG66" s="140"/>
      <c r="GH66" s="141"/>
      <c r="GI66" s="142"/>
      <c r="GJ66" s="140"/>
      <c r="GK66" s="141"/>
      <c r="GL66" s="142"/>
      <c r="GM66" s="140"/>
      <c r="GN66" s="141"/>
      <c r="GO66" s="142"/>
      <c r="GP66" s="140"/>
      <c r="GQ66" s="141"/>
      <c r="GR66" s="142"/>
      <c r="GS66" s="140"/>
      <c r="GT66" s="141"/>
      <c r="GU66" s="142"/>
      <c r="GV66" s="140"/>
      <c r="GW66" s="141"/>
      <c r="GX66" s="142"/>
      <c r="GY66" s="164"/>
      <c r="GZ66" s="134"/>
      <c r="HA66" s="185"/>
      <c r="HB66" s="164"/>
      <c r="HC66" s="185"/>
      <c r="HD66" s="164"/>
      <c r="HE66" s="185"/>
      <c r="HF66" s="164"/>
      <c r="HG66" s="185"/>
      <c r="HH66" s="164"/>
      <c r="HI66" s="185"/>
      <c r="HJ66" s="164"/>
      <c r="HK66" s="185"/>
      <c r="HL66" s="164"/>
      <c r="HM66" s="185"/>
      <c r="HN66" s="164"/>
      <c r="HO66" s="185"/>
      <c r="HP66" s="164"/>
      <c r="HQ66" s="185"/>
      <c r="HR66" s="164"/>
      <c r="HS66" s="185"/>
      <c r="HT66" s="164"/>
      <c r="HU66" s="185"/>
    </row>
    <row r="67" spans="1:229" x14ac:dyDescent="0.2">
      <c r="A67" s="141" t="str">
        <f>+'1883 Hacienda'!A10</f>
        <v>Empresa del Ferrocarril y telégrafo de Bolívar</v>
      </c>
      <c r="B67" s="131"/>
      <c r="C67" s="134"/>
      <c r="D67" s="133"/>
      <c r="E67" s="131"/>
      <c r="F67" s="134"/>
      <c r="G67" s="133"/>
      <c r="H67" s="131"/>
      <c r="I67" s="134"/>
      <c r="J67" s="133"/>
      <c r="K67" s="131"/>
      <c r="L67" s="134"/>
      <c r="M67" s="133"/>
      <c r="N67" s="131"/>
      <c r="O67" s="134"/>
      <c r="P67" s="133"/>
      <c r="Q67" s="131"/>
      <c r="R67" s="134"/>
      <c r="S67" s="133"/>
      <c r="T67" s="131"/>
      <c r="U67" s="134"/>
      <c r="V67" s="133"/>
      <c r="W67" s="131"/>
      <c r="X67" s="134"/>
      <c r="Y67" s="133"/>
      <c r="Z67" s="131"/>
      <c r="AA67" s="134"/>
      <c r="AB67" s="133"/>
      <c r="AC67" s="131"/>
      <c r="AD67" s="134"/>
      <c r="AE67" s="133"/>
      <c r="AF67" s="131"/>
      <c r="AG67" s="134"/>
      <c r="AH67" s="133"/>
      <c r="AI67" s="145"/>
      <c r="AJ67" s="134"/>
      <c r="AK67" s="133"/>
      <c r="AL67" s="131"/>
      <c r="AM67" s="134"/>
      <c r="AN67" s="133"/>
      <c r="AO67" s="131"/>
      <c r="AP67" s="134"/>
      <c r="AQ67" s="133"/>
      <c r="AR67" s="131"/>
      <c r="AS67" s="134"/>
      <c r="AT67" s="180"/>
      <c r="AU67" s="131"/>
      <c r="AV67" s="185"/>
      <c r="AW67" s="131"/>
      <c r="AX67" s="185"/>
      <c r="AY67" s="131"/>
      <c r="AZ67" s="185"/>
      <c r="BA67" s="131"/>
      <c r="BB67" s="185"/>
      <c r="BC67" s="131"/>
      <c r="BD67" s="185"/>
      <c r="BE67" s="131"/>
      <c r="BF67" s="185"/>
      <c r="BG67" s="131"/>
      <c r="BH67" s="185"/>
      <c r="BI67" s="131"/>
      <c r="BJ67" s="185"/>
      <c r="BK67" s="131"/>
      <c r="BL67" s="185"/>
      <c r="BM67" s="131"/>
      <c r="BN67" s="185"/>
      <c r="BO67" s="131"/>
      <c r="BP67" s="134"/>
      <c r="BQ67" s="131"/>
      <c r="BR67" s="134"/>
      <c r="BS67" s="133"/>
      <c r="BT67" s="131"/>
      <c r="BU67" s="134"/>
      <c r="BV67" s="131"/>
      <c r="BW67" s="134"/>
      <c r="BX67" s="131"/>
      <c r="BY67" s="134"/>
      <c r="BZ67" s="131"/>
      <c r="CA67" s="134"/>
      <c r="CB67" s="133"/>
      <c r="CC67" s="131"/>
      <c r="CD67" s="134"/>
      <c r="CE67" s="133"/>
      <c r="CF67" s="131"/>
      <c r="CG67" s="134"/>
      <c r="CH67" s="133"/>
      <c r="CI67" s="131"/>
      <c r="CJ67" s="134"/>
      <c r="CK67" s="133"/>
      <c r="CL67" s="131"/>
      <c r="CM67" s="134"/>
      <c r="CN67" s="133"/>
      <c r="CO67" s="131"/>
      <c r="CP67" s="134"/>
      <c r="CQ67" s="133"/>
      <c r="CR67" s="131"/>
      <c r="CS67" s="134"/>
      <c r="CT67" s="133"/>
      <c r="CU67" s="131"/>
      <c r="CV67" s="134"/>
      <c r="CW67" s="133"/>
      <c r="CX67" s="131"/>
      <c r="CY67" s="134"/>
      <c r="CZ67" s="133"/>
      <c r="DA67" s="140"/>
      <c r="DB67" s="141"/>
      <c r="DC67" s="142"/>
      <c r="DD67" s="140"/>
      <c r="DE67" s="141"/>
      <c r="DF67" s="142"/>
      <c r="DG67" s="140"/>
      <c r="DH67" s="141"/>
      <c r="DI67" s="142"/>
      <c r="DJ67" s="140"/>
      <c r="DK67" s="141"/>
      <c r="DL67" s="142"/>
      <c r="DM67" s="140"/>
      <c r="DN67" s="141"/>
      <c r="DO67" s="142"/>
      <c r="DP67" s="140"/>
      <c r="DQ67" s="141"/>
      <c r="DR67" s="142"/>
      <c r="DS67" s="140"/>
      <c r="DT67" s="141"/>
      <c r="DU67" s="142"/>
      <c r="DV67" s="140"/>
      <c r="DW67" s="141"/>
      <c r="DX67" s="142"/>
      <c r="DY67" s="140"/>
      <c r="DZ67" s="141"/>
      <c r="EA67" s="142"/>
      <c r="EB67" s="140"/>
      <c r="EC67" s="141"/>
      <c r="ED67" s="142"/>
      <c r="EE67" s="140"/>
      <c r="EF67" s="141"/>
      <c r="EG67" s="142"/>
      <c r="EH67" s="140">
        <f>+'1883 Hacienda'!B10</f>
        <v>224000</v>
      </c>
      <c r="EI67" s="141"/>
      <c r="EJ67" s="142"/>
      <c r="EK67" s="140"/>
      <c r="EL67" s="141"/>
      <c r="EM67" s="142"/>
      <c r="EN67" s="140"/>
      <c r="EO67" s="141"/>
      <c r="EP67" s="142"/>
      <c r="EQ67" s="140"/>
      <c r="ER67" s="141"/>
      <c r="ES67" s="142"/>
      <c r="ET67" s="140"/>
      <c r="EU67" s="141"/>
      <c r="EV67" s="142"/>
      <c r="EW67" s="140"/>
      <c r="EX67" s="141"/>
      <c r="EY67" s="142"/>
      <c r="EZ67" s="140"/>
      <c r="FA67" s="141"/>
      <c r="FB67" s="142"/>
      <c r="FC67" s="140"/>
      <c r="FD67" s="141"/>
      <c r="FE67" s="142"/>
      <c r="FF67" s="140"/>
      <c r="FG67" s="141"/>
      <c r="FH67" s="142"/>
      <c r="FI67" s="140"/>
      <c r="FJ67" s="141"/>
      <c r="FK67" s="142"/>
      <c r="FL67" s="140"/>
      <c r="FM67" s="141"/>
      <c r="FN67" s="142"/>
      <c r="FO67" s="140"/>
      <c r="FP67" s="141"/>
      <c r="FQ67" s="142"/>
      <c r="FR67" s="140"/>
      <c r="FS67" s="141"/>
      <c r="FT67" s="142"/>
      <c r="FU67" s="140"/>
      <c r="FV67" s="141"/>
      <c r="FW67" s="142"/>
      <c r="FX67" s="140"/>
      <c r="FY67" s="141"/>
      <c r="FZ67" s="142"/>
      <c r="GA67" s="140"/>
      <c r="GB67" s="141"/>
      <c r="GC67" s="142"/>
      <c r="GD67" s="140"/>
      <c r="GE67" s="141"/>
      <c r="GF67" s="142"/>
      <c r="GG67" s="140"/>
      <c r="GH67" s="141"/>
      <c r="GI67" s="142"/>
      <c r="GJ67" s="140"/>
      <c r="GK67" s="141"/>
      <c r="GL67" s="142"/>
      <c r="GM67" s="140"/>
      <c r="GN67" s="141"/>
      <c r="GO67" s="142"/>
      <c r="GP67" s="140"/>
      <c r="GQ67" s="141"/>
      <c r="GR67" s="142"/>
      <c r="GS67" s="140"/>
      <c r="GT67" s="141"/>
      <c r="GU67" s="142"/>
      <c r="GV67" s="140"/>
      <c r="GW67" s="141"/>
      <c r="GX67" s="142"/>
      <c r="GY67" s="164"/>
      <c r="GZ67" s="134"/>
      <c r="HA67" s="185"/>
      <c r="HB67" s="164"/>
      <c r="HC67" s="185"/>
      <c r="HD67" s="164"/>
      <c r="HE67" s="185"/>
      <c r="HF67" s="164"/>
      <c r="HG67" s="185"/>
      <c r="HH67" s="164"/>
      <c r="HI67" s="185"/>
      <c r="HJ67" s="164"/>
      <c r="HK67" s="185"/>
      <c r="HL67" s="164"/>
      <c r="HM67" s="185"/>
      <c r="HN67" s="164"/>
      <c r="HO67" s="185"/>
      <c r="HP67" s="164"/>
      <c r="HQ67" s="185"/>
      <c r="HR67" s="164"/>
      <c r="HS67" s="185"/>
      <c r="HT67" s="164"/>
      <c r="HU67" s="185"/>
    </row>
    <row r="68" spans="1:229" x14ac:dyDescent="0.2">
      <c r="A68" s="184" t="s">
        <v>5443</v>
      </c>
      <c r="B68" s="131"/>
      <c r="C68" s="134"/>
      <c r="D68" s="133"/>
      <c r="E68" s="131"/>
      <c r="F68" s="134"/>
      <c r="G68" s="133"/>
      <c r="H68" s="131"/>
      <c r="I68" s="134"/>
      <c r="J68" s="133"/>
      <c r="K68" s="131"/>
      <c r="L68" s="134"/>
      <c r="M68" s="133"/>
      <c r="N68" s="131"/>
      <c r="O68" s="134"/>
      <c r="P68" s="133"/>
      <c r="Q68" s="131"/>
      <c r="R68" s="134"/>
      <c r="S68" s="133"/>
      <c r="T68" s="131"/>
      <c r="U68" s="134"/>
      <c r="V68" s="133"/>
      <c r="W68" s="131"/>
      <c r="X68" s="134"/>
      <c r="Y68" s="133"/>
      <c r="Z68" s="131"/>
      <c r="AA68" s="134"/>
      <c r="AB68" s="133"/>
      <c r="AC68" s="131"/>
      <c r="AD68" s="134"/>
      <c r="AE68" s="133"/>
      <c r="AF68" s="131"/>
      <c r="AG68" s="134"/>
      <c r="AH68" s="133"/>
      <c r="AI68" s="145"/>
      <c r="AJ68" s="134"/>
      <c r="AK68" s="133"/>
      <c r="AL68" s="131"/>
      <c r="AM68" s="134"/>
      <c r="AN68" s="133"/>
      <c r="AO68" s="131"/>
      <c r="AP68" s="134"/>
      <c r="AQ68" s="133"/>
      <c r="AR68" s="131"/>
      <c r="AS68" s="134"/>
      <c r="AT68" s="180"/>
      <c r="AU68" s="131"/>
      <c r="AV68" s="185"/>
      <c r="AW68" s="131"/>
      <c r="AX68" s="185"/>
      <c r="AY68" s="131"/>
      <c r="AZ68" s="185"/>
      <c r="BA68" s="131"/>
      <c r="BB68" s="185"/>
      <c r="BC68" s="131"/>
      <c r="BD68" s="185"/>
      <c r="BE68" s="131"/>
      <c r="BF68" s="185"/>
      <c r="BG68" s="131"/>
      <c r="BH68" s="185"/>
      <c r="BI68" s="131"/>
      <c r="BJ68" s="185"/>
      <c r="BK68" s="131"/>
      <c r="BL68" s="185"/>
      <c r="BM68" s="131"/>
      <c r="BN68" s="185"/>
      <c r="BO68" s="131"/>
      <c r="BP68" s="134"/>
      <c r="BQ68" s="131"/>
      <c r="BR68" s="134"/>
      <c r="BS68" s="133"/>
      <c r="BT68" s="131"/>
      <c r="BU68" s="134"/>
      <c r="BV68" s="131"/>
      <c r="BW68" s="134"/>
      <c r="BX68" s="131"/>
      <c r="BY68" s="134"/>
      <c r="BZ68" s="131"/>
      <c r="CA68" s="134"/>
      <c r="CB68" s="133"/>
      <c r="CC68" s="131"/>
      <c r="CD68" s="134"/>
      <c r="CE68" s="133"/>
      <c r="CF68" s="131"/>
      <c r="CG68" s="134"/>
      <c r="CH68" s="133"/>
      <c r="CI68" s="131"/>
      <c r="CJ68" s="134"/>
      <c r="CK68" s="133"/>
      <c r="CL68" s="131"/>
      <c r="CM68" s="134"/>
      <c r="CN68" s="133"/>
      <c r="CO68" s="131"/>
      <c r="CP68" s="134"/>
      <c r="CQ68" s="133"/>
      <c r="CR68" s="131"/>
      <c r="CS68" s="134"/>
      <c r="CT68" s="133"/>
      <c r="CU68" s="131"/>
      <c r="CV68" s="134"/>
      <c r="CW68" s="133"/>
      <c r="CX68" s="131"/>
      <c r="CY68" s="134"/>
      <c r="CZ68" s="133"/>
      <c r="DA68" s="140"/>
      <c r="DB68" s="141"/>
      <c r="DC68" s="142"/>
      <c r="DD68" s="140"/>
      <c r="DE68" s="141"/>
      <c r="DF68" s="142"/>
      <c r="DG68" s="140"/>
      <c r="DH68" s="141"/>
      <c r="DI68" s="142"/>
      <c r="DJ68" s="140"/>
      <c r="DK68" s="141"/>
      <c r="DL68" s="142"/>
      <c r="DM68" s="140"/>
      <c r="DN68" s="141"/>
      <c r="DO68" s="142"/>
      <c r="DP68" s="140"/>
      <c r="DQ68" s="141"/>
      <c r="DR68" s="142"/>
      <c r="DS68" s="140"/>
      <c r="DT68" s="141"/>
      <c r="DU68" s="142"/>
      <c r="DV68" s="140"/>
      <c r="DW68" s="141"/>
      <c r="DX68" s="142"/>
      <c r="DY68" s="140"/>
      <c r="DZ68" s="141"/>
      <c r="EA68" s="142"/>
      <c r="EB68" s="140"/>
      <c r="EC68" s="141"/>
      <c r="ED68" s="142"/>
      <c r="EE68" s="140"/>
      <c r="EF68" s="141"/>
      <c r="EG68" s="142"/>
      <c r="EH68" s="140"/>
      <c r="EI68" s="141"/>
      <c r="EJ68" s="142"/>
      <c r="EK68" s="140"/>
      <c r="EL68" s="141"/>
      <c r="EM68" s="142"/>
      <c r="EN68" s="140"/>
      <c r="EO68" s="141"/>
      <c r="EP68" s="142"/>
      <c r="EQ68" s="140"/>
      <c r="ER68" s="141"/>
      <c r="ES68" s="142"/>
      <c r="ET68" s="140"/>
      <c r="EU68" s="141"/>
      <c r="EV68" s="142"/>
      <c r="EW68" s="140"/>
      <c r="EX68" s="141"/>
      <c r="EY68" s="142"/>
      <c r="EZ68" s="140"/>
      <c r="FA68" s="141"/>
      <c r="FB68" s="142"/>
      <c r="FC68" s="140"/>
      <c r="FD68" s="141"/>
      <c r="FE68" s="142"/>
      <c r="FF68" s="140"/>
      <c r="FG68" s="141"/>
      <c r="FH68" s="142"/>
      <c r="FI68" s="140"/>
      <c r="FJ68" s="141"/>
      <c r="FK68" s="142"/>
      <c r="FL68" s="140"/>
      <c r="FM68" s="141"/>
      <c r="FN68" s="142"/>
      <c r="FO68" s="140"/>
      <c r="FP68" s="141"/>
      <c r="FQ68" s="142"/>
      <c r="FR68" s="140"/>
      <c r="FS68" s="141"/>
      <c r="FT68" s="142"/>
      <c r="FU68" s="140"/>
      <c r="FV68" s="141"/>
      <c r="FW68" s="142"/>
      <c r="FX68" s="140"/>
      <c r="FY68" s="141"/>
      <c r="FZ68" s="142"/>
      <c r="GA68" s="140"/>
      <c r="GB68" s="141"/>
      <c r="GC68" s="142"/>
      <c r="GD68" s="140"/>
      <c r="GE68" s="141"/>
      <c r="GF68" s="142"/>
      <c r="GG68" s="140"/>
      <c r="GH68" s="141"/>
      <c r="GI68" s="142"/>
      <c r="GJ68" s="140"/>
      <c r="GK68" s="141"/>
      <c r="GL68" s="142"/>
      <c r="GM68" s="140"/>
      <c r="GN68" s="141"/>
      <c r="GO68" s="142"/>
      <c r="GP68" s="140"/>
      <c r="GQ68" s="141"/>
      <c r="GR68" s="142"/>
      <c r="GS68" s="140"/>
      <c r="GT68" s="141"/>
      <c r="GU68" s="142"/>
      <c r="GV68" s="140"/>
      <c r="GW68" s="141"/>
      <c r="GX68" s="142"/>
      <c r="GY68" s="164"/>
      <c r="GZ68" s="134"/>
      <c r="HA68" s="185"/>
      <c r="HB68" s="164"/>
      <c r="HC68" s="185"/>
      <c r="HD68" s="164">
        <f>'1910 Hacienda'!C48</f>
        <v>151521</v>
      </c>
      <c r="HE68" s="185">
        <f>'1910 Hacienda'!D48</f>
        <v>21</v>
      </c>
      <c r="HF68" s="164">
        <f>'1910 Hacienda'!C76</f>
        <v>84522</v>
      </c>
      <c r="HG68" s="185">
        <f>'1910 Hacienda'!D76</f>
        <v>2</v>
      </c>
      <c r="HH68" s="164">
        <f>'1910 Hacienda'!C100</f>
        <v>111336</v>
      </c>
      <c r="HI68" s="185">
        <f>'1910 Hacienda'!D100</f>
        <v>20</v>
      </c>
      <c r="HJ68" s="164">
        <f>'1910 Hacienda'!C136</f>
        <v>107039</v>
      </c>
      <c r="HK68" s="185">
        <f>'1910 Hacienda'!D136</f>
        <v>99</v>
      </c>
      <c r="HL68" s="164">
        <f>+'1911 Hacienda'!B32</f>
        <v>88489</v>
      </c>
      <c r="HM68" s="185">
        <f>+'1911 Hacienda'!C32</f>
        <v>19</v>
      </c>
      <c r="HN68" s="164">
        <f>+'1912A Hacienda'!B8</f>
        <v>85285</v>
      </c>
      <c r="HO68" s="185">
        <f>+'1912A Hacienda'!C8</f>
        <v>13</v>
      </c>
      <c r="HP68" s="164">
        <f>+'1912 Hacienda'!B17</f>
        <v>127449</v>
      </c>
      <c r="HQ68" s="185">
        <f>+'1912 Hacienda'!C17</f>
        <v>42</v>
      </c>
      <c r="HR68" s="164"/>
      <c r="HS68" s="185"/>
      <c r="HT68" s="164">
        <f>+'1915 Hacienda'!D25</f>
        <v>129637</v>
      </c>
      <c r="HU68" s="185">
        <f>+'1915 Hacienda'!E25</f>
        <v>62</v>
      </c>
    </row>
    <row r="69" spans="1:229" x14ac:dyDescent="0.2">
      <c r="A69" s="184" t="s">
        <v>5444</v>
      </c>
      <c r="B69" s="131"/>
      <c r="C69" s="134"/>
      <c r="D69" s="133"/>
      <c r="E69" s="131"/>
      <c r="F69" s="134"/>
      <c r="G69" s="133"/>
      <c r="H69" s="131"/>
      <c r="I69" s="134"/>
      <c r="J69" s="133"/>
      <c r="K69" s="131"/>
      <c r="L69" s="134"/>
      <c r="M69" s="133"/>
      <c r="N69" s="131"/>
      <c r="O69" s="134"/>
      <c r="P69" s="133"/>
      <c r="Q69" s="131"/>
      <c r="R69" s="134"/>
      <c r="S69" s="133"/>
      <c r="T69" s="131"/>
      <c r="U69" s="134"/>
      <c r="V69" s="133"/>
      <c r="W69" s="131"/>
      <c r="X69" s="134"/>
      <c r="Y69" s="133"/>
      <c r="Z69" s="131"/>
      <c r="AA69" s="134"/>
      <c r="AB69" s="133"/>
      <c r="AC69" s="131"/>
      <c r="AD69" s="134"/>
      <c r="AE69" s="133"/>
      <c r="AF69" s="131"/>
      <c r="AG69" s="134"/>
      <c r="AH69" s="133"/>
      <c r="AI69" s="145"/>
      <c r="AJ69" s="134"/>
      <c r="AK69" s="133"/>
      <c r="AL69" s="131"/>
      <c r="AM69" s="134"/>
      <c r="AN69" s="133"/>
      <c r="AO69" s="131"/>
      <c r="AP69" s="134"/>
      <c r="AQ69" s="133"/>
      <c r="AR69" s="131"/>
      <c r="AS69" s="134"/>
      <c r="AT69" s="180"/>
      <c r="AU69" s="131"/>
      <c r="AV69" s="185"/>
      <c r="AW69" s="131"/>
      <c r="AX69" s="185"/>
      <c r="AY69" s="131"/>
      <c r="AZ69" s="185"/>
      <c r="BA69" s="131"/>
      <c r="BB69" s="185"/>
      <c r="BC69" s="131"/>
      <c r="BD69" s="185"/>
      <c r="BE69" s="131"/>
      <c r="BF69" s="185"/>
      <c r="BG69" s="131"/>
      <c r="BH69" s="185"/>
      <c r="BI69" s="131"/>
      <c r="BJ69" s="185"/>
      <c r="BK69" s="131"/>
      <c r="BL69" s="185"/>
      <c r="BM69" s="131"/>
      <c r="BN69" s="185"/>
      <c r="BO69" s="131"/>
      <c r="BP69" s="134"/>
      <c r="BQ69" s="131"/>
      <c r="BR69" s="134"/>
      <c r="BS69" s="133"/>
      <c r="BT69" s="131"/>
      <c r="BU69" s="134"/>
      <c r="BV69" s="131"/>
      <c r="BW69" s="134"/>
      <c r="BX69" s="131"/>
      <c r="BY69" s="134"/>
      <c r="BZ69" s="131"/>
      <c r="CA69" s="134"/>
      <c r="CB69" s="133"/>
      <c r="CC69" s="131"/>
      <c r="CD69" s="134"/>
      <c r="CE69" s="133"/>
      <c r="CF69" s="131"/>
      <c r="CG69" s="134"/>
      <c r="CH69" s="133"/>
      <c r="CI69" s="131"/>
      <c r="CJ69" s="134"/>
      <c r="CK69" s="133"/>
      <c r="CL69" s="131"/>
      <c r="CM69" s="134"/>
      <c r="CN69" s="133"/>
      <c r="CO69" s="131"/>
      <c r="CP69" s="134"/>
      <c r="CQ69" s="133"/>
      <c r="CR69" s="131"/>
      <c r="CS69" s="134"/>
      <c r="CT69" s="133"/>
      <c r="CU69" s="131"/>
      <c r="CV69" s="134"/>
      <c r="CW69" s="133"/>
      <c r="CX69" s="131"/>
      <c r="CY69" s="134"/>
      <c r="CZ69" s="133"/>
      <c r="DA69" s="140"/>
      <c r="DB69" s="141"/>
      <c r="DC69" s="142"/>
      <c r="DD69" s="140"/>
      <c r="DE69" s="141"/>
      <c r="DF69" s="142"/>
      <c r="DG69" s="140"/>
      <c r="DH69" s="141"/>
      <c r="DI69" s="142"/>
      <c r="DJ69" s="140"/>
      <c r="DK69" s="141"/>
      <c r="DL69" s="142"/>
      <c r="DM69" s="140"/>
      <c r="DN69" s="141"/>
      <c r="DO69" s="142"/>
      <c r="DP69" s="140"/>
      <c r="DQ69" s="141"/>
      <c r="DR69" s="142"/>
      <c r="DS69" s="140"/>
      <c r="DT69" s="141"/>
      <c r="DU69" s="142"/>
      <c r="DV69" s="140"/>
      <c r="DW69" s="141"/>
      <c r="DX69" s="142"/>
      <c r="DY69" s="140"/>
      <c r="DZ69" s="141"/>
      <c r="EA69" s="142"/>
      <c r="EB69" s="140"/>
      <c r="EC69" s="141"/>
      <c r="ED69" s="142"/>
      <c r="EE69" s="140"/>
      <c r="EF69" s="141"/>
      <c r="EG69" s="142"/>
      <c r="EH69" s="140"/>
      <c r="EI69" s="141"/>
      <c r="EJ69" s="142"/>
      <c r="EK69" s="140"/>
      <c r="EL69" s="141"/>
      <c r="EM69" s="142"/>
      <c r="EN69" s="140"/>
      <c r="EO69" s="141"/>
      <c r="EP69" s="142"/>
      <c r="EQ69" s="140"/>
      <c r="ER69" s="141"/>
      <c r="ES69" s="142"/>
      <c r="ET69" s="140"/>
      <c r="EU69" s="141"/>
      <c r="EV69" s="142"/>
      <c r="EW69" s="140"/>
      <c r="EX69" s="141"/>
      <c r="EY69" s="142"/>
      <c r="EZ69" s="140"/>
      <c r="FA69" s="141"/>
      <c r="FB69" s="142"/>
      <c r="FC69" s="140"/>
      <c r="FD69" s="141"/>
      <c r="FE69" s="142"/>
      <c r="FF69" s="140"/>
      <c r="FG69" s="141"/>
      <c r="FH69" s="142"/>
      <c r="FI69" s="140"/>
      <c r="FJ69" s="141"/>
      <c r="FK69" s="142"/>
      <c r="FL69" s="140"/>
      <c r="FM69" s="141"/>
      <c r="FN69" s="142"/>
      <c r="FO69" s="140"/>
      <c r="FP69" s="141"/>
      <c r="FQ69" s="142"/>
      <c r="FR69" s="140"/>
      <c r="FS69" s="141"/>
      <c r="FT69" s="142"/>
      <c r="FU69" s="140"/>
      <c r="FV69" s="141"/>
      <c r="FW69" s="142"/>
      <c r="FX69" s="140"/>
      <c r="FY69" s="141"/>
      <c r="FZ69" s="142"/>
      <c r="GA69" s="140"/>
      <c r="GB69" s="141"/>
      <c r="GC69" s="142"/>
      <c r="GD69" s="140"/>
      <c r="GE69" s="141"/>
      <c r="GF69" s="142"/>
      <c r="GG69" s="140"/>
      <c r="GH69" s="141"/>
      <c r="GI69" s="142"/>
      <c r="GJ69" s="140"/>
      <c r="GK69" s="141"/>
      <c r="GL69" s="142"/>
      <c r="GM69" s="140"/>
      <c r="GN69" s="141"/>
      <c r="GO69" s="142"/>
      <c r="GP69" s="140"/>
      <c r="GQ69" s="141"/>
      <c r="GR69" s="142"/>
      <c r="GS69" s="140"/>
      <c r="GT69" s="141"/>
      <c r="GU69" s="142"/>
      <c r="GV69" s="140"/>
      <c r="GW69" s="141"/>
      <c r="GX69" s="142"/>
      <c r="GY69" s="164"/>
      <c r="GZ69" s="134"/>
      <c r="HA69" s="185"/>
      <c r="HB69" s="164"/>
      <c r="HC69" s="185"/>
      <c r="HD69" s="164">
        <f>'1910 Hacienda'!C49</f>
        <v>12797</v>
      </c>
      <c r="HE69" s="185">
        <f>'1910 Hacienda'!D49</f>
        <v>39</v>
      </c>
      <c r="HF69" s="164">
        <f>'1910 Hacienda'!C77</f>
        <v>186677</v>
      </c>
      <c r="HG69" s="185">
        <f>'1910 Hacienda'!D77</f>
        <v>60</v>
      </c>
      <c r="HH69" s="164">
        <f>'1910 Hacienda'!C89</f>
        <v>117481</v>
      </c>
      <c r="HI69" s="185">
        <f>'1910 Hacienda'!D89</f>
        <v>35</v>
      </c>
      <c r="HJ69" s="164">
        <f>'1910 Hacienda'!C132</f>
        <v>123841</v>
      </c>
      <c r="HK69" s="185">
        <f>'1910 Hacienda'!D132</f>
        <v>83</v>
      </c>
      <c r="HL69" s="164"/>
      <c r="HM69" s="185"/>
      <c r="HN69" s="164"/>
      <c r="HO69" s="185"/>
      <c r="HP69" s="164"/>
      <c r="HQ69" s="185"/>
      <c r="HR69" s="164"/>
      <c r="HS69" s="185"/>
      <c r="HT69" s="164"/>
      <c r="HU69" s="185"/>
    </row>
    <row r="70" spans="1:229" x14ac:dyDescent="0.2">
      <c r="A70" s="184" t="s">
        <v>5448</v>
      </c>
      <c r="B70" s="131"/>
      <c r="C70" s="134"/>
      <c r="D70" s="133"/>
      <c r="E70" s="131"/>
      <c r="F70" s="134"/>
      <c r="G70" s="133"/>
      <c r="H70" s="131"/>
      <c r="I70" s="134"/>
      <c r="J70" s="133"/>
      <c r="K70" s="131"/>
      <c r="L70" s="134"/>
      <c r="M70" s="133"/>
      <c r="N70" s="131"/>
      <c r="O70" s="134"/>
      <c r="P70" s="133"/>
      <c r="Q70" s="131"/>
      <c r="R70" s="134"/>
      <c r="S70" s="133"/>
      <c r="T70" s="131"/>
      <c r="U70" s="134"/>
      <c r="V70" s="133"/>
      <c r="W70" s="131"/>
      <c r="X70" s="134"/>
      <c r="Y70" s="133"/>
      <c r="Z70" s="131"/>
      <c r="AA70" s="134"/>
      <c r="AB70" s="133"/>
      <c r="AC70" s="131"/>
      <c r="AD70" s="134"/>
      <c r="AE70" s="133"/>
      <c r="AF70" s="131"/>
      <c r="AG70" s="134"/>
      <c r="AH70" s="133"/>
      <c r="AI70" s="145"/>
      <c r="AJ70" s="134"/>
      <c r="AK70" s="133"/>
      <c r="AL70" s="131"/>
      <c r="AM70" s="134"/>
      <c r="AN70" s="133"/>
      <c r="AO70" s="131"/>
      <c r="AP70" s="134"/>
      <c r="AQ70" s="133"/>
      <c r="AR70" s="131"/>
      <c r="AS70" s="134"/>
      <c r="AT70" s="180"/>
      <c r="AU70" s="131"/>
      <c r="AV70" s="185"/>
      <c r="AW70" s="131"/>
      <c r="AX70" s="185"/>
      <c r="AY70" s="131"/>
      <c r="AZ70" s="185"/>
      <c r="BA70" s="131"/>
      <c r="BB70" s="185"/>
      <c r="BC70" s="131"/>
      <c r="BD70" s="185"/>
      <c r="BE70" s="131"/>
      <c r="BF70" s="185"/>
      <c r="BG70" s="131"/>
      <c r="BH70" s="185"/>
      <c r="BI70" s="131"/>
      <c r="BJ70" s="185"/>
      <c r="BK70" s="131"/>
      <c r="BL70" s="185"/>
      <c r="BM70" s="131"/>
      <c r="BN70" s="185"/>
      <c r="BO70" s="131"/>
      <c r="BP70" s="134"/>
      <c r="BQ70" s="131"/>
      <c r="BR70" s="134"/>
      <c r="BS70" s="133"/>
      <c r="BT70" s="131"/>
      <c r="BU70" s="134"/>
      <c r="BV70" s="131"/>
      <c r="BW70" s="134"/>
      <c r="BX70" s="131"/>
      <c r="BY70" s="134"/>
      <c r="BZ70" s="131"/>
      <c r="CA70" s="134"/>
      <c r="CB70" s="133"/>
      <c r="CC70" s="131"/>
      <c r="CD70" s="134"/>
      <c r="CE70" s="133"/>
      <c r="CF70" s="131"/>
      <c r="CG70" s="134"/>
      <c r="CH70" s="133"/>
      <c r="CI70" s="131"/>
      <c r="CJ70" s="134"/>
      <c r="CK70" s="133"/>
      <c r="CL70" s="131"/>
      <c r="CM70" s="134"/>
      <c r="CN70" s="133"/>
      <c r="CO70" s="131"/>
      <c r="CP70" s="134"/>
      <c r="CQ70" s="133"/>
      <c r="CR70" s="131"/>
      <c r="CS70" s="134"/>
      <c r="CT70" s="133"/>
      <c r="CU70" s="131"/>
      <c r="CV70" s="134"/>
      <c r="CW70" s="133"/>
      <c r="CX70" s="131"/>
      <c r="CY70" s="134"/>
      <c r="CZ70" s="133"/>
      <c r="DA70" s="140"/>
      <c r="DB70" s="141"/>
      <c r="DC70" s="142"/>
      <c r="DD70" s="140"/>
      <c r="DE70" s="141"/>
      <c r="DF70" s="142"/>
      <c r="DG70" s="140"/>
      <c r="DH70" s="141"/>
      <c r="DI70" s="142"/>
      <c r="DJ70" s="140"/>
      <c r="DK70" s="141"/>
      <c r="DL70" s="142"/>
      <c r="DM70" s="140"/>
      <c r="DN70" s="141"/>
      <c r="DO70" s="142"/>
      <c r="DP70" s="140"/>
      <c r="DQ70" s="141"/>
      <c r="DR70" s="142"/>
      <c r="DS70" s="140"/>
      <c r="DT70" s="141"/>
      <c r="DU70" s="142"/>
      <c r="DV70" s="140"/>
      <c r="DW70" s="141"/>
      <c r="DX70" s="142"/>
      <c r="DY70" s="140"/>
      <c r="DZ70" s="141"/>
      <c r="EA70" s="142"/>
      <c r="EB70" s="140"/>
      <c r="EC70" s="141"/>
      <c r="ED70" s="142"/>
      <c r="EE70" s="140"/>
      <c r="EF70" s="141"/>
      <c r="EG70" s="142"/>
      <c r="EH70" s="140"/>
      <c r="EI70" s="141"/>
      <c r="EJ70" s="142"/>
      <c r="EK70" s="140"/>
      <c r="EL70" s="141"/>
      <c r="EM70" s="142"/>
      <c r="EN70" s="140"/>
      <c r="EO70" s="141"/>
      <c r="EP70" s="142"/>
      <c r="EQ70" s="140"/>
      <c r="ER70" s="141"/>
      <c r="ES70" s="142"/>
      <c r="ET70" s="140"/>
      <c r="EU70" s="141"/>
      <c r="EV70" s="142"/>
      <c r="EW70" s="140"/>
      <c r="EX70" s="141"/>
      <c r="EY70" s="142"/>
      <c r="EZ70" s="140"/>
      <c r="FA70" s="141"/>
      <c r="FB70" s="142"/>
      <c r="FC70" s="140"/>
      <c r="FD70" s="141"/>
      <c r="FE70" s="142"/>
      <c r="FF70" s="140"/>
      <c r="FG70" s="141"/>
      <c r="FH70" s="142"/>
      <c r="FI70" s="140"/>
      <c r="FJ70" s="141"/>
      <c r="FK70" s="142"/>
      <c r="FL70" s="140"/>
      <c r="FM70" s="141"/>
      <c r="FN70" s="142"/>
      <c r="FO70" s="140"/>
      <c r="FP70" s="141"/>
      <c r="FQ70" s="142"/>
      <c r="FR70" s="140"/>
      <c r="FS70" s="141"/>
      <c r="FT70" s="142"/>
      <c r="FU70" s="140"/>
      <c r="FV70" s="141"/>
      <c r="FW70" s="142"/>
      <c r="FX70" s="140"/>
      <c r="FY70" s="141"/>
      <c r="FZ70" s="142"/>
      <c r="GA70" s="140"/>
      <c r="GB70" s="141"/>
      <c r="GC70" s="142"/>
      <c r="GD70" s="140"/>
      <c r="GE70" s="141"/>
      <c r="GF70" s="142"/>
      <c r="GG70" s="140"/>
      <c r="GH70" s="141"/>
      <c r="GI70" s="142"/>
      <c r="GJ70" s="140"/>
      <c r="GK70" s="141"/>
      <c r="GL70" s="142"/>
      <c r="GM70" s="140"/>
      <c r="GN70" s="141"/>
      <c r="GO70" s="142"/>
      <c r="GP70" s="140"/>
      <c r="GQ70" s="141"/>
      <c r="GR70" s="142"/>
      <c r="GS70" s="140"/>
      <c r="GT70" s="141"/>
      <c r="GU70" s="142"/>
      <c r="GV70" s="140"/>
      <c r="GW70" s="141"/>
      <c r="GX70" s="142"/>
      <c r="GY70" s="164"/>
      <c r="GZ70" s="134"/>
      <c r="HA70" s="185"/>
      <c r="HB70" s="164"/>
      <c r="HC70" s="185"/>
      <c r="HD70" s="164"/>
      <c r="HE70" s="185"/>
      <c r="HF70" s="164">
        <f>'1910 Hacienda'!C78</f>
        <v>748043</v>
      </c>
      <c r="HG70" s="185">
        <f>'1910 Hacienda'!D78</f>
        <v>71</v>
      </c>
      <c r="HH70" s="164">
        <f>'1910 Hacienda'!C109</f>
        <v>424203</v>
      </c>
      <c r="HI70" s="185">
        <f>'1910 Hacienda'!D109</f>
        <v>38</v>
      </c>
      <c r="HJ70" s="164"/>
      <c r="HK70" s="185"/>
      <c r="HL70" s="164"/>
      <c r="HM70" s="185"/>
      <c r="HN70" s="164"/>
      <c r="HO70" s="185"/>
      <c r="HP70" s="164"/>
      <c r="HQ70" s="185"/>
      <c r="HR70" s="164"/>
      <c r="HS70" s="185"/>
      <c r="HT70" s="164"/>
      <c r="HU70" s="185"/>
    </row>
    <row r="71" spans="1:229" x14ac:dyDescent="0.2">
      <c r="A71" s="184" t="s">
        <v>5449</v>
      </c>
      <c r="B71" s="131"/>
      <c r="C71" s="134"/>
      <c r="D71" s="133"/>
      <c r="E71" s="131"/>
      <c r="F71" s="134"/>
      <c r="G71" s="133"/>
      <c r="H71" s="131"/>
      <c r="I71" s="134"/>
      <c r="J71" s="133"/>
      <c r="K71" s="131"/>
      <c r="L71" s="134"/>
      <c r="M71" s="133"/>
      <c r="N71" s="131"/>
      <c r="O71" s="134"/>
      <c r="P71" s="133"/>
      <c r="Q71" s="131"/>
      <c r="R71" s="134"/>
      <c r="S71" s="133"/>
      <c r="T71" s="131"/>
      <c r="U71" s="134"/>
      <c r="V71" s="133"/>
      <c r="W71" s="131"/>
      <c r="X71" s="134"/>
      <c r="Y71" s="133"/>
      <c r="Z71" s="131"/>
      <c r="AA71" s="134"/>
      <c r="AB71" s="133"/>
      <c r="AC71" s="131"/>
      <c r="AD71" s="134"/>
      <c r="AE71" s="133"/>
      <c r="AF71" s="131"/>
      <c r="AG71" s="134"/>
      <c r="AH71" s="133"/>
      <c r="AI71" s="145"/>
      <c r="AJ71" s="134"/>
      <c r="AK71" s="133"/>
      <c r="AL71" s="131"/>
      <c r="AM71" s="134"/>
      <c r="AN71" s="133"/>
      <c r="AO71" s="131"/>
      <c r="AP71" s="134"/>
      <c r="AQ71" s="133"/>
      <c r="AR71" s="131"/>
      <c r="AS71" s="134"/>
      <c r="AT71" s="180"/>
      <c r="AU71" s="131"/>
      <c r="AV71" s="185"/>
      <c r="AW71" s="131"/>
      <c r="AX71" s="185"/>
      <c r="AY71" s="131"/>
      <c r="AZ71" s="185"/>
      <c r="BA71" s="131"/>
      <c r="BB71" s="185"/>
      <c r="BC71" s="131"/>
      <c r="BD71" s="185"/>
      <c r="BE71" s="131"/>
      <c r="BF71" s="185"/>
      <c r="BG71" s="131"/>
      <c r="BH71" s="185"/>
      <c r="BI71" s="131"/>
      <c r="BJ71" s="185"/>
      <c r="BK71" s="131"/>
      <c r="BL71" s="185"/>
      <c r="BM71" s="131"/>
      <c r="BN71" s="185"/>
      <c r="BO71" s="131"/>
      <c r="BP71" s="134"/>
      <c r="BQ71" s="131"/>
      <c r="BR71" s="134"/>
      <c r="BS71" s="133"/>
      <c r="BT71" s="131"/>
      <c r="BU71" s="134"/>
      <c r="BV71" s="131"/>
      <c r="BW71" s="134"/>
      <c r="BX71" s="131"/>
      <c r="BY71" s="134"/>
      <c r="BZ71" s="131"/>
      <c r="CA71" s="134"/>
      <c r="CB71" s="133"/>
      <c r="CC71" s="131"/>
      <c r="CD71" s="134"/>
      <c r="CE71" s="133"/>
      <c r="CF71" s="131"/>
      <c r="CG71" s="134"/>
      <c r="CH71" s="133"/>
      <c r="CI71" s="131"/>
      <c r="CJ71" s="134"/>
      <c r="CK71" s="133"/>
      <c r="CL71" s="131"/>
      <c r="CM71" s="134"/>
      <c r="CN71" s="133"/>
      <c r="CO71" s="131"/>
      <c r="CP71" s="134"/>
      <c r="CQ71" s="133"/>
      <c r="CR71" s="131"/>
      <c r="CS71" s="134"/>
      <c r="CT71" s="133"/>
      <c r="CU71" s="131"/>
      <c r="CV71" s="134"/>
      <c r="CW71" s="133"/>
      <c r="CX71" s="131"/>
      <c r="CY71" s="134"/>
      <c r="CZ71" s="133"/>
      <c r="DA71" s="140"/>
      <c r="DB71" s="141"/>
      <c r="DC71" s="142"/>
      <c r="DD71" s="140"/>
      <c r="DE71" s="141"/>
      <c r="DF71" s="142"/>
      <c r="DG71" s="140"/>
      <c r="DH71" s="141"/>
      <c r="DI71" s="142"/>
      <c r="DJ71" s="140"/>
      <c r="DK71" s="141"/>
      <c r="DL71" s="142"/>
      <c r="DM71" s="140"/>
      <c r="DN71" s="141"/>
      <c r="DO71" s="142"/>
      <c r="DP71" s="140"/>
      <c r="DQ71" s="141"/>
      <c r="DR71" s="142"/>
      <c r="DS71" s="140"/>
      <c r="DT71" s="141"/>
      <c r="DU71" s="142"/>
      <c r="DV71" s="140"/>
      <c r="DW71" s="141"/>
      <c r="DX71" s="142"/>
      <c r="DY71" s="140"/>
      <c r="DZ71" s="141"/>
      <c r="EA71" s="142"/>
      <c r="EB71" s="140"/>
      <c r="EC71" s="141"/>
      <c r="ED71" s="142"/>
      <c r="EE71" s="140"/>
      <c r="EF71" s="141"/>
      <c r="EG71" s="142"/>
      <c r="EH71" s="140"/>
      <c r="EI71" s="141"/>
      <c r="EJ71" s="142"/>
      <c r="EK71" s="140"/>
      <c r="EL71" s="141"/>
      <c r="EM71" s="142"/>
      <c r="EN71" s="140"/>
      <c r="EO71" s="141"/>
      <c r="EP71" s="142"/>
      <c r="EQ71" s="140"/>
      <c r="ER71" s="141"/>
      <c r="ES71" s="142"/>
      <c r="ET71" s="140"/>
      <c r="EU71" s="141"/>
      <c r="EV71" s="142"/>
      <c r="EW71" s="140"/>
      <c r="EX71" s="141"/>
      <c r="EY71" s="142"/>
      <c r="EZ71" s="140"/>
      <c r="FA71" s="141"/>
      <c r="FB71" s="142"/>
      <c r="FC71" s="140"/>
      <c r="FD71" s="141"/>
      <c r="FE71" s="142"/>
      <c r="FF71" s="140"/>
      <c r="FG71" s="141"/>
      <c r="FH71" s="142"/>
      <c r="FI71" s="140"/>
      <c r="FJ71" s="141"/>
      <c r="FK71" s="142"/>
      <c r="FL71" s="140"/>
      <c r="FM71" s="141"/>
      <c r="FN71" s="142"/>
      <c r="FO71" s="140"/>
      <c r="FP71" s="141"/>
      <c r="FQ71" s="142"/>
      <c r="FR71" s="140"/>
      <c r="FS71" s="141"/>
      <c r="FT71" s="142"/>
      <c r="FU71" s="140"/>
      <c r="FV71" s="141"/>
      <c r="FW71" s="142"/>
      <c r="FX71" s="140"/>
      <c r="FY71" s="141"/>
      <c r="FZ71" s="142"/>
      <c r="GA71" s="140"/>
      <c r="GB71" s="141"/>
      <c r="GC71" s="142"/>
      <c r="GD71" s="140"/>
      <c r="GE71" s="141"/>
      <c r="GF71" s="142"/>
      <c r="GG71" s="140"/>
      <c r="GH71" s="141"/>
      <c r="GI71" s="142"/>
      <c r="GJ71" s="140"/>
      <c r="GK71" s="141"/>
      <c r="GL71" s="142"/>
      <c r="GM71" s="140"/>
      <c r="GN71" s="141"/>
      <c r="GO71" s="142"/>
      <c r="GP71" s="140"/>
      <c r="GQ71" s="141"/>
      <c r="GR71" s="142"/>
      <c r="GS71" s="140"/>
      <c r="GT71" s="141"/>
      <c r="GU71" s="142"/>
      <c r="GV71" s="140"/>
      <c r="GW71" s="141"/>
      <c r="GX71" s="142"/>
      <c r="GY71" s="164"/>
      <c r="GZ71" s="134"/>
      <c r="HA71" s="185"/>
      <c r="HB71" s="164"/>
      <c r="HC71" s="185"/>
      <c r="HD71" s="164"/>
      <c r="HE71" s="185"/>
      <c r="HF71" s="164">
        <f>'1910 Hacienda'!C79</f>
        <v>29302</v>
      </c>
      <c r="HG71" s="185">
        <f>'1910 Hacienda'!D79</f>
        <v>76</v>
      </c>
      <c r="HH71" s="164"/>
      <c r="HI71" s="185"/>
      <c r="HJ71" s="164"/>
      <c r="HK71" s="185"/>
      <c r="HL71" s="164"/>
      <c r="HM71" s="185"/>
      <c r="HN71" s="164"/>
      <c r="HO71" s="185"/>
      <c r="HP71" s="164"/>
      <c r="HQ71" s="185"/>
      <c r="HR71" s="164"/>
      <c r="HS71" s="185"/>
      <c r="HT71" s="164"/>
      <c r="HU71" s="185"/>
    </row>
    <row r="72" spans="1:229" x14ac:dyDescent="0.2">
      <c r="A72" s="184" t="s">
        <v>5453</v>
      </c>
      <c r="B72" s="131"/>
      <c r="C72" s="134"/>
      <c r="D72" s="133"/>
      <c r="E72" s="131"/>
      <c r="F72" s="134"/>
      <c r="G72" s="133"/>
      <c r="H72" s="131"/>
      <c r="I72" s="134"/>
      <c r="J72" s="133"/>
      <c r="K72" s="131"/>
      <c r="L72" s="134"/>
      <c r="M72" s="133"/>
      <c r="N72" s="131"/>
      <c r="O72" s="134"/>
      <c r="P72" s="133"/>
      <c r="Q72" s="131"/>
      <c r="R72" s="134"/>
      <c r="S72" s="133"/>
      <c r="T72" s="131"/>
      <c r="U72" s="134"/>
      <c r="V72" s="133"/>
      <c r="W72" s="131"/>
      <c r="X72" s="134"/>
      <c r="Y72" s="133"/>
      <c r="Z72" s="131"/>
      <c r="AA72" s="134"/>
      <c r="AB72" s="133"/>
      <c r="AC72" s="131"/>
      <c r="AD72" s="134"/>
      <c r="AE72" s="133"/>
      <c r="AF72" s="131"/>
      <c r="AG72" s="134"/>
      <c r="AH72" s="133"/>
      <c r="AI72" s="145"/>
      <c r="AJ72" s="134"/>
      <c r="AK72" s="133"/>
      <c r="AL72" s="131"/>
      <c r="AM72" s="134"/>
      <c r="AN72" s="133"/>
      <c r="AO72" s="131"/>
      <c r="AP72" s="134"/>
      <c r="AQ72" s="133"/>
      <c r="AR72" s="131"/>
      <c r="AS72" s="134"/>
      <c r="AT72" s="180"/>
      <c r="AU72" s="131"/>
      <c r="AV72" s="185"/>
      <c r="AW72" s="131"/>
      <c r="AX72" s="185"/>
      <c r="AY72" s="131"/>
      <c r="AZ72" s="185"/>
      <c r="BA72" s="131"/>
      <c r="BB72" s="185"/>
      <c r="BC72" s="131"/>
      <c r="BD72" s="185"/>
      <c r="BE72" s="131"/>
      <c r="BF72" s="185"/>
      <c r="BG72" s="131"/>
      <c r="BH72" s="185"/>
      <c r="BI72" s="131"/>
      <c r="BJ72" s="185"/>
      <c r="BK72" s="131"/>
      <c r="BL72" s="185"/>
      <c r="BM72" s="131"/>
      <c r="BN72" s="185"/>
      <c r="BO72" s="131"/>
      <c r="BP72" s="134"/>
      <c r="BQ72" s="131"/>
      <c r="BR72" s="134"/>
      <c r="BS72" s="133"/>
      <c r="BT72" s="131"/>
      <c r="BU72" s="134"/>
      <c r="BV72" s="131"/>
      <c r="BW72" s="134"/>
      <c r="BX72" s="131"/>
      <c r="BY72" s="134"/>
      <c r="BZ72" s="131"/>
      <c r="CA72" s="134"/>
      <c r="CB72" s="133"/>
      <c r="CC72" s="131"/>
      <c r="CD72" s="134"/>
      <c r="CE72" s="133"/>
      <c r="CF72" s="131"/>
      <c r="CG72" s="134"/>
      <c r="CH72" s="133"/>
      <c r="CI72" s="131"/>
      <c r="CJ72" s="134"/>
      <c r="CK72" s="133"/>
      <c r="CL72" s="131"/>
      <c r="CM72" s="134"/>
      <c r="CN72" s="133"/>
      <c r="CO72" s="131"/>
      <c r="CP72" s="134"/>
      <c r="CQ72" s="133"/>
      <c r="CR72" s="131"/>
      <c r="CS72" s="134"/>
      <c r="CT72" s="133"/>
      <c r="CU72" s="131"/>
      <c r="CV72" s="134"/>
      <c r="CW72" s="133"/>
      <c r="CX72" s="131"/>
      <c r="CY72" s="134"/>
      <c r="CZ72" s="133"/>
      <c r="DA72" s="140"/>
      <c r="DB72" s="141"/>
      <c r="DC72" s="142"/>
      <c r="DD72" s="140"/>
      <c r="DE72" s="141"/>
      <c r="DF72" s="142"/>
      <c r="DG72" s="140"/>
      <c r="DH72" s="141"/>
      <c r="DI72" s="142"/>
      <c r="DJ72" s="140"/>
      <c r="DK72" s="141"/>
      <c r="DL72" s="142"/>
      <c r="DM72" s="140"/>
      <c r="DN72" s="141"/>
      <c r="DO72" s="142"/>
      <c r="DP72" s="140"/>
      <c r="DQ72" s="141"/>
      <c r="DR72" s="142"/>
      <c r="DS72" s="140"/>
      <c r="DT72" s="141"/>
      <c r="DU72" s="142"/>
      <c r="DV72" s="140"/>
      <c r="DW72" s="141"/>
      <c r="DX72" s="142"/>
      <c r="DY72" s="140"/>
      <c r="DZ72" s="141"/>
      <c r="EA72" s="142"/>
      <c r="EB72" s="140"/>
      <c r="EC72" s="141"/>
      <c r="ED72" s="142"/>
      <c r="EE72" s="140"/>
      <c r="EF72" s="141"/>
      <c r="EG72" s="142"/>
      <c r="EH72" s="140"/>
      <c r="EI72" s="141"/>
      <c r="EJ72" s="142"/>
      <c r="EK72" s="140"/>
      <c r="EL72" s="141"/>
      <c r="EM72" s="142"/>
      <c r="EN72" s="140"/>
      <c r="EO72" s="141"/>
      <c r="EP72" s="142"/>
      <c r="EQ72" s="140"/>
      <c r="ER72" s="141"/>
      <c r="ES72" s="142"/>
      <c r="ET72" s="140"/>
      <c r="EU72" s="141"/>
      <c r="EV72" s="142"/>
      <c r="EW72" s="140"/>
      <c r="EX72" s="141"/>
      <c r="EY72" s="142"/>
      <c r="EZ72" s="140"/>
      <c r="FA72" s="141"/>
      <c r="FB72" s="142"/>
      <c r="FC72" s="140"/>
      <c r="FD72" s="141"/>
      <c r="FE72" s="142"/>
      <c r="FF72" s="140"/>
      <c r="FG72" s="141"/>
      <c r="FH72" s="142"/>
      <c r="FI72" s="140"/>
      <c r="FJ72" s="141"/>
      <c r="FK72" s="142"/>
      <c r="FL72" s="140"/>
      <c r="FM72" s="141"/>
      <c r="FN72" s="142"/>
      <c r="FO72" s="140"/>
      <c r="FP72" s="141"/>
      <c r="FQ72" s="142"/>
      <c r="FR72" s="140"/>
      <c r="FS72" s="141"/>
      <c r="FT72" s="142"/>
      <c r="FU72" s="140"/>
      <c r="FV72" s="141"/>
      <c r="FW72" s="142"/>
      <c r="FX72" s="140"/>
      <c r="FY72" s="141"/>
      <c r="FZ72" s="142"/>
      <c r="GA72" s="140"/>
      <c r="GB72" s="141"/>
      <c r="GC72" s="142"/>
      <c r="GD72" s="140"/>
      <c r="GE72" s="141"/>
      <c r="GF72" s="142"/>
      <c r="GG72" s="140"/>
      <c r="GH72" s="141"/>
      <c r="GI72" s="142"/>
      <c r="GJ72" s="140"/>
      <c r="GK72" s="141"/>
      <c r="GL72" s="142"/>
      <c r="GM72" s="140"/>
      <c r="GN72" s="141"/>
      <c r="GO72" s="142"/>
      <c r="GP72" s="140"/>
      <c r="GQ72" s="141"/>
      <c r="GR72" s="142"/>
      <c r="GS72" s="140"/>
      <c r="GT72" s="141"/>
      <c r="GU72" s="142"/>
      <c r="GV72" s="140"/>
      <c r="GW72" s="141"/>
      <c r="GX72" s="142"/>
      <c r="GY72" s="164"/>
      <c r="GZ72" s="134"/>
      <c r="HA72" s="185"/>
      <c r="HB72" s="164"/>
      <c r="HC72" s="185"/>
      <c r="HD72" s="164"/>
      <c r="HE72" s="185"/>
      <c r="HF72" s="164"/>
      <c r="HG72" s="185"/>
      <c r="HH72" s="164">
        <f>'1910 Hacienda'!C110</f>
        <v>32928</v>
      </c>
      <c r="HI72" s="185">
        <f>'1910 Hacienda'!D110</f>
        <v>22</v>
      </c>
      <c r="HJ72" s="164"/>
      <c r="HK72" s="185"/>
      <c r="HL72" s="164"/>
      <c r="HM72" s="185"/>
      <c r="HN72" s="164"/>
      <c r="HO72" s="185"/>
      <c r="HP72" s="164"/>
      <c r="HQ72" s="185"/>
      <c r="HR72" s="164"/>
      <c r="HS72" s="185"/>
      <c r="HT72" s="164"/>
      <c r="HU72" s="185"/>
    </row>
    <row r="73" spans="1:229" x14ac:dyDescent="0.2">
      <c r="A73" s="184" t="s">
        <v>5454</v>
      </c>
      <c r="B73" s="131"/>
      <c r="C73" s="134"/>
      <c r="D73" s="133"/>
      <c r="E73" s="131"/>
      <c r="F73" s="134"/>
      <c r="G73" s="133"/>
      <c r="H73" s="131"/>
      <c r="I73" s="134"/>
      <c r="J73" s="133"/>
      <c r="K73" s="131"/>
      <c r="L73" s="134"/>
      <c r="M73" s="133"/>
      <c r="N73" s="131"/>
      <c r="O73" s="134"/>
      <c r="P73" s="133"/>
      <c r="Q73" s="131"/>
      <c r="R73" s="134"/>
      <c r="S73" s="133"/>
      <c r="T73" s="131"/>
      <c r="U73" s="134"/>
      <c r="V73" s="133"/>
      <c r="W73" s="131"/>
      <c r="X73" s="134"/>
      <c r="Y73" s="133"/>
      <c r="Z73" s="131"/>
      <c r="AA73" s="134"/>
      <c r="AB73" s="133"/>
      <c r="AC73" s="131"/>
      <c r="AD73" s="134"/>
      <c r="AE73" s="133"/>
      <c r="AF73" s="131"/>
      <c r="AG73" s="134"/>
      <c r="AH73" s="133"/>
      <c r="AI73" s="145"/>
      <c r="AJ73" s="134"/>
      <c r="AK73" s="133"/>
      <c r="AL73" s="131"/>
      <c r="AM73" s="134"/>
      <c r="AN73" s="133"/>
      <c r="AO73" s="131"/>
      <c r="AP73" s="134"/>
      <c r="AQ73" s="133"/>
      <c r="AR73" s="131"/>
      <c r="AS73" s="134"/>
      <c r="AT73" s="180"/>
      <c r="AU73" s="131"/>
      <c r="AV73" s="185"/>
      <c r="AW73" s="131"/>
      <c r="AX73" s="185"/>
      <c r="AY73" s="131"/>
      <c r="AZ73" s="185"/>
      <c r="BA73" s="131"/>
      <c r="BB73" s="185"/>
      <c r="BC73" s="131"/>
      <c r="BD73" s="185"/>
      <c r="BE73" s="131"/>
      <c r="BF73" s="185"/>
      <c r="BG73" s="131"/>
      <c r="BH73" s="185"/>
      <c r="BI73" s="131"/>
      <c r="BJ73" s="185"/>
      <c r="BK73" s="131"/>
      <c r="BL73" s="185"/>
      <c r="BM73" s="131"/>
      <c r="BN73" s="185"/>
      <c r="BO73" s="131"/>
      <c r="BP73" s="134"/>
      <c r="BQ73" s="131"/>
      <c r="BR73" s="134"/>
      <c r="BS73" s="133"/>
      <c r="BT73" s="131"/>
      <c r="BU73" s="134"/>
      <c r="BV73" s="131"/>
      <c r="BW73" s="134"/>
      <c r="BX73" s="131"/>
      <c r="BY73" s="134"/>
      <c r="BZ73" s="131"/>
      <c r="CA73" s="134"/>
      <c r="CB73" s="133"/>
      <c r="CC73" s="131"/>
      <c r="CD73" s="134"/>
      <c r="CE73" s="133"/>
      <c r="CF73" s="131"/>
      <c r="CG73" s="134"/>
      <c r="CH73" s="133"/>
      <c r="CI73" s="131"/>
      <c r="CJ73" s="134"/>
      <c r="CK73" s="133"/>
      <c r="CL73" s="131"/>
      <c r="CM73" s="134"/>
      <c r="CN73" s="133"/>
      <c r="CO73" s="131"/>
      <c r="CP73" s="134"/>
      <c r="CQ73" s="133"/>
      <c r="CR73" s="131"/>
      <c r="CS73" s="134"/>
      <c r="CT73" s="133"/>
      <c r="CU73" s="131"/>
      <c r="CV73" s="134"/>
      <c r="CW73" s="133"/>
      <c r="CX73" s="131"/>
      <c r="CY73" s="134"/>
      <c r="CZ73" s="133"/>
      <c r="DA73" s="140"/>
      <c r="DB73" s="141"/>
      <c r="DC73" s="142"/>
      <c r="DD73" s="140"/>
      <c r="DE73" s="141"/>
      <c r="DF73" s="142"/>
      <c r="DG73" s="140"/>
      <c r="DH73" s="141"/>
      <c r="DI73" s="142"/>
      <c r="DJ73" s="140"/>
      <c r="DK73" s="141"/>
      <c r="DL73" s="142"/>
      <c r="DM73" s="140"/>
      <c r="DN73" s="141"/>
      <c r="DO73" s="142"/>
      <c r="DP73" s="140"/>
      <c r="DQ73" s="141"/>
      <c r="DR73" s="142"/>
      <c r="DS73" s="140"/>
      <c r="DT73" s="141"/>
      <c r="DU73" s="142"/>
      <c r="DV73" s="140"/>
      <c r="DW73" s="141"/>
      <c r="DX73" s="142"/>
      <c r="DY73" s="140"/>
      <c r="DZ73" s="141"/>
      <c r="EA73" s="142"/>
      <c r="EB73" s="140"/>
      <c r="EC73" s="141"/>
      <c r="ED73" s="142"/>
      <c r="EE73" s="140"/>
      <c r="EF73" s="141"/>
      <c r="EG73" s="142"/>
      <c r="EH73" s="140"/>
      <c r="EI73" s="141"/>
      <c r="EJ73" s="142"/>
      <c r="EK73" s="140"/>
      <c r="EL73" s="141"/>
      <c r="EM73" s="142"/>
      <c r="EN73" s="140"/>
      <c r="EO73" s="141"/>
      <c r="EP73" s="142"/>
      <c r="EQ73" s="140"/>
      <c r="ER73" s="141"/>
      <c r="ES73" s="142"/>
      <c r="ET73" s="140"/>
      <c r="EU73" s="141"/>
      <c r="EV73" s="142"/>
      <c r="EW73" s="140"/>
      <c r="EX73" s="141"/>
      <c r="EY73" s="142"/>
      <c r="EZ73" s="140"/>
      <c r="FA73" s="141"/>
      <c r="FB73" s="142"/>
      <c r="FC73" s="140"/>
      <c r="FD73" s="141"/>
      <c r="FE73" s="142"/>
      <c r="FF73" s="140"/>
      <c r="FG73" s="141"/>
      <c r="FH73" s="142"/>
      <c r="FI73" s="140"/>
      <c r="FJ73" s="141"/>
      <c r="FK73" s="142"/>
      <c r="FL73" s="140"/>
      <c r="FM73" s="141"/>
      <c r="FN73" s="142"/>
      <c r="FO73" s="140"/>
      <c r="FP73" s="141"/>
      <c r="FQ73" s="142"/>
      <c r="FR73" s="140"/>
      <c r="FS73" s="141"/>
      <c r="FT73" s="142"/>
      <c r="FU73" s="140"/>
      <c r="FV73" s="141"/>
      <c r="FW73" s="142"/>
      <c r="FX73" s="140"/>
      <c r="FY73" s="141"/>
      <c r="FZ73" s="142"/>
      <c r="GA73" s="140"/>
      <c r="GB73" s="141"/>
      <c r="GC73" s="142"/>
      <c r="GD73" s="140"/>
      <c r="GE73" s="141"/>
      <c r="GF73" s="142"/>
      <c r="GG73" s="140"/>
      <c r="GH73" s="141"/>
      <c r="GI73" s="142"/>
      <c r="GJ73" s="140"/>
      <c r="GK73" s="141"/>
      <c r="GL73" s="142"/>
      <c r="GM73" s="140"/>
      <c r="GN73" s="141"/>
      <c r="GO73" s="142"/>
      <c r="GP73" s="140"/>
      <c r="GQ73" s="141"/>
      <c r="GR73" s="142"/>
      <c r="GS73" s="140"/>
      <c r="GT73" s="141"/>
      <c r="GU73" s="142"/>
      <c r="GV73" s="140"/>
      <c r="GW73" s="141"/>
      <c r="GX73" s="142"/>
      <c r="GY73" s="164"/>
      <c r="GZ73" s="134"/>
      <c r="HA73" s="185"/>
      <c r="HB73" s="164"/>
      <c r="HC73" s="185"/>
      <c r="HD73" s="164"/>
      <c r="HE73" s="185"/>
      <c r="HF73" s="164"/>
      <c r="HG73" s="185"/>
      <c r="HH73" s="164">
        <f>'1910 Hacienda'!C111</f>
        <v>27152</v>
      </c>
      <c r="HI73" s="185">
        <f>'1910 Hacienda'!D111</f>
        <v>71</v>
      </c>
      <c r="HJ73" s="164">
        <f>'1910 Hacienda'!C154</f>
        <v>52697</v>
      </c>
      <c r="HK73" s="185">
        <f>'1910 Hacienda'!D154</f>
        <v>32</v>
      </c>
      <c r="HL73" s="164"/>
      <c r="HM73" s="185"/>
      <c r="HN73" s="164"/>
      <c r="HO73" s="185"/>
      <c r="HP73" s="164"/>
      <c r="HQ73" s="185"/>
      <c r="HR73" s="164"/>
      <c r="HS73" s="185"/>
      <c r="HT73" s="164"/>
      <c r="HU73" s="185"/>
    </row>
    <row r="74" spans="1:229" x14ac:dyDescent="0.2">
      <c r="A74" s="184" t="s">
        <v>5455</v>
      </c>
      <c r="B74" s="131"/>
      <c r="C74" s="134"/>
      <c r="D74" s="133"/>
      <c r="E74" s="131"/>
      <c r="F74" s="134"/>
      <c r="G74" s="133"/>
      <c r="H74" s="131"/>
      <c r="I74" s="134"/>
      <c r="J74" s="133"/>
      <c r="K74" s="131"/>
      <c r="L74" s="134"/>
      <c r="M74" s="133"/>
      <c r="N74" s="131"/>
      <c r="O74" s="134"/>
      <c r="P74" s="133"/>
      <c r="Q74" s="131"/>
      <c r="R74" s="134"/>
      <c r="S74" s="133"/>
      <c r="T74" s="131"/>
      <c r="U74" s="134"/>
      <c r="V74" s="133"/>
      <c r="W74" s="131"/>
      <c r="X74" s="134"/>
      <c r="Y74" s="133"/>
      <c r="Z74" s="131"/>
      <c r="AA74" s="134"/>
      <c r="AB74" s="133"/>
      <c r="AC74" s="131"/>
      <c r="AD74" s="134"/>
      <c r="AE74" s="133"/>
      <c r="AF74" s="131"/>
      <c r="AG74" s="134"/>
      <c r="AH74" s="133"/>
      <c r="AI74" s="145"/>
      <c r="AJ74" s="134"/>
      <c r="AK74" s="133"/>
      <c r="AL74" s="131"/>
      <c r="AM74" s="134"/>
      <c r="AN74" s="133"/>
      <c r="AO74" s="131"/>
      <c r="AP74" s="134"/>
      <c r="AQ74" s="133"/>
      <c r="AR74" s="131"/>
      <c r="AS74" s="134"/>
      <c r="AT74" s="180"/>
      <c r="AU74" s="131"/>
      <c r="AV74" s="185"/>
      <c r="AW74" s="131"/>
      <c r="AX74" s="185"/>
      <c r="AY74" s="131"/>
      <c r="AZ74" s="185"/>
      <c r="BA74" s="131"/>
      <c r="BB74" s="185"/>
      <c r="BC74" s="131"/>
      <c r="BD74" s="185"/>
      <c r="BE74" s="131"/>
      <c r="BF74" s="185"/>
      <c r="BG74" s="131"/>
      <c r="BH74" s="185"/>
      <c r="BI74" s="131"/>
      <c r="BJ74" s="185"/>
      <c r="BK74" s="131"/>
      <c r="BL74" s="185"/>
      <c r="BM74" s="131"/>
      <c r="BN74" s="185"/>
      <c r="BO74" s="131"/>
      <c r="BP74" s="134"/>
      <c r="BQ74" s="131"/>
      <c r="BR74" s="134"/>
      <c r="BS74" s="133"/>
      <c r="BT74" s="131"/>
      <c r="BU74" s="134"/>
      <c r="BV74" s="131"/>
      <c r="BW74" s="134"/>
      <c r="BX74" s="131"/>
      <c r="BY74" s="134"/>
      <c r="BZ74" s="131"/>
      <c r="CA74" s="134"/>
      <c r="CB74" s="133"/>
      <c r="CC74" s="131"/>
      <c r="CD74" s="134"/>
      <c r="CE74" s="133"/>
      <c r="CF74" s="131"/>
      <c r="CG74" s="134"/>
      <c r="CH74" s="133"/>
      <c r="CI74" s="131"/>
      <c r="CJ74" s="134"/>
      <c r="CK74" s="133"/>
      <c r="CL74" s="131"/>
      <c r="CM74" s="134"/>
      <c r="CN74" s="133"/>
      <c r="CO74" s="131"/>
      <c r="CP74" s="134"/>
      <c r="CQ74" s="133"/>
      <c r="CR74" s="131"/>
      <c r="CS74" s="134"/>
      <c r="CT74" s="133"/>
      <c r="CU74" s="131"/>
      <c r="CV74" s="134"/>
      <c r="CW74" s="133"/>
      <c r="CX74" s="131"/>
      <c r="CY74" s="134"/>
      <c r="CZ74" s="133"/>
      <c r="DA74" s="140"/>
      <c r="DB74" s="141"/>
      <c r="DC74" s="142"/>
      <c r="DD74" s="140"/>
      <c r="DE74" s="141"/>
      <c r="DF74" s="142"/>
      <c r="DG74" s="140"/>
      <c r="DH74" s="141"/>
      <c r="DI74" s="142"/>
      <c r="DJ74" s="140"/>
      <c r="DK74" s="141"/>
      <c r="DL74" s="142"/>
      <c r="DM74" s="140"/>
      <c r="DN74" s="141"/>
      <c r="DO74" s="142"/>
      <c r="DP74" s="140"/>
      <c r="DQ74" s="141"/>
      <c r="DR74" s="142"/>
      <c r="DS74" s="140"/>
      <c r="DT74" s="141"/>
      <c r="DU74" s="142"/>
      <c r="DV74" s="140"/>
      <c r="DW74" s="141"/>
      <c r="DX74" s="142"/>
      <c r="DY74" s="140"/>
      <c r="DZ74" s="141"/>
      <c r="EA74" s="142"/>
      <c r="EB74" s="140">
        <f>+'1881 Hacienda'!B17</f>
        <v>1736</v>
      </c>
      <c r="EC74" s="141">
        <f>+'1881 Hacienda'!C17</f>
        <v>250</v>
      </c>
      <c r="ED74" s="142">
        <f>+'1881 Hacienda'!D17</f>
        <v>0</v>
      </c>
      <c r="EE74" s="140"/>
      <c r="EF74" s="141"/>
      <c r="EG74" s="142"/>
      <c r="EH74" s="140"/>
      <c r="EI74" s="141"/>
      <c r="EJ74" s="142"/>
      <c r="EK74" s="140"/>
      <c r="EL74" s="141"/>
      <c r="EM74" s="142"/>
      <c r="EN74" s="140"/>
      <c r="EO74" s="141"/>
      <c r="EP74" s="142"/>
      <c r="EQ74" s="140"/>
      <c r="ER74" s="141"/>
      <c r="ES74" s="142"/>
      <c r="ET74" s="140"/>
      <c r="EU74" s="141"/>
      <c r="EV74" s="142"/>
      <c r="EW74" s="140"/>
      <c r="EX74" s="141"/>
      <c r="EY74" s="142"/>
      <c r="EZ74" s="140"/>
      <c r="FA74" s="141"/>
      <c r="FB74" s="142"/>
      <c r="FC74" s="140"/>
      <c r="FD74" s="141"/>
      <c r="FE74" s="142"/>
      <c r="FF74" s="140"/>
      <c r="FG74" s="141"/>
      <c r="FH74" s="142"/>
      <c r="FI74" s="140"/>
      <c r="FJ74" s="141"/>
      <c r="FK74" s="142"/>
      <c r="FL74" s="140"/>
      <c r="FM74" s="141"/>
      <c r="FN74" s="142"/>
      <c r="FO74" s="140"/>
      <c r="FP74" s="141"/>
      <c r="FQ74" s="142"/>
      <c r="FR74" s="140"/>
      <c r="FS74" s="141"/>
      <c r="FT74" s="142"/>
      <c r="FU74" s="140"/>
      <c r="FV74" s="141"/>
      <c r="FW74" s="142"/>
      <c r="FX74" s="140"/>
      <c r="FY74" s="141"/>
      <c r="FZ74" s="142"/>
      <c r="GA74" s="140"/>
      <c r="GB74" s="141"/>
      <c r="GC74" s="142"/>
      <c r="GD74" s="140"/>
      <c r="GE74" s="141"/>
      <c r="GF74" s="142"/>
      <c r="GG74" s="140"/>
      <c r="GH74" s="141"/>
      <c r="GI74" s="142"/>
      <c r="GJ74" s="140"/>
      <c r="GK74" s="141"/>
      <c r="GL74" s="142"/>
      <c r="GM74" s="140"/>
      <c r="GN74" s="141"/>
      <c r="GO74" s="142"/>
      <c r="GP74" s="140"/>
      <c r="GQ74" s="141"/>
      <c r="GR74" s="142"/>
      <c r="GS74" s="140"/>
      <c r="GT74" s="141"/>
      <c r="GU74" s="142"/>
      <c r="GV74" s="140"/>
      <c r="GW74" s="141"/>
      <c r="GX74" s="142"/>
      <c r="GY74" s="164"/>
      <c r="GZ74" s="134"/>
      <c r="HA74" s="185"/>
      <c r="HB74" s="164"/>
      <c r="HC74" s="185"/>
      <c r="HD74" s="164"/>
      <c r="HE74" s="185"/>
      <c r="HF74" s="164"/>
      <c r="HG74" s="185"/>
      <c r="HH74" s="164">
        <f>'1910 Hacienda'!C112</f>
        <v>9988</v>
      </c>
      <c r="HI74" s="185">
        <f>'1910 Hacienda'!D112</f>
        <v>28</v>
      </c>
      <c r="HJ74" s="164"/>
      <c r="HK74" s="185"/>
      <c r="HL74" s="164"/>
      <c r="HM74" s="185"/>
      <c r="HN74" s="164"/>
      <c r="HO74" s="185"/>
      <c r="HP74" s="164"/>
      <c r="HQ74" s="185"/>
      <c r="HR74" s="164"/>
      <c r="HS74" s="185"/>
      <c r="HT74" s="164"/>
      <c r="HU74" s="185"/>
    </row>
    <row r="75" spans="1:229" x14ac:dyDescent="0.2">
      <c r="A75" s="141" t="s">
        <v>6061</v>
      </c>
      <c r="B75" s="131"/>
      <c r="C75" s="134"/>
      <c r="D75" s="133"/>
      <c r="E75" s="131"/>
      <c r="F75" s="134"/>
      <c r="G75" s="133"/>
      <c r="H75" s="131"/>
      <c r="I75" s="134"/>
      <c r="J75" s="133"/>
      <c r="K75" s="131"/>
      <c r="L75" s="134"/>
      <c r="M75" s="133"/>
      <c r="N75" s="131"/>
      <c r="O75" s="134"/>
      <c r="P75" s="133"/>
      <c r="Q75" s="131"/>
      <c r="R75" s="134"/>
      <c r="S75" s="133"/>
      <c r="T75" s="131"/>
      <c r="U75" s="134"/>
      <c r="V75" s="133"/>
      <c r="W75" s="131"/>
      <c r="X75" s="134"/>
      <c r="Y75" s="133"/>
      <c r="Z75" s="131"/>
      <c r="AA75" s="134"/>
      <c r="AB75" s="133"/>
      <c r="AC75" s="131"/>
      <c r="AD75" s="134"/>
      <c r="AE75" s="133"/>
      <c r="AF75" s="131"/>
      <c r="AG75" s="134"/>
      <c r="AH75" s="133"/>
      <c r="AI75" s="145"/>
      <c r="AJ75" s="134"/>
      <c r="AK75" s="133"/>
      <c r="AL75" s="131"/>
      <c r="AM75" s="134"/>
      <c r="AN75" s="133"/>
      <c r="AO75" s="131"/>
      <c r="AP75" s="134"/>
      <c r="AQ75" s="133"/>
      <c r="AR75" s="131"/>
      <c r="AS75" s="134"/>
      <c r="AT75" s="180"/>
      <c r="AU75" s="131"/>
      <c r="AV75" s="185"/>
      <c r="AW75" s="131"/>
      <c r="AX75" s="185"/>
      <c r="AY75" s="131"/>
      <c r="AZ75" s="185"/>
      <c r="BA75" s="131"/>
      <c r="BB75" s="185"/>
      <c r="BC75" s="131"/>
      <c r="BD75" s="185"/>
      <c r="BE75" s="131"/>
      <c r="BF75" s="185"/>
      <c r="BG75" s="131"/>
      <c r="BH75" s="185"/>
      <c r="BI75" s="131"/>
      <c r="BJ75" s="185"/>
      <c r="BK75" s="131"/>
      <c r="BL75" s="185"/>
      <c r="BM75" s="131"/>
      <c r="BN75" s="185"/>
      <c r="BO75" s="131"/>
      <c r="BP75" s="134"/>
      <c r="BQ75" s="131"/>
      <c r="BR75" s="134"/>
      <c r="BS75" s="133"/>
      <c r="BT75" s="131"/>
      <c r="BU75" s="134"/>
      <c r="BV75" s="131"/>
      <c r="BW75" s="134"/>
      <c r="BX75" s="131"/>
      <c r="BY75" s="134"/>
      <c r="BZ75" s="131"/>
      <c r="CA75" s="134"/>
      <c r="CB75" s="133"/>
      <c r="CC75" s="131"/>
      <c r="CD75" s="134"/>
      <c r="CE75" s="133"/>
      <c r="CF75" s="131"/>
      <c r="CG75" s="134"/>
      <c r="CH75" s="133"/>
      <c r="CI75" s="131"/>
      <c r="CJ75" s="134"/>
      <c r="CK75" s="133"/>
      <c r="CL75" s="131"/>
      <c r="CM75" s="134"/>
      <c r="CN75" s="133"/>
      <c r="CO75" s="131"/>
      <c r="CP75" s="134"/>
      <c r="CQ75" s="133"/>
      <c r="CR75" s="131"/>
      <c r="CS75" s="134"/>
      <c r="CT75" s="133"/>
      <c r="CU75" s="131"/>
      <c r="CV75" s="134"/>
      <c r="CW75" s="133"/>
      <c r="CX75" s="131"/>
      <c r="CY75" s="134"/>
      <c r="CZ75" s="133"/>
      <c r="DA75" s="140"/>
      <c r="DB75" s="141"/>
      <c r="DC75" s="142"/>
      <c r="DD75" s="140"/>
      <c r="DE75" s="141"/>
      <c r="DF75" s="142"/>
      <c r="DG75" s="140"/>
      <c r="DH75" s="141"/>
      <c r="DI75" s="142"/>
      <c r="DJ75" s="140"/>
      <c r="DK75" s="141"/>
      <c r="DL75" s="142"/>
      <c r="DM75" s="140"/>
      <c r="DN75" s="141"/>
      <c r="DO75" s="142"/>
      <c r="DP75" s="140"/>
      <c r="DQ75" s="141"/>
      <c r="DR75" s="142"/>
      <c r="DS75" s="140"/>
      <c r="DT75" s="141"/>
      <c r="DU75" s="142"/>
      <c r="DV75" s="140"/>
      <c r="DW75" s="141"/>
      <c r="DX75" s="142"/>
      <c r="DY75" s="140">
        <f>+'1880 Hacienda'!B17</f>
        <v>10950</v>
      </c>
      <c r="DZ75" s="141">
        <f>+'1880 Hacienda'!C17</f>
        <v>60</v>
      </c>
      <c r="EA75" s="142"/>
      <c r="EB75" s="140">
        <f>+'1881 Hacienda'!B14</f>
        <v>36181</v>
      </c>
      <c r="EC75" s="141">
        <f>+'1881 Hacienda'!C14</f>
        <v>450</v>
      </c>
      <c r="ED75" s="142"/>
      <c r="EE75" s="140">
        <f>+'1882 Hacienda'!B11</f>
        <v>74831</v>
      </c>
      <c r="EF75" s="141">
        <f>+'1882 Hacienda'!C11</f>
        <v>70</v>
      </c>
      <c r="EG75" s="142"/>
      <c r="EH75" s="140"/>
      <c r="EI75" s="141"/>
      <c r="EJ75" s="142"/>
      <c r="EK75" s="140"/>
      <c r="EL75" s="141"/>
      <c r="EM75" s="142"/>
      <c r="EN75" s="140"/>
      <c r="EO75" s="141"/>
      <c r="EP75" s="142"/>
      <c r="EQ75" s="140"/>
      <c r="ER75" s="141"/>
      <c r="ES75" s="142"/>
      <c r="ET75" s="140"/>
      <c r="EU75" s="141"/>
      <c r="EV75" s="142"/>
      <c r="EW75" s="140"/>
      <c r="EX75" s="141"/>
      <c r="EY75" s="142"/>
      <c r="EZ75" s="140"/>
      <c r="FA75" s="141"/>
      <c r="FB75" s="142"/>
      <c r="FC75" s="140">
        <f>+'1890 Hacienda'!B219</f>
        <v>118322</v>
      </c>
      <c r="FD75" s="141">
        <f>+'1890 Hacienda'!C219</f>
        <v>35</v>
      </c>
      <c r="FE75" s="142"/>
      <c r="FF75" s="140">
        <f>+'1890 Hacienda'!E219</f>
        <v>74591</v>
      </c>
      <c r="FG75" s="141">
        <f>+'1890 Hacienda'!F219</f>
        <v>20</v>
      </c>
      <c r="FH75" s="142"/>
      <c r="FI75" s="140"/>
      <c r="FJ75" s="141"/>
      <c r="FK75" s="142"/>
      <c r="FL75" s="140">
        <f>+'1894 Hacienda'!C14</f>
        <v>115868</v>
      </c>
      <c r="FM75" s="141">
        <f>+'1894 Hacienda'!D14</f>
        <v>42</v>
      </c>
      <c r="FN75" s="142"/>
      <c r="FO75" s="140">
        <f>+'1894 Hacienda'!F14</f>
        <v>105469</v>
      </c>
      <c r="FP75" s="141">
        <f>+'1894 Hacienda'!G14</f>
        <v>97</v>
      </c>
      <c r="FQ75" s="142">
        <f>+'1894 Hacienda'!H14</f>
        <v>0.5</v>
      </c>
      <c r="FR75" s="140">
        <f>+'1896 Hacienda'!C15</f>
        <v>102882</v>
      </c>
      <c r="FS75" s="141">
        <f>+'1896 Hacienda'!D15</f>
        <v>50</v>
      </c>
      <c r="FT75" s="142"/>
      <c r="FU75" s="140"/>
      <c r="FV75" s="141"/>
      <c r="FW75" s="142"/>
      <c r="FX75" s="140"/>
      <c r="FY75" s="141"/>
      <c r="FZ75" s="142"/>
      <c r="GA75" s="140"/>
      <c r="GB75" s="141"/>
      <c r="GC75" s="142"/>
      <c r="GD75" s="140"/>
      <c r="GE75" s="141"/>
      <c r="GF75" s="142"/>
      <c r="GG75" s="140"/>
      <c r="GH75" s="141"/>
      <c r="GI75" s="142"/>
      <c r="GJ75" s="140"/>
      <c r="GK75" s="141"/>
      <c r="GL75" s="142"/>
      <c r="GM75" s="140"/>
      <c r="GN75" s="141"/>
      <c r="GO75" s="142"/>
      <c r="GP75" s="140"/>
      <c r="GQ75" s="141"/>
      <c r="GR75" s="142"/>
      <c r="GS75" s="140"/>
      <c r="GT75" s="141"/>
      <c r="GU75" s="142"/>
      <c r="GV75" s="140"/>
      <c r="GW75" s="141"/>
      <c r="GX75" s="142"/>
      <c r="GY75" s="164"/>
      <c r="GZ75" s="134"/>
      <c r="HA75" s="185"/>
      <c r="HB75" s="164"/>
      <c r="HC75" s="185"/>
      <c r="HD75" s="164"/>
      <c r="HE75" s="185"/>
      <c r="HF75" s="164"/>
      <c r="HG75" s="185"/>
      <c r="HH75" s="164"/>
      <c r="HI75" s="185"/>
      <c r="HJ75" s="164"/>
      <c r="HK75" s="185"/>
      <c r="HL75" s="164"/>
      <c r="HM75" s="185"/>
      <c r="HN75" s="164"/>
      <c r="HO75" s="185"/>
      <c r="HP75" s="164"/>
      <c r="HQ75" s="185"/>
      <c r="HR75" s="164"/>
      <c r="HS75" s="185"/>
      <c r="HT75" s="164"/>
      <c r="HU75" s="185"/>
    </row>
    <row r="76" spans="1:229" x14ac:dyDescent="0.2">
      <c r="A76" s="141" t="str">
        <f>+'1894 Hacienda'!B26</f>
        <v>Peaje del camino de Buenaventura</v>
      </c>
      <c r="B76" s="131"/>
      <c r="C76" s="134"/>
      <c r="D76" s="133"/>
      <c r="E76" s="131"/>
      <c r="F76" s="134"/>
      <c r="G76" s="133"/>
      <c r="H76" s="131"/>
      <c r="I76" s="134"/>
      <c r="J76" s="133"/>
      <c r="K76" s="131"/>
      <c r="L76" s="134"/>
      <c r="M76" s="133"/>
      <c r="N76" s="131"/>
      <c r="O76" s="134"/>
      <c r="P76" s="133"/>
      <c r="Q76" s="131"/>
      <c r="R76" s="134"/>
      <c r="S76" s="133"/>
      <c r="T76" s="131"/>
      <c r="U76" s="134"/>
      <c r="V76" s="133"/>
      <c r="W76" s="131"/>
      <c r="X76" s="134"/>
      <c r="Y76" s="133"/>
      <c r="Z76" s="131"/>
      <c r="AA76" s="134"/>
      <c r="AB76" s="133"/>
      <c r="AC76" s="131"/>
      <c r="AD76" s="134"/>
      <c r="AE76" s="133"/>
      <c r="AF76" s="131"/>
      <c r="AG76" s="134"/>
      <c r="AH76" s="133"/>
      <c r="AI76" s="145"/>
      <c r="AJ76" s="134"/>
      <c r="AK76" s="133"/>
      <c r="AL76" s="131"/>
      <c r="AM76" s="134"/>
      <c r="AN76" s="133"/>
      <c r="AO76" s="131"/>
      <c r="AP76" s="134"/>
      <c r="AQ76" s="133"/>
      <c r="AR76" s="131"/>
      <c r="AS76" s="134"/>
      <c r="AT76" s="180"/>
      <c r="AU76" s="131"/>
      <c r="AV76" s="185"/>
      <c r="AW76" s="131"/>
      <c r="AX76" s="185"/>
      <c r="AY76" s="131"/>
      <c r="AZ76" s="185"/>
      <c r="BA76" s="131"/>
      <c r="BB76" s="185"/>
      <c r="BC76" s="131"/>
      <c r="BD76" s="185"/>
      <c r="BE76" s="131"/>
      <c r="BF76" s="185"/>
      <c r="BG76" s="131"/>
      <c r="BH76" s="185"/>
      <c r="BI76" s="131"/>
      <c r="BJ76" s="185"/>
      <c r="BK76" s="131"/>
      <c r="BL76" s="185"/>
      <c r="BM76" s="131"/>
      <c r="BN76" s="185"/>
      <c r="BO76" s="131"/>
      <c r="BP76" s="134"/>
      <c r="BQ76" s="131"/>
      <c r="BR76" s="134"/>
      <c r="BS76" s="133"/>
      <c r="BT76" s="131"/>
      <c r="BU76" s="134"/>
      <c r="BV76" s="131"/>
      <c r="BW76" s="134"/>
      <c r="BX76" s="131"/>
      <c r="BY76" s="134"/>
      <c r="BZ76" s="131"/>
      <c r="CA76" s="134"/>
      <c r="CB76" s="133"/>
      <c r="CC76" s="131"/>
      <c r="CD76" s="134"/>
      <c r="CE76" s="133"/>
      <c r="CF76" s="131"/>
      <c r="CG76" s="134"/>
      <c r="CH76" s="133"/>
      <c r="CI76" s="131"/>
      <c r="CJ76" s="134"/>
      <c r="CK76" s="133"/>
      <c r="CL76" s="131"/>
      <c r="CM76" s="134"/>
      <c r="CN76" s="133"/>
      <c r="CO76" s="131"/>
      <c r="CP76" s="134"/>
      <c r="CQ76" s="133"/>
      <c r="CR76" s="131"/>
      <c r="CS76" s="134"/>
      <c r="CT76" s="133"/>
      <c r="CU76" s="131"/>
      <c r="CV76" s="134"/>
      <c r="CW76" s="133"/>
      <c r="CX76" s="131"/>
      <c r="CY76" s="134"/>
      <c r="CZ76" s="133"/>
      <c r="DA76" s="140"/>
      <c r="DB76" s="141"/>
      <c r="DC76" s="142"/>
      <c r="DD76" s="140"/>
      <c r="DE76" s="141"/>
      <c r="DF76" s="142"/>
      <c r="DG76" s="140"/>
      <c r="DH76" s="141"/>
      <c r="DI76" s="142"/>
      <c r="DJ76" s="140"/>
      <c r="DK76" s="141"/>
      <c r="DL76" s="142"/>
      <c r="DM76" s="140"/>
      <c r="DN76" s="141"/>
      <c r="DO76" s="142"/>
      <c r="DP76" s="140"/>
      <c r="DQ76" s="141"/>
      <c r="DR76" s="142"/>
      <c r="DS76" s="140"/>
      <c r="DT76" s="141"/>
      <c r="DU76" s="142"/>
      <c r="DV76" s="140"/>
      <c r="DW76" s="141"/>
      <c r="DX76" s="142"/>
      <c r="DY76" s="140"/>
      <c r="DZ76" s="141"/>
      <c r="EA76" s="142"/>
      <c r="EB76" s="140"/>
      <c r="EC76" s="141"/>
      <c r="ED76" s="142"/>
      <c r="EE76" s="140"/>
      <c r="EF76" s="141"/>
      <c r="EG76" s="142"/>
      <c r="EH76" s="140"/>
      <c r="EI76" s="141"/>
      <c r="EJ76" s="142"/>
      <c r="EK76" s="140"/>
      <c r="EL76" s="141"/>
      <c r="EM76" s="142"/>
      <c r="EN76" s="140"/>
      <c r="EO76" s="141"/>
      <c r="EP76" s="142"/>
      <c r="EQ76" s="140"/>
      <c r="ER76" s="141"/>
      <c r="ES76" s="142"/>
      <c r="ET76" s="140"/>
      <c r="EU76" s="141"/>
      <c r="EV76" s="142"/>
      <c r="EW76" s="140"/>
      <c r="EX76" s="141"/>
      <c r="EY76" s="142"/>
      <c r="EZ76" s="140"/>
      <c r="FA76" s="141"/>
      <c r="FB76" s="142"/>
      <c r="FC76" s="140"/>
      <c r="FD76" s="141"/>
      <c r="FE76" s="142"/>
      <c r="FF76" s="140"/>
      <c r="FG76" s="141"/>
      <c r="FH76" s="142"/>
      <c r="FI76" s="140"/>
      <c r="FJ76" s="141"/>
      <c r="FK76" s="142"/>
      <c r="FL76" s="140">
        <f>+'1894 Hacienda'!C26</f>
        <v>31724</v>
      </c>
      <c r="FM76" s="141">
        <f>+'1894 Hacienda'!D26</f>
        <v>60</v>
      </c>
      <c r="FN76" s="142"/>
      <c r="FO76" s="140">
        <f>+'1894 Hacienda'!F26</f>
        <v>32607</v>
      </c>
      <c r="FP76" s="141">
        <f>+'1894 Hacienda'!G26</f>
        <v>10</v>
      </c>
      <c r="FQ76" s="142"/>
      <c r="FR76" s="140">
        <f>+'1896 Hacienda'!C27</f>
        <v>31352</v>
      </c>
      <c r="FS76" s="141">
        <f>+'1896 Hacienda'!D27</f>
        <v>10</v>
      </c>
      <c r="FT76" s="142"/>
      <c r="FU76" s="140">
        <f>+'1896 Hacienda'!F27</f>
        <v>32930</v>
      </c>
      <c r="FV76" s="141">
        <f>+'1896 Hacienda'!G27</f>
        <v>10</v>
      </c>
      <c r="FW76" s="142"/>
      <c r="FX76" s="140">
        <f>+'1896 Hacienda'!L27</f>
        <v>32985</v>
      </c>
      <c r="FY76" s="141">
        <f>+'1896 Hacienda'!M27</f>
        <v>25</v>
      </c>
      <c r="FZ76" s="142"/>
      <c r="GA76" s="140">
        <f>+'1898 Hacienda'!E25</f>
        <v>32353</v>
      </c>
      <c r="GB76" s="141">
        <f>+'1898 Hacienda'!F25</f>
        <v>20</v>
      </c>
      <c r="GC76" s="142"/>
      <c r="GD76" s="140">
        <f>+'1898 Hacienda'!K25</f>
        <v>35999</v>
      </c>
      <c r="GE76" s="141">
        <f>+'1898 Hacienda'!L25</f>
        <v>55</v>
      </c>
      <c r="GF76" s="142"/>
      <c r="GG76" s="140"/>
      <c r="GH76" s="141"/>
      <c r="GI76" s="142"/>
      <c r="GJ76" s="140"/>
      <c r="GK76" s="141"/>
      <c r="GL76" s="142"/>
      <c r="GM76" s="140"/>
      <c r="GN76" s="141"/>
      <c r="GO76" s="142"/>
      <c r="GP76" s="140"/>
      <c r="GQ76" s="141"/>
      <c r="GR76" s="142"/>
      <c r="GS76" s="140"/>
      <c r="GT76" s="141"/>
      <c r="GU76" s="142"/>
      <c r="GV76" s="140"/>
      <c r="GW76" s="141"/>
      <c r="GX76" s="142"/>
      <c r="GY76" s="164"/>
      <c r="GZ76" s="134"/>
      <c r="HA76" s="185"/>
      <c r="HB76" s="164"/>
      <c r="HC76" s="185"/>
      <c r="HD76" s="164"/>
      <c r="HE76" s="185"/>
      <c r="HF76" s="164"/>
      <c r="HG76" s="185"/>
      <c r="HH76" s="164"/>
      <c r="HI76" s="185"/>
      <c r="HJ76" s="164"/>
      <c r="HK76" s="185"/>
      <c r="HL76" s="164"/>
      <c r="HM76" s="185"/>
      <c r="HN76" s="164"/>
      <c r="HO76" s="185"/>
      <c r="HP76" s="164"/>
      <c r="HQ76" s="185"/>
      <c r="HR76" s="164"/>
      <c r="HS76" s="185"/>
      <c r="HT76" s="164"/>
      <c r="HU76" s="185"/>
    </row>
    <row r="77" spans="1:229" x14ac:dyDescent="0.2">
      <c r="A77" s="184" t="s">
        <v>5456</v>
      </c>
      <c r="B77" s="131"/>
      <c r="C77" s="134"/>
      <c r="D77" s="133"/>
      <c r="E77" s="131"/>
      <c r="F77" s="134"/>
      <c r="G77" s="133"/>
      <c r="H77" s="131"/>
      <c r="I77" s="134"/>
      <c r="J77" s="133"/>
      <c r="K77" s="131"/>
      <c r="L77" s="134"/>
      <c r="M77" s="133"/>
      <c r="N77" s="131"/>
      <c r="O77" s="134"/>
      <c r="P77" s="133"/>
      <c r="Q77" s="131"/>
      <c r="R77" s="134"/>
      <c r="S77" s="133"/>
      <c r="T77" s="131"/>
      <c r="U77" s="134"/>
      <c r="V77" s="133"/>
      <c r="W77" s="131"/>
      <c r="X77" s="134"/>
      <c r="Y77" s="133"/>
      <c r="Z77" s="131"/>
      <c r="AA77" s="134"/>
      <c r="AB77" s="133"/>
      <c r="AC77" s="131"/>
      <c r="AD77" s="134"/>
      <c r="AE77" s="133"/>
      <c r="AF77" s="131"/>
      <c r="AG77" s="134"/>
      <c r="AH77" s="133"/>
      <c r="AI77" s="145"/>
      <c r="AJ77" s="134"/>
      <c r="AK77" s="133"/>
      <c r="AL77" s="131"/>
      <c r="AM77" s="134"/>
      <c r="AN77" s="133"/>
      <c r="AO77" s="131"/>
      <c r="AP77" s="134"/>
      <c r="AQ77" s="133"/>
      <c r="AR77" s="131"/>
      <c r="AS77" s="134"/>
      <c r="AT77" s="180"/>
      <c r="AU77" s="131"/>
      <c r="AV77" s="185"/>
      <c r="AW77" s="131">
        <f>+'1858 Hacienda'!D559</f>
        <v>26905</v>
      </c>
      <c r="AX77" s="185">
        <f>+'1858 Hacienda'!E559</f>
        <v>258</v>
      </c>
      <c r="AY77" s="131">
        <f>+'1858 Hacienda'!D622</f>
        <v>24232</v>
      </c>
      <c r="AZ77" s="185">
        <f>+'1858 Hacienda'!E622</f>
        <v>910</v>
      </c>
      <c r="BA77" s="131">
        <f>+'1858 Hacienda'!B505</f>
        <v>22367</v>
      </c>
      <c r="BB77" s="185">
        <f>+'1858 Hacienda'!C505</f>
        <v>877</v>
      </c>
      <c r="BC77" s="131">
        <f>+'1858 Hacienda'!B1035</f>
        <v>15922</v>
      </c>
      <c r="BD77" s="185">
        <f>+'1858 Hacienda'!C1035</f>
        <v>52</v>
      </c>
      <c r="BE77" s="131">
        <f>+'1858 Hacienda'!B1055</f>
        <v>5012</v>
      </c>
      <c r="BF77" s="185">
        <f>+'1858 Hacienda'!C1055</f>
        <v>965</v>
      </c>
      <c r="BG77" s="131">
        <f>+'1858 Hacienda'!B1075</f>
        <v>11388</v>
      </c>
      <c r="BH77" s="185">
        <f>+'1858 Hacienda'!C1075</f>
        <v>900</v>
      </c>
      <c r="BI77" s="131">
        <f>+'1858 Hacienda'!B1094</f>
        <v>1255</v>
      </c>
      <c r="BJ77" s="185">
        <f>+'1858 Hacienda'!C1094</f>
        <v>425</v>
      </c>
      <c r="BK77" s="131">
        <f>+'1858 Hacienda'!B1116</f>
        <v>556</v>
      </c>
      <c r="BL77" s="185">
        <f>+'1858 Hacienda'!C1116</f>
        <v>950</v>
      </c>
      <c r="BM77" s="131"/>
      <c r="BN77" s="185"/>
      <c r="BO77" s="131"/>
      <c r="BP77" s="134"/>
      <c r="BQ77" s="131"/>
      <c r="BR77" s="134"/>
      <c r="BS77" s="133"/>
      <c r="BT77" s="131"/>
      <c r="BU77" s="134"/>
      <c r="BV77" s="131"/>
      <c r="BW77" s="134"/>
      <c r="BX77" s="131"/>
      <c r="BY77" s="134"/>
      <c r="BZ77" s="131"/>
      <c r="CA77" s="134"/>
      <c r="CB77" s="133"/>
      <c r="CC77" s="131"/>
      <c r="CD77" s="134"/>
      <c r="CE77" s="133"/>
      <c r="CF77" s="131"/>
      <c r="CG77" s="134"/>
      <c r="CH77" s="133"/>
      <c r="CI77" s="131"/>
      <c r="CJ77" s="134"/>
      <c r="CK77" s="133"/>
      <c r="CL77" s="131"/>
      <c r="CM77" s="134"/>
      <c r="CN77" s="133"/>
      <c r="CO77" s="131"/>
      <c r="CP77" s="134"/>
      <c r="CQ77" s="133"/>
      <c r="CR77" s="131"/>
      <c r="CS77" s="134"/>
      <c r="CT77" s="133"/>
      <c r="CU77" s="131"/>
      <c r="CV77" s="134"/>
      <c r="CW77" s="133"/>
      <c r="CX77" s="131"/>
      <c r="CY77" s="134"/>
      <c r="CZ77" s="133"/>
      <c r="DA77" s="140"/>
      <c r="DB77" s="141"/>
      <c r="DC77" s="142"/>
      <c r="DD77" s="140"/>
      <c r="DE77" s="141"/>
      <c r="DF77" s="142"/>
      <c r="DG77" s="140"/>
      <c r="DH77" s="141"/>
      <c r="DI77" s="142"/>
      <c r="DJ77" s="140"/>
      <c r="DK77" s="141"/>
      <c r="DL77" s="142"/>
      <c r="DM77" s="140"/>
      <c r="DN77" s="141"/>
      <c r="DO77" s="142"/>
      <c r="DP77" s="140"/>
      <c r="DQ77" s="141"/>
      <c r="DR77" s="142"/>
      <c r="DS77" s="140"/>
      <c r="DT77" s="141"/>
      <c r="DU77" s="142"/>
      <c r="DV77" s="140"/>
      <c r="DW77" s="141"/>
      <c r="DX77" s="142"/>
      <c r="DY77" s="140"/>
      <c r="DZ77" s="141"/>
      <c r="EA77" s="142"/>
      <c r="EB77" s="140"/>
      <c r="EC77" s="141"/>
      <c r="ED77" s="142"/>
      <c r="EE77" s="140"/>
      <c r="EF77" s="141"/>
      <c r="EG77" s="142"/>
      <c r="EH77" s="140"/>
      <c r="EI77" s="141"/>
      <c r="EJ77" s="142"/>
      <c r="EK77" s="140"/>
      <c r="EL77" s="141"/>
      <c r="EM77" s="142"/>
      <c r="EN77" s="140"/>
      <c r="EO77" s="141"/>
      <c r="EP77" s="142"/>
      <c r="EQ77" s="140"/>
      <c r="ER77" s="141"/>
      <c r="ES77" s="142"/>
      <c r="ET77" s="140"/>
      <c r="EU77" s="141"/>
      <c r="EV77" s="142"/>
      <c r="EW77" s="140"/>
      <c r="EX77" s="141"/>
      <c r="EY77" s="142"/>
      <c r="EZ77" s="140"/>
      <c r="FA77" s="141"/>
      <c r="FB77" s="142"/>
      <c r="FC77" s="140"/>
      <c r="FD77" s="141"/>
      <c r="FE77" s="142"/>
      <c r="FF77" s="140"/>
      <c r="FG77" s="141"/>
      <c r="FH77" s="142"/>
      <c r="FI77" s="140"/>
      <c r="FJ77" s="141"/>
      <c r="FK77" s="142"/>
      <c r="FL77" s="140"/>
      <c r="FM77" s="141"/>
      <c r="FN77" s="142"/>
      <c r="FO77" s="140"/>
      <c r="FP77" s="141"/>
      <c r="FQ77" s="142"/>
      <c r="FR77" s="140"/>
      <c r="FS77" s="141"/>
      <c r="FT77" s="142"/>
      <c r="FU77" s="140"/>
      <c r="FV77" s="141"/>
      <c r="FW77" s="142"/>
      <c r="FX77" s="140"/>
      <c r="FY77" s="141"/>
      <c r="FZ77" s="142"/>
      <c r="GA77" s="140"/>
      <c r="GB77" s="141"/>
      <c r="GC77" s="142"/>
      <c r="GD77" s="140"/>
      <c r="GE77" s="141"/>
      <c r="GF77" s="142"/>
      <c r="GG77" s="140"/>
      <c r="GH77" s="141"/>
      <c r="GI77" s="142"/>
      <c r="GJ77" s="140"/>
      <c r="GK77" s="141"/>
      <c r="GL77" s="142"/>
      <c r="GM77" s="140"/>
      <c r="GN77" s="141"/>
      <c r="GO77" s="142"/>
      <c r="GP77" s="140"/>
      <c r="GQ77" s="141"/>
      <c r="GR77" s="142"/>
      <c r="GS77" s="140"/>
      <c r="GT77" s="141"/>
      <c r="GU77" s="142"/>
      <c r="GV77" s="140"/>
      <c r="GW77" s="141"/>
      <c r="GX77" s="142"/>
      <c r="GY77" s="164"/>
      <c r="GZ77" s="134"/>
      <c r="HA77" s="185"/>
      <c r="HB77" s="164"/>
      <c r="HC77" s="185"/>
      <c r="HD77" s="164"/>
      <c r="HE77" s="185"/>
      <c r="HF77" s="164"/>
      <c r="HG77" s="185"/>
      <c r="HH77" s="164">
        <f>'1910 Hacienda'!C113</f>
        <v>9513</v>
      </c>
      <c r="HI77" s="185">
        <f>'1910 Hacienda'!D113</f>
        <v>55</v>
      </c>
      <c r="HJ77" s="164"/>
      <c r="HK77" s="185"/>
      <c r="HL77" s="164"/>
      <c r="HM77" s="185"/>
      <c r="HN77" s="164"/>
      <c r="HO77" s="185"/>
      <c r="HP77" s="164"/>
      <c r="HQ77" s="185"/>
      <c r="HR77" s="164"/>
      <c r="HS77" s="185"/>
      <c r="HT77" s="164"/>
      <c r="HU77" s="185"/>
    </row>
    <row r="78" spans="1:229" x14ac:dyDescent="0.2">
      <c r="A78" s="184" t="s">
        <v>5457</v>
      </c>
      <c r="B78" s="131"/>
      <c r="C78" s="134"/>
      <c r="D78" s="133"/>
      <c r="E78" s="131"/>
      <c r="F78" s="134"/>
      <c r="G78" s="133"/>
      <c r="H78" s="131"/>
      <c r="I78" s="134"/>
      <c r="J78" s="133"/>
      <c r="K78" s="131"/>
      <c r="L78" s="134"/>
      <c r="M78" s="133"/>
      <c r="N78" s="131"/>
      <c r="O78" s="134"/>
      <c r="P78" s="133"/>
      <c r="Q78" s="131"/>
      <c r="R78" s="134"/>
      <c r="S78" s="133"/>
      <c r="T78" s="131"/>
      <c r="U78" s="134"/>
      <c r="V78" s="133"/>
      <c r="W78" s="131"/>
      <c r="X78" s="134"/>
      <c r="Y78" s="133"/>
      <c r="Z78" s="131"/>
      <c r="AA78" s="134"/>
      <c r="AB78" s="133"/>
      <c r="AC78" s="131"/>
      <c r="AD78" s="134"/>
      <c r="AE78" s="133"/>
      <c r="AF78" s="131"/>
      <c r="AG78" s="134"/>
      <c r="AH78" s="133"/>
      <c r="AI78" s="145"/>
      <c r="AJ78" s="134"/>
      <c r="AK78" s="133"/>
      <c r="AL78" s="131"/>
      <c r="AM78" s="134"/>
      <c r="AN78" s="133"/>
      <c r="AO78" s="131"/>
      <c r="AP78" s="134"/>
      <c r="AQ78" s="133"/>
      <c r="AR78" s="131"/>
      <c r="AS78" s="134"/>
      <c r="AT78" s="180"/>
      <c r="AU78" s="131"/>
      <c r="AV78" s="185"/>
      <c r="AW78" s="131"/>
      <c r="AX78" s="185"/>
      <c r="AY78" s="131"/>
      <c r="AZ78" s="185"/>
      <c r="BA78" s="131"/>
      <c r="BB78" s="185"/>
      <c r="BC78" s="131"/>
      <c r="BD78" s="185"/>
      <c r="BE78" s="131"/>
      <c r="BF78" s="185"/>
      <c r="BG78" s="131"/>
      <c r="BH78" s="185"/>
      <c r="BI78" s="131"/>
      <c r="BJ78" s="185"/>
      <c r="BK78" s="131"/>
      <c r="BL78" s="185"/>
      <c r="BM78" s="131"/>
      <c r="BN78" s="185"/>
      <c r="BO78" s="131"/>
      <c r="BP78" s="134"/>
      <c r="BQ78" s="131"/>
      <c r="BR78" s="134"/>
      <c r="BS78" s="133"/>
      <c r="BT78" s="131"/>
      <c r="BU78" s="134"/>
      <c r="BV78" s="131"/>
      <c r="BW78" s="134"/>
      <c r="BX78" s="131"/>
      <c r="BY78" s="134"/>
      <c r="BZ78" s="131"/>
      <c r="CA78" s="134"/>
      <c r="CB78" s="133"/>
      <c r="CC78" s="131"/>
      <c r="CD78" s="134"/>
      <c r="CE78" s="133"/>
      <c r="CF78" s="131"/>
      <c r="CG78" s="134"/>
      <c r="CH78" s="133"/>
      <c r="CI78" s="131"/>
      <c r="CJ78" s="134"/>
      <c r="CK78" s="133"/>
      <c r="CL78" s="131"/>
      <c r="CM78" s="134"/>
      <c r="CN78" s="133"/>
      <c r="CO78" s="131"/>
      <c r="CP78" s="134"/>
      <c r="CQ78" s="133"/>
      <c r="CR78" s="131"/>
      <c r="CS78" s="134"/>
      <c r="CT78" s="133"/>
      <c r="CU78" s="131"/>
      <c r="CV78" s="134"/>
      <c r="CW78" s="133"/>
      <c r="CX78" s="131"/>
      <c r="CY78" s="134"/>
      <c r="CZ78" s="133"/>
      <c r="DA78" s="140"/>
      <c r="DB78" s="141"/>
      <c r="DC78" s="142"/>
      <c r="DD78" s="140"/>
      <c r="DE78" s="141"/>
      <c r="DF78" s="142"/>
      <c r="DG78" s="140"/>
      <c r="DH78" s="141"/>
      <c r="DI78" s="142"/>
      <c r="DJ78" s="140"/>
      <c r="DK78" s="141"/>
      <c r="DL78" s="142"/>
      <c r="DM78" s="140"/>
      <c r="DN78" s="141"/>
      <c r="DO78" s="142"/>
      <c r="DP78" s="140"/>
      <c r="DQ78" s="141"/>
      <c r="DR78" s="142"/>
      <c r="DS78" s="140"/>
      <c r="DT78" s="141"/>
      <c r="DU78" s="142"/>
      <c r="DV78" s="140"/>
      <c r="DW78" s="141"/>
      <c r="DX78" s="142"/>
      <c r="DY78" s="140"/>
      <c r="DZ78" s="141"/>
      <c r="EA78" s="142"/>
      <c r="EB78" s="140"/>
      <c r="EC78" s="141"/>
      <c r="ED78" s="142"/>
      <c r="EE78" s="140"/>
      <c r="EF78" s="141"/>
      <c r="EG78" s="142"/>
      <c r="EH78" s="140"/>
      <c r="EI78" s="141"/>
      <c r="EJ78" s="142"/>
      <c r="EK78" s="140"/>
      <c r="EL78" s="141"/>
      <c r="EM78" s="142"/>
      <c r="EN78" s="140"/>
      <c r="EO78" s="141"/>
      <c r="EP78" s="142"/>
      <c r="EQ78" s="140"/>
      <c r="ER78" s="141"/>
      <c r="ES78" s="142"/>
      <c r="ET78" s="140"/>
      <c r="EU78" s="141"/>
      <c r="EV78" s="142"/>
      <c r="EW78" s="140"/>
      <c r="EX78" s="141"/>
      <c r="EY78" s="142"/>
      <c r="EZ78" s="140"/>
      <c r="FA78" s="141"/>
      <c r="FB78" s="142"/>
      <c r="FC78" s="140"/>
      <c r="FD78" s="141"/>
      <c r="FE78" s="142"/>
      <c r="FF78" s="140"/>
      <c r="FG78" s="141"/>
      <c r="FH78" s="142"/>
      <c r="FI78" s="140"/>
      <c r="FJ78" s="141"/>
      <c r="FK78" s="142"/>
      <c r="FL78" s="140"/>
      <c r="FM78" s="141"/>
      <c r="FN78" s="142"/>
      <c r="FO78" s="140"/>
      <c r="FP78" s="141"/>
      <c r="FQ78" s="142"/>
      <c r="FR78" s="140"/>
      <c r="FS78" s="141"/>
      <c r="FT78" s="142"/>
      <c r="FU78" s="140"/>
      <c r="FV78" s="141"/>
      <c r="FW78" s="142"/>
      <c r="FX78" s="140"/>
      <c r="FY78" s="141"/>
      <c r="FZ78" s="142"/>
      <c r="GA78" s="140"/>
      <c r="GB78" s="141"/>
      <c r="GC78" s="142"/>
      <c r="GD78" s="140"/>
      <c r="GE78" s="141"/>
      <c r="GF78" s="142"/>
      <c r="GG78" s="140"/>
      <c r="GH78" s="141"/>
      <c r="GI78" s="142"/>
      <c r="GJ78" s="140"/>
      <c r="GK78" s="141"/>
      <c r="GL78" s="142"/>
      <c r="GM78" s="140"/>
      <c r="GN78" s="141"/>
      <c r="GO78" s="142"/>
      <c r="GP78" s="140"/>
      <c r="GQ78" s="141"/>
      <c r="GR78" s="142"/>
      <c r="GS78" s="140"/>
      <c r="GT78" s="141"/>
      <c r="GU78" s="142"/>
      <c r="GV78" s="140"/>
      <c r="GW78" s="141"/>
      <c r="GX78" s="142"/>
      <c r="GY78" s="164"/>
      <c r="GZ78" s="134"/>
      <c r="HA78" s="185"/>
      <c r="HB78" s="164"/>
      <c r="HC78" s="185"/>
      <c r="HD78" s="164"/>
      <c r="HE78" s="185"/>
      <c r="HF78" s="164"/>
      <c r="HG78" s="185"/>
      <c r="HH78" s="164">
        <f>'1910 Hacienda'!C114</f>
        <v>8354</v>
      </c>
      <c r="HI78" s="185">
        <f>'1910 Hacienda'!D114</f>
        <v>10</v>
      </c>
      <c r="HJ78" s="164"/>
      <c r="HK78" s="185"/>
      <c r="HL78" s="164"/>
      <c r="HM78" s="185"/>
      <c r="HN78" s="164"/>
      <c r="HO78" s="185"/>
      <c r="HP78" s="164"/>
      <c r="HQ78" s="185"/>
      <c r="HR78" s="164"/>
      <c r="HS78" s="185"/>
      <c r="HT78" s="164"/>
      <c r="HU78" s="185"/>
    </row>
    <row r="79" spans="1:229" x14ac:dyDescent="0.2">
      <c r="A79" s="184" t="s">
        <v>5458</v>
      </c>
      <c r="B79" s="131"/>
      <c r="C79" s="134"/>
      <c r="D79" s="133"/>
      <c r="E79" s="131"/>
      <c r="F79" s="134"/>
      <c r="G79" s="133"/>
      <c r="H79" s="131"/>
      <c r="I79" s="134"/>
      <c r="J79" s="133"/>
      <c r="K79" s="131"/>
      <c r="L79" s="134"/>
      <c r="M79" s="133"/>
      <c r="N79" s="131"/>
      <c r="O79" s="134"/>
      <c r="P79" s="133"/>
      <c r="Q79" s="131"/>
      <c r="R79" s="134"/>
      <c r="S79" s="133"/>
      <c r="T79" s="131"/>
      <c r="U79" s="134"/>
      <c r="V79" s="133"/>
      <c r="W79" s="131"/>
      <c r="X79" s="134"/>
      <c r="Y79" s="133"/>
      <c r="Z79" s="131"/>
      <c r="AA79" s="134"/>
      <c r="AB79" s="133"/>
      <c r="AC79" s="131"/>
      <c r="AD79" s="134"/>
      <c r="AE79" s="133"/>
      <c r="AF79" s="131"/>
      <c r="AG79" s="134"/>
      <c r="AH79" s="133"/>
      <c r="AI79" s="145"/>
      <c r="AJ79" s="134"/>
      <c r="AK79" s="133"/>
      <c r="AL79" s="131"/>
      <c r="AM79" s="134"/>
      <c r="AN79" s="133"/>
      <c r="AO79" s="131"/>
      <c r="AP79" s="134"/>
      <c r="AQ79" s="133"/>
      <c r="AR79" s="131"/>
      <c r="AS79" s="134"/>
      <c r="AT79" s="180"/>
      <c r="AU79" s="131"/>
      <c r="AV79" s="185"/>
      <c r="AW79" s="131"/>
      <c r="AX79" s="185"/>
      <c r="AY79" s="131"/>
      <c r="AZ79" s="185"/>
      <c r="BA79" s="131"/>
      <c r="BB79" s="185"/>
      <c r="BC79" s="131"/>
      <c r="BD79" s="185"/>
      <c r="BE79" s="131"/>
      <c r="BF79" s="185"/>
      <c r="BG79" s="131"/>
      <c r="BH79" s="185"/>
      <c r="BI79" s="131"/>
      <c r="BJ79" s="185"/>
      <c r="BK79" s="131"/>
      <c r="BL79" s="185"/>
      <c r="BM79" s="131"/>
      <c r="BN79" s="185"/>
      <c r="BO79" s="131"/>
      <c r="BP79" s="134"/>
      <c r="BQ79" s="131"/>
      <c r="BR79" s="134"/>
      <c r="BS79" s="133"/>
      <c r="BT79" s="131"/>
      <c r="BU79" s="134"/>
      <c r="BV79" s="131"/>
      <c r="BW79" s="134"/>
      <c r="BX79" s="131"/>
      <c r="BY79" s="134"/>
      <c r="BZ79" s="131"/>
      <c r="CA79" s="134"/>
      <c r="CB79" s="133"/>
      <c r="CC79" s="131"/>
      <c r="CD79" s="134"/>
      <c r="CE79" s="133"/>
      <c r="CF79" s="131"/>
      <c r="CG79" s="134"/>
      <c r="CH79" s="133"/>
      <c r="CI79" s="131"/>
      <c r="CJ79" s="134"/>
      <c r="CK79" s="133"/>
      <c r="CL79" s="131"/>
      <c r="CM79" s="134"/>
      <c r="CN79" s="133"/>
      <c r="CO79" s="131"/>
      <c r="CP79" s="134"/>
      <c r="CQ79" s="133"/>
      <c r="CR79" s="131"/>
      <c r="CS79" s="134"/>
      <c r="CT79" s="133"/>
      <c r="CU79" s="131"/>
      <c r="CV79" s="134"/>
      <c r="CW79" s="133"/>
      <c r="CX79" s="131"/>
      <c r="CY79" s="134"/>
      <c r="CZ79" s="133"/>
      <c r="DA79" s="140"/>
      <c r="DB79" s="141"/>
      <c r="DC79" s="142"/>
      <c r="DD79" s="140"/>
      <c r="DE79" s="141"/>
      <c r="DF79" s="142"/>
      <c r="DG79" s="140"/>
      <c r="DH79" s="141"/>
      <c r="DI79" s="142"/>
      <c r="DJ79" s="140"/>
      <c r="DK79" s="141"/>
      <c r="DL79" s="142"/>
      <c r="DM79" s="140"/>
      <c r="DN79" s="141"/>
      <c r="DO79" s="142"/>
      <c r="DP79" s="140"/>
      <c r="DQ79" s="141"/>
      <c r="DR79" s="142"/>
      <c r="DS79" s="140"/>
      <c r="DT79" s="141"/>
      <c r="DU79" s="142"/>
      <c r="DV79" s="140"/>
      <c r="DW79" s="141"/>
      <c r="DX79" s="142"/>
      <c r="DY79" s="140"/>
      <c r="DZ79" s="141"/>
      <c r="EA79" s="142"/>
      <c r="EB79" s="140"/>
      <c r="EC79" s="141"/>
      <c r="ED79" s="142"/>
      <c r="EE79" s="140"/>
      <c r="EF79" s="141"/>
      <c r="EG79" s="142"/>
      <c r="EH79" s="140"/>
      <c r="EI79" s="141"/>
      <c r="EJ79" s="142"/>
      <c r="EK79" s="140"/>
      <c r="EL79" s="141"/>
      <c r="EM79" s="142"/>
      <c r="EN79" s="140"/>
      <c r="EO79" s="141"/>
      <c r="EP79" s="142"/>
      <c r="EQ79" s="140"/>
      <c r="ER79" s="141"/>
      <c r="ES79" s="142"/>
      <c r="ET79" s="140"/>
      <c r="EU79" s="141"/>
      <c r="EV79" s="142"/>
      <c r="EW79" s="140"/>
      <c r="EX79" s="141"/>
      <c r="EY79" s="142"/>
      <c r="EZ79" s="140"/>
      <c r="FA79" s="141"/>
      <c r="FB79" s="142"/>
      <c r="FC79" s="140"/>
      <c r="FD79" s="141"/>
      <c r="FE79" s="142"/>
      <c r="FF79" s="140"/>
      <c r="FG79" s="141"/>
      <c r="FH79" s="142"/>
      <c r="FI79" s="140"/>
      <c r="FJ79" s="141"/>
      <c r="FK79" s="142"/>
      <c r="FL79" s="140"/>
      <c r="FM79" s="141"/>
      <c r="FN79" s="142"/>
      <c r="FO79" s="140"/>
      <c r="FP79" s="141"/>
      <c r="FQ79" s="142"/>
      <c r="FR79" s="140"/>
      <c r="FS79" s="141"/>
      <c r="FT79" s="142"/>
      <c r="FU79" s="140"/>
      <c r="FV79" s="141"/>
      <c r="FW79" s="142"/>
      <c r="FX79" s="140"/>
      <c r="FY79" s="141"/>
      <c r="FZ79" s="142"/>
      <c r="GA79" s="140"/>
      <c r="GB79" s="141"/>
      <c r="GC79" s="142"/>
      <c r="GD79" s="140"/>
      <c r="GE79" s="141"/>
      <c r="GF79" s="142"/>
      <c r="GG79" s="140"/>
      <c r="GH79" s="141"/>
      <c r="GI79" s="142"/>
      <c r="GJ79" s="140"/>
      <c r="GK79" s="141"/>
      <c r="GL79" s="142"/>
      <c r="GM79" s="140"/>
      <c r="GN79" s="141"/>
      <c r="GO79" s="142"/>
      <c r="GP79" s="140"/>
      <c r="GQ79" s="141"/>
      <c r="GR79" s="142"/>
      <c r="GS79" s="140"/>
      <c r="GT79" s="141"/>
      <c r="GU79" s="142"/>
      <c r="GV79" s="140"/>
      <c r="GW79" s="141"/>
      <c r="GX79" s="142"/>
      <c r="GY79" s="164"/>
      <c r="GZ79" s="134"/>
      <c r="HA79" s="185"/>
      <c r="HB79" s="164"/>
      <c r="HC79" s="185"/>
      <c r="HD79" s="164"/>
      <c r="HE79" s="185"/>
      <c r="HF79" s="164"/>
      <c r="HG79" s="185"/>
      <c r="HH79" s="164">
        <f>'1910 Hacienda'!C115</f>
        <v>152</v>
      </c>
      <c r="HI79" s="185">
        <f>'1910 Hacienda'!D115</f>
        <v>93</v>
      </c>
      <c r="HJ79" s="164"/>
      <c r="HK79" s="185"/>
      <c r="HL79" s="164"/>
      <c r="HM79" s="185"/>
      <c r="HN79" s="164"/>
      <c r="HO79" s="185"/>
      <c r="HP79" s="164"/>
      <c r="HQ79" s="185"/>
      <c r="HR79" s="164"/>
      <c r="HS79" s="185"/>
      <c r="HT79" s="164"/>
      <c r="HU79" s="185"/>
    </row>
    <row r="80" spans="1:229" x14ac:dyDescent="0.2">
      <c r="A80" s="184" t="s">
        <v>5459</v>
      </c>
      <c r="B80" s="131"/>
      <c r="C80" s="134"/>
      <c r="D80" s="133"/>
      <c r="E80" s="131"/>
      <c r="F80" s="134"/>
      <c r="G80" s="133"/>
      <c r="H80" s="131"/>
      <c r="I80" s="134"/>
      <c r="J80" s="133"/>
      <c r="K80" s="131"/>
      <c r="L80" s="134"/>
      <c r="M80" s="133"/>
      <c r="N80" s="131"/>
      <c r="O80" s="134"/>
      <c r="P80" s="133"/>
      <c r="Q80" s="131"/>
      <c r="R80" s="134"/>
      <c r="S80" s="133"/>
      <c r="T80" s="131"/>
      <c r="U80" s="134"/>
      <c r="V80" s="133"/>
      <c r="W80" s="131"/>
      <c r="X80" s="134"/>
      <c r="Y80" s="133"/>
      <c r="Z80" s="131"/>
      <c r="AA80" s="134"/>
      <c r="AB80" s="133"/>
      <c r="AC80" s="131"/>
      <c r="AD80" s="134"/>
      <c r="AE80" s="133"/>
      <c r="AF80" s="131"/>
      <c r="AG80" s="134"/>
      <c r="AH80" s="133"/>
      <c r="AI80" s="145"/>
      <c r="AJ80" s="134"/>
      <c r="AK80" s="133"/>
      <c r="AL80" s="131"/>
      <c r="AM80" s="134"/>
      <c r="AN80" s="133"/>
      <c r="AO80" s="131"/>
      <c r="AP80" s="134"/>
      <c r="AQ80" s="133"/>
      <c r="AR80" s="131"/>
      <c r="AS80" s="134"/>
      <c r="AT80" s="180"/>
      <c r="AU80" s="131"/>
      <c r="AV80" s="185"/>
      <c r="AW80" s="131"/>
      <c r="AX80" s="185"/>
      <c r="AY80" s="131"/>
      <c r="AZ80" s="185"/>
      <c r="BA80" s="131"/>
      <c r="BB80" s="185"/>
      <c r="BC80" s="131"/>
      <c r="BD80" s="185"/>
      <c r="BE80" s="131"/>
      <c r="BF80" s="185"/>
      <c r="BG80" s="131"/>
      <c r="BH80" s="185"/>
      <c r="BI80" s="131"/>
      <c r="BJ80" s="185"/>
      <c r="BK80" s="131"/>
      <c r="BL80" s="185"/>
      <c r="BM80" s="131"/>
      <c r="BN80" s="185"/>
      <c r="BO80" s="131"/>
      <c r="BP80" s="134"/>
      <c r="BQ80" s="131"/>
      <c r="BR80" s="134"/>
      <c r="BS80" s="133"/>
      <c r="BT80" s="131"/>
      <c r="BU80" s="134"/>
      <c r="BV80" s="131"/>
      <c r="BW80" s="134"/>
      <c r="BX80" s="131"/>
      <c r="BY80" s="134"/>
      <c r="BZ80" s="131"/>
      <c r="CA80" s="134"/>
      <c r="CB80" s="133"/>
      <c r="CC80" s="131"/>
      <c r="CD80" s="134"/>
      <c r="CE80" s="133"/>
      <c r="CF80" s="131"/>
      <c r="CG80" s="134"/>
      <c r="CH80" s="133"/>
      <c r="CI80" s="131"/>
      <c r="CJ80" s="134"/>
      <c r="CK80" s="133"/>
      <c r="CL80" s="131"/>
      <c r="CM80" s="134"/>
      <c r="CN80" s="133"/>
      <c r="CO80" s="131"/>
      <c r="CP80" s="134"/>
      <c r="CQ80" s="133"/>
      <c r="CR80" s="131"/>
      <c r="CS80" s="134"/>
      <c r="CT80" s="133"/>
      <c r="CU80" s="131"/>
      <c r="CV80" s="134"/>
      <c r="CW80" s="133"/>
      <c r="CX80" s="131"/>
      <c r="CY80" s="134"/>
      <c r="CZ80" s="133"/>
      <c r="DA80" s="140"/>
      <c r="DB80" s="141"/>
      <c r="DC80" s="142"/>
      <c r="DD80" s="140"/>
      <c r="DE80" s="141"/>
      <c r="DF80" s="142"/>
      <c r="DG80" s="140"/>
      <c r="DH80" s="141"/>
      <c r="DI80" s="142"/>
      <c r="DJ80" s="140"/>
      <c r="DK80" s="141"/>
      <c r="DL80" s="142"/>
      <c r="DM80" s="140"/>
      <c r="DN80" s="141"/>
      <c r="DO80" s="142"/>
      <c r="DP80" s="140"/>
      <c r="DQ80" s="141"/>
      <c r="DR80" s="142"/>
      <c r="DS80" s="140"/>
      <c r="DT80" s="141"/>
      <c r="DU80" s="142"/>
      <c r="DV80" s="140"/>
      <c r="DW80" s="141"/>
      <c r="DX80" s="142"/>
      <c r="DY80" s="140"/>
      <c r="DZ80" s="141"/>
      <c r="EA80" s="142"/>
      <c r="EB80" s="140"/>
      <c r="EC80" s="141"/>
      <c r="ED80" s="142"/>
      <c r="EE80" s="140"/>
      <c r="EF80" s="141"/>
      <c r="EG80" s="142"/>
      <c r="EH80" s="140"/>
      <c r="EI80" s="141"/>
      <c r="EJ80" s="142"/>
      <c r="EK80" s="140"/>
      <c r="EL80" s="141"/>
      <c r="EM80" s="142"/>
      <c r="EN80" s="140"/>
      <c r="EO80" s="141"/>
      <c r="EP80" s="142"/>
      <c r="EQ80" s="140"/>
      <c r="ER80" s="141"/>
      <c r="ES80" s="142"/>
      <c r="ET80" s="140"/>
      <c r="EU80" s="141"/>
      <c r="EV80" s="142"/>
      <c r="EW80" s="140"/>
      <c r="EX80" s="141"/>
      <c r="EY80" s="142"/>
      <c r="EZ80" s="140"/>
      <c r="FA80" s="141"/>
      <c r="FB80" s="142"/>
      <c r="FC80" s="140"/>
      <c r="FD80" s="141"/>
      <c r="FE80" s="142"/>
      <c r="FF80" s="140"/>
      <c r="FG80" s="141"/>
      <c r="FH80" s="142"/>
      <c r="FI80" s="140"/>
      <c r="FJ80" s="141"/>
      <c r="FK80" s="142"/>
      <c r="FL80" s="140"/>
      <c r="FM80" s="141"/>
      <c r="FN80" s="142"/>
      <c r="FO80" s="140"/>
      <c r="FP80" s="141"/>
      <c r="FQ80" s="142"/>
      <c r="FR80" s="140"/>
      <c r="FS80" s="141"/>
      <c r="FT80" s="142"/>
      <c r="FU80" s="140"/>
      <c r="FV80" s="141"/>
      <c r="FW80" s="142"/>
      <c r="FX80" s="140"/>
      <c r="FY80" s="141"/>
      <c r="FZ80" s="142"/>
      <c r="GA80" s="140"/>
      <c r="GB80" s="141"/>
      <c r="GC80" s="142"/>
      <c r="GD80" s="140"/>
      <c r="GE80" s="141"/>
      <c r="GF80" s="142"/>
      <c r="GG80" s="140"/>
      <c r="GH80" s="141"/>
      <c r="GI80" s="142"/>
      <c r="GJ80" s="140"/>
      <c r="GK80" s="141"/>
      <c r="GL80" s="142"/>
      <c r="GM80" s="140"/>
      <c r="GN80" s="141"/>
      <c r="GO80" s="142"/>
      <c r="GP80" s="140"/>
      <c r="GQ80" s="141"/>
      <c r="GR80" s="142"/>
      <c r="GS80" s="140"/>
      <c r="GT80" s="141"/>
      <c r="GU80" s="142"/>
      <c r="GV80" s="140"/>
      <c r="GW80" s="141"/>
      <c r="GX80" s="142"/>
      <c r="GY80" s="164"/>
      <c r="GZ80" s="134"/>
      <c r="HA80" s="185"/>
      <c r="HB80" s="164"/>
      <c r="HC80" s="185"/>
      <c r="HD80" s="164"/>
      <c r="HE80" s="185"/>
      <c r="HF80" s="164"/>
      <c r="HG80" s="185"/>
      <c r="HH80" s="164">
        <f>'1910 Hacienda'!C116</f>
        <v>94</v>
      </c>
      <c r="HI80" s="185">
        <f>'1910 Hacienda'!D116</f>
        <v>0</v>
      </c>
      <c r="HJ80" s="164"/>
      <c r="HK80" s="185"/>
      <c r="HL80" s="164"/>
      <c r="HM80" s="185"/>
      <c r="HN80" s="164"/>
      <c r="HO80" s="185"/>
      <c r="HP80" s="164"/>
      <c r="HQ80" s="185"/>
      <c r="HR80" s="164"/>
      <c r="HS80" s="185"/>
      <c r="HT80" s="164"/>
      <c r="HU80" s="185"/>
    </row>
    <row r="81" spans="1:229" ht="30" x14ac:dyDescent="0.2">
      <c r="A81" s="384" t="s">
        <v>5481</v>
      </c>
      <c r="B81" s="131"/>
      <c r="C81" s="134"/>
      <c r="D81" s="133"/>
      <c r="E81" s="131"/>
      <c r="F81" s="134"/>
      <c r="G81" s="133"/>
      <c r="H81" s="131"/>
      <c r="I81" s="134"/>
      <c r="J81" s="133"/>
      <c r="K81" s="131"/>
      <c r="L81" s="134"/>
      <c r="M81" s="133"/>
      <c r="N81" s="131"/>
      <c r="O81" s="134"/>
      <c r="P81" s="133"/>
      <c r="Q81" s="131"/>
      <c r="R81" s="134"/>
      <c r="S81" s="133"/>
      <c r="T81" s="131"/>
      <c r="U81" s="134"/>
      <c r="V81" s="133"/>
      <c r="W81" s="131"/>
      <c r="X81" s="134"/>
      <c r="Y81" s="133"/>
      <c r="Z81" s="131"/>
      <c r="AA81" s="134"/>
      <c r="AB81" s="133"/>
      <c r="AC81" s="131"/>
      <c r="AD81" s="134"/>
      <c r="AE81" s="133"/>
      <c r="AF81" s="131"/>
      <c r="AG81" s="134"/>
      <c r="AH81" s="133"/>
      <c r="AI81" s="145"/>
      <c r="AJ81" s="134"/>
      <c r="AK81" s="133"/>
      <c r="AL81" s="131"/>
      <c r="AM81" s="134"/>
      <c r="AN81" s="133"/>
      <c r="AO81" s="131"/>
      <c r="AP81" s="134"/>
      <c r="AQ81" s="133"/>
      <c r="AR81" s="131"/>
      <c r="AS81" s="134"/>
      <c r="AT81" s="180"/>
      <c r="AU81" s="131"/>
      <c r="AV81" s="185"/>
      <c r="AW81" s="131"/>
      <c r="AX81" s="185"/>
      <c r="AY81" s="131"/>
      <c r="AZ81" s="185"/>
      <c r="BA81" s="131"/>
      <c r="BB81" s="185"/>
      <c r="BC81" s="131"/>
      <c r="BD81" s="185"/>
      <c r="BE81" s="131"/>
      <c r="BF81" s="185"/>
      <c r="BG81" s="131"/>
      <c r="BH81" s="185"/>
      <c r="BI81" s="131"/>
      <c r="BJ81" s="185"/>
      <c r="BK81" s="131"/>
      <c r="BL81" s="185"/>
      <c r="BM81" s="131"/>
      <c r="BN81" s="185"/>
      <c r="BO81" s="131"/>
      <c r="BP81" s="134"/>
      <c r="BQ81" s="131"/>
      <c r="BR81" s="134"/>
      <c r="BS81" s="133"/>
      <c r="BT81" s="131"/>
      <c r="BU81" s="134"/>
      <c r="BV81" s="131"/>
      <c r="BW81" s="134"/>
      <c r="BX81" s="131"/>
      <c r="BY81" s="134"/>
      <c r="BZ81" s="131"/>
      <c r="CA81" s="134"/>
      <c r="CB81" s="133"/>
      <c r="CC81" s="131"/>
      <c r="CD81" s="134"/>
      <c r="CE81" s="133"/>
      <c r="CF81" s="131"/>
      <c r="CG81" s="134"/>
      <c r="CH81" s="133"/>
      <c r="CI81" s="131"/>
      <c r="CJ81" s="134"/>
      <c r="CK81" s="133"/>
      <c r="CL81" s="131"/>
      <c r="CM81" s="134"/>
      <c r="CN81" s="133"/>
      <c r="CO81" s="131"/>
      <c r="CP81" s="134"/>
      <c r="CQ81" s="133"/>
      <c r="CR81" s="131"/>
      <c r="CS81" s="134"/>
      <c r="CT81" s="133"/>
      <c r="CU81" s="131"/>
      <c r="CV81" s="134"/>
      <c r="CW81" s="133"/>
      <c r="CX81" s="131"/>
      <c r="CY81" s="134"/>
      <c r="CZ81" s="133"/>
      <c r="DA81" s="140"/>
      <c r="DB81" s="141"/>
      <c r="DC81" s="142"/>
      <c r="DD81" s="140"/>
      <c r="DE81" s="141"/>
      <c r="DF81" s="142"/>
      <c r="DG81" s="140"/>
      <c r="DH81" s="141"/>
      <c r="DI81" s="142"/>
      <c r="DJ81" s="140"/>
      <c r="DK81" s="141"/>
      <c r="DL81" s="142"/>
      <c r="DM81" s="140"/>
      <c r="DN81" s="141"/>
      <c r="DO81" s="142"/>
      <c r="DP81" s="140"/>
      <c r="DQ81" s="141"/>
      <c r="DR81" s="142"/>
      <c r="DS81" s="140"/>
      <c r="DT81" s="141"/>
      <c r="DU81" s="142"/>
      <c r="DV81" s="140"/>
      <c r="DW81" s="141"/>
      <c r="DX81" s="142"/>
      <c r="DY81" s="140"/>
      <c r="DZ81" s="141"/>
      <c r="EA81" s="142"/>
      <c r="EB81" s="140"/>
      <c r="EC81" s="141"/>
      <c r="ED81" s="142"/>
      <c r="EE81" s="140"/>
      <c r="EF81" s="141"/>
      <c r="EG81" s="142"/>
      <c r="EH81" s="140"/>
      <c r="EI81" s="141"/>
      <c r="EJ81" s="142"/>
      <c r="EK81" s="140"/>
      <c r="EL81" s="141"/>
      <c r="EM81" s="142"/>
      <c r="EN81" s="140"/>
      <c r="EO81" s="141"/>
      <c r="EP81" s="142"/>
      <c r="EQ81" s="140"/>
      <c r="ER81" s="141"/>
      <c r="ES81" s="142"/>
      <c r="ET81" s="140"/>
      <c r="EU81" s="141"/>
      <c r="EV81" s="142"/>
      <c r="EW81" s="140"/>
      <c r="EX81" s="141"/>
      <c r="EY81" s="142"/>
      <c r="EZ81" s="140"/>
      <c r="FA81" s="141"/>
      <c r="FB81" s="142"/>
      <c r="FC81" s="140"/>
      <c r="FD81" s="141"/>
      <c r="FE81" s="142"/>
      <c r="FF81" s="140"/>
      <c r="FG81" s="141"/>
      <c r="FH81" s="142"/>
      <c r="FI81" s="140"/>
      <c r="FJ81" s="141"/>
      <c r="FK81" s="142"/>
      <c r="FL81" s="140"/>
      <c r="FM81" s="141"/>
      <c r="FN81" s="142"/>
      <c r="FO81" s="140"/>
      <c r="FP81" s="141"/>
      <c r="FQ81" s="142"/>
      <c r="FR81" s="140"/>
      <c r="FS81" s="141"/>
      <c r="FT81" s="142"/>
      <c r="FU81" s="140"/>
      <c r="FV81" s="141"/>
      <c r="FW81" s="142"/>
      <c r="FX81" s="140"/>
      <c r="FY81" s="141"/>
      <c r="FZ81" s="142"/>
      <c r="GA81" s="140"/>
      <c r="GB81" s="141"/>
      <c r="GC81" s="142"/>
      <c r="GD81" s="140"/>
      <c r="GE81" s="141"/>
      <c r="GF81" s="142"/>
      <c r="GG81" s="140"/>
      <c r="GH81" s="141"/>
      <c r="GI81" s="142"/>
      <c r="GJ81" s="140"/>
      <c r="GK81" s="141"/>
      <c r="GL81" s="142"/>
      <c r="GM81" s="140"/>
      <c r="GN81" s="141"/>
      <c r="GO81" s="142"/>
      <c r="GP81" s="140"/>
      <c r="GQ81" s="141"/>
      <c r="GR81" s="142"/>
      <c r="GS81" s="140"/>
      <c r="GT81" s="141"/>
      <c r="GU81" s="142"/>
      <c r="GV81" s="140"/>
      <c r="GW81" s="141"/>
      <c r="GX81" s="142"/>
      <c r="GY81" s="164"/>
      <c r="GZ81" s="134"/>
      <c r="HA81" s="185"/>
      <c r="HB81" s="164"/>
      <c r="HC81" s="185"/>
      <c r="HD81" s="164"/>
      <c r="HE81" s="185"/>
      <c r="HF81" s="164"/>
      <c r="HG81" s="185"/>
      <c r="HH81" s="164"/>
      <c r="HI81" s="185"/>
      <c r="HJ81" s="164">
        <f>+'1910 Hacienda'!C155</f>
        <v>19400</v>
      </c>
      <c r="HK81" s="185">
        <f>+'1910 Hacienda'!D155</f>
        <v>57</v>
      </c>
      <c r="HL81" s="164"/>
      <c r="HM81" s="185"/>
      <c r="HN81" s="164"/>
      <c r="HO81" s="185"/>
      <c r="HP81" s="164"/>
      <c r="HQ81" s="185"/>
      <c r="HR81" s="164"/>
      <c r="HS81" s="185"/>
      <c r="HT81" s="164"/>
      <c r="HU81" s="185"/>
    </row>
    <row r="82" spans="1:229" x14ac:dyDescent="0.2">
      <c r="A82" s="184" t="s">
        <v>5460</v>
      </c>
      <c r="B82" s="131"/>
      <c r="C82" s="134"/>
      <c r="D82" s="133"/>
      <c r="E82" s="131"/>
      <c r="F82" s="134"/>
      <c r="G82" s="133"/>
      <c r="H82" s="131"/>
      <c r="I82" s="134"/>
      <c r="J82" s="133"/>
      <c r="K82" s="131"/>
      <c r="L82" s="134"/>
      <c r="M82" s="133"/>
      <c r="N82" s="131"/>
      <c r="O82" s="134"/>
      <c r="P82" s="133"/>
      <c r="Q82" s="131"/>
      <c r="R82" s="134"/>
      <c r="S82" s="133"/>
      <c r="T82" s="131"/>
      <c r="U82" s="134"/>
      <c r="V82" s="133"/>
      <c r="W82" s="131"/>
      <c r="X82" s="134"/>
      <c r="Y82" s="133"/>
      <c r="Z82" s="131"/>
      <c r="AA82" s="134"/>
      <c r="AB82" s="133"/>
      <c r="AC82" s="131"/>
      <c r="AD82" s="134"/>
      <c r="AE82" s="133"/>
      <c r="AF82" s="131"/>
      <c r="AG82" s="134"/>
      <c r="AH82" s="133"/>
      <c r="AI82" s="145"/>
      <c r="AJ82" s="134"/>
      <c r="AK82" s="133"/>
      <c r="AL82" s="131"/>
      <c r="AM82" s="134"/>
      <c r="AN82" s="133"/>
      <c r="AO82" s="131"/>
      <c r="AP82" s="134"/>
      <c r="AQ82" s="133"/>
      <c r="AR82" s="131"/>
      <c r="AS82" s="134"/>
      <c r="AT82" s="180"/>
      <c r="AU82" s="131"/>
      <c r="AV82" s="185"/>
      <c r="AW82" s="131"/>
      <c r="AX82" s="185"/>
      <c r="AY82" s="131"/>
      <c r="AZ82" s="185"/>
      <c r="BA82" s="131"/>
      <c r="BB82" s="185"/>
      <c r="BC82" s="131"/>
      <c r="BD82" s="185"/>
      <c r="BE82" s="131"/>
      <c r="BF82" s="185"/>
      <c r="BG82" s="131"/>
      <c r="BH82" s="185"/>
      <c r="BI82" s="131"/>
      <c r="BJ82" s="185"/>
      <c r="BK82" s="131"/>
      <c r="BL82" s="185"/>
      <c r="BM82" s="131"/>
      <c r="BN82" s="185"/>
      <c r="BO82" s="131"/>
      <c r="BP82" s="134"/>
      <c r="BQ82" s="131"/>
      <c r="BR82" s="134"/>
      <c r="BS82" s="133"/>
      <c r="BT82" s="131"/>
      <c r="BU82" s="134"/>
      <c r="BV82" s="131"/>
      <c r="BW82" s="134"/>
      <c r="BX82" s="131"/>
      <c r="BY82" s="134"/>
      <c r="BZ82" s="131"/>
      <c r="CA82" s="134"/>
      <c r="CB82" s="133"/>
      <c r="CC82" s="131"/>
      <c r="CD82" s="134"/>
      <c r="CE82" s="133"/>
      <c r="CF82" s="131"/>
      <c r="CG82" s="134"/>
      <c r="CH82" s="133"/>
      <c r="CI82" s="131"/>
      <c r="CJ82" s="134"/>
      <c r="CK82" s="133"/>
      <c r="CL82" s="131"/>
      <c r="CM82" s="134"/>
      <c r="CN82" s="133"/>
      <c r="CO82" s="131"/>
      <c r="CP82" s="134"/>
      <c r="CQ82" s="133"/>
      <c r="CR82" s="131"/>
      <c r="CS82" s="134"/>
      <c r="CT82" s="133"/>
      <c r="CU82" s="131"/>
      <c r="CV82" s="134"/>
      <c r="CW82" s="133"/>
      <c r="CX82" s="131"/>
      <c r="CY82" s="134"/>
      <c r="CZ82" s="133"/>
      <c r="DA82" s="140"/>
      <c r="DB82" s="141"/>
      <c r="DC82" s="142"/>
      <c r="DD82" s="140"/>
      <c r="DE82" s="141"/>
      <c r="DF82" s="142"/>
      <c r="DG82" s="140"/>
      <c r="DH82" s="141"/>
      <c r="DI82" s="142"/>
      <c r="DJ82" s="140"/>
      <c r="DK82" s="141"/>
      <c r="DL82" s="142"/>
      <c r="DM82" s="140"/>
      <c r="DN82" s="141"/>
      <c r="DO82" s="142"/>
      <c r="DP82" s="140"/>
      <c r="DQ82" s="141"/>
      <c r="DR82" s="142"/>
      <c r="DS82" s="140"/>
      <c r="DT82" s="141"/>
      <c r="DU82" s="142"/>
      <c r="DV82" s="140"/>
      <c r="DW82" s="141"/>
      <c r="DX82" s="142"/>
      <c r="DY82" s="140"/>
      <c r="DZ82" s="141"/>
      <c r="EA82" s="142"/>
      <c r="EB82" s="140"/>
      <c r="EC82" s="141"/>
      <c r="ED82" s="142"/>
      <c r="EE82" s="140"/>
      <c r="EF82" s="141"/>
      <c r="EG82" s="142"/>
      <c r="EH82" s="140"/>
      <c r="EI82" s="141"/>
      <c r="EJ82" s="142"/>
      <c r="EK82" s="140"/>
      <c r="EL82" s="141"/>
      <c r="EM82" s="142"/>
      <c r="EN82" s="140"/>
      <c r="EO82" s="141"/>
      <c r="EP82" s="142"/>
      <c r="EQ82" s="140"/>
      <c r="ER82" s="141"/>
      <c r="ES82" s="142"/>
      <c r="ET82" s="140"/>
      <c r="EU82" s="141"/>
      <c r="EV82" s="142"/>
      <c r="EW82" s="140"/>
      <c r="EX82" s="141"/>
      <c r="EY82" s="142"/>
      <c r="EZ82" s="140"/>
      <c r="FA82" s="141"/>
      <c r="FB82" s="142"/>
      <c r="FC82" s="140"/>
      <c r="FD82" s="141"/>
      <c r="FE82" s="142"/>
      <c r="FF82" s="140"/>
      <c r="FG82" s="141"/>
      <c r="FH82" s="142"/>
      <c r="FI82" s="140"/>
      <c r="FJ82" s="141"/>
      <c r="FK82" s="142"/>
      <c r="FL82" s="140"/>
      <c r="FM82" s="141"/>
      <c r="FN82" s="142"/>
      <c r="FO82" s="140"/>
      <c r="FP82" s="141"/>
      <c r="FQ82" s="142"/>
      <c r="FR82" s="140"/>
      <c r="FS82" s="141"/>
      <c r="FT82" s="142"/>
      <c r="FU82" s="140"/>
      <c r="FV82" s="141"/>
      <c r="FW82" s="142"/>
      <c r="FX82" s="140"/>
      <c r="FY82" s="141"/>
      <c r="FZ82" s="142"/>
      <c r="GA82" s="140"/>
      <c r="GB82" s="141"/>
      <c r="GC82" s="142"/>
      <c r="GD82" s="140"/>
      <c r="GE82" s="141"/>
      <c r="GF82" s="142"/>
      <c r="GG82" s="140"/>
      <c r="GH82" s="141"/>
      <c r="GI82" s="142"/>
      <c r="GJ82" s="140"/>
      <c r="GK82" s="141"/>
      <c r="GL82" s="142"/>
      <c r="GM82" s="140"/>
      <c r="GN82" s="141"/>
      <c r="GO82" s="142"/>
      <c r="GP82" s="140"/>
      <c r="GQ82" s="141"/>
      <c r="GR82" s="142"/>
      <c r="GS82" s="140"/>
      <c r="GT82" s="141"/>
      <c r="GU82" s="142"/>
      <c r="GV82" s="140"/>
      <c r="GW82" s="141"/>
      <c r="GX82" s="142"/>
      <c r="GY82" s="164"/>
      <c r="GZ82" s="134"/>
      <c r="HA82" s="185"/>
      <c r="HB82" s="164"/>
      <c r="HC82" s="185"/>
      <c r="HD82" s="164"/>
      <c r="HE82" s="185"/>
      <c r="HF82" s="164"/>
      <c r="HG82" s="185"/>
      <c r="HH82" s="164">
        <f>'1910 Hacienda'!C117</f>
        <v>563</v>
      </c>
      <c r="HI82" s="185">
        <f>'1910 Hacienda'!D117</f>
        <v>13</v>
      </c>
      <c r="HJ82" s="164"/>
      <c r="HK82" s="185"/>
      <c r="HL82" s="164"/>
      <c r="HM82" s="185"/>
      <c r="HN82" s="164"/>
      <c r="HO82" s="185"/>
      <c r="HP82" s="164"/>
      <c r="HQ82" s="185"/>
      <c r="HR82" s="164"/>
      <c r="HS82" s="185"/>
      <c r="HT82" s="164"/>
      <c r="HU82" s="185"/>
    </row>
    <row r="83" spans="1:229" x14ac:dyDescent="0.2">
      <c r="A83" s="184" t="s">
        <v>5461</v>
      </c>
      <c r="B83" s="131"/>
      <c r="C83" s="134"/>
      <c r="D83" s="133"/>
      <c r="E83" s="131"/>
      <c r="F83" s="134"/>
      <c r="G83" s="133"/>
      <c r="H83" s="131"/>
      <c r="I83" s="134"/>
      <c r="J83" s="133"/>
      <c r="K83" s="131"/>
      <c r="L83" s="134"/>
      <c r="M83" s="133"/>
      <c r="N83" s="131"/>
      <c r="O83" s="134"/>
      <c r="P83" s="133"/>
      <c r="Q83" s="131"/>
      <c r="R83" s="134"/>
      <c r="S83" s="133"/>
      <c r="T83" s="131"/>
      <c r="U83" s="134"/>
      <c r="V83" s="133"/>
      <c r="W83" s="131"/>
      <c r="X83" s="134"/>
      <c r="Y83" s="133"/>
      <c r="Z83" s="131"/>
      <c r="AA83" s="134"/>
      <c r="AB83" s="133"/>
      <c r="AC83" s="131"/>
      <c r="AD83" s="134"/>
      <c r="AE83" s="133"/>
      <c r="AF83" s="131"/>
      <c r="AG83" s="134"/>
      <c r="AH83" s="133"/>
      <c r="AI83" s="145"/>
      <c r="AJ83" s="134"/>
      <c r="AK83" s="133"/>
      <c r="AL83" s="131"/>
      <c r="AM83" s="134"/>
      <c r="AN83" s="133"/>
      <c r="AO83" s="131"/>
      <c r="AP83" s="134"/>
      <c r="AQ83" s="133"/>
      <c r="AR83" s="131"/>
      <c r="AS83" s="134"/>
      <c r="AT83" s="180"/>
      <c r="AU83" s="131"/>
      <c r="AV83" s="185"/>
      <c r="AW83" s="131"/>
      <c r="AX83" s="185"/>
      <c r="AY83" s="131"/>
      <c r="AZ83" s="185"/>
      <c r="BA83" s="131"/>
      <c r="BB83" s="185"/>
      <c r="BC83" s="131"/>
      <c r="BD83" s="185"/>
      <c r="BE83" s="131"/>
      <c r="BF83" s="185"/>
      <c r="BG83" s="131"/>
      <c r="BH83" s="185"/>
      <c r="BI83" s="131"/>
      <c r="BJ83" s="185"/>
      <c r="BK83" s="131"/>
      <c r="BL83" s="185"/>
      <c r="BM83" s="131"/>
      <c r="BN83" s="185"/>
      <c r="BO83" s="131"/>
      <c r="BP83" s="134"/>
      <c r="BQ83" s="131"/>
      <c r="BR83" s="134"/>
      <c r="BS83" s="133"/>
      <c r="BT83" s="131"/>
      <c r="BU83" s="134"/>
      <c r="BV83" s="131"/>
      <c r="BW83" s="134"/>
      <c r="BX83" s="131"/>
      <c r="BY83" s="134"/>
      <c r="BZ83" s="131"/>
      <c r="CA83" s="134"/>
      <c r="CB83" s="133"/>
      <c r="CC83" s="131"/>
      <c r="CD83" s="134"/>
      <c r="CE83" s="133"/>
      <c r="CF83" s="131"/>
      <c r="CG83" s="134"/>
      <c r="CH83" s="133"/>
      <c r="CI83" s="131"/>
      <c r="CJ83" s="134"/>
      <c r="CK83" s="133"/>
      <c r="CL83" s="131"/>
      <c r="CM83" s="134"/>
      <c r="CN83" s="133"/>
      <c r="CO83" s="131"/>
      <c r="CP83" s="134"/>
      <c r="CQ83" s="133"/>
      <c r="CR83" s="131"/>
      <c r="CS83" s="134"/>
      <c r="CT83" s="133"/>
      <c r="CU83" s="131"/>
      <c r="CV83" s="134"/>
      <c r="CW83" s="133"/>
      <c r="CX83" s="131"/>
      <c r="CY83" s="134"/>
      <c r="CZ83" s="133"/>
      <c r="DA83" s="140"/>
      <c r="DB83" s="141"/>
      <c r="DC83" s="142"/>
      <c r="DD83" s="140"/>
      <c r="DE83" s="141"/>
      <c r="DF83" s="142"/>
      <c r="DG83" s="140"/>
      <c r="DH83" s="141"/>
      <c r="DI83" s="142"/>
      <c r="DJ83" s="140"/>
      <c r="DK83" s="141"/>
      <c r="DL83" s="142"/>
      <c r="DM83" s="140"/>
      <c r="DN83" s="141"/>
      <c r="DO83" s="142"/>
      <c r="DP83" s="140"/>
      <c r="DQ83" s="141"/>
      <c r="DR83" s="142"/>
      <c r="DS83" s="140"/>
      <c r="DT83" s="141"/>
      <c r="DU83" s="142"/>
      <c r="DV83" s="140"/>
      <c r="DW83" s="141"/>
      <c r="DX83" s="142"/>
      <c r="DY83" s="140"/>
      <c r="DZ83" s="141"/>
      <c r="EA83" s="142"/>
      <c r="EB83" s="140"/>
      <c r="EC83" s="141"/>
      <c r="ED83" s="142"/>
      <c r="EE83" s="140"/>
      <c r="EF83" s="141"/>
      <c r="EG83" s="142"/>
      <c r="EH83" s="140"/>
      <c r="EI83" s="141"/>
      <c r="EJ83" s="142"/>
      <c r="EK83" s="140"/>
      <c r="EL83" s="141"/>
      <c r="EM83" s="142"/>
      <c r="EN83" s="140"/>
      <c r="EO83" s="141"/>
      <c r="EP83" s="142"/>
      <c r="EQ83" s="140"/>
      <c r="ER83" s="141"/>
      <c r="ES83" s="142"/>
      <c r="ET83" s="140"/>
      <c r="EU83" s="141"/>
      <c r="EV83" s="142"/>
      <c r="EW83" s="140"/>
      <c r="EX83" s="141"/>
      <c r="EY83" s="142"/>
      <c r="EZ83" s="140"/>
      <c r="FA83" s="141"/>
      <c r="FB83" s="142"/>
      <c r="FC83" s="140"/>
      <c r="FD83" s="141"/>
      <c r="FE83" s="142"/>
      <c r="FF83" s="140"/>
      <c r="FG83" s="141"/>
      <c r="FH83" s="142"/>
      <c r="FI83" s="140"/>
      <c r="FJ83" s="141"/>
      <c r="FK83" s="142"/>
      <c r="FL83" s="140"/>
      <c r="FM83" s="141"/>
      <c r="FN83" s="142"/>
      <c r="FO83" s="140"/>
      <c r="FP83" s="141"/>
      <c r="FQ83" s="142"/>
      <c r="FR83" s="140"/>
      <c r="FS83" s="141"/>
      <c r="FT83" s="142"/>
      <c r="FU83" s="140"/>
      <c r="FV83" s="141"/>
      <c r="FW83" s="142"/>
      <c r="FX83" s="140"/>
      <c r="FY83" s="141"/>
      <c r="FZ83" s="142"/>
      <c r="GA83" s="140"/>
      <c r="GB83" s="141"/>
      <c r="GC83" s="142"/>
      <c r="GD83" s="140"/>
      <c r="GE83" s="141"/>
      <c r="GF83" s="142"/>
      <c r="GG83" s="140"/>
      <c r="GH83" s="141"/>
      <c r="GI83" s="142"/>
      <c r="GJ83" s="140"/>
      <c r="GK83" s="141"/>
      <c r="GL83" s="142"/>
      <c r="GM83" s="140"/>
      <c r="GN83" s="141"/>
      <c r="GO83" s="142"/>
      <c r="GP83" s="140"/>
      <c r="GQ83" s="141"/>
      <c r="GR83" s="142"/>
      <c r="GS83" s="140"/>
      <c r="GT83" s="141"/>
      <c r="GU83" s="142"/>
      <c r="GV83" s="140"/>
      <c r="GW83" s="141"/>
      <c r="GX83" s="142"/>
      <c r="GY83" s="164"/>
      <c r="GZ83" s="134"/>
      <c r="HA83" s="185"/>
      <c r="HB83" s="164"/>
      <c r="HC83" s="185"/>
      <c r="HD83" s="164"/>
      <c r="HE83" s="185"/>
      <c r="HF83" s="164"/>
      <c r="HG83" s="185"/>
      <c r="HH83" s="164">
        <f>'1910 Hacienda'!C118</f>
        <v>4894</v>
      </c>
      <c r="HI83" s="185">
        <f>'1910 Hacienda'!D118</f>
        <v>32</v>
      </c>
      <c r="HJ83" s="164"/>
      <c r="HK83" s="185"/>
      <c r="HL83" s="164"/>
      <c r="HM83" s="185"/>
      <c r="HN83" s="164"/>
      <c r="HO83" s="185"/>
      <c r="HP83" s="164"/>
      <c r="HQ83" s="185"/>
      <c r="HR83" s="164"/>
      <c r="HS83" s="185"/>
      <c r="HT83" s="164"/>
      <c r="HU83" s="185"/>
    </row>
    <row r="84" spans="1:229" x14ac:dyDescent="0.2">
      <c r="A84" s="184" t="s">
        <v>5462</v>
      </c>
      <c r="B84" s="131"/>
      <c r="C84" s="134"/>
      <c r="D84" s="133"/>
      <c r="E84" s="131"/>
      <c r="F84" s="134"/>
      <c r="G84" s="133"/>
      <c r="H84" s="131"/>
      <c r="I84" s="134"/>
      <c r="J84" s="133"/>
      <c r="K84" s="131"/>
      <c r="L84" s="134"/>
      <c r="M84" s="133"/>
      <c r="N84" s="131"/>
      <c r="O84" s="134"/>
      <c r="P84" s="133"/>
      <c r="Q84" s="131"/>
      <c r="R84" s="134"/>
      <c r="S84" s="133"/>
      <c r="T84" s="131"/>
      <c r="U84" s="134"/>
      <c r="V84" s="133"/>
      <c r="W84" s="131"/>
      <c r="X84" s="134"/>
      <c r="Y84" s="133"/>
      <c r="Z84" s="131"/>
      <c r="AA84" s="134"/>
      <c r="AB84" s="133"/>
      <c r="AC84" s="131"/>
      <c r="AD84" s="134"/>
      <c r="AE84" s="133"/>
      <c r="AF84" s="131"/>
      <c r="AG84" s="134"/>
      <c r="AH84" s="133"/>
      <c r="AI84" s="145"/>
      <c r="AJ84" s="134"/>
      <c r="AK84" s="133"/>
      <c r="AL84" s="131"/>
      <c r="AM84" s="134"/>
      <c r="AN84" s="133"/>
      <c r="AO84" s="131"/>
      <c r="AP84" s="134"/>
      <c r="AQ84" s="133"/>
      <c r="AR84" s="131"/>
      <c r="AS84" s="134"/>
      <c r="AT84" s="180"/>
      <c r="AU84" s="131"/>
      <c r="AV84" s="185"/>
      <c r="AW84" s="131"/>
      <c r="AX84" s="185"/>
      <c r="AY84" s="131"/>
      <c r="AZ84" s="185"/>
      <c r="BA84" s="131"/>
      <c r="BB84" s="185"/>
      <c r="BC84" s="131"/>
      <c r="BD84" s="185"/>
      <c r="BE84" s="131"/>
      <c r="BF84" s="185"/>
      <c r="BG84" s="131"/>
      <c r="BH84" s="185"/>
      <c r="BI84" s="131"/>
      <c r="BJ84" s="185"/>
      <c r="BK84" s="131"/>
      <c r="BL84" s="185"/>
      <c r="BM84" s="131"/>
      <c r="BN84" s="185"/>
      <c r="BO84" s="131"/>
      <c r="BP84" s="134"/>
      <c r="BQ84" s="131"/>
      <c r="BR84" s="134"/>
      <c r="BS84" s="133"/>
      <c r="BT84" s="131"/>
      <c r="BU84" s="134"/>
      <c r="BV84" s="131"/>
      <c r="BW84" s="134"/>
      <c r="BX84" s="131"/>
      <c r="BY84" s="134"/>
      <c r="BZ84" s="131"/>
      <c r="CA84" s="134"/>
      <c r="CB84" s="133"/>
      <c r="CC84" s="131"/>
      <c r="CD84" s="134"/>
      <c r="CE84" s="133"/>
      <c r="CF84" s="131"/>
      <c r="CG84" s="134"/>
      <c r="CH84" s="133"/>
      <c r="CI84" s="131"/>
      <c r="CJ84" s="134"/>
      <c r="CK84" s="133"/>
      <c r="CL84" s="131"/>
      <c r="CM84" s="134"/>
      <c r="CN84" s="133"/>
      <c r="CO84" s="131"/>
      <c r="CP84" s="134"/>
      <c r="CQ84" s="133"/>
      <c r="CR84" s="131"/>
      <c r="CS84" s="134"/>
      <c r="CT84" s="133"/>
      <c r="CU84" s="131"/>
      <c r="CV84" s="134"/>
      <c r="CW84" s="133"/>
      <c r="CX84" s="131"/>
      <c r="CY84" s="134"/>
      <c r="CZ84" s="133"/>
      <c r="DA84" s="140"/>
      <c r="DB84" s="141"/>
      <c r="DC84" s="142"/>
      <c r="DD84" s="140"/>
      <c r="DE84" s="141"/>
      <c r="DF84" s="142"/>
      <c r="DG84" s="140"/>
      <c r="DH84" s="141"/>
      <c r="DI84" s="142"/>
      <c r="DJ84" s="140"/>
      <c r="DK84" s="141"/>
      <c r="DL84" s="142"/>
      <c r="DM84" s="140"/>
      <c r="DN84" s="141"/>
      <c r="DO84" s="142"/>
      <c r="DP84" s="140"/>
      <c r="DQ84" s="141"/>
      <c r="DR84" s="142"/>
      <c r="DS84" s="140"/>
      <c r="DT84" s="141"/>
      <c r="DU84" s="142"/>
      <c r="DV84" s="140"/>
      <c r="DW84" s="141"/>
      <c r="DX84" s="142"/>
      <c r="DY84" s="140"/>
      <c r="DZ84" s="141"/>
      <c r="EA84" s="142"/>
      <c r="EB84" s="140"/>
      <c r="EC84" s="141"/>
      <c r="ED84" s="142"/>
      <c r="EE84" s="140"/>
      <c r="EF84" s="141"/>
      <c r="EG84" s="142"/>
      <c r="EH84" s="140"/>
      <c r="EI84" s="141"/>
      <c r="EJ84" s="142"/>
      <c r="EK84" s="140"/>
      <c r="EL84" s="141"/>
      <c r="EM84" s="142"/>
      <c r="EN84" s="140"/>
      <c r="EO84" s="141"/>
      <c r="EP84" s="142"/>
      <c r="EQ84" s="140"/>
      <c r="ER84" s="141"/>
      <c r="ES84" s="142"/>
      <c r="ET84" s="140"/>
      <c r="EU84" s="141"/>
      <c r="EV84" s="142"/>
      <c r="EW84" s="140"/>
      <c r="EX84" s="141"/>
      <c r="EY84" s="142"/>
      <c r="EZ84" s="140"/>
      <c r="FA84" s="141"/>
      <c r="FB84" s="142"/>
      <c r="FC84" s="140"/>
      <c r="FD84" s="141"/>
      <c r="FE84" s="142"/>
      <c r="FF84" s="140"/>
      <c r="FG84" s="141"/>
      <c r="FH84" s="142"/>
      <c r="FI84" s="140"/>
      <c r="FJ84" s="141"/>
      <c r="FK84" s="142"/>
      <c r="FL84" s="140"/>
      <c r="FM84" s="141"/>
      <c r="FN84" s="142"/>
      <c r="FO84" s="140"/>
      <c r="FP84" s="141"/>
      <c r="FQ84" s="142"/>
      <c r="FR84" s="140"/>
      <c r="FS84" s="141"/>
      <c r="FT84" s="142"/>
      <c r="FU84" s="140"/>
      <c r="FV84" s="141"/>
      <c r="FW84" s="142"/>
      <c r="FX84" s="140"/>
      <c r="FY84" s="141"/>
      <c r="FZ84" s="142"/>
      <c r="GA84" s="140"/>
      <c r="GB84" s="141"/>
      <c r="GC84" s="142"/>
      <c r="GD84" s="140"/>
      <c r="GE84" s="141"/>
      <c r="GF84" s="142"/>
      <c r="GG84" s="140"/>
      <c r="GH84" s="141"/>
      <c r="GI84" s="142"/>
      <c r="GJ84" s="140"/>
      <c r="GK84" s="141"/>
      <c r="GL84" s="142"/>
      <c r="GM84" s="140"/>
      <c r="GN84" s="141"/>
      <c r="GO84" s="142"/>
      <c r="GP84" s="140"/>
      <c r="GQ84" s="141"/>
      <c r="GR84" s="142"/>
      <c r="GS84" s="140"/>
      <c r="GT84" s="141"/>
      <c r="GU84" s="142"/>
      <c r="GV84" s="140"/>
      <c r="GW84" s="141"/>
      <c r="GX84" s="142"/>
      <c r="GY84" s="164"/>
      <c r="GZ84" s="134"/>
      <c r="HA84" s="185"/>
      <c r="HB84" s="164"/>
      <c r="HC84" s="185"/>
      <c r="HD84" s="164"/>
      <c r="HE84" s="185"/>
      <c r="HF84" s="164"/>
      <c r="HG84" s="185"/>
      <c r="HH84" s="164">
        <f>'1910 Hacienda'!C119</f>
        <v>15932</v>
      </c>
      <c r="HI84" s="185">
        <f>'1910 Hacienda'!D119</f>
        <v>65</v>
      </c>
      <c r="HJ84" s="164"/>
      <c r="HK84" s="185"/>
      <c r="HL84" s="164"/>
      <c r="HM84" s="185"/>
      <c r="HN84" s="164"/>
      <c r="HO84" s="185"/>
      <c r="HP84" s="164"/>
      <c r="HQ84" s="185"/>
      <c r="HR84" s="164"/>
      <c r="HS84" s="185"/>
      <c r="HT84" s="164"/>
      <c r="HU84" s="185"/>
    </row>
    <row r="85" spans="1:229" x14ac:dyDescent="0.2">
      <c r="A85" s="184" t="s">
        <v>5463</v>
      </c>
      <c r="B85" s="131"/>
      <c r="C85" s="134"/>
      <c r="D85" s="133"/>
      <c r="E85" s="131"/>
      <c r="F85" s="134"/>
      <c r="G85" s="133"/>
      <c r="H85" s="131"/>
      <c r="I85" s="134"/>
      <c r="J85" s="133"/>
      <c r="K85" s="131"/>
      <c r="L85" s="134"/>
      <c r="M85" s="133"/>
      <c r="N85" s="131"/>
      <c r="O85" s="134"/>
      <c r="P85" s="133"/>
      <c r="Q85" s="131"/>
      <c r="R85" s="134"/>
      <c r="S85" s="133"/>
      <c r="T85" s="131"/>
      <c r="U85" s="134"/>
      <c r="V85" s="133"/>
      <c r="W85" s="131"/>
      <c r="X85" s="134"/>
      <c r="Y85" s="133"/>
      <c r="Z85" s="131"/>
      <c r="AA85" s="134"/>
      <c r="AB85" s="133"/>
      <c r="AC85" s="131"/>
      <c r="AD85" s="134"/>
      <c r="AE85" s="133"/>
      <c r="AF85" s="131"/>
      <c r="AG85" s="134"/>
      <c r="AH85" s="133"/>
      <c r="AI85" s="145"/>
      <c r="AJ85" s="134"/>
      <c r="AK85" s="133"/>
      <c r="AL85" s="131"/>
      <c r="AM85" s="134"/>
      <c r="AN85" s="133"/>
      <c r="AO85" s="131"/>
      <c r="AP85" s="134"/>
      <c r="AQ85" s="133"/>
      <c r="AR85" s="131"/>
      <c r="AS85" s="134"/>
      <c r="AT85" s="180"/>
      <c r="AU85" s="131"/>
      <c r="AV85" s="185"/>
      <c r="AW85" s="131"/>
      <c r="AX85" s="185"/>
      <c r="AY85" s="131"/>
      <c r="AZ85" s="185"/>
      <c r="BA85" s="131"/>
      <c r="BB85" s="185"/>
      <c r="BC85" s="131"/>
      <c r="BD85" s="185"/>
      <c r="BE85" s="131"/>
      <c r="BF85" s="185"/>
      <c r="BG85" s="131"/>
      <c r="BH85" s="185"/>
      <c r="BI85" s="131"/>
      <c r="BJ85" s="185"/>
      <c r="BK85" s="131"/>
      <c r="BL85" s="185"/>
      <c r="BM85" s="131"/>
      <c r="BN85" s="185"/>
      <c r="BO85" s="131"/>
      <c r="BP85" s="134"/>
      <c r="BQ85" s="131"/>
      <c r="BR85" s="134"/>
      <c r="BS85" s="133"/>
      <c r="BT85" s="131"/>
      <c r="BU85" s="134"/>
      <c r="BV85" s="131"/>
      <c r="BW85" s="134"/>
      <c r="BX85" s="131"/>
      <c r="BY85" s="134"/>
      <c r="BZ85" s="131"/>
      <c r="CA85" s="134"/>
      <c r="CB85" s="133"/>
      <c r="CC85" s="131"/>
      <c r="CD85" s="134"/>
      <c r="CE85" s="133"/>
      <c r="CF85" s="131"/>
      <c r="CG85" s="134"/>
      <c r="CH85" s="133"/>
      <c r="CI85" s="131"/>
      <c r="CJ85" s="134"/>
      <c r="CK85" s="133"/>
      <c r="CL85" s="131"/>
      <c r="CM85" s="134"/>
      <c r="CN85" s="133"/>
      <c r="CO85" s="131"/>
      <c r="CP85" s="134"/>
      <c r="CQ85" s="133"/>
      <c r="CR85" s="131"/>
      <c r="CS85" s="134"/>
      <c r="CT85" s="133"/>
      <c r="CU85" s="131"/>
      <c r="CV85" s="134"/>
      <c r="CW85" s="133"/>
      <c r="CX85" s="131"/>
      <c r="CY85" s="134"/>
      <c r="CZ85" s="133"/>
      <c r="DA85" s="140"/>
      <c r="DB85" s="141"/>
      <c r="DC85" s="142"/>
      <c r="DD85" s="140"/>
      <c r="DE85" s="141"/>
      <c r="DF85" s="142"/>
      <c r="DG85" s="140"/>
      <c r="DH85" s="141"/>
      <c r="DI85" s="142"/>
      <c r="DJ85" s="140"/>
      <c r="DK85" s="141"/>
      <c r="DL85" s="142"/>
      <c r="DM85" s="140"/>
      <c r="DN85" s="141"/>
      <c r="DO85" s="142"/>
      <c r="DP85" s="140"/>
      <c r="DQ85" s="141"/>
      <c r="DR85" s="142"/>
      <c r="DS85" s="140"/>
      <c r="DT85" s="141"/>
      <c r="DU85" s="142"/>
      <c r="DV85" s="140"/>
      <c r="DW85" s="141"/>
      <c r="DX85" s="142"/>
      <c r="DY85" s="140"/>
      <c r="DZ85" s="141"/>
      <c r="EA85" s="142"/>
      <c r="EB85" s="140"/>
      <c r="EC85" s="141"/>
      <c r="ED85" s="142"/>
      <c r="EE85" s="140"/>
      <c r="EF85" s="141"/>
      <c r="EG85" s="142"/>
      <c r="EH85" s="140"/>
      <c r="EI85" s="141"/>
      <c r="EJ85" s="142"/>
      <c r="EK85" s="140"/>
      <c r="EL85" s="141"/>
      <c r="EM85" s="142"/>
      <c r="EN85" s="140"/>
      <c r="EO85" s="141"/>
      <c r="EP85" s="142"/>
      <c r="EQ85" s="140"/>
      <c r="ER85" s="141"/>
      <c r="ES85" s="142"/>
      <c r="ET85" s="140"/>
      <c r="EU85" s="141"/>
      <c r="EV85" s="142"/>
      <c r="EW85" s="140"/>
      <c r="EX85" s="141"/>
      <c r="EY85" s="142"/>
      <c r="EZ85" s="140"/>
      <c r="FA85" s="141"/>
      <c r="FB85" s="142"/>
      <c r="FC85" s="140"/>
      <c r="FD85" s="141"/>
      <c r="FE85" s="142"/>
      <c r="FF85" s="140"/>
      <c r="FG85" s="141"/>
      <c r="FH85" s="142"/>
      <c r="FI85" s="140"/>
      <c r="FJ85" s="141"/>
      <c r="FK85" s="142"/>
      <c r="FL85" s="140"/>
      <c r="FM85" s="141"/>
      <c r="FN85" s="142"/>
      <c r="FO85" s="140"/>
      <c r="FP85" s="141"/>
      <c r="FQ85" s="142"/>
      <c r="FR85" s="140"/>
      <c r="FS85" s="141"/>
      <c r="FT85" s="142"/>
      <c r="FU85" s="140"/>
      <c r="FV85" s="141"/>
      <c r="FW85" s="142"/>
      <c r="FX85" s="140"/>
      <c r="FY85" s="141"/>
      <c r="FZ85" s="142"/>
      <c r="GA85" s="140"/>
      <c r="GB85" s="141"/>
      <c r="GC85" s="142"/>
      <c r="GD85" s="140"/>
      <c r="GE85" s="141"/>
      <c r="GF85" s="142"/>
      <c r="GG85" s="140"/>
      <c r="GH85" s="141"/>
      <c r="GI85" s="142"/>
      <c r="GJ85" s="140"/>
      <c r="GK85" s="141"/>
      <c r="GL85" s="142"/>
      <c r="GM85" s="140"/>
      <c r="GN85" s="141"/>
      <c r="GO85" s="142"/>
      <c r="GP85" s="140"/>
      <c r="GQ85" s="141"/>
      <c r="GR85" s="142"/>
      <c r="GS85" s="140"/>
      <c r="GT85" s="141"/>
      <c r="GU85" s="142"/>
      <c r="GV85" s="140"/>
      <c r="GW85" s="141"/>
      <c r="GX85" s="142"/>
      <c r="GY85" s="164"/>
      <c r="GZ85" s="134"/>
      <c r="HA85" s="185"/>
      <c r="HB85" s="164"/>
      <c r="HC85" s="185"/>
      <c r="HD85" s="164"/>
      <c r="HE85" s="185"/>
      <c r="HF85" s="164"/>
      <c r="HG85" s="185"/>
      <c r="HH85" s="164">
        <f>'1910 Hacienda'!C120</f>
        <v>1431</v>
      </c>
      <c r="HI85" s="185">
        <f>'1910 Hacienda'!D120</f>
        <v>87</v>
      </c>
      <c r="HJ85" s="164"/>
      <c r="HK85" s="185"/>
      <c r="HL85" s="164"/>
      <c r="HM85" s="185"/>
      <c r="HN85" s="164"/>
      <c r="HO85" s="185"/>
      <c r="HP85" s="164"/>
      <c r="HQ85" s="185"/>
      <c r="HR85" s="164"/>
      <c r="HS85" s="185"/>
      <c r="HT85" s="164"/>
      <c r="HU85" s="185"/>
    </row>
    <row r="86" spans="1:229" x14ac:dyDescent="0.2">
      <c r="A86" s="134" t="s">
        <v>5466</v>
      </c>
      <c r="B86" s="131"/>
      <c r="C86" s="134"/>
      <c r="D86" s="133"/>
      <c r="E86" s="131"/>
      <c r="F86" s="134"/>
      <c r="G86" s="133"/>
      <c r="H86" s="131"/>
      <c r="I86" s="134"/>
      <c r="J86" s="133"/>
      <c r="K86" s="131"/>
      <c r="L86" s="134"/>
      <c r="M86" s="133"/>
      <c r="N86" s="131"/>
      <c r="O86" s="134"/>
      <c r="P86" s="133"/>
      <c r="Q86" s="131"/>
      <c r="R86" s="134"/>
      <c r="S86" s="133"/>
      <c r="T86" s="131"/>
      <c r="U86" s="134"/>
      <c r="V86" s="133"/>
      <c r="W86" s="131"/>
      <c r="X86" s="134"/>
      <c r="Y86" s="133"/>
      <c r="Z86" s="131"/>
      <c r="AA86" s="134"/>
      <c r="AB86" s="133"/>
      <c r="AC86" s="131"/>
      <c r="AD86" s="134"/>
      <c r="AE86" s="133"/>
      <c r="AF86" s="131"/>
      <c r="AG86" s="134"/>
      <c r="AH86" s="133"/>
      <c r="AI86" s="145"/>
      <c r="AJ86" s="134"/>
      <c r="AK86" s="133"/>
      <c r="AL86" s="131"/>
      <c r="AM86" s="134"/>
      <c r="AN86" s="133"/>
      <c r="AO86" s="131"/>
      <c r="AP86" s="134"/>
      <c r="AQ86" s="133"/>
      <c r="AR86" s="131"/>
      <c r="AS86" s="134"/>
      <c r="AT86" s="180"/>
      <c r="AU86" s="131"/>
      <c r="AV86" s="185"/>
      <c r="AW86" s="131"/>
      <c r="AX86" s="185"/>
      <c r="AY86" s="131"/>
      <c r="AZ86" s="185"/>
      <c r="BA86" s="131"/>
      <c r="BB86" s="185"/>
      <c r="BC86" s="131"/>
      <c r="BD86" s="185"/>
      <c r="BE86" s="131"/>
      <c r="BF86" s="185"/>
      <c r="BG86" s="131"/>
      <c r="BH86" s="185"/>
      <c r="BI86" s="131"/>
      <c r="BJ86" s="185"/>
      <c r="BK86" s="131"/>
      <c r="BL86" s="185"/>
      <c r="BM86" s="131"/>
      <c r="BN86" s="185"/>
      <c r="BO86" s="131"/>
      <c r="BP86" s="134"/>
      <c r="BQ86" s="131"/>
      <c r="BR86" s="145"/>
      <c r="BS86" s="134"/>
      <c r="BT86" s="131"/>
      <c r="BU86" s="134"/>
      <c r="BV86" s="131"/>
      <c r="BW86" s="134"/>
      <c r="BX86" s="131"/>
      <c r="BY86" s="134"/>
      <c r="BZ86" s="131"/>
      <c r="CA86" s="145"/>
      <c r="CB86" s="134"/>
      <c r="CC86" s="131"/>
      <c r="CD86" s="145"/>
      <c r="CE86" s="134"/>
      <c r="CF86" s="131"/>
      <c r="CG86" s="145"/>
      <c r="CH86" s="134"/>
      <c r="CI86" s="131"/>
      <c r="CJ86" s="145"/>
      <c r="CK86" s="134"/>
      <c r="CL86" s="131"/>
      <c r="CM86" s="145"/>
      <c r="CN86" s="134"/>
      <c r="CO86" s="131"/>
      <c r="CP86" s="145"/>
      <c r="CQ86" s="134"/>
      <c r="CR86" s="131"/>
      <c r="CS86" s="145"/>
      <c r="CT86" s="134"/>
      <c r="CU86" s="131"/>
      <c r="CV86" s="145"/>
      <c r="CW86" s="134"/>
      <c r="CX86" s="131"/>
      <c r="CY86" s="145"/>
      <c r="CZ86" s="134"/>
      <c r="DA86" s="140"/>
      <c r="DB86" s="141"/>
      <c r="DC86" s="142"/>
      <c r="DD86" s="140"/>
      <c r="DE86" s="141"/>
      <c r="DF86" s="142"/>
      <c r="DG86" s="140"/>
      <c r="DH86" s="141"/>
      <c r="DI86" s="142"/>
      <c r="DJ86" s="140"/>
      <c r="DK86" s="141"/>
      <c r="DL86" s="142"/>
      <c r="DM86" s="140"/>
      <c r="DN86" s="141"/>
      <c r="DO86" s="142"/>
      <c r="DP86" s="140"/>
      <c r="DQ86" s="141"/>
      <c r="DR86" s="142"/>
      <c r="DS86" s="140"/>
      <c r="DT86" s="141"/>
      <c r="DU86" s="142"/>
      <c r="DV86" s="140"/>
      <c r="DW86" s="141"/>
      <c r="DX86" s="142"/>
      <c r="DY86" s="140"/>
      <c r="DZ86" s="141"/>
      <c r="EA86" s="142"/>
      <c r="EB86" s="140"/>
      <c r="EC86" s="141"/>
      <c r="ED86" s="142"/>
      <c r="EE86" s="140"/>
      <c r="EF86" s="141"/>
      <c r="EG86" s="142"/>
      <c r="EH86" s="140"/>
      <c r="EI86" s="141"/>
      <c r="EJ86" s="142"/>
      <c r="EK86" s="140"/>
      <c r="EL86" s="141"/>
      <c r="EM86" s="142"/>
      <c r="EN86" s="140"/>
      <c r="EO86" s="141"/>
      <c r="EP86" s="142"/>
      <c r="EQ86" s="140"/>
      <c r="ER86" s="141"/>
      <c r="ES86" s="142"/>
      <c r="ET86" s="140"/>
      <c r="EU86" s="141"/>
      <c r="EV86" s="142"/>
      <c r="EW86" s="140"/>
      <c r="EX86" s="141"/>
      <c r="EY86" s="142"/>
      <c r="EZ86" s="140"/>
      <c r="FA86" s="141"/>
      <c r="FB86" s="142"/>
      <c r="FC86" s="140"/>
      <c r="FD86" s="141"/>
      <c r="FE86" s="142"/>
      <c r="FF86" s="140"/>
      <c r="FG86" s="141"/>
      <c r="FH86" s="142"/>
      <c r="FI86" s="140"/>
      <c r="FJ86" s="141"/>
      <c r="FK86" s="142"/>
      <c r="FL86" s="140"/>
      <c r="FM86" s="141"/>
      <c r="FN86" s="142"/>
      <c r="FO86" s="140"/>
      <c r="FP86" s="141"/>
      <c r="FQ86" s="142"/>
      <c r="FR86" s="140"/>
      <c r="FS86" s="141"/>
      <c r="FT86" s="142"/>
      <c r="FU86" s="140"/>
      <c r="FV86" s="141"/>
      <c r="FW86" s="142"/>
      <c r="FX86" s="140"/>
      <c r="FY86" s="141"/>
      <c r="FZ86" s="142"/>
      <c r="GA86" s="140"/>
      <c r="GB86" s="141"/>
      <c r="GC86" s="142"/>
      <c r="GD86" s="140"/>
      <c r="GE86" s="141"/>
      <c r="GF86" s="142"/>
      <c r="GG86" s="140"/>
      <c r="GH86" s="141"/>
      <c r="GI86" s="142"/>
      <c r="GJ86" s="140"/>
      <c r="GK86" s="141"/>
      <c r="GL86" s="142"/>
      <c r="GM86" s="140"/>
      <c r="GN86" s="141"/>
      <c r="GO86" s="142"/>
      <c r="GP86" s="140"/>
      <c r="GQ86" s="141"/>
      <c r="GR86" s="142"/>
      <c r="GS86" s="140"/>
      <c r="GT86" s="141"/>
      <c r="GU86" s="142"/>
      <c r="GV86" s="140"/>
      <c r="GW86" s="141"/>
      <c r="GX86" s="142"/>
      <c r="GY86" s="164"/>
      <c r="GZ86" s="134"/>
      <c r="HA86" s="185"/>
      <c r="HB86" s="164"/>
      <c r="HC86" s="185"/>
      <c r="HD86" s="164"/>
      <c r="HE86" s="185"/>
      <c r="HF86" s="164"/>
      <c r="HG86" s="185"/>
      <c r="HH86" s="164"/>
      <c r="HI86" s="185"/>
      <c r="HJ86" s="164">
        <f>'1910 Hacienda'!C129</f>
        <v>18328</v>
      </c>
      <c r="HK86" s="185">
        <f>'1910 Hacienda'!D129</f>
        <v>28</v>
      </c>
      <c r="HL86" s="164"/>
      <c r="HM86" s="185"/>
      <c r="HN86" s="164"/>
      <c r="HO86" s="185"/>
      <c r="HP86" s="164"/>
      <c r="HQ86" s="185"/>
      <c r="HR86" s="164"/>
      <c r="HS86" s="185"/>
      <c r="HT86" s="164"/>
      <c r="HU86" s="185"/>
    </row>
    <row r="87" spans="1:229" x14ac:dyDescent="0.2">
      <c r="A87" s="184" t="s">
        <v>5482</v>
      </c>
      <c r="B87" s="164"/>
      <c r="C87" s="134"/>
      <c r="D87" s="185"/>
      <c r="E87" s="164"/>
      <c r="F87" s="134"/>
      <c r="G87" s="185"/>
      <c r="H87" s="164"/>
      <c r="I87" s="134"/>
      <c r="J87" s="185"/>
      <c r="K87" s="164"/>
      <c r="L87" s="134"/>
      <c r="M87" s="185"/>
      <c r="N87" s="164"/>
      <c r="O87" s="134"/>
      <c r="P87" s="185"/>
      <c r="Q87" s="164"/>
      <c r="R87" s="134"/>
      <c r="S87" s="185"/>
      <c r="T87" s="164"/>
      <c r="U87" s="134"/>
      <c r="V87" s="185"/>
      <c r="W87" s="164"/>
      <c r="X87" s="134"/>
      <c r="Y87" s="185"/>
      <c r="Z87" s="164"/>
      <c r="AA87" s="134"/>
      <c r="AB87" s="185"/>
      <c r="AC87" s="164"/>
      <c r="AD87" s="134"/>
      <c r="AE87" s="185"/>
      <c r="AF87" s="164"/>
      <c r="AG87" s="134"/>
      <c r="AH87" s="185"/>
      <c r="AU87" s="164"/>
      <c r="AW87" s="164"/>
      <c r="AY87" s="164"/>
      <c r="BA87" s="164"/>
      <c r="BC87" s="164"/>
      <c r="BE87" s="164"/>
      <c r="BG87" s="164"/>
      <c r="BI87" s="164"/>
      <c r="BK87" s="164"/>
      <c r="BM87" s="164"/>
      <c r="BO87" s="164"/>
      <c r="BQ87" s="131"/>
      <c r="BR87" s="145"/>
      <c r="BS87" s="185"/>
      <c r="BT87" s="131"/>
      <c r="BU87" s="185"/>
      <c r="BV87" s="131"/>
      <c r="BW87" s="185"/>
      <c r="BX87" s="131"/>
      <c r="BY87" s="185"/>
      <c r="BZ87" s="131"/>
      <c r="CA87" s="145"/>
      <c r="CB87" s="185"/>
      <c r="CC87" s="131"/>
      <c r="CD87" s="145"/>
      <c r="CE87" s="185"/>
      <c r="CF87" s="131"/>
      <c r="CG87" s="145"/>
      <c r="CH87" s="185"/>
      <c r="CI87" s="131"/>
      <c r="CJ87" s="145"/>
      <c r="CK87" s="185"/>
      <c r="CL87" s="131"/>
      <c r="CM87" s="145"/>
      <c r="CN87" s="185"/>
      <c r="CO87" s="131"/>
      <c r="CP87" s="145"/>
      <c r="CQ87" s="185"/>
      <c r="CR87" s="131"/>
      <c r="CS87" s="145"/>
      <c r="CT87" s="185"/>
      <c r="CU87" s="131"/>
      <c r="CV87" s="145"/>
      <c r="CW87" s="185"/>
      <c r="CX87" s="131"/>
      <c r="CY87" s="145"/>
      <c r="CZ87" s="185"/>
      <c r="DA87" s="140"/>
      <c r="DB87" s="141"/>
      <c r="DC87" s="142"/>
      <c r="DD87" s="140"/>
      <c r="DE87" s="141"/>
      <c r="DF87" s="142"/>
      <c r="DG87" s="140"/>
      <c r="DH87" s="141"/>
      <c r="DI87" s="142"/>
      <c r="DJ87" s="140"/>
      <c r="DK87" s="141"/>
      <c r="DL87" s="142"/>
      <c r="DM87" s="140"/>
      <c r="DN87" s="141"/>
      <c r="DO87" s="142"/>
      <c r="DP87" s="140"/>
      <c r="DQ87" s="141"/>
      <c r="DR87" s="142"/>
      <c r="DS87" s="140"/>
      <c r="DT87" s="141"/>
      <c r="DU87" s="142"/>
      <c r="DV87" s="140"/>
      <c r="DW87" s="141"/>
      <c r="DX87" s="142"/>
      <c r="DY87" s="140"/>
      <c r="DZ87" s="141"/>
      <c r="EA87" s="142"/>
      <c r="EB87" s="140"/>
      <c r="EC87" s="141"/>
      <c r="ED87" s="142"/>
      <c r="EE87" s="140"/>
      <c r="EF87" s="141"/>
      <c r="EG87" s="142"/>
      <c r="EH87" s="140"/>
      <c r="EI87" s="141"/>
      <c r="EJ87" s="142"/>
      <c r="EK87" s="140"/>
      <c r="EL87" s="141"/>
      <c r="EM87" s="142"/>
      <c r="EN87" s="140"/>
      <c r="EO87" s="141"/>
      <c r="EP87" s="142"/>
      <c r="EQ87" s="140"/>
      <c r="ER87" s="141"/>
      <c r="ES87" s="142"/>
      <c r="ET87" s="140"/>
      <c r="EU87" s="141"/>
      <c r="EV87" s="142"/>
      <c r="EW87" s="140"/>
      <c r="EX87" s="141"/>
      <c r="EY87" s="142"/>
      <c r="EZ87" s="140"/>
      <c r="FA87" s="141"/>
      <c r="FB87" s="142"/>
      <c r="FC87" s="140"/>
      <c r="FD87" s="141"/>
      <c r="FE87" s="142"/>
      <c r="FF87" s="140"/>
      <c r="FG87" s="141"/>
      <c r="FH87" s="142"/>
      <c r="FI87" s="140"/>
      <c r="FJ87" s="141"/>
      <c r="FK87" s="142"/>
      <c r="FL87" s="140"/>
      <c r="FM87" s="141"/>
      <c r="FN87" s="142"/>
      <c r="FO87" s="140"/>
      <c r="FP87" s="141"/>
      <c r="FQ87" s="142"/>
      <c r="FR87" s="140"/>
      <c r="FS87" s="141"/>
      <c r="FT87" s="142"/>
      <c r="FU87" s="140"/>
      <c r="FV87" s="141"/>
      <c r="FW87" s="142"/>
      <c r="FX87" s="140"/>
      <c r="FY87" s="141"/>
      <c r="FZ87" s="142"/>
      <c r="GA87" s="140"/>
      <c r="GB87" s="141"/>
      <c r="GC87" s="142"/>
      <c r="GD87" s="140"/>
      <c r="GE87" s="141"/>
      <c r="GF87" s="142"/>
      <c r="GG87" s="140"/>
      <c r="GH87" s="141"/>
      <c r="GI87" s="142"/>
      <c r="GJ87" s="140"/>
      <c r="GK87" s="141"/>
      <c r="GL87" s="142"/>
      <c r="GM87" s="140"/>
      <c r="GN87" s="141"/>
      <c r="GO87" s="142"/>
      <c r="GP87" s="140"/>
      <c r="GQ87" s="141"/>
      <c r="GR87" s="142"/>
      <c r="GS87" s="140"/>
      <c r="GT87" s="141"/>
      <c r="GU87" s="142"/>
      <c r="GV87" s="140"/>
      <c r="GW87" s="141"/>
      <c r="GX87" s="142"/>
      <c r="GY87" s="164"/>
      <c r="GZ87" s="134"/>
      <c r="HA87" s="185"/>
      <c r="HB87" s="164"/>
      <c r="HC87" s="185"/>
      <c r="HD87" s="164"/>
      <c r="HE87" s="185"/>
      <c r="HF87" s="164"/>
      <c r="HG87" s="185"/>
      <c r="HH87" s="164"/>
      <c r="HI87" s="185"/>
      <c r="HJ87" s="164">
        <f>+'1910 Hacienda'!C157</f>
        <v>360161</v>
      </c>
      <c r="HK87" s="185">
        <f>+'1910 Hacienda'!D157</f>
        <v>82</v>
      </c>
      <c r="HL87" s="164"/>
      <c r="HM87" s="185"/>
      <c r="HN87" s="164"/>
      <c r="HO87" s="185"/>
      <c r="HP87" s="164"/>
      <c r="HQ87" s="185"/>
      <c r="HR87" s="164"/>
      <c r="HS87" s="185"/>
      <c r="HT87" s="164"/>
      <c r="HU87" s="185"/>
    </row>
    <row r="88" spans="1:229" x14ac:dyDescent="0.2">
      <c r="A88" s="134" t="s">
        <v>5468</v>
      </c>
      <c r="B88" s="131"/>
      <c r="C88" s="134"/>
      <c r="D88" s="133"/>
      <c r="E88" s="131"/>
      <c r="F88" s="134"/>
      <c r="G88" s="133"/>
      <c r="H88" s="131"/>
      <c r="I88" s="134"/>
      <c r="J88" s="133"/>
      <c r="K88" s="131"/>
      <c r="L88" s="134"/>
      <c r="M88" s="133"/>
      <c r="N88" s="131"/>
      <c r="O88" s="134"/>
      <c r="P88" s="133"/>
      <c r="Q88" s="131"/>
      <c r="R88" s="134"/>
      <c r="S88" s="133"/>
      <c r="T88" s="131"/>
      <c r="U88" s="134"/>
      <c r="V88" s="133"/>
      <c r="W88" s="131"/>
      <c r="X88" s="134"/>
      <c r="Y88" s="133"/>
      <c r="Z88" s="131"/>
      <c r="AA88" s="134"/>
      <c r="AB88" s="133"/>
      <c r="AC88" s="131"/>
      <c r="AD88" s="134"/>
      <c r="AE88" s="133"/>
      <c r="AF88" s="131"/>
      <c r="AG88" s="134"/>
      <c r="AH88" s="133"/>
      <c r="AI88" s="145"/>
      <c r="AJ88" s="134"/>
      <c r="AK88" s="133"/>
      <c r="AL88" s="131"/>
      <c r="AM88" s="134"/>
      <c r="AN88" s="133"/>
      <c r="AO88" s="131"/>
      <c r="AP88" s="134"/>
      <c r="AQ88" s="133"/>
      <c r="AR88" s="131"/>
      <c r="AS88" s="134"/>
      <c r="AT88" s="180"/>
      <c r="AU88" s="164"/>
      <c r="AW88" s="164"/>
      <c r="AY88" s="164"/>
      <c r="BA88" s="164"/>
      <c r="BC88" s="164"/>
      <c r="BE88" s="164"/>
      <c r="BG88" s="164"/>
      <c r="BI88" s="164"/>
      <c r="BK88" s="164"/>
      <c r="BM88" s="164"/>
      <c r="BO88" s="164"/>
      <c r="BQ88" s="131"/>
      <c r="BR88" s="145"/>
      <c r="BS88" s="185"/>
      <c r="BT88" s="131"/>
      <c r="BU88" s="185"/>
      <c r="BV88" s="131"/>
      <c r="BW88" s="185"/>
      <c r="BX88" s="131"/>
      <c r="BY88" s="185"/>
      <c r="BZ88" s="131"/>
      <c r="CA88" s="145"/>
      <c r="CB88" s="185"/>
      <c r="CC88" s="131"/>
      <c r="CD88" s="145"/>
      <c r="CE88" s="185"/>
      <c r="CF88" s="131"/>
      <c r="CG88" s="145"/>
      <c r="CH88" s="185"/>
      <c r="CI88" s="131"/>
      <c r="CJ88" s="145"/>
      <c r="CK88" s="185"/>
      <c r="CL88" s="131"/>
      <c r="CM88" s="145"/>
      <c r="CN88" s="185"/>
      <c r="CO88" s="131"/>
      <c r="CP88" s="145"/>
      <c r="CQ88" s="185"/>
      <c r="CR88" s="131"/>
      <c r="CS88" s="145"/>
      <c r="CT88" s="185"/>
      <c r="CU88" s="131"/>
      <c r="CV88" s="145"/>
      <c r="CW88" s="185"/>
      <c r="CX88" s="131"/>
      <c r="CY88" s="145"/>
      <c r="CZ88" s="185"/>
      <c r="DA88" s="140"/>
      <c r="DB88" s="141"/>
      <c r="DC88" s="142"/>
      <c r="DD88" s="140"/>
      <c r="DE88" s="141"/>
      <c r="DF88" s="142"/>
      <c r="DG88" s="140"/>
      <c r="DH88" s="141"/>
      <c r="DI88" s="142"/>
      <c r="DJ88" s="140"/>
      <c r="DK88" s="141"/>
      <c r="DL88" s="142"/>
      <c r="DM88" s="140"/>
      <c r="DN88" s="141"/>
      <c r="DO88" s="142"/>
      <c r="DP88" s="140"/>
      <c r="DQ88" s="141"/>
      <c r="DR88" s="142"/>
      <c r="DS88" s="140"/>
      <c r="DT88" s="141"/>
      <c r="DU88" s="142"/>
      <c r="DV88" s="140"/>
      <c r="DW88" s="141"/>
      <c r="DX88" s="142"/>
      <c r="DY88" s="140"/>
      <c r="DZ88" s="141"/>
      <c r="EA88" s="142"/>
      <c r="EB88" s="140"/>
      <c r="EC88" s="141"/>
      <c r="ED88" s="142"/>
      <c r="EE88" s="140"/>
      <c r="EF88" s="141"/>
      <c r="EG88" s="142"/>
      <c r="EH88" s="140"/>
      <c r="EI88" s="141"/>
      <c r="EJ88" s="142"/>
      <c r="EK88" s="140"/>
      <c r="EL88" s="141"/>
      <c r="EM88" s="142"/>
      <c r="EN88" s="140"/>
      <c r="EO88" s="141"/>
      <c r="EP88" s="142"/>
      <c r="EQ88" s="140"/>
      <c r="ER88" s="141"/>
      <c r="ES88" s="142"/>
      <c r="ET88" s="140"/>
      <c r="EU88" s="141"/>
      <c r="EV88" s="142"/>
      <c r="EW88" s="140"/>
      <c r="EX88" s="141"/>
      <c r="EY88" s="142"/>
      <c r="EZ88" s="140"/>
      <c r="FA88" s="141"/>
      <c r="FB88" s="142"/>
      <c r="FC88" s="140"/>
      <c r="FD88" s="141"/>
      <c r="FE88" s="142"/>
      <c r="FF88" s="140"/>
      <c r="FG88" s="141"/>
      <c r="FH88" s="142"/>
      <c r="FI88" s="140"/>
      <c r="FJ88" s="141"/>
      <c r="FK88" s="142"/>
      <c r="FL88" s="140"/>
      <c r="FM88" s="141"/>
      <c r="FN88" s="142"/>
      <c r="FO88" s="140"/>
      <c r="FP88" s="141"/>
      <c r="FQ88" s="142"/>
      <c r="FR88" s="140"/>
      <c r="FS88" s="141"/>
      <c r="FT88" s="142"/>
      <c r="FU88" s="140"/>
      <c r="FV88" s="141"/>
      <c r="FW88" s="142"/>
      <c r="FX88" s="140"/>
      <c r="FY88" s="141"/>
      <c r="FZ88" s="142"/>
      <c r="GA88" s="140"/>
      <c r="GB88" s="141"/>
      <c r="GC88" s="142"/>
      <c r="GD88" s="140"/>
      <c r="GE88" s="141"/>
      <c r="GF88" s="142"/>
      <c r="GG88" s="140"/>
      <c r="GH88" s="141"/>
      <c r="GI88" s="142"/>
      <c r="GJ88" s="140"/>
      <c r="GK88" s="141"/>
      <c r="GL88" s="142"/>
      <c r="GM88" s="140"/>
      <c r="GN88" s="141"/>
      <c r="GO88" s="142"/>
      <c r="GP88" s="140"/>
      <c r="GQ88" s="141"/>
      <c r="GR88" s="142"/>
      <c r="GS88" s="140"/>
      <c r="GT88" s="141"/>
      <c r="GU88" s="142"/>
      <c r="GV88" s="140"/>
      <c r="GW88" s="141"/>
      <c r="GX88" s="142"/>
      <c r="GY88" s="164"/>
      <c r="GZ88" s="134"/>
      <c r="HA88" s="185"/>
      <c r="HB88" s="164"/>
      <c r="HC88" s="185"/>
      <c r="HD88" s="164"/>
      <c r="HE88" s="185"/>
      <c r="HF88" s="164"/>
      <c r="HG88" s="185"/>
      <c r="HH88" s="164"/>
      <c r="HI88" s="185"/>
      <c r="HJ88" s="164">
        <f>'1910 Hacienda'!C131</f>
        <v>4390</v>
      </c>
      <c r="HK88" s="185">
        <f>'1910 Hacienda'!D131</f>
        <v>0</v>
      </c>
      <c r="HL88" s="164">
        <f>+'1911 Hacienda'!B27</f>
        <v>8410</v>
      </c>
      <c r="HM88" s="185">
        <f>+'1911 Hacienda'!C27</f>
        <v>0</v>
      </c>
      <c r="HN88" s="164"/>
      <c r="HO88" s="185"/>
      <c r="HP88" s="164">
        <f>+'1912 Hacienda'!B13</f>
        <v>9620</v>
      </c>
      <c r="HQ88" s="185">
        <f>+'1912 Hacienda'!C13</f>
        <v>0</v>
      </c>
      <c r="HR88" s="164"/>
      <c r="HS88" s="185"/>
      <c r="HT88" s="164">
        <f>+'1915 Hacienda'!D22</f>
        <v>9500</v>
      </c>
      <c r="HU88" s="185">
        <f>+'1915 Hacienda'!E22</f>
        <v>0</v>
      </c>
    </row>
    <row r="89" spans="1:229" x14ac:dyDescent="0.2">
      <c r="A89" s="178" t="s">
        <v>5557</v>
      </c>
      <c r="B89" s="131"/>
      <c r="C89" s="134"/>
      <c r="D89" s="133"/>
      <c r="E89" s="131"/>
      <c r="F89" s="134"/>
      <c r="G89" s="133"/>
      <c r="H89" s="131"/>
      <c r="I89" s="134"/>
      <c r="J89" s="133"/>
      <c r="K89" s="131"/>
      <c r="L89" s="134"/>
      <c r="M89" s="133"/>
      <c r="N89" s="131"/>
      <c r="O89" s="134"/>
      <c r="P89" s="133"/>
      <c r="Q89" s="131"/>
      <c r="R89" s="134"/>
      <c r="S89" s="133"/>
      <c r="T89" s="131"/>
      <c r="U89" s="134"/>
      <c r="V89" s="133"/>
      <c r="W89" s="131"/>
      <c r="X89" s="134"/>
      <c r="Y89" s="133"/>
      <c r="Z89" s="131"/>
      <c r="AA89" s="134"/>
      <c r="AB89" s="133"/>
      <c r="AC89" s="131"/>
      <c r="AD89" s="134"/>
      <c r="AE89" s="133"/>
      <c r="AF89" s="131"/>
      <c r="AG89" s="134"/>
      <c r="AH89" s="133"/>
      <c r="AI89" s="145"/>
      <c r="AJ89" s="134"/>
      <c r="AK89" s="133"/>
      <c r="AL89" s="131"/>
      <c r="AM89" s="134"/>
      <c r="AN89" s="133"/>
      <c r="AO89" s="131"/>
      <c r="AP89" s="134"/>
      <c r="AQ89" s="133"/>
      <c r="AR89" s="131"/>
      <c r="AS89" s="134"/>
      <c r="AT89" s="180"/>
      <c r="AU89" s="131"/>
      <c r="AV89" s="185"/>
      <c r="AW89" s="131"/>
      <c r="AX89" s="185"/>
      <c r="AY89" s="131"/>
      <c r="AZ89" s="185"/>
      <c r="BA89" s="131"/>
      <c r="BB89" s="185"/>
      <c r="BC89" s="131"/>
      <c r="BD89" s="185"/>
      <c r="BE89" s="131"/>
      <c r="BF89" s="185"/>
      <c r="BG89" s="131"/>
      <c r="BH89" s="185"/>
      <c r="BI89" s="131"/>
      <c r="BJ89" s="185"/>
      <c r="BK89" s="131"/>
      <c r="BL89" s="185"/>
      <c r="BM89" s="131"/>
      <c r="BN89" s="185"/>
      <c r="BO89" s="131"/>
      <c r="BP89" s="134"/>
      <c r="BQ89" s="131"/>
      <c r="BR89" s="145"/>
      <c r="BS89" s="185"/>
      <c r="BT89" s="131"/>
      <c r="BU89" s="185"/>
      <c r="BV89" s="145"/>
      <c r="BW89" s="185"/>
      <c r="BX89" s="145"/>
      <c r="BY89" s="134"/>
      <c r="BZ89" s="131"/>
      <c r="CA89" s="145"/>
      <c r="CB89" s="185"/>
      <c r="CC89" s="131"/>
      <c r="CD89" s="145"/>
      <c r="CE89" s="185"/>
      <c r="CF89" s="131"/>
      <c r="CG89" s="145"/>
      <c r="CH89" s="185"/>
      <c r="CI89" s="131"/>
      <c r="CJ89" s="145"/>
      <c r="CK89" s="185"/>
      <c r="CL89" s="131"/>
      <c r="CM89" s="145"/>
      <c r="CN89" s="185"/>
      <c r="CO89" s="131"/>
      <c r="CP89" s="145"/>
      <c r="CQ89" s="185"/>
      <c r="CR89" s="131"/>
      <c r="CS89" s="145"/>
      <c r="CT89" s="185"/>
      <c r="CU89" s="131"/>
      <c r="CV89" s="145"/>
      <c r="CW89" s="185"/>
      <c r="CX89" s="131"/>
      <c r="CY89" s="145"/>
      <c r="CZ89" s="185"/>
      <c r="DA89" s="140"/>
      <c r="DB89" s="141"/>
      <c r="DC89" s="142"/>
      <c r="DD89" s="140"/>
      <c r="DE89" s="141"/>
      <c r="DF89" s="142"/>
      <c r="DG89" s="140"/>
      <c r="DH89" s="141"/>
      <c r="DI89" s="142"/>
      <c r="DJ89" s="140"/>
      <c r="DK89" s="141"/>
      <c r="DL89" s="142"/>
      <c r="DM89" s="140"/>
      <c r="DN89" s="141"/>
      <c r="DO89" s="142"/>
      <c r="DP89" s="140"/>
      <c r="DQ89" s="141"/>
      <c r="DR89" s="142"/>
      <c r="DS89" s="140"/>
      <c r="DT89" s="141"/>
      <c r="DU89" s="142"/>
      <c r="DV89" s="140"/>
      <c r="DW89" s="141"/>
      <c r="DX89" s="142"/>
      <c r="DY89" s="140"/>
      <c r="DZ89" s="141"/>
      <c r="EA89" s="142"/>
      <c r="EB89" s="140"/>
      <c r="EC89" s="141"/>
      <c r="ED89" s="142"/>
      <c r="EE89" s="140"/>
      <c r="EF89" s="141"/>
      <c r="EG89" s="142"/>
      <c r="EH89" s="140"/>
      <c r="EI89" s="141"/>
      <c r="EJ89" s="142"/>
      <c r="EK89" s="140"/>
      <c r="EL89" s="141"/>
      <c r="EM89" s="142"/>
      <c r="EN89" s="140"/>
      <c r="EO89" s="141"/>
      <c r="EP89" s="142"/>
      <c r="EQ89" s="140"/>
      <c r="ER89" s="141"/>
      <c r="ES89" s="142"/>
      <c r="ET89" s="140"/>
      <c r="EU89" s="141"/>
      <c r="EV89" s="142"/>
      <c r="EW89" s="140"/>
      <c r="EX89" s="141"/>
      <c r="EY89" s="142"/>
      <c r="EZ89" s="140"/>
      <c r="FA89" s="141"/>
      <c r="FB89" s="142"/>
      <c r="FC89" s="140"/>
      <c r="FD89" s="141"/>
      <c r="FE89" s="142"/>
      <c r="FF89" s="140"/>
      <c r="FG89" s="141"/>
      <c r="FH89" s="142"/>
      <c r="FI89" s="140"/>
      <c r="FJ89" s="141"/>
      <c r="FK89" s="142"/>
      <c r="FL89" s="140"/>
      <c r="FM89" s="141"/>
      <c r="FN89" s="142"/>
      <c r="FO89" s="140"/>
      <c r="FP89" s="141"/>
      <c r="FQ89" s="142"/>
      <c r="FR89" s="140"/>
      <c r="FS89" s="141"/>
      <c r="FT89" s="142"/>
      <c r="FU89" s="140"/>
      <c r="FV89" s="141"/>
      <c r="FW89" s="142"/>
      <c r="FX89" s="140"/>
      <c r="FY89" s="141"/>
      <c r="FZ89" s="142"/>
      <c r="GA89" s="140"/>
      <c r="GB89" s="141"/>
      <c r="GC89" s="142"/>
      <c r="GD89" s="140"/>
      <c r="GE89" s="141"/>
      <c r="GF89" s="142"/>
      <c r="GG89" s="140"/>
      <c r="GH89" s="141"/>
      <c r="GI89" s="142"/>
      <c r="GJ89" s="140"/>
      <c r="GK89" s="141"/>
      <c r="GL89" s="142"/>
      <c r="GM89" s="140"/>
      <c r="GN89" s="141"/>
      <c r="GO89" s="142"/>
      <c r="GP89" s="140"/>
      <c r="GQ89" s="141"/>
      <c r="GR89" s="142"/>
      <c r="GS89" s="140"/>
      <c r="GT89" s="141"/>
      <c r="GU89" s="142"/>
      <c r="GV89" s="140"/>
      <c r="GW89" s="141"/>
      <c r="GX89" s="142"/>
      <c r="GY89" s="164"/>
      <c r="GZ89" s="134"/>
      <c r="HA89" s="185"/>
      <c r="HB89" s="164"/>
      <c r="HC89" s="185"/>
      <c r="HD89" s="164"/>
      <c r="HE89" s="185"/>
      <c r="HF89" s="164"/>
      <c r="HG89" s="185"/>
      <c r="HH89" s="164"/>
      <c r="HI89" s="185"/>
      <c r="HJ89" s="164"/>
      <c r="HK89" s="185"/>
      <c r="HL89" s="164">
        <f>+'1911 Hacienda'!B31</f>
        <v>308799</v>
      </c>
      <c r="HM89" s="185">
        <f>+'1911 Hacienda'!C31</f>
        <v>45</v>
      </c>
      <c r="HN89" s="164"/>
      <c r="HO89" s="185"/>
      <c r="HP89" s="164"/>
      <c r="HQ89" s="185"/>
      <c r="HR89" s="164"/>
      <c r="HS89" s="185"/>
      <c r="HT89" s="164"/>
      <c r="HU89" s="185"/>
    </row>
    <row r="90" spans="1:229" x14ac:dyDescent="0.2">
      <c r="A90" s="178" t="s">
        <v>5568</v>
      </c>
      <c r="B90" s="131"/>
      <c r="C90" s="134"/>
      <c r="D90" s="133"/>
      <c r="E90" s="131"/>
      <c r="F90" s="134"/>
      <c r="G90" s="133"/>
      <c r="H90" s="131"/>
      <c r="I90" s="134"/>
      <c r="J90" s="133"/>
      <c r="K90" s="131"/>
      <c r="L90" s="134"/>
      <c r="M90" s="133"/>
      <c r="N90" s="131"/>
      <c r="O90" s="134"/>
      <c r="P90" s="133"/>
      <c r="Q90" s="131"/>
      <c r="R90" s="134"/>
      <c r="S90" s="133"/>
      <c r="T90" s="131"/>
      <c r="U90" s="134"/>
      <c r="V90" s="133"/>
      <c r="W90" s="131"/>
      <c r="X90" s="134"/>
      <c r="Y90" s="133"/>
      <c r="Z90" s="131"/>
      <c r="AA90" s="134"/>
      <c r="AB90" s="133"/>
      <c r="AC90" s="131"/>
      <c r="AD90" s="134"/>
      <c r="AE90" s="133"/>
      <c r="AF90" s="131"/>
      <c r="AG90" s="134"/>
      <c r="AH90" s="133"/>
      <c r="AI90" s="145"/>
      <c r="AJ90" s="134"/>
      <c r="AK90" s="133"/>
      <c r="AL90" s="131"/>
      <c r="AM90" s="134"/>
      <c r="AN90" s="133"/>
      <c r="AO90" s="131"/>
      <c r="AP90" s="134"/>
      <c r="AQ90" s="133"/>
      <c r="AR90" s="131"/>
      <c r="AS90" s="134"/>
      <c r="AT90" s="180"/>
      <c r="AU90" s="131"/>
      <c r="AV90" s="185"/>
      <c r="AW90" s="131"/>
      <c r="AX90" s="185"/>
      <c r="AY90" s="131"/>
      <c r="AZ90" s="185"/>
      <c r="BA90" s="131"/>
      <c r="BB90" s="185"/>
      <c r="BC90" s="131"/>
      <c r="BD90" s="185"/>
      <c r="BE90" s="131"/>
      <c r="BF90" s="185"/>
      <c r="BG90" s="131"/>
      <c r="BH90" s="185"/>
      <c r="BI90" s="131"/>
      <c r="BJ90" s="185"/>
      <c r="BK90" s="131"/>
      <c r="BL90" s="185"/>
      <c r="BM90" s="131"/>
      <c r="BN90" s="185"/>
      <c r="BO90" s="131"/>
      <c r="BP90" s="134"/>
      <c r="BQ90" s="131"/>
      <c r="BR90" s="145"/>
      <c r="BS90" s="185"/>
      <c r="BT90" s="145"/>
      <c r="BU90" s="134"/>
      <c r="BV90" s="131"/>
      <c r="BW90" s="134"/>
      <c r="BX90" s="131"/>
      <c r="BY90" s="134"/>
      <c r="BZ90" s="131"/>
      <c r="CA90" s="145"/>
      <c r="CB90" s="185"/>
      <c r="CC90" s="131"/>
      <c r="CD90" s="145"/>
      <c r="CE90" s="185"/>
      <c r="CF90" s="131"/>
      <c r="CG90" s="145"/>
      <c r="CH90" s="185"/>
      <c r="CI90" s="131"/>
      <c r="CJ90" s="145"/>
      <c r="CK90" s="185"/>
      <c r="CL90" s="131"/>
      <c r="CM90" s="145"/>
      <c r="CN90" s="185"/>
      <c r="CO90" s="131"/>
      <c r="CP90" s="145"/>
      <c r="CQ90" s="185"/>
      <c r="CR90" s="131"/>
      <c r="CS90" s="145"/>
      <c r="CT90" s="185"/>
      <c r="CU90" s="131"/>
      <c r="CV90" s="145"/>
      <c r="CW90" s="185"/>
      <c r="CX90" s="131"/>
      <c r="CY90" s="145"/>
      <c r="CZ90" s="185"/>
      <c r="DA90" s="140"/>
      <c r="DB90" s="141"/>
      <c r="DC90" s="142"/>
      <c r="DD90" s="140"/>
      <c r="DE90" s="141"/>
      <c r="DF90" s="142"/>
      <c r="DG90" s="140"/>
      <c r="DH90" s="141"/>
      <c r="DI90" s="142"/>
      <c r="DJ90" s="140"/>
      <c r="DK90" s="141"/>
      <c r="DL90" s="142"/>
      <c r="DM90" s="140"/>
      <c r="DN90" s="141"/>
      <c r="DO90" s="142"/>
      <c r="DP90" s="140"/>
      <c r="DQ90" s="141"/>
      <c r="DR90" s="142"/>
      <c r="DS90" s="140"/>
      <c r="DT90" s="141"/>
      <c r="DU90" s="142"/>
      <c r="DV90" s="140"/>
      <c r="DW90" s="141"/>
      <c r="DX90" s="142"/>
      <c r="DY90" s="140"/>
      <c r="DZ90" s="141"/>
      <c r="EA90" s="142"/>
      <c r="EB90" s="140"/>
      <c r="EC90" s="141"/>
      <c r="ED90" s="142"/>
      <c r="EE90" s="140"/>
      <c r="EF90" s="141"/>
      <c r="EG90" s="142"/>
      <c r="EH90" s="140"/>
      <c r="EI90" s="141"/>
      <c r="EJ90" s="142"/>
      <c r="EK90" s="140"/>
      <c r="EL90" s="141"/>
      <c r="EM90" s="142"/>
      <c r="EN90" s="140"/>
      <c r="EO90" s="141"/>
      <c r="EP90" s="142"/>
      <c r="EQ90" s="140"/>
      <c r="ER90" s="141"/>
      <c r="ES90" s="142"/>
      <c r="ET90" s="140"/>
      <c r="EU90" s="141"/>
      <c r="EV90" s="142"/>
      <c r="EW90" s="140"/>
      <c r="EX90" s="141"/>
      <c r="EY90" s="142"/>
      <c r="EZ90" s="140"/>
      <c r="FA90" s="141"/>
      <c r="FB90" s="142"/>
      <c r="FC90" s="140"/>
      <c r="FD90" s="141"/>
      <c r="FE90" s="142"/>
      <c r="FF90" s="140"/>
      <c r="FG90" s="141"/>
      <c r="FH90" s="142"/>
      <c r="FI90" s="140"/>
      <c r="FJ90" s="141"/>
      <c r="FK90" s="142"/>
      <c r="FL90" s="140"/>
      <c r="FM90" s="141"/>
      <c r="FN90" s="142"/>
      <c r="FO90" s="140"/>
      <c r="FP90" s="141"/>
      <c r="FQ90" s="142"/>
      <c r="FR90" s="140"/>
      <c r="FS90" s="141"/>
      <c r="FT90" s="142"/>
      <c r="FU90" s="140"/>
      <c r="FV90" s="141"/>
      <c r="FW90" s="142"/>
      <c r="FX90" s="140"/>
      <c r="FY90" s="141"/>
      <c r="FZ90" s="142"/>
      <c r="GA90" s="140"/>
      <c r="GB90" s="141"/>
      <c r="GC90" s="142"/>
      <c r="GD90" s="140"/>
      <c r="GE90" s="141"/>
      <c r="GF90" s="142"/>
      <c r="GG90" s="140"/>
      <c r="GH90" s="141"/>
      <c r="GI90" s="142"/>
      <c r="GJ90" s="140"/>
      <c r="GK90" s="141"/>
      <c r="GL90" s="142"/>
      <c r="GM90" s="140"/>
      <c r="GN90" s="141"/>
      <c r="GO90" s="142"/>
      <c r="GP90" s="140"/>
      <c r="GQ90" s="141"/>
      <c r="GR90" s="142"/>
      <c r="GS90" s="140"/>
      <c r="GT90" s="141"/>
      <c r="GU90" s="142"/>
      <c r="GV90" s="140"/>
      <c r="GW90" s="141"/>
      <c r="GX90" s="142"/>
      <c r="GY90" s="164"/>
      <c r="GZ90" s="134"/>
      <c r="HA90" s="185"/>
      <c r="HB90" s="164"/>
      <c r="HC90" s="185"/>
      <c r="HD90" s="164"/>
      <c r="HE90" s="185"/>
      <c r="HF90" s="164"/>
      <c r="HG90" s="185"/>
      <c r="HH90" s="164"/>
      <c r="HI90" s="185"/>
      <c r="HJ90" s="164"/>
      <c r="HK90" s="185"/>
      <c r="HL90" s="164">
        <f>+'1911 Hacienda'!B45</f>
        <v>24517</v>
      </c>
      <c r="HM90" s="185">
        <f>+'1911 Hacienda'!C45</f>
        <v>80</v>
      </c>
      <c r="HN90" s="164"/>
      <c r="HO90" s="185"/>
      <c r="HP90" s="164">
        <f>+'1912 Hacienda'!B32</f>
        <v>7425</v>
      </c>
      <c r="HQ90" s="185">
        <f>+'1912 Hacienda'!C32</f>
        <v>55</v>
      </c>
      <c r="HR90" s="164"/>
      <c r="HS90" s="185"/>
      <c r="HT90" s="164">
        <f>+'1915 Hacienda'!B32</f>
        <v>16367</v>
      </c>
      <c r="HU90" s="185">
        <f>+'1915 Hacienda'!C32</f>
        <v>70</v>
      </c>
    </row>
    <row r="91" spans="1:229" x14ac:dyDescent="0.2">
      <c r="A91" s="178" t="s">
        <v>5569</v>
      </c>
      <c r="B91" s="131"/>
      <c r="C91" s="134"/>
      <c r="D91" s="133"/>
      <c r="E91" s="131"/>
      <c r="F91" s="134"/>
      <c r="G91" s="133"/>
      <c r="H91" s="131"/>
      <c r="I91" s="134"/>
      <c r="J91" s="133"/>
      <c r="K91" s="131"/>
      <c r="L91" s="134"/>
      <c r="M91" s="133"/>
      <c r="N91" s="131"/>
      <c r="O91" s="134"/>
      <c r="P91" s="133"/>
      <c r="Q91" s="131"/>
      <c r="R91" s="134"/>
      <c r="S91" s="133"/>
      <c r="T91" s="131"/>
      <c r="U91" s="134"/>
      <c r="V91" s="133"/>
      <c r="W91" s="131"/>
      <c r="X91" s="134"/>
      <c r="Y91" s="133"/>
      <c r="Z91" s="131"/>
      <c r="AA91" s="134"/>
      <c r="AB91" s="133"/>
      <c r="AC91" s="131"/>
      <c r="AD91" s="134"/>
      <c r="AE91" s="133"/>
      <c r="AF91" s="131"/>
      <c r="AG91" s="134"/>
      <c r="AH91" s="133"/>
      <c r="AI91" s="145"/>
      <c r="AJ91" s="134"/>
      <c r="AK91" s="133"/>
      <c r="AL91" s="131"/>
      <c r="AM91" s="134"/>
      <c r="AN91" s="133"/>
      <c r="AO91" s="131"/>
      <c r="AP91" s="134"/>
      <c r="AQ91" s="133"/>
      <c r="AR91" s="131"/>
      <c r="AS91" s="134"/>
      <c r="AT91" s="180"/>
      <c r="AU91" s="131"/>
      <c r="AV91" s="185"/>
      <c r="AW91" s="131"/>
      <c r="AX91" s="185"/>
      <c r="AY91" s="131"/>
      <c r="AZ91" s="185"/>
      <c r="BA91" s="131"/>
      <c r="BB91" s="185"/>
      <c r="BC91" s="131"/>
      <c r="BD91" s="185"/>
      <c r="BE91" s="131"/>
      <c r="BF91" s="185"/>
      <c r="BG91" s="131"/>
      <c r="BH91" s="185"/>
      <c r="BI91" s="131"/>
      <c r="BJ91" s="185"/>
      <c r="BK91" s="131"/>
      <c r="BL91" s="185"/>
      <c r="BM91" s="131"/>
      <c r="BN91" s="185"/>
      <c r="BO91" s="131"/>
      <c r="BP91" s="134"/>
      <c r="BQ91" s="131"/>
      <c r="BR91" s="145"/>
      <c r="BS91" s="185"/>
      <c r="BT91" s="145"/>
      <c r="BU91" s="134"/>
      <c r="BV91" s="131"/>
      <c r="BW91" s="134"/>
      <c r="BX91" s="131"/>
      <c r="BY91" s="134"/>
      <c r="BZ91" s="131"/>
      <c r="CA91" s="145"/>
      <c r="CB91" s="185"/>
      <c r="CC91" s="131"/>
      <c r="CD91" s="134"/>
      <c r="CE91" s="133"/>
      <c r="CF91" s="131"/>
      <c r="CG91" s="134"/>
      <c r="CH91" s="133"/>
      <c r="CI91" s="131"/>
      <c r="CJ91" s="134"/>
      <c r="CK91" s="133"/>
      <c r="CL91" s="131"/>
      <c r="CM91" s="134"/>
      <c r="CN91" s="133"/>
      <c r="CO91" s="131"/>
      <c r="CP91" s="134"/>
      <c r="CQ91" s="133"/>
      <c r="CR91" s="131"/>
      <c r="CS91" s="134"/>
      <c r="CT91" s="133"/>
      <c r="CU91" s="131"/>
      <c r="CV91" s="134"/>
      <c r="CW91" s="133"/>
      <c r="CX91" s="131"/>
      <c r="CY91" s="134"/>
      <c r="CZ91" s="133"/>
      <c r="DA91" s="140"/>
      <c r="DB91" s="141"/>
      <c r="DC91" s="142"/>
      <c r="DD91" s="140"/>
      <c r="DE91" s="141"/>
      <c r="DF91" s="142"/>
      <c r="DG91" s="140"/>
      <c r="DH91" s="141"/>
      <c r="DI91" s="142"/>
      <c r="DJ91" s="140"/>
      <c r="DK91" s="141"/>
      <c r="DL91" s="142"/>
      <c r="DM91" s="140"/>
      <c r="DN91" s="141"/>
      <c r="DO91" s="142"/>
      <c r="DP91" s="140"/>
      <c r="DQ91" s="141"/>
      <c r="DR91" s="142"/>
      <c r="DS91" s="140"/>
      <c r="DT91" s="141"/>
      <c r="DU91" s="142"/>
      <c r="DV91" s="140"/>
      <c r="DW91" s="141"/>
      <c r="DX91" s="142"/>
      <c r="DY91" s="140"/>
      <c r="DZ91" s="141"/>
      <c r="EA91" s="142"/>
      <c r="EB91" s="140"/>
      <c r="EC91" s="141"/>
      <c r="ED91" s="142"/>
      <c r="EE91" s="140"/>
      <c r="EF91" s="141"/>
      <c r="EG91" s="142"/>
      <c r="EH91" s="140"/>
      <c r="EI91" s="141"/>
      <c r="EJ91" s="142"/>
      <c r="EK91" s="140"/>
      <c r="EL91" s="141"/>
      <c r="EM91" s="142"/>
      <c r="EN91" s="140"/>
      <c r="EO91" s="141"/>
      <c r="EP91" s="142"/>
      <c r="EQ91" s="140"/>
      <c r="ER91" s="141"/>
      <c r="ES91" s="142"/>
      <c r="ET91" s="140"/>
      <c r="EU91" s="141"/>
      <c r="EV91" s="142"/>
      <c r="EW91" s="140"/>
      <c r="EX91" s="141"/>
      <c r="EY91" s="142"/>
      <c r="EZ91" s="140"/>
      <c r="FA91" s="141"/>
      <c r="FB91" s="142"/>
      <c r="FC91" s="140"/>
      <c r="FD91" s="141"/>
      <c r="FE91" s="142"/>
      <c r="FF91" s="140"/>
      <c r="FG91" s="141"/>
      <c r="FH91" s="142"/>
      <c r="FI91" s="140"/>
      <c r="FJ91" s="141"/>
      <c r="FK91" s="142"/>
      <c r="FL91" s="140"/>
      <c r="FM91" s="141"/>
      <c r="FN91" s="142"/>
      <c r="FO91" s="140"/>
      <c r="FP91" s="141"/>
      <c r="FQ91" s="142"/>
      <c r="FR91" s="140"/>
      <c r="FS91" s="141"/>
      <c r="FT91" s="142"/>
      <c r="FU91" s="140"/>
      <c r="FV91" s="141"/>
      <c r="FW91" s="142"/>
      <c r="FX91" s="140"/>
      <c r="FY91" s="141"/>
      <c r="FZ91" s="142"/>
      <c r="GA91" s="140"/>
      <c r="GB91" s="141"/>
      <c r="GC91" s="142"/>
      <c r="GD91" s="140"/>
      <c r="GE91" s="141"/>
      <c r="GF91" s="142"/>
      <c r="GG91" s="140"/>
      <c r="GH91" s="141"/>
      <c r="GI91" s="142"/>
      <c r="GJ91" s="140"/>
      <c r="GK91" s="141"/>
      <c r="GL91" s="142"/>
      <c r="GM91" s="140"/>
      <c r="GN91" s="141"/>
      <c r="GO91" s="142"/>
      <c r="GP91" s="140"/>
      <c r="GQ91" s="141"/>
      <c r="GR91" s="142"/>
      <c r="GS91" s="140"/>
      <c r="GT91" s="141"/>
      <c r="GU91" s="142"/>
      <c r="GV91" s="140"/>
      <c r="GW91" s="141"/>
      <c r="GX91" s="142"/>
      <c r="GY91" s="164"/>
      <c r="GZ91" s="134"/>
      <c r="HA91" s="185"/>
      <c r="HB91" s="164"/>
      <c r="HC91" s="185"/>
      <c r="HD91" s="164"/>
      <c r="HE91" s="185"/>
      <c r="HF91" s="164"/>
      <c r="HG91" s="185"/>
      <c r="HH91" s="164"/>
      <c r="HI91" s="185"/>
      <c r="HJ91" s="164"/>
      <c r="HK91" s="185"/>
      <c r="HL91" s="164">
        <f>+'1911 Hacienda'!B46</f>
        <v>32475</v>
      </c>
      <c r="HM91" s="185">
        <f>+'1911 Hacienda'!C46</f>
        <v>77</v>
      </c>
      <c r="HN91" s="164"/>
      <c r="HO91" s="185"/>
      <c r="HP91" s="164">
        <f>+'1912 Hacienda'!B31</f>
        <v>46655</v>
      </c>
      <c r="HQ91" s="185">
        <f>+'1912 Hacienda'!C31</f>
        <v>1</v>
      </c>
      <c r="HR91" s="164"/>
      <c r="HS91" s="185"/>
      <c r="HT91" s="164">
        <f>+'1915 Hacienda'!B31</f>
        <v>68445</v>
      </c>
      <c r="HU91" s="185">
        <f>+'1915 Hacienda'!C31</f>
        <v>35</v>
      </c>
    </row>
    <row r="92" spans="1:229" ht="30" x14ac:dyDescent="0.2">
      <c r="A92" s="178" t="s">
        <v>6062</v>
      </c>
      <c r="B92" s="131"/>
      <c r="C92" s="134"/>
      <c r="D92" s="133"/>
      <c r="E92" s="131"/>
      <c r="F92" s="134"/>
      <c r="G92" s="133"/>
      <c r="H92" s="131"/>
      <c r="I92" s="134"/>
      <c r="J92" s="133"/>
      <c r="K92" s="131"/>
      <c r="L92" s="134"/>
      <c r="M92" s="133"/>
      <c r="N92" s="131"/>
      <c r="O92" s="134"/>
      <c r="P92" s="133"/>
      <c r="Q92" s="131"/>
      <c r="R92" s="134"/>
      <c r="S92" s="133"/>
      <c r="T92" s="131"/>
      <c r="U92" s="134"/>
      <c r="V92" s="133"/>
      <c r="W92" s="131"/>
      <c r="X92" s="134"/>
      <c r="Y92" s="133"/>
      <c r="Z92" s="131"/>
      <c r="AA92" s="134"/>
      <c r="AB92" s="133"/>
      <c r="AC92" s="131"/>
      <c r="AD92" s="134"/>
      <c r="AE92" s="133"/>
      <c r="AF92" s="131"/>
      <c r="AG92" s="134"/>
      <c r="AH92" s="133"/>
      <c r="AI92" s="145"/>
      <c r="AJ92" s="134"/>
      <c r="AK92" s="133"/>
      <c r="AL92" s="131"/>
      <c r="AM92" s="134"/>
      <c r="AN92" s="133"/>
      <c r="AO92" s="131"/>
      <c r="AP92" s="134"/>
      <c r="AQ92" s="133"/>
      <c r="AR92" s="131"/>
      <c r="AS92" s="134"/>
      <c r="AT92" s="180"/>
      <c r="AU92" s="131"/>
      <c r="AV92" s="185"/>
      <c r="AW92" s="131"/>
      <c r="AX92" s="185"/>
      <c r="AY92" s="131"/>
      <c r="AZ92" s="185"/>
      <c r="BA92" s="131"/>
      <c r="BB92" s="185"/>
      <c r="BC92" s="131"/>
      <c r="BD92" s="185"/>
      <c r="BE92" s="131"/>
      <c r="BF92" s="185"/>
      <c r="BG92" s="131"/>
      <c r="BH92" s="185"/>
      <c r="BI92" s="131"/>
      <c r="BJ92" s="185"/>
      <c r="BK92" s="131"/>
      <c r="BL92" s="185"/>
      <c r="BM92" s="131"/>
      <c r="BN92" s="185"/>
      <c r="BO92" s="131"/>
      <c r="BP92" s="134"/>
      <c r="BQ92" s="131"/>
      <c r="BR92" s="134"/>
      <c r="BS92" s="133"/>
      <c r="BT92" s="145"/>
      <c r="BU92" s="134"/>
      <c r="BV92" s="131"/>
      <c r="BW92" s="134"/>
      <c r="BX92" s="131"/>
      <c r="BY92" s="134"/>
      <c r="BZ92" s="131"/>
      <c r="CA92" s="134"/>
      <c r="CB92" s="133"/>
      <c r="CC92" s="131"/>
      <c r="CD92" s="134"/>
      <c r="CE92" s="133"/>
      <c r="CF92" s="131"/>
      <c r="CG92" s="134"/>
      <c r="CH92" s="133"/>
      <c r="CI92" s="131"/>
      <c r="CJ92" s="134"/>
      <c r="CK92" s="133"/>
      <c r="CL92" s="131"/>
      <c r="CM92" s="134"/>
      <c r="CN92" s="133"/>
      <c r="CO92" s="131"/>
      <c r="CP92" s="134"/>
      <c r="CQ92" s="133"/>
      <c r="CR92" s="131"/>
      <c r="CS92" s="134"/>
      <c r="CT92" s="133"/>
      <c r="CU92" s="131"/>
      <c r="CV92" s="134"/>
      <c r="CW92" s="133"/>
      <c r="CX92" s="131"/>
      <c r="CY92" s="134"/>
      <c r="CZ92" s="133"/>
      <c r="DA92" s="140"/>
      <c r="DB92" s="141"/>
      <c r="DC92" s="142"/>
      <c r="DD92" s="140"/>
      <c r="DE92" s="141"/>
      <c r="DF92" s="142"/>
      <c r="DG92" s="140"/>
      <c r="DH92" s="141"/>
      <c r="DI92" s="142"/>
      <c r="DJ92" s="140"/>
      <c r="DK92" s="141"/>
      <c r="DL92" s="142"/>
      <c r="DM92" s="140"/>
      <c r="DN92" s="141"/>
      <c r="DO92" s="142"/>
      <c r="DP92" s="140"/>
      <c r="DQ92" s="141"/>
      <c r="DR92" s="142"/>
      <c r="DS92" s="140"/>
      <c r="DT92" s="141"/>
      <c r="DU92" s="142"/>
      <c r="DV92" s="140"/>
      <c r="DW92" s="141"/>
      <c r="DX92" s="142"/>
      <c r="DY92" s="140"/>
      <c r="DZ92" s="141"/>
      <c r="EA92" s="142"/>
      <c r="EB92" s="140"/>
      <c r="EC92" s="141"/>
      <c r="ED92" s="142"/>
      <c r="EE92" s="140"/>
      <c r="EF92" s="141"/>
      <c r="EG92" s="142"/>
      <c r="EH92" s="140"/>
      <c r="EI92" s="141"/>
      <c r="EJ92" s="142"/>
      <c r="EK92" s="140"/>
      <c r="EL92" s="141"/>
      <c r="EM92" s="142"/>
      <c r="EN92" s="140"/>
      <c r="EO92" s="141"/>
      <c r="EP92" s="142"/>
      <c r="EQ92" s="140"/>
      <c r="ER92" s="141"/>
      <c r="ES92" s="142"/>
      <c r="ET92" s="140"/>
      <c r="EU92" s="141"/>
      <c r="EV92" s="142"/>
      <c r="EW92" s="140"/>
      <c r="EX92" s="141"/>
      <c r="EY92" s="142"/>
      <c r="EZ92" s="140"/>
      <c r="FA92" s="141"/>
      <c r="FB92" s="142"/>
      <c r="FC92" s="140"/>
      <c r="FD92" s="141"/>
      <c r="FE92" s="142"/>
      <c r="FF92" s="140"/>
      <c r="FG92" s="141"/>
      <c r="FH92" s="142"/>
      <c r="FI92" s="140"/>
      <c r="FJ92" s="141"/>
      <c r="FK92" s="142"/>
      <c r="FL92" s="140"/>
      <c r="FM92" s="141"/>
      <c r="FN92" s="142"/>
      <c r="FO92" s="140"/>
      <c r="FP92" s="141"/>
      <c r="FQ92" s="142"/>
      <c r="FR92" s="140"/>
      <c r="FS92" s="141"/>
      <c r="FT92" s="142"/>
      <c r="FU92" s="140"/>
      <c r="FV92" s="141"/>
      <c r="FW92" s="142"/>
      <c r="FX92" s="140"/>
      <c r="FY92" s="141"/>
      <c r="FZ92" s="142"/>
      <c r="GA92" s="140"/>
      <c r="GB92" s="141"/>
      <c r="GC92" s="142"/>
      <c r="GD92" s="140"/>
      <c r="GE92" s="141"/>
      <c r="GF92" s="142"/>
      <c r="GG92" s="140"/>
      <c r="GH92" s="141"/>
      <c r="GI92" s="142"/>
      <c r="GJ92" s="140"/>
      <c r="GK92" s="141"/>
      <c r="GL92" s="142"/>
      <c r="GM92" s="140"/>
      <c r="GN92" s="141"/>
      <c r="GO92" s="142"/>
      <c r="GP92" s="140"/>
      <c r="GQ92" s="141"/>
      <c r="GR92" s="142"/>
      <c r="GS92" s="140"/>
      <c r="GT92" s="141"/>
      <c r="GU92" s="142"/>
      <c r="GV92" s="140"/>
      <c r="GW92" s="141"/>
      <c r="GX92" s="142"/>
      <c r="GY92" s="164"/>
      <c r="GZ92" s="134"/>
      <c r="HA92" s="185"/>
      <c r="HB92" s="164"/>
      <c r="HC92" s="185"/>
      <c r="HD92" s="164"/>
      <c r="HE92" s="185"/>
      <c r="HF92" s="164"/>
      <c r="HG92" s="185"/>
      <c r="HH92" s="164"/>
      <c r="HI92" s="185"/>
      <c r="HJ92" s="164"/>
      <c r="HK92" s="185"/>
      <c r="HL92" s="164">
        <f>+'1911 Hacienda'!B47</f>
        <v>75418</v>
      </c>
      <c r="HM92" s="185">
        <f>+'1911 Hacienda'!C47</f>
        <v>77</v>
      </c>
      <c r="HN92" s="164"/>
      <c r="HO92" s="185"/>
      <c r="HP92" s="164"/>
      <c r="HQ92" s="185"/>
      <c r="HR92" s="164"/>
      <c r="HS92" s="185"/>
      <c r="HT92" s="164"/>
      <c r="HU92" s="185"/>
    </row>
    <row r="93" spans="1:229" ht="30" x14ac:dyDescent="0.2">
      <c r="A93" s="178" t="s">
        <v>6063</v>
      </c>
      <c r="B93" s="131"/>
      <c r="C93" s="134"/>
      <c r="D93" s="133"/>
      <c r="E93" s="131"/>
      <c r="F93" s="134"/>
      <c r="G93" s="133"/>
      <c r="H93" s="131"/>
      <c r="I93" s="134"/>
      <c r="J93" s="133"/>
      <c r="K93" s="131"/>
      <c r="L93" s="134"/>
      <c r="M93" s="133"/>
      <c r="N93" s="131"/>
      <c r="O93" s="134"/>
      <c r="P93" s="133"/>
      <c r="Q93" s="131"/>
      <c r="R93" s="134"/>
      <c r="S93" s="133"/>
      <c r="T93" s="131"/>
      <c r="U93" s="134"/>
      <c r="V93" s="133"/>
      <c r="W93" s="131"/>
      <c r="X93" s="134"/>
      <c r="Y93" s="133"/>
      <c r="Z93" s="131"/>
      <c r="AA93" s="134"/>
      <c r="AB93" s="133"/>
      <c r="AC93" s="131"/>
      <c r="AD93" s="134"/>
      <c r="AE93" s="133"/>
      <c r="AF93" s="131"/>
      <c r="AG93" s="134"/>
      <c r="AH93" s="133"/>
      <c r="AI93" s="145"/>
      <c r="AJ93" s="134"/>
      <c r="AK93" s="133"/>
      <c r="AL93" s="131"/>
      <c r="AM93" s="134"/>
      <c r="AN93" s="133"/>
      <c r="AO93" s="131"/>
      <c r="AP93" s="134"/>
      <c r="AQ93" s="133"/>
      <c r="AR93" s="131"/>
      <c r="AS93" s="134"/>
      <c r="AT93" s="180"/>
      <c r="AU93" s="131"/>
      <c r="AV93" s="185"/>
      <c r="AW93" s="131"/>
      <c r="AX93" s="185"/>
      <c r="AY93" s="131"/>
      <c r="AZ93" s="185"/>
      <c r="BA93" s="131"/>
      <c r="BB93" s="185"/>
      <c r="BC93" s="131"/>
      <c r="BD93" s="185"/>
      <c r="BE93" s="131"/>
      <c r="BF93" s="185"/>
      <c r="BG93" s="131"/>
      <c r="BH93" s="185"/>
      <c r="BI93" s="131"/>
      <c r="BJ93" s="185"/>
      <c r="BK93" s="131"/>
      <c r="BL93" s="185"/>
      <c r="BM93" s="131"/>
      <c r="BN93" s="185"/>
      <c r="BO93" s="131"/>
      <c r="BP93" s="134"/>
      <c r="BQ93" s="131"/>
      <c r="BR93" s="134"/>
      <c r="BS93" s="133"/>
      <c r="BT93" s="145"/>
      <c r="BU93" s="134"/>
      <c r="BV93" s="131"/>
      <c r="BW93" s="134"/>
      <c r="BX93" s="131"/>
      <c r="BY93" s="134"/>
      <c r="BZ93" s="131"/>
      <c r="CA93" s="134"/>
      <c r="CB93" s="133"/>
      <c r="CC93" s="131"/>
      <c r="CD93" s="134"/>
      <c r="CE93" s="133"/>
      <c r="CF93" s="131"/>
      <c r="CG93" s="134"/>
      <c r="CH93" s="133"/>
      <c r="CI93" s="131"/>
      <c r="CJ93" s="134"/>
      <c r="CK93" s="133"/>
      <c r="CL93" s="131"/>
      <c r="CM93" s="134"/>
      <c r="CN93" s="133"/>
      <c r="CO93" s="131"/>
      <c r="CP93" s="134"/>
      <c r="CQ93" s="133"/>
      <c r="CR93" s="131"/>
      <c r="CS93" s="134"/>
      <c r="CT93" s="133"/>
      <c r="CU93" s="131"/>
      <c r="CV93" s="134"/>
      <c r="CW93" s="133"/>
      <c r="CX93" s="131"/>
      <c r="CY93" s="134"/>
      <c r="CZ93" s="133"/>
      <c r="DA93" s="140"/>
      <c r="DB93" s="141"/>
      <c r="DC93" s="142"/>
      <c r="DD93" s="140"/>
      <c r="DE93" s="141"/>
      <c r="DF93" s="142"/>
      <c r="DG93" s="140"/>
      <c r="DH93" s="141"/>
      <c r="DI93" s="142"/>
      <c r="DJ93" s="140"/>
      <c r="DK93" s="141"/>
      <c r="DL93" s="142"/>
      <c r="DM93" s="140"/>
      <c r="DN93" s="141"/>
      <c r="DO93" s="142"/>
      <c r="DP93" s="140"/>
      <c r="DQ93" s="141"/>
      <c r="DR93" s="142"/>
      <c r="DS93" s="140"/>
      <c r="DT93" s="141"/>
      <c r="DU93" s="142"/>
      <c r="DV93" s="140"/>
      <c r="DW93" s="141"/>
      <c r="DX93" s="142"/>
      <c r="DY93" s="140"/>
      <c r="DZ93" s="141"/>
      <c r="EA93" s="142"/>
      <c r="EB93" s="140"/>
      <c r="EC93" s="141"/>
      <c r="ED93" s="142"/>
      <c r="EE93" s="140"/>
      <c r="EF93" s="141"/>
      <c r="EG93" s="142"/>
      <c r="EH93" s="140"/>
      <c r="EI93" s="141"/>
      <c r="EJ93" s="142"/>
      <c r="EK93" s="140"/>
      <c r="EL93" s="141"/>
      <c r="EM93" s="142"/>
      <c r="EN93" s="140"/>
      <c r="EO93" s="141"/>
      <c r="EP93" s="142"/>
      <c r="EQ93" s="140"/>
      <c r="ER93" s="141"/>
      <c r="ES93" s="142"/>
      <c r="ET93" s="140"/>
      <c r="EU93" s="141"/>
      <c r="EV93" s="142"/>
      <c r="EW93" s="140"/>
      <c r="EX93" s="141"/>
      <c r="EY93" s="142"/>
      <c r="EZ93" s="140"/>
      <c r="FA93" s="141"/>
      <c r="FB93" s="142"/>
      <c r="FC93" s="140"/>
      <c r="FD93" s="141"/>
      <c r="FE93" s="142"/>
      <c r="FF93" s="140"/>
      <c r="FG93" s="141"/>
      <c r="FH93" s="142"/>
      <c r="FI93" s="140"/>
      <c r="FJ93" s="141"/>
      <c r="FK93" s="142"/>
      <c r="FL93" s="140"/>
      <c r="FM93" s="141"/>
      <c r="FN93" s="142"/>
      <c r="FO93" s="140"/>
      <c r="FP93" s="141"/>
      <c r="FQ93" s="142"/>
      <c r="FR93" s="140"/>
      <c r="FS93" s="141"/>
      <c r="FT93" s="142"/>
      <c r="FU93" s="140"/>
      <c r="FV93" s="141"/>
      <c r="FW93" s="142"/>
      <c r="FX93" s="140"/>
      <c r="FY93" s="141"/>
      <c r="FZ93" s="142"/>
      <c r="GA93" s="140"/>
      <c r="GB93" s="141"/>
      <c r="GC93" s="142"/>
      <c r="GD93" s="140"/>
      <c r="GE93" s="141"/>
      <c r="GF93" s="142"/>
      <c r="GG93" s="140"/>
      <c r="GH93" s="141"/>
      <c r="GI93" s="142"/>
      <c r="GJ93" s="140"/>
      <c r="GK93" s="141"/>
      <c r="GL93" s="142"/>
      <c r="GM93" s="140"/>
      <c r="GN93" s="141"/>
      <c r="GO93" s="142"/>
      <c r="GP93" s="140"/>
      <c r="GQ93" s="141"/>
      <c r="GR93" s="142"/>
      <c r="GS93" s="140"/>
      <c r="GT93" s="141"/>
      <c r="GU93" s="142"/>
      <c r="GV93" s="140"/>
      <c r="GW93" s="141"/>
      <c r="GX93" s="142"/>
      <c r="GY93" s="164"/>
      <c r="GZ93" s="134"/>
      <c r="HA93" s="185"/>
      <c r="HB93" s="164"/>
      <c r="HC93" s="185"/>
      <c r="HD93" s="164"/>
      <c r="HE93" s="185"/>
      <c r="HF93" s="164"/>
      <c r="HG93" s="185"/>
      <c r="HH93" s="164"/>
      <c r="HI93" s="185"/>
      <c r="HJ93" s="164"/>
      <c r="HK93" s="185"/>
      <c r="HL93" s="164"/>
      <c r="HM93" s="185"/>
      <c r="HN93" s="164"/>
      <c r="HO93" s="185"/>
      <c r="HP93" s="164">
        <f>+'1912 Hacienda'!B30</f>
        <v>257682</v>
      </c>
      <c r="HQ93" s="185">
        <f>+'1912 Hacienda'!C30</f>
        <v>5</v>
      </c>
      <c r="HR93" s="164"/>
      <c r="HS93" s="185"/>
      <c r="HT93" s="164"/>
      <c r="HU93" s="185"/>
    </row>
    <row r="94" spans="1:229" x14ac:dyDescent="0.2">
      <c r="A94" s="178" t="s">
        <v>5628</v>
      </c>
      <c r="B94" s="131"/>
      <c r="C94" s="134"/>
      <c r="D94" s="133"/>
      <c r="E94" s="131"/>
      <c r="F94" s="134"/>
      <c r="G94" s="133"/>
      <c r="H94" s="131"/>
      <c r="I94" s="134"/>
      <c r="J94" s="133"/>
      <c r="K94" s="131"/>
      <c r="L94" s="134"/>
      <c r="M94" s="133"/>
      <c r="N94" s="131"/>
      <c r="O94" s="134"/>
      <c r="P94" s="133"/>
      <c r="Q94" s="131"/>
      <c r="R94" s="134"/>
      <c r="S94" s="133"/>
      <c r="T94" s="131"/>
      <c r="U94" s="134"/>
      <c r="V94" s="133"/>
      <c r="W94" s="131"/>
      <c r="X94" s="134"/>
      <c r="Y94" s="133"/>
      <c r="Z94" s="131"/>
      <c r="AA94" s="134"/>
      <c r="AB94" s="133"/>
      <c r="AC94" s="131"/>
      <c r="AD94" s="134"/>
      <c r="AE94" s="133"/>
      <c r="AF94" s="131"/>
      <c r="AG94" s="134"/>
      <c r="AH94" s="133"/>
      <c r="AI94" s="145"/>
      <c r="AJ94" s="134"/>
      <c r="AK94" s="133"/>
      <c r="AL94" s="131"/>
      <c r="AM94" s="134"/>
      <c r="AN94" s="133"/>
      <c r="AO94" s="131"/>
      <c r="AP94" s="134"/>
      <c r="AQ94" s="133"/>
      <c r="AR94" s="131"/>
      <c r="AS94" s="134"/>
      <c r="AT94" s="180"/>
      <c r="AU94" s="131"/>
      <c r="AV94" s="185"/>
      <c r="AW94" s="131"/>
      <c r="AX94" s="185"/>
      <c r="AY94" s="131"/>
      <c r="AZ94" s="185"/>
      <c r="BA94" s="131"/>
      <c r="BB94" s="185"/>
      <c r="BC94" s="131"/>
      <c r="BD94" s="185"/>
      <c r="BE94" s="131"/>
      <c r="BF94" s="185"/>
      <c r="BG94" s="131"/>
      <c r="BH94" s="185"/>
      <c r="BI94" s="131"/>
      <c r="BJ94" s="185"/>
      <c r="BK94" s="131"/>
      <c r="BL94" s="185"/>
      <c r="BM94" s="131"/>
      <c r="BN94" s="185"/>
      <c r="BO94" s="131"/>
      <c r="BP94" s="134"/>
      <c r="BQ94" s="131"/>
      <c r="BR94" s="134"/>
      <c r="BS94" s="133"/>
      <c r="BT94" s="145"/>
      <c r="BU94" s="134"/>
      <c r="BV94" s="131"/>
      <c r="BW94" s="134"/>
      <c r="BX94" s="131"/>
      <c r="BY94" s="134"/>
      <c r="BZ94" s="131"/>
      <c r="CA94" s="134"/>
      <c r="CB94" s="133"/>
      <c r="CC94" s="131"/>
      <c r="CD94" s="134"/>
      <c r="CE94" s="133"/>
      <c r="CF94" s="131"/>
      <c r="CG94" s="134"/>
      <c r="CH94" s="133"/>
      <c r="CI94" s="131"/>
      <c r="CJ94" s="134"/>
      <c r="CK94" s="133"/>
      <c r="CL94" s="131"/>
      <c r="CM94" s="134"/>
      <c r="CN94" s="133"/>
      <c r="CO94" s="131"/>
      <c r="CP94" s="134"/>
      <c r="CQ94" s="133"/>
      <c r="CR94" s="131"/>
      <c r="CS94" s="134"/>
      <c r="CT94" s="133"/>
      <c r="CU94" s="131"/>
      <c r="CV94" s="134"/>
      <c r="CW94" s="133"/>
      <c r="CX94" s="131"/>
      <c r="CY94" s="134"/>
      <c r="CZ94" s="133"/>
      <c r="DA94" s="140"/>
      <c r="DB94" s="141"/>
      <c r="DC94" s="142"/>
      <c r="DD94" s="140"/>
      <c r="DE94" s="141"/>
      <c r="DF94" s="142"/>
      <c r="DG94" s="140"/>
      <c r="DH94" s="141"/>
      <c r="DI94" s="142"/>
      <c r="DJ94" s="140"/>
      <c r="DK94" s="141"/>
      <c r="DL94" s="142"/>
      <c r="DM94" s="140"/>
      <c r="DN94" s="141"/>
      <c r="DO94" s="142"/>
      <c r="DP94" s="140"/>
      <c r="DQ94" s="141"/>
      <c r="DR94" s="142"/>
      <c r="DS94" s="140"/>
      <c r="DT94" s="141"/>
      <c r="DU94" s="142"/>
      <c r="DV94" s="140"/>
      <c r="DW94" s="141"/>
      <c r="DX94" s="142"/>
      <c r="DY94" s="140"/>
      <c r="DZ94" s="141"/>
      <c r="EA94" s="142"/>
      <c r="EB94" s="140"/>
      <c r="EC94" s="141"/>
      <c r="ED94" s="142"/>
      <c r="EE94" s="140"/>
      <c r="EF94" s="141"/>
      <c r="EG94" s="142"/>
      <c r="EH94" s="140"/>
      <c r="EI94" s="141"/>
      <c r="EJ94" s="142"/>
      <c r="EK94" s="140"/>
      <c r="EL94" s="141"/>
      <c r="EM94" s="142"/>
      <c r="EN94" s="140"/>
      <c r="EO94" s="141"/>
      <c r="EP94" s="142"/>
      <c r="EQ94" s="140"/>
      <c r="ER94" s="141"/>
      <c r="ES94" s="142"/>
      <c r="ET94" s="140"/>
      <c r="EU94" s="141"/>
      <c r="EV94" s="142"/>
      <c r="EW94" s="140"/>
      <c r="EX94" s="141"/>
      <c r="EY94" s="142"/>
      <c r="EZ94" s="140"/>
      <c r="FA94" s="141"/>
      <c r="FB94" s="142"/>
      <c r="FC94" s="140"/>
      <c r="FD94" s="141"/>
      <c r="FE94" s="142"/>
      <c r="FF94" s="140"/>
      <c r="FG94" s="141"/>
      <c r="FH94" s="142"/>
      <c r="FI94" s="140"/>
      <c r="FJ94" s="141"/>
      <c r="FK94" s="142"/>
      <c r="FL94" s="140"/>
      <c r="FM94" s="141"/>
      <c r="FN94" s="142"/>
      <c r="FO94" s="140"/>
      <c r="FP94" s="141"/>
      <c r="FQ94" s="142"/>
      <c r="FR94" s="140"/>
      <c r="FS94" s="141"/>
      <c r="FT94" s="142"/>
      <c r="FU94" s="140"/>
      <c r="FV94" s="141"/>
      <c r="FW94" s="142"/>
      <c r="FX94" s="140"/>
      <c r="FY94" s="141"/>
      <c r="FZ94" s="142"/>
      <c r="GA94" s="140"/>
      <c r="GB94" s="141"/>
      <c r="GC94" s="142"/>
      <c r="GD94" s="140"/>
      <c r="GE94" s="141"/>
      <c r="GF94" s="142"/>
      <c r="GG94" s="140"/>
      <c r="GH94" s="141"/>
      <c r="GI94" s="142"/>
      <c r="GJ94" s="140"/>
      <c r="GK94" s="141"/>
      <c r="GL94" s="142"/>
      <c r="GM94" s="140"/>
      <c r="GN94" s="141"/>
      <c r="GO94" s="142"/>
      <c r="GP94" s="140"/>
      <c r="GQ94" s="141"/>
      <c r="GR94" s="142"/>
      <c r="GS94" s="140"/>
      <c r="GT94" s="141"/>
      <c r="GU94" s="142"/>
      <c r="GV94" s="140"/>
      <c r="GW94" s="141"/>
      <c r="GX94" s="142"/>
      <c r="GY94" s="164"/>
      <c r="GZ94" s="134"/>
      <c r="HA94" s="185"/>
      <c r="HB94" s="164"/>
      <c r="HC94" s="185"/>
      <c r="HD94" s="164"/>
      <c r="HE94" s="185"/>
      <c r="HF94" s="164"/>
      <c r="HG94" s="185"/>
      <c r="HH94" s="164"/>
      <c r="HI94" s="185"/>
      <c r="HJ94" s="164"/>
      <c r="HK94" s="185"/>
      <c r="HL94" s="164"/>
      <c r="HM94" s="185"/>
      <c r="HN94" s="164"/>
      <c r="HO94" s="185"/>
      <c r="HP94" s="164">
        <f>+'1912 Hacienda'!B33</f>
        <v>10000</v>
      </c>
      <c r="HQ94" s="185">
        <f>+'1912 Hacienda'!C33</f>
        <v>0</v>
      </c>
      <c r="HR94" s="164"/>
      <c r="HS94" s="185"/>
      <c r="HT94" s="164"/>
      <c r="HU94" s="185"/>
    </row>
    <row r="95" spans="1:229" ht="30" x14ac:dyDescent="0.2">
      <c r="A95" s="178" t="s">
        <v>6064</v>
      </c>
      <c r="B95" s="131"/>
      <c r="C95" s="134"/>
      <c r="D95" s="133"/>
      <c r="E95" s="131"/>
      <c r="F95" s="134"/>
      <c r="G95" s="133"/>
      <c r="H95" s="131"/>
      <c r="I95" s="134"/>
      <c r="J95" s="133"/>
      <c r="K95" s="131"/>
      <c r="L95" s="134"/>
      <c r="M95" s="133"/>
      <c r="N95" s="131"/>
      <c r="O95" s="134"/>
      <c r="P95" s="133"/>
      <c r="Q95" s="131"/>
      <c r="R95" s="134"/>
      <c r="S95" s="133"/>
      <c r="T95" s="131"/>
      <c r="U95" s="134"/>
      <c r="V95" s="133"/>
      <c r="W95" s="131"/>
      <c r="X95" s="134"/>
      <c r="Y95" s="133"/>
      <c r="Z95" s="131"/>
      <c r="AA95" s="134"/>
      <c r="AB95" s="133"/>
      <c r="AC95" s="131"/>
      <c r="AD95" s="134"/>
      <c r="AE95" s="133"/>
      <c r="AF95" s="131"/>
      <c r="AG95" s="134"/>
      <c r="AH95" s="133"/>
      <c r="AI95" s="145"/>
      <c r="AJ95" s="134"/>
      <c r="AK95" s="133"/>
      <c r="AL95" s="131"/>
      <c r="AM95" s="134"/>
      <c r="AN95" s="133"/>
      <c r="AO95" s="131"/>
      <c r="AP95" s="134"/>
      <c r="AQ95" s="133"/>
      <c r="AR95" s="131"/>
      <c r="AS95" s="134"/>
      <c r="AT95" s="180"/>
      <c r="AU95" s="131"/>
      <c r="AV95" s="185"/>
      <c r="AW95" s="131"/>
      <c r="AX95" s="185"/>
      <c r="AY95" s="131"/>
      <c r="AZ95" s="185"/>
      <c r="BA95" s="131"/>
      <c r="BB95" s="185"/>
      <c r="BC95" s="131"/>
      <c r="BD95" s="185"/>
      <c r="BE95" s="131"/>
      <c r="BF95" s="185"/>
      <c r="BG95" s="131"/>
      <c r="BH95" s="185"/>
      <c r="BI95" s="131"/>
      <c r="BJ95" s="185"/>
      <c r="BK95" s="131"/>
      <c r="BL95" s="185"/>
      <c r="BM95" s="131"/>
      <c r="BN95" s="185"/>
      <c r="BO95" s="131"/>
      <c r="BP95" s="134"/>
      <c r="BQ95" s="131"/>
      <c r="BR95" s="134"/>
      <c r="BS95" s="133"/>
      <c r="BT95" s="145"/>
      <c r="BU95" s="134"/>
      <c r="BV95" s="131"/>
      <c r="BW95" s="134"/>
      <c r="BX95" s="131"/>
      <c r="BY95" s="134"/>
      <c r="BZ95" s="131"/>
      <c r="CA95" s="134"/>
      <c r="CB95" s="133"/>
      <c r="CC95" s="131"/>
      <c r="CD95" s="134"/>
      <c r="CE95" s="133"/>
      <c r="CF95" s="131"/>
      <c r="CG95" s="134"/>
      <c r="CH95" s="133"/>
      <c r="CI95" s="131"/>
      <c r="CJ95" s="134"/>
      <c r="CK95" s="133"/>
      <c r="CL95" s="131"/>
      <c r="CM95" s="134"/>
      <c r="CN95" s="133"/>
      <c r="CO95" s="131"/>
      <c r="CP95" s="134"/>
      <c r="CQ95" s="133"/>
      <c r="CR95" s="131"/>
      <c r="CS95" s="134"/>
      <c r="CT95" s="133"/>
      <c r="CU95" s="131"/>
      <c r="CV95" s="134"/>
      <c r="CW95" s="133"/>
      <c r="CX95" s="131"/>
      <c r="CY95" s="134"/>
      <c r="CZ95" s="133"/>
      <c r="DA95" s="140">
        <f>+'1872 Hacienda'!B17</f>
        <v>8909</v>
      </c>
      <c r="DB95" s="141">
        <f>+'1872 Hacienda'!C17</f>
        <v>65</v>
      </c>
      <c r="DC95" s="142">
        <f>+'1872 Hacienda'!D17</f>
        <v>0</v>
      </c>
      <c r="DD95" s="140"/>
      <c r="DE95" s="141"/>
      <c r="DF95" s="142"/>
      <c r="DG95" s="140"/>
      <c r="DH95" s="141"/>
      <c r="DI95" s="142"/>
      <c r="DJ95" s="140">
        <f>+'1875 Hacienda'!B17</f>
        <v>8000</v>
      </c>
      <c r="DK95" s="141"/>
      <c r="DL95" s="142"/>
      <c r="DM95" s="140"/>
      <c r="DN95" s="141"/>
      <c r="DO95" s="142"/>
      <c r="DP95" s="140"/>
      <c r="DQ95" s="141"/>
      <c r="DR95" s="142"/>
      <c r="DS95" s="140"/>
      <c r="DT95" s="141"/>
      <c r="DU95" s="142"/>
      <c r="DV95" s="140"/>
      <c r="DW95" s="141"/>
      <c r="DX95" s="142"/>
      <c r="DY95" s="140"/>
      <c r="DZ95" s="141"/>
      <c r="EA95" s="142"/>
      <c r="EB95" s="140"/>
      <c r="EC95" s="141"/>
      <c r="ED95" s="142"/>
      <c r="EE95" s="140"/>
      <c r="EF95" s="141"/>
      <c r="EG95" s="142"/>
      <c r="EH95" s="140"/>
      <c r="EI95" s="141"/>
      <c r="EJ95" s="142"/>
      <c r="EK95" s="219"/>
      <c r="EL95" s="184"/>
      <c r="EM95" s="381"/>
      <c r="EN95" s="219"/>
      <c r="EO95" s="184"/>
      <c r="EP95" s="381"/>
      <c r="EQ95" s="219"/>
      <c r="ER95" s="184"/>
      <c r="ES95" s="381"/>
      <c r="ET95" s="219"/>
      <c r="EU95" s="184"/>
      <c r="EV95" s="381"/>
      <c r="EW95" s="219"/>
      <c r="EX95" s="184"/>
      <c r="EY95" s="381"/>
      <c r="EZ95" s="219"/>
      <c r="FA95" s="184"/>
      <c r="FB95" s="381"/>
      <c r="FC95" s="219"/>
      <c r="FD95" s="184"/>
      <c r="FE95" s="381"/>
      <c r="FF95" s="219"/>
      <c r="FG95" s="184"/>
      <c r="FH95" s="381"/>
      <c r="FI95" s="219"/>
      <c r="FJ95" s="184"/>
      <c r="FK95" s="381"/>
      <c r="FL95" s="219"/>
      <c r="FM95" s="184"/>
      <c r="FN95" s="381"/>
      <c r="FO95" s="219"/>
      <c r="FP95" s="184"/>
      <c r="FQ95" s="381"/>
      <c r="FR95" s="219"/>
      <c r="FS95" s="184"/>
      <c r="FT95" s="381"/>
      <c r="FU95" s="219"/>
      <c r="FV95" s="184"/>
      <c r="FW95" s="381"/>
      <c r="FX95" s="219"/>
      <c r="FY95" s="184"/>
      <c r="FZ95" s="381"/>
      <c r="GA95" s="219"/>
      <c r="GB95" s="184"/>
      <c r="GC95" s="381"/>
      <c r="GD95" s="219"/>
      <c r="GE95" s="184"/>
      <c r="GF95" s="381"/>
      <c r="GG95" s="219"/>
      <c r="GH95" s="184"/>
      <c r="GI95" s="381"/>
      <c r="GJ95" s="219"/>
      <c r="GK95" s="184"/>
      <c r="GL95" s="381"/>
      <c r="GM95" s="219"/>
      <c r="GN95" s="184"/>
      <c r="GO95" s="381"/>
      <c r="GP95" s="219"/>
      <c r="GQ95" s="184"/>
      <c r="GR95" s="381"/>
      <c r="GS95" s="219"/>
      <c r="GT95" s="184"/>
      <c r="GU95" s="381"/>
      <c r="GV95" s="219"/>
      <c r="GW95" s="184"/>
      <c r="GX95" s="381"/>
      <c r="GY95" s="164"/>
      <c r="GZ95" s="134"/>
      <c r="HA95" s="185"/>
      <c r="HB95" s="164"/>
      <c r="HC95" s="185"/>
      <c r="HD95" s="164"/>
      <c r="HE95" s="185"/>
      <c r="HF95" s="164"/>
      <c r="HG95" s="185"/>
      <c r="HH95" s="164"/>
      <c r="HI95" s="185"/>
      <c r="HJ95" s="164"/>
      <c r="HK95" s="185"/>
      <c r="HL95" s="164"/>
      <c r="HM95" s="185"/>
      <c r="HN95" s="164"/>
      <c r="HO95" s="185"/>
      <c r="HP95" s="164">
        <f>+'1912 Hacienda'!B34</f>
        <v>116561</v>
      </c>
      <c r="HQ95" s="185">
        <f>+'1912 Hacienda'!C34</f>
        <v>32</v>
      </c>
      <c r="HR95" s="164"/>
      <c r="HS95" s="185"/>
      <c r="HT95" s="164"/>
      <c r="HU95" s="185"/>
    </row>
    <row r="96" spans="1:229" x14ac:dyDescent="0.2">
      <c r="A96" s="164" t="s">
        <v>5466</v>
      </c>
      <c r="B96" s="131"/>
      <c r="C96" s="134"/>
      <c r="D96" s="133"/>
      <c r="E96" s="131"/>
      <c r="F96" s="134"/>
      <c r="G96" s="133"/>
      <c r="H96" s="131"/>
      <c r="I96" s="134"/>
      <c r="J96" s="133"/>
      <c r="K96" s="131"/>
      <c r="L96" s="134"/>
      <c r="M96" s="133"/>
      <c r="N96" s="131"/>
      <c r="O96" s="134"/>
      <c r="P96" s="133"/>
      <c r="Q96" s="131"/>
      <c r="R96" s="134"/>
      <c r="S96" s="133"/>
      <c r="T96" s="131"/>
      <c r="U96" s="134"/>
      <c r="V96" s="133"/>
      <c r="W96" s="131"/>
      <c r="X96" s="134"/>
      <c r="Y96" s="133"/>
      <c r="Z96" s="131"/>
      <c r="AA96" s="134"/>
      <c r="AB96" s="133"/>
      <c r="AC96" s="131"/>
      <c r="AD96" s="134"/>
      <c r="AE96" s="133"/>
      <c r="AF96" s="131"/>
      <c r="AG96" s="134"/>
      <c r="AH96" s="133"/>
      <c r="AI96" s="145"/>
      <c r="AJ96" s="134"/>
      <c r="AK96" s="133"/>
      <c r="AL96" s="131"/>
      <c r="AM96" s="134"/>
      <c r="AN96" s="133"/>
      <c r="AO96" s="131"/>
      <c r="AP96" s="134"/>
      <c r="AQ96" s="133"/>
      <c r="AR96" s="131"/>
      <c r="AS96" s="134"/>
      <c r="AT96" s="180"/>
      <c r="AU96" s="131"/>
      <c r="AV96" s="185"/>
      <c r="AW96" s="131"/>
      <c r="AX96" s="185"/>
      <c r="AY96" s="131"/>
      <c r="AZ96" s="185"/>
      <c r="BA96" s="131"/>
      <c r="BB96" s="185"/>
      <c r="BC96" s="131"/>
      <c r="BD96" s="185"/>
      <c r="BE96" s="131"/>
      <c r="BF96" s="185"/>
      <c r="BG96" s="131"/>
      <c r="BH96" s="185"/>
      <c r="BI96" s="131"/>
      <c r="BJ96" s="185"/>
      <c r="BK96" s="131"/>
      <c r="BL96" s="185"/>
      <c r="BM96" s="131"/>
      <c r="BN96" s="185"/>
      <c r="BO96" s="131"/>
      <c r="BP96" s="134"/>
      <c r="BQ96" s="131"/>
      <c r="BR96" s="134"/>
      <c r="BS96" s="133"/>
      <c r="BT96" s="145"/>
      <c r="BU96" s="134"/>
      <c r="BV96" s="131"/>
      <c r="BW96" s="134"/>
      <c r="BX96" s="131"/>
      <c r="BY96" s="134"/>
      <c r="BZ96" s="131"/>
      <c r="CA96" s="134"/>
      <c r="CB96" s="133"/>
      <c r="CC96" s="131"/>
      <c r="CD96" s="134"/>
      <c r="CE96" s="133"/>
      <c r="CF96" s="131"/>
      <c r="CG96" s="134"/>
      <c r="CH96" s="133"/>
      <c r="CI96" s="131"/>
      <c r="CJ96" s="134"/>
      <c r="CK96" s="133"/>
      <c r="CL96" s="131"/>
      <c r="CM96" s="134"/>
      <c r="CN96" s="133"/>
      <c r="CO96" s="131"/>
      <c r="CP96" s="134"/>
      <c r="CQ96" s="133"/>
      <c r="CR96" s="131"/>
      <c r="CS96" s="134"/>
      <c r="CT96" s="133"/>
      <c r="CU96" s="131"/>
      <c r="CV96" s="134"/>
      <c r="CW96" s="133"/>
      <c r="CX96" s="131"/>
      <c r="CY96" s="134"/>
      <c r="CZ96" s="133"/>
      <c r="DA96" s="140"/>
      <c r="DB96" s="141"/>
      <c r="DC96" s="142"/>
      <c r="DD96" s="140"/>
      <c r="DE96" s="141"/>
      <c r="DF96" s="142"/>
      <c r="DG96" s="140"/>
      <c r="DH96" s="141"/>
      <c r="DI96" s="142"/>
      <c r="DJ96" s="140"/>
      <c r="DK96" s="141"/>
      <c r="DL96" s="142"/>
      <c r="DM96" s="140"/>
      <c r="DN96" s="141"/>
      <c r="DO96" s="142"/>
      <c r="DP96" s="140"/>
      <c r="DQ96" s="141"/>
      <c r="DR96" s="142"/>
      <c r="DS96" s="140"/>
      <c r="DT96" s="141"/>
      <c r="DU96" s="142"/>
      <c r="DV96" s="140"/>
      <c r="DW96" s="141"/>
      <c r="DX96" s="142"/>
      <c r="DY96" s="140"/>
      <c r="DZ96" s="141"/>
      <c r="EA96" s="142"/>
      <c r="EB96" s="140"/>
      <c r="EC96" s="141"/>
      <c r="ED96" s="142"/>
      <c r="EE96" s="140"/>
      <c r="EF96" s="141"/>
      <c r="EG96" s="142"/>
      <c r="EH96" s="140"/>
      <c r="EI96" s="141"/>
      <c r="EJ96" s="142"/>
      <c r="EK96" s="140"/>
      <c r="EL96" s="141"/>
      <c r="EM96" s="142"/>
      <c r="EN96" s="140"/>
      <c r="EO96" s="141"/>
      <c r="EP96" s="142"/>
      <c r="EQ96" s="140"/>
      <c r="ER96" s="141"/>
      <c r="ES96" s="142"/>
      <c r="ET96" s="140"/>
      <c r="EU96" s="141"/>
      <c r="EV96" s="142"/>
      <c r="EW96" s="140"/>
      <c r="EX96" s="141"/>
      <c r="EY96" s="142"/>
      <c r="EZ96" s="140"/>
      <c r="FA96" s="141"/>
      <c r="FB96" s="142"/>
      <c r="FC96" s="140"/>
      <c r="FD96" s="141"/>
      <c r="FE96" s="142"/>
      <c r="FF96" s="140"/>
      <c r="FG96" s="141"/>
      <c r="FH96" s="142"/>
      <c r="FI96" s="140"/>
      <c r="FJ96" s="141"/>
      <c r="FK96" s="142"/>
      <c r="FL96" s="140"/>
      <c r="FM96" s="141"/>
      <c r="FN96" s="142"/>
      <c r="FO96" s="140"/>
      <c r="FP96" s="141"/>
      <c r="FQ96" s="142"/>
      <c r="FR96" s="140"/>
      <c r="FS96" s="141"/>
      <c r="FT96" s="142"/>
      <c r="FU96" s="140"/>
      <c r="FV96" s="141"/>
      <c r="FW96" s="142"/>
      <c r="FX96" s="140"/>
      <c r="FY96" s="141"/>
      <c r="FZ96" s="142"/>
      <c r="GA96" s="140"/>
      <c r="GB96" s="141"/>
      <c r="GC96" s="142"/>
      <c r="GD96" s="140"/>
      <c r="GE96" s="141"/>
      <c r="GF96" s="142"/>
      <c r="GG96" s="140"/>
      <c r="GH96" s="141"/>
      <c r="GI96" s="142"/>
      <c r="GJ96" s="140"/>
      <c r="GK96" s="141"/>
      <c r="GL96" s="142"/>
      <c r="GM96" s="140"/>
      <c r="GN96" s="141"/>
      <c r="GO96" s="142"/>
      <c r="GP96" s="140"/>
      <c r="GQ96" s="141"/>
      <c r="GR96" s="142"/>
      <c r="GS96" s="140"/>
      <c r="GT96" s="141"/>
      <c r="GU96" s="142"/>
      <c r="GV96" s="140"/>
      <c r="GW96" s="141"/>
      <c r="GX96" s="142"/>
      <c r="GY96" s="164"/>
      <c r="GZ96" s="134"/>
      <c r="HA96" s="185"/>
      <c r="HB96" s="164"/>
      <c r="HC96" s="185"/>
      <c r="HD96" s="164"/>
      <c r="HE96" s="185"/>
      <c r="HF96" s="164"/>
      <c r="HG96" s="185"/>
      <c r="HH96" s="164"/>
      <c r="HI96" s="185"/>
      <c r="HJ96" s="164"/>
      <c r="HK96" s="185"/>
      <c r="HL96" s="164"/>
      <c r="HM96" s="185"/>
      <c r="HN96" s="164"/>
      <c r="HO96" s="185"/>
      <c r="HP96" s="164"/>
      <c r="HQ96" s="185"/>
      <c r="HR96" s="164"/>
      <c r="HS96" s="185"/>
      <c r="HT96" s="164">
        <f>+'1915 Hacienda'!D21</f>
        <v>2127</v>
      </c>
      <c r="HU96" s="185">
        <f>+'1915 Hacienda'!E21</f>
        <v>59</v>
      </c>
    </row>
    <row r="97" spans="1:229" x14ac:dyDescent="0.2">
      <c r="A97" s="164" t="s">
        <v>5898</v>
      </c>
      <c r="B97" s="131"/>
      <c r="C97" s="134"/>
      <c r="D97" s="133"/>
      <c r="E97" s="131"/>
      <c r="F97" s="134"/>
      <c r="G97" s="133"/>
      <c r="H97" s="131"/>
      <c r="I97" s="134"/>
      <c r="J97" s="133"/>
      <c r="K97" s="131"/>
      <c r="L97" s="134"/>
      <c r="M97" s="133"/>
      <c r="N97" s="131"/>
      <c r="O97" s="134"/>
      <c r="P97" s="133"/>
      <c r="Q97" s="131"/>
      <c r="R97" s="134"/>
      <c r="S97" s="133"/>
      <c r="T97" s="131"/>
      <c r="U97" s="134"/>
      <c r="V97" s="133"/>
      <c r="W97" s="131"/>
      <c r="X97" s="134"/>
      <c r="Y97" s="133"/>
      <c r="Z97" s="131"/>
      <c r="AA97" s="134"/>
      <c r="AB97" s="133"/>
      <c r="AC97" s="131"/>
      <c r="AD97" s="134"/>
      <c r="AE97" s="133"/>
      <c r="AF97" s="131"/>
      <c r="AG97" s="134"/>
      <c r="AH97" s="133"/>
      <c r="AI97" s="145"/>
      <c r="AJ97" s="134"/>
      <c r="AK97" s="133"/>
      <c r="AL97" s="131"/>
      <c r="AM97" s="134"/>
      <c r="AN97" s="133"/>
      <c r="AO97" s="131"/>
      <c r="AP97" s="134"/>
      <c r="AQ97" s="133"/>
      <c r="AR97" s="131"/>
      <c r="AS97" s="134"/>
      <c r="AT97" s="180"/>
      <c r="AU97" s="131"/>
      <c r="AV97" s="185"/>
      <c r="AW97" s="131"/>
      <c r="AX97" s="185"/>
      <c r="AY97" s="131"/>
      <c r="AZ97" s="185"/>
      <c r="BA97" s="131"/>
      <c r="BB97" s="185"/>
      <c r="BC97" s="131"/>
      <c r="BD97" s="185"/>
      <c r="BE97" s="131"/>
      <c r="BF97" s="185"/>
      <c r="BG97" s="131"/>
      <c r="BH97" s="185"/>
      <c r="BI97" s="131"/>
      <c r="BJ97" s="185"/>
      <c r="BK97" s="131"/>
      <c r="BL97" s="185"/>
      <c r="BM97" s="131"/>
      <c r="BN97" s="185"/>
      <c r="BO97" s="131"/>
      <c r="BP97" s="134"/>
      <c r="BQ97" s="131"/>
      <c r="BR97" s="134"/>
      <c r="BS97" s="133"/>
      <c r="BT97" s="145"/>
      <c r="BU97" s="134"/>
      <c r="BV97" s="131"/>
      <c r="BW97" s="134"/>
      <c r="BX97" s="131"/>
      <c r="BY97" s="134"/>
      <c r="BZ97" s="131"/>
      <c r="CA97" s="134"/>
      <c r="CB97" s="133"/>
      <c r="CC97" s="131"/>
      <c r="CD97" s="134"/>
      <c r="CE97" s="133"/>
      <c r="CF97" s="131"/>
      <c r="CG97" s="134"/>
      <c r="CH97" s="133"/>
      <c r="CI97" s="131"/>
      <c r="CJ97" s="134"/>
      <c r="CK97" s="133"/>
      <c r="CL97" s="131"/>
      <c r="CM97" s="134"/>
      <c r="CN97" s="133"/>
      <c r="CO97" s="131"/>
      <c r="CP97" s="134"/>
      <c r="CQ97" s="133"/>
      <c r="CR97" s="131"/>
      <c r="CS97" s="134"/>
      <c r="CT97" s="133"/>
      <c r="CU97" s="131"/>
      <c r="CV97" s="134"/>
      <c r="CW97" s="133"/>
      <c r="CX97" s="131"/>
      <c r="CY97" s="134"/>
      <c r="CZ97" s="133"/>
      <c r="DA97" s="140"/>
      <c r="DB97" s="141"/>
      <c r="DC97" s="142"/>
      <c r="DD97" s="140"/>
      <c r="DE97" s="141"/>
      <c r="DF97" s="142"/>
      <c r="DG97" s="140"/>
      <c r="DH97" s="141"/>
      <c r="DI97" s="142"/>
      <c r="DJ97" s="140"/>
      <c r="DK97" s="141"/>
      <c r="DL97" s="142"/>
      <c r="DM97" s="140"/>
      <c r="DN97" s="141"/>
      <c r="DO97" s="142"/>
      <c r="DP97" s="140"/>
      <c r="DQ97" s="141"/>
      <c r="DR97" s="142"/>
      <c r="DS97" s="140"/>
      <c r="DT97" s="141"/>
      <c r="DU97" s="142"/>
      <c r="DV97" s="140"/>
      <c r="DW97" s="141"/>
      <c r="DX97" s="142"/>
      <c r="DY97" s="140"/>
      <c r="DZ97" s="141"/>
      <c r="EA97" s="142"/>
      <c r="EB97" s="140"/>
      <c r="EC97" s="141"/>
      <c r="ED97" s="142"/>
      <c r="EE97" s="140"/>
      <c r="EF97" s="141"/>
      <c r="EG97" s="142"/>
      <c r="EH97" s="140"/>
      <c r="EI97" s="141"/>
      <c r="EJ97" s="142"/>
      <c r="EK97" s="140"/>
      <c r="EL97" s="141"/>
      <c r="EM97" s="142"/>
      <c r="EN97" s="140"/>
      <c r="EO97" s="141"/>
      <c r="EP97" s="142"/>
      <c r="EQ97" s="140"/>
      <c r="ER97" s="141"/>
      <c r="ES97" s="142"/>
      <c r="ET97" s="140"/>
      <c r="EU97" s="141"/>
      <c r="EV97" s="142"/>
      <c r="EW97" s="140"/>
      <c r="EX97" s="141"/>
      <c r="EY97" s="142"/>
      <c r="EZ97" s="140"/>
      <c r="FA97" s="141"/>
      <c r="FB97" s="142"/>
      <c r="FC97" s="140"/>
      <c r="FD97" s="141"/>
      <c r="FE97" s="142"/>
      <c r="FF97" s="140"/>
      <c r="FG97" s="141"/>
      <c r="FH97" s="142"/>
      <c r="FI97" s="140"/>
      <c r="FJ97" s="141"/>
      <c r="FK97" s="142"/>
      <c r="FL97" s="140"/>
      <c r="FM97" s="141"/>
      <c r="FN97" s="142"/>
      <c r="FO97" s="140"/>
      <c r="FP97" s="141"/>
      <c r="FQ97" s="142"/>
      <c r="FR97" s="140"/>
      <c r="FS97" s="141"/>
      <c r="FT97" s="142"/>
      <c r="FU97" s="140"/>
      <c r="FV97" s="141"/>
      <c r="FW97" s="142"/>
      <c r="FX97" s="140"/>
      <c r="FY97" s="141"/>
      <c r="FZ97" s="142"/>
      <c r="GA97" s="140"/>
      <c r="GB97" s="141"/>
      <c r="GC97" s="142"/>
      <c r="GD97" s="140"/>
      <c r="GE97" s="141"/>
      <c r="GF97" s="142"/>
      <c r="GG97" s="140"/>
      <c r="GH97" s="141"/>
      <c r="GI97" s="142"/>
      <c r="GJ97" s="140"/>
      <c r="GK97" s="141"/>
      <c r="GL97" s="142"/>
      <c r="GM97" s="140"/>
      <c r="GN97" s="141"/>
      <c r="GO97" s="142"/>
      <c r="GP97" s="140"/>
      <c r="GQ97" s="141"/>
      <c r="GR97" s="142"/>
      <c r="GS97" s="140"/>
      <c r="GT97" s="141"/>
      <c r="GU97" s="142"/>
      <c r="GV97" s="140"/>
      <c r="GW97" s="141"/>
      <c r="GX97" s="142"/>
      <c r="GY97" s="164"/>
      <c r="GZ97" s="134"/>
      <c r="HA97" s="185"/>
      <c r="HB97" s="164"/>
      <c r="HC97" s="185"/>
      <c r="HD97" s="164"/>
      <c r="HE97" s="185"/>
      <c r="HF97" s="164"/>
      <c r="HG97" s="185"/>
      <c r="HH97" s="164"/>
      <c r="HI97" s="185"/>
      <c r="HJ97" s="164"/>
      <c r="HK97" s="185"/>
      <c r="HL97" s="164"/>
      <c r="HM97" s="185"/>
      <c r="HN97" s="164"/>
      <c r="HO97" s="185"/>
      <c r="HP97" s="164"/>
      <c r="HQ97" s="185"/>
      <c r="HR97" s="164"/>
      <c r="HS97" s="185"/>
      <c r="HT97" s="164">
        <f>+'1915 Hacienda'!B34</f>
        <v>12500</v>
      </c>
      <c r="HU97" s="185">
        <f>+'1915 Hacienda'!C34</f>
        <v>70</v>
      </c>
    </row>
    <row r="98" spans="1:229" x14ac:dyDescent="0.2">
      <c r="A98" s="164" t="s">
        <v>5899</v>
      </c>
      <c r="B98" s="131"/>
      <c r="C98" s="134"/>
      <c r="D98" s="133"/>
      <c r="E98" s="131"/>
      <c r="F98" s="134"/>
      <c r="G98" s="133"/>
      <c r="H98" s="131"/>
      <c r="I98" s="134"/>
      <c r="J98" s="133"/>
      <c r="K98" s="131"/>
      <c r="L98" s="134"/>
      <c r="M98" s="133"/>
      <c r="N98" s="131"/>
      <c r="O98" s="134"/>
      <c r="P98" s="133"/>
      <c r="Q98" s="131"/>
      <c r="R98" s="134"/>
      <c r="S98" s="133"/>
      <c r="T98" s="131"/>
      <c r="U98" s="134"/>
      <c r="V98" s="133"/>
      <c r="W98" s="131"/>
      <c r="X98" s="134"/>
      <c r="Y98" s="133"/>
      <c r="Z98" s="131"/>
      <c r="AA98" s="134"/>
      <c r="AB98" s="133"/>
      <c r="AC98" s="131"/>
      <c r="AD98" s="134"/>
      <c r="AE98" s="133"/>
      <c r="AF98" s="131"/>
      <c r="AG98" s="134"/>
      <c r="AH98" s="133"/>
      <c r="AI98" s="145"/>
      <c r="AJ98" s="134"/>
      <c r="AK98" s="133"/>
      <c r="AL98" s="131"/>
      <c r="AM98" s="134"/>
      <c r="AN98" s="133"/>
      <c r="AO98" s="131"/>
      <c r="AP98" s="134"/>
      <c r="AQ98" s="133"/>
      <c r="AR98" s="131"/>
      <c r="AS98" s="134"/>
      <c r="AT98" s="180"/>
      <c r="AU98" s="131"/>
      <c r="AV98" s="185"/>
      <c r="AW98" s="131"/>
      <c r="AX98" s="185"/>
      <c r="AY98" s="131"/>
      <c r="AZ98" s="185"/>
      <c r="BA98" s="131"/>
      <c r="BB98" s="185"/>
      <c r="BC98" s="131"/>
      <c r="BD98" s="185"/>
      <c r="BE98" s="131"/>
      <c r="BF98" s="185"/>
      <c r="BG98" s="131"/>
      <c r="BH98" s="185"/>
      <c r="BI98" s="131"/>
      <c r="BJ98" s="185"/>
      <c r="BK98" s="131"/>
      <c r="BL98" s="185"/>
      <c r="BM98" s="131"/>
      <c r="BN98" s="185"/>
      <c r="BO98" s="131"/>
      <c r="BP98" s="134"/>
      <c r="BQ98" s="131"/>
      <c r="BR98" s="134"/>
      <c r="BS98" s="133"/>
      <c r="BT98" s="145"/>
      <c r="BU98" s="134"/>
      <c r="BV98" s="131"/>
      <c r="BW98" s="134"/>
      <c r="BX98" s="131"/>
      <c r="BY98" s="134"/>
      <c r="BZ98" s="131"/>
      <c r="CA98" s="134"/>
      <c r="CB98" s="133"/>
      <c r="CC98" s="131"/>
      <c r="CD98" s="134"/>
      <c r="CE98" s="133"/>
      <c r="CF98" s="131"/>
      <c r="CG98" s="134"/>
      <c r="CH98" s="133"/>
      <c r="CI98" s="131"/>
      <c r="CJ98" s="134"/>
      <c r="CK98" s="133"/>
      <c r="CL98" s="131"/>
      <c r="CM98" s="134"/>
      <c r="CN98" s="133"/>
      <c r="CO98" s="131"/>
      <c r="CP98" s="134"/>
      <c r="CQ98" s="133"/>
      <c r="CR98" s="131"/>
      <c r="CS98" s="134"/>
      <c r="CT98" s="133"/>
      <c r="CU98" s="131"/>
      <c r="CV98" s="134"/>
      <c r="CW98" s="133"/>
      <c r="CX98" s="131"/>
      <c r="CY98" s="134"/>
      <c r="CZ98" s="133"/>
      <c r="DA98" s="140"/>
      <c r="DB98" s="141"/>
      <c r="DC98" s="142"/>
      <c r="DD98" s="140"/>
      <c r="DE98" s="141"/>
      <c r="DF98" s="142"/>
      <c r="DG98" s="140"/>
      <c r="DH98" s="141"/>
      <c r="DI98" s="142"/>
      <c r="DJ98" s="140"/>
      <c r="DK98" s="141"/>
      <c r="DL98" s="142"/>
      <c r="DM98" s="140"/>
      <c r="DN98" s="141"/>
      <c r="DO98" s="142"/>
      <c r="DP98" s="140"/>
      <c r="DQ98" s="141"/>
      <c r="DR98" s="142"/>
      <c r="DS98" s="140"/>
      <c r="DT98" s="141"/>
      <c r="DU98" s="142"/>
      <c r="DV98" s="140"/>
      <c r="DW98" s="141"/>
      <c r="DX98" s="142"/>
      <c r="DY98" s="140"/>
      <c r="DZ98" s="141"/>
      <c r="EA98" s="142"/>
      <c r="EB98" s="140"/>
      <c r="EC98" s="141"/>
      <c r="ED98" s="142"/>
      <c r="EE98" s="140"/>
      <c r="EF98" s="141"/>
      <c r="EG98" s="142"/>
      <c r="EH98" s="140"/>
      <c r="EI98" s="141"/>
      <c r="EJ98" s="142"/>
      <c r="EK98" s="140"/>
      <c r="EL98" s="141"/>
      <c r="EM98" s="142"/>
      <c r="EN98" s="140"/>
      <c r="EO98" s="141"/>
      <c r="EP98" s="142"/>
      <c r="EQ98" s="140"/>
      <c r="ER98" s="141"/>
      <c r="ES98" s="142"/>
      <c r="ET98" s="140"/>
      <c r="EU98" s="141"/>
      <c r="EV98" s="142"/>
      <c r="EW98" s="140"/>
      <c r="EX98" s="141"/>
      <c r="EY98" s="142"/>
      <c r="EZ98" s="140"/>
      <c r="FA98" s="141"/>
      <c r="FB98" s="142"/>
      <c r="FC98" s="140"/>
      <c r="FD98" s="141"/>
      <c r="FE98" s="142"/>
      <c r="FF98" s="140"/>
      <c r="FG98" s="141"/>
      <c r="FH98" s="142"/>
      <c r="FI98" s="140"/>
      <c r="FJ98" s="141"/>
      <c r="FK98" s="142"/>
      <c r="FL98" s="140"/>
      <c r="FM98" s="141"/>
      <c r="FN98" s="142"/>
      <c r="FO98" s="140"/>
      <c r="FP98" s="141"/>
      <c r="FQ98" s="142"/>
      <c r="FR98" s="140"/>
      <c r="FS98" s="141"/>
      <c r="FT98" s="142"/>
      <c r="FU98" s="140"/>
      <c r="FV98" s="141"/>
      <c r="FW98" s="142"/>
      <c r="FX98" s="140"/>
      <c r="FY98" s="141"/>
      <c r="FZ98" s="142"/>
      <c r="GA98" s="140"/>
      <c r="GB98" s="141"/>
      <c r="GC98" s="142"/>
      <c r="GD98" s="140"/>
      <c r="GE98" s="141"/>
      <c r="GF98" s="142"/>
      <c r="GG98" s="140"/>
      <c r="GH98" s="141"/>
      <c r="GI98" s="142"/>
      <c r="GJ98" s="140"/>
      <c r="GK98" s="141"/>
      <c r="GL98" s="142"/>
      <c r="GM98" s="140"/>
      <c r="GN98" s="141"/>
      <c r="GO98" s="142"/>
      <c r="GP98" s="140"/>
      <c r="GQ98" s="141"/>
      <c r="GR98" s="142"/>
      <c r="GS98" s="140"/>
      <c r="GT98" s="141"/>
      <c r="GU98" s="142"/>
      <c r="GV98" s="140"/>
      <c r="GW98" s="141"/>
      <c r="GX98" s="142"/>
      <c r="GY98" s="164"/>
      <c r="GZ98" s="134"/>
      <c r="HA98" s="185"/>
      <c r="HB98" s="164"/>
      <c r="HC98" s="185"/>
      <c r="HD98" s="164"/>
      <c r="HE98" s="185"/>
      <c r="HF98" s="164"/>
      <c r="HG98" s="185"/>
      <c r="HH98" s="164"/>
      <c r="HI98" s="185"/>
      <c r="HJ98" s="164"/>
      <c r="HK98" s="185"/>
      <c r="HL98" s="164"/>
      <c r="HM98" s="185"/>
      <c r="HN98" s="164"/>
      <c r="HO98" s="185"/>
      <c r="HP98" s="164"/>
      <c r="HQ98" s="185"/>
      <c r="HR98" s="164"/>
      <c r="HS98" s="185"/>
      <c r="HT98" s="164">
        <f>+'1915 Hacienda'!B35</f>
        <v>2911</v>
      </c>
      <c r="HU98" s="185">
        <f>+'1915 Hacienda'!C35</f>
        <v>75</v>
      </c>
    </row>
    <row r="99" spans="1:229" x14ac:dyDescent="0.2">
      <c r="A99" s="164" t="s">
        <v>5900</v>
      </c>
      <c r="B99" s="131"/>
      <c r="C99" s="134"/>
      <c r="D99" s="133"/>
      <c r="E99" s="131"/>
      <c r="F99" s="134"/>
      <c r="G99" s="133"/>
      <c r="H99" s="131"/>
      <c r="I99" s="134"/>
      <c r="J99" s="133"/>
      <c r="K99" s="131"/>
      <c r="L99" s="134"/>
      <c r="M99" s="133"/>
      <c r="N99" s="131"/>
      <c r="O99" s="134"/>
      <c r="P99" s="133"/>
      <c r="Q99" s="131"/>
      <c r="R99" s="134"/>
      <c r="S99" s="133"/>
      <c r="T99" s="131"/>
      <c r="U99" s="134"/>
      <c r="V99" s="133"/>
      <c r="W99" s="131"/>
      <c r="X99" s="134"/>
      <c r="Y99" s="133"/>
      <c r="Z99" s="131"/>
      <c r="AA99" s="134"/>
      <c r="AB99" s="133"/>
      <c r="AC99" s="131"/>
      <c r="AD99" s="134"/>
      <c r="AE99" s="133"/>
      <c r="AF99" s="131"/>
      <c r="AG99" s="134"/>
      <c r="AH99" s="133"/>
      <c r="AI99" s="145"/>
      <c r="AJ99" s="134"/>
      <c r="AK99" s="133"/>
      <c r="AL99" s="131"/>
      <c r="AM99" s="134"/>
      <c r="AN99" s="133"/>
      <c r="AO99" s="131"/>
      <c r="AP99" s="134"/>
      <c r="AQ99" s="133"/>
      <c r="AR99" s="131"/>
      <c r="AS99" s="134"/>
      <c r="AT99" s="180"/>
      <c r="AU99" s="131"/>
      <c r="AV99" s="185"/>
      <c r="AW99" s="131"/>
      <c r="AX99" s="185"/>
      <c r="AY99" s="131"/>
      <c r="AZ99" s="185"/>
      <c r="BA99" s="131"/>
      <c r="BB99" s="185"/>
      <c r="BC99" s="131"/>
      <c r="BD99" s="185"/>
      <c r="BE99" s="131"/>
      <c r="BF99" s="185"/>
      <c r="BG99" s="131"/>
      <c r="BH99" s="185"/>
      <c r="BI99" s="131"/>
      <c r="BJ99" s="185"/>
      <c r="BK99" s="131"/>
      <c r="BL99" s="185"/>
      <c r="BM99" s="131"/>
      <c r="BN99" s="185"/>
      <c r="BO99" s="131"/>
      <c r="BP99" s="134"/>
      <c r="BQ99" s="131"/>
      <c r="BR99" s="134"/>
      <c r="BS99" s="133"/>
      <c r="BT99" s="145"/>
      <c r="BU99" s="134"/>
      <c r="BV99" s="131"/>
      <c r="BW99" s="134"/>
      <c r="BX99" s="131"/>
      <c r="BY99" s="134"/>
      <c r="BZ99" s="131"/>
      <c r="CA99" s="134"/>
      <c r="CB99" s="133"/>
      <c r="CC99" s="131"/>
      <c r="CD99" s="134"/>
      <c r="CE99" s="133"/>
      <c r="CF99" s="131"/>
      <c r="CG99" s="134"/>
      <c r="CH99" s="133"/>
      <c r="CI99" s="131"/>
      <c r="CJ99" s="134"/>
      <c r="CK99" s="133"/>
      <c r="CL99" s="131"/>
      <c r="CM99" s="134"/>
      <c r="CN99" s="133"/>
      <c r="CO99" s="131"/>
      <c r="CP99" s="134"/>
      <c r="CQ99" s="133"/>
      <c r="CR99" s="131"/>
      <c r="CS99" s="134"/>
      <c r="CT99" s="133"/>
      <c r="CU99" s="131"/>
      <c r="CV99" s="134"/>
      <c r="CW99" s="133"/>
      <c r="CX99" s="131"/>
      <c r="CY99" s="134"/>
      <c r="CZ99" s="133"/>
      <c r="DA99" s="140"/>
      <c r="DB99" s="141"/>
      <c r="DC99" s="142"/>
      <c r="DD99" s="140"/>
      <c r="DE99" s="141"/>
      <c r="DF99" s="142"/>
      <c r="DG99" s="140"/>
      <c r="DH99" s="141"/>
      <c r="DI99" s="142"/>
      <c r="DJ99" s="140"/>
      <c r="DK99" s="141"/>
      <c r="DL99" s="142"/>
      <c r="DM99" s="140"/>
      <c r="DN99" s="141"/>
      <c r="DO99" s="142"/>
      <c r="DP99" s="140"/>
      <c r="DQ99" s="141"/>
      <c r="DR99" s="142"/>
      <c r="DS99" s="140"/>
      <c r="DT99" s="141"/>
      <c r="DU99" s="142"/>
      <c r="DV99" s="140"/>
      <c r="DW99" s="141"/>
      <c r="DX99" s="142"/>
      <c r="DY99" s="140"/>
      <c r="DZ99" s="141"/>
      <c r="EA99" s="142"/>
      <c r="EB99" s="140"/>
      <c r="EC99" s="141"/>
      <c r="ED99" s="142"/>
      <c r="EE99" s="140"/>
      <c r="EF99" s="141"/>
      <c r="EG99" s="142"/>
      <c r="EH99" s="140"/>
      <c r="EI99" s="141"/>
      <c r="EJ99" s="142"/>
      <c r="EK99" s="140"/>
      <c r="EL99" s="141"/>
      <c r="EM99" s="142"/>
      <c r="EN99" s="140"/>
      <c r="EO99" s="141"/>
      <c r="EP99" s="142"/>
      <c r="EQ99" s="140"/>
      <c r="ER99" s="141"/>
      <c r="ES99" s="142"/>
      <c r="ET99" s="140"/>
      <c r="EU99" s="141"/>
      <c r="EV99" s="142"/>
      <c r="EW99" s="140"/>
      <c r="EX99" s="141"/>
      <c r="EY99" s="142"/>
      <c r="EZ99" s="140"/>
      <c r="FA99" s="141"/>
      <c r="FB99" s="142"/>
      <c r="FC99" s="140"/>
      <c r="FD99" s="141"/>
      <c r="FE99" s="142"/>
      <c r="FF99" s="140"/>
      <c r="FG99" s="141"/>
      <c r="FH99" s="142"/>
      <c r="FI99" s="140"/>
      <c r="FJ99" s="141"/>
      <c r="FK99" s="142"/>
      <c r="FL99" s="140"/>
      <c r="FM99" s="141"/>
      <c r="FN99" s="142"/>
      <c r="FO99" s="140"/>
      <c r="FP99" s="141"/>
      <c r="FQ99" s="142"/>
      <c r="FR99" s="140"/>
      <c r="FS99" s="141"/>
      <c r="FT99" s="142"/>
      <c r="FU99" s="140"/>
      <c r="FV99" s="141"/>
      <c r="FW99" s="142"/>
      <c r="FX99" s="140"/>
      <c r="FY99" s="141"/>
      <c r="FZ99" s="142"/>
      <c r="GA99" s="140"/>
      <c r="GB99" s="141"/>
      <c r="GC99" s="142"/>
      <c r="GD99" s="140"/>
      <c r="GE99" s="141"/>
      <c r="GF99" s="142"/>
      <c r="GG99" s="140"/>
      <c r="GH99" s="141"/>
      <c r="GI99" s="142"/>
      <c r="GJ99" s="140"/>
      <c r="GK99" s="141"/>
      <c r="GL99" s="142"/>
      <c r="GM99" s="140"/>
      <c r="GN99" s="141"/>
      <c r="GO99" s="142"/>
      <c r="GP99" s="140"/>
      <c r="GQ99" s="141"/>
      <c r="GR99" s="142"/>
      <c r="GS99" s="140"/>
      <c r="GT99" s="141"/>
      <c r="GU99" s="142"/>
      <c r="GV99" s="140"/>
      <c r="GW99" s="141"/>
      <c r="GX99" s="142"/>
      <c r="GY99" s="164"/>
      <c r="GZ99" s="134"/>
      <c r="HA99" s="185"/>
      <c r="HB99" s="164"/>
      <c r="HC99" s="185"/>
      <c r="HD99" s="164"/>
      <c r="HE99" s="185"/>
      <c r="HF99" s="164"/>
      <c r="HG99" s="185"/>
      <c r="HH99" s="164"/>
      <c r="HI99" s="185"/>
      <c r="HJ99" s="164"/>
      <c r="HK99" s="185"/>
      <c r="HL99" s="164"/>
      <c r="HM99" s="185"/>
      <c r="HN99" s="164"/>
      <c r="HO99" s="185"/>
      <c r="HP99" s="164"/>
      <c r="HQ99" s="185"/>
      <c r="HR99" s="164"/>
      <c r="HS99" s="185"/>
      <c r="HT99" s="164">
        <f>+'1915 Hacienda'!B36</f>
        <v>45</v>
      </c>
      <c r="HU99" s="185">
        <f>+'1915 Hacienda'!C36</f>
        <v>40</v>
      </c>
    </row>
    <row r="100" spans="1:229" x14ac:dyDescent="0.2">
      <c r="A100" s="1756" t="str">
        <f>+'1858 Hacienda'!A496</f>
        <v>Censos, alquileres i premios</v>
      </c>
      <c r="B100" s="131"/>
      <c r="C100" s="134"/>
      <c r="D100" s="133"/>
      <c r="E100" s="131"/>
      <c r="F100" s="134"/>
      <c r="G100" s="133"/>
      <c r="H100" s="131"/>
      <c r="I100" s="134"/>
      <c r="J100" s="133"/>
      <c r="K100" s="131"/>
      <c r="L100" s="134"/>
      <c r="M100" s="133"/>
      <c r="N100" s="131"/>
      <c r="O100" s="134"/>
      <c r="P100" s="133"/>
      <c r="Q100" s="131"/>
      <c r="R100" s="134"/>
      <c r="S100" s="133"/>
      <c r="T100" s="131"/>
      <c r="U100" s="134"/>
      <c r="V100" s="133"/>
      <c r="W100" s="131"/>
      <c r="X100" s="134"/>
      <c r="Y100" s="133"/>
      <c r="Z100" s="131"/>
      <c r="AA100" s="134"/>
      <c r="AB100" s="133"/>
      <c r="AC100" s="131"/>
      <c r="AD100" s="134"/>
      <c r="AE100" s="133"/>
      <c r="AF100" s="131"/>
      <c r="AG100" s="134"/>
      <c r="AH100" s="133"/>
      <c r="AI100" s="145"/>
      <c r="AJ100" s="134"/>
      <c r="AK100" s="133"/>
      <c r="AL100" s="131"/>
      <c r="AM100" s="134"/>
      <c r="AN100" s="133"/>
      <c r="AO100" s="131"/>
      <c r="AP100" s="134"/>
      <c r="AQ100" s="133"/>
      <c r="AR100" s="131"/>
      <c r="AS100" s="134"/>
      <c r="AT100" s="180"/>
      <c r="AU100" s="131"/>
      <c r="AV100" s="185"/>
      <c r="AW100" s="131">
        <f>+'1858 Hacienda'!D556</f>
        <v>5028</v>
      </c>
      <c r="AX100" s="185">
        <f>+'1858 Hacienda'!E556</f>
        <v>254</v>
      </c>
      <c r="AY100" s="131">
        <f>+'1858 Hacienda'!D613</f>
        <v>2595</v>
      </c>
      <c r="AZ100" s="185">
        <f>+'1858 Hacienda'!E613</f>
        <v>557</v>
      </c>
      <c r="BA100" s="131">
        <f>+'1858 Hacienda'!B496</f>
        <v>2339</v>
      </c>
      <c r="BB100" s="185">
        <f>+'1858 Hacienda'!C496</f>
        <v>226</v>
      </c>
      <c r="BC100" s="131">
        <f>+'1858 Hacienda'!B1028</f>
        <v>4578</v>
      </c>
      <c r="BD100" s="185">
        <f>+'1858 Hacienda'!C1028</f>
        <v>747</v>
      </c>
      <c r="BE100" s="131">
        <f>+'1858 Hacienda'!B1051</f>
        <v>19581</v>
      </c>
      <c r="BF100" s="185">
        <f>+'1858 Hacienda'!C1051</f>
        <v>33</v>
      </c>
      <c r="BG100" s="131">
        <f>+'1858 Hacienda'!B1071</f>
        <v>14510</v>
      </c>
      <c r="BH100" s="185">
        <f>+'1858 Hacienda'!C1071</f>
        <v>21</v>
      </c>
      <c r="BI100" s="131">
        <f>+'1858 Hacienda'!B1091</f>
        <v>21423</v>
      </c>
      <c r="BJ100" s="185">
        <f>+'1858 Hacienda'!C1091</f>
        <v>765</v>
      </c>
      <c r="BK100" s="131">
        <f>+'1858 Hacienda'!B1111</f>
        <v>11083</v>
      </c>
      <c r="BL100" s="185">
        <f>+'1858 Hacienda'!C1111</f>
        <v>275</v>
      </c>
      <c r="BM100" s="131">
        <f>+'1858 Hacienda'!B1124</f>
        <v>10380</v>
      </c>
      <c r="BN100" s="185">
        <f>+'1858 Hacienda'!C1124</f>
        <v>60</v>
      </c>
      <c r="BO100" s="131"/>
      <c r="BP100" s="134"/>
      <c r="BQ100" s="131"/>
      <c r="BR100" s="134"/>
      <c r="BS100" s="133"/>
      <c r="BT100" s="145"/>
      <c r="BU100" s="134"/>
      <c r="BV100" s="131"/>
      <c r="BW100" s="134"/>
      <c r="BX100" s="131"/>
      <c r="BY100" s="134"/>
      <c r="BZ100" s="131"/>
      <c r="CA100" s="134"/>
      <c r="CB100" s="133"/>
      <c r="CC100" s="131"/>
      <c r="CD100" s="134"/>
      <c r="CE100" s="133"/>
      <c r="CF100" s="131"/>
      <c r="CG100" s="134"/>
      <c r="CH100" s="133"/>
      <c r="CI100" s="131"/>
      <c r="CJ100" s="134"/>
      <c r="CK100" s="133"/>
      <c r="CL100" s="131"/>
      <c r="CM100" s="134"/>
      <c r="CN100" s="133"/>
      <c r="CO100" s="131"/>
      <c r="CP100" s="134"/>
      <c r="CQ100" s="133"/>
      <c r="CR100" s="131"/>
      <c r="CS100" s="134"/>
      <c r="CT100" s="133"/>
      <c r="CU100" s="131"/>
      <c r="CV100" s="134"/>
      <c r="CW100" s="133"/>
      <c r="CX100" s="131"/>
      <c r="CY100" s="134"/>
      <c r="CZ100" s="133"/>
      <c r="DA100" s="140"/>
      <c r="DB100" s="141"/>
      <c r="DC100" s="142"/>
      <c r="DD100" s="140"/>
      <c r="DE100" s="141"/>
      <c r="DF100" s="142"/>
      <c r="DG100" s="140"/>
      <c r="DH100" s="141"/>
      <c r="DI100" s="142"/>
      <c r="DJ100" s="140"/>
      <c r="DK100" s="141"/>
      <c r="DL100" s="142"/>
      <c r="DM100" s="140"/>
      <c r="DN100" s="141"/>
      <c r="DO100" s="142"/>
      <c r="DP100" s="140"/>
      <c r="DQ100" s="141"/>
      <c r="DR100" s="142"/>
      <c r="DS100" s="140"/>
      <c r="DT100" s="141"/>
      <c r="DU100" s="142"/>
      <c r="DV100" s="140"/>
      <c r="DW100" s="141"/>
      <c r="DX100" s="142"/>
      <c r="DY100" s="140"/>
      <c r="DZ100" s="141"/>
      <c r="EA100" s="142"/>
      <c r="EB100" s="140"/>
      <c r="EC100" s="141"/>
      <c r="ED100" s="142"/>
      <c r="EE100" s="140"/>
      <c r="EF100" s="141"/>
      <c r="EG100" s="142"/>
      <c r="EH100" s="140"/>
      <c r="EI100" s="141"/>
      <c r="EJ100" s="142"/>
      <c r="EK100" s="140"/>
      <c r="EL100" s="141"/>
      <c r="EM100" s="142"/>
      <c r="EN100" s="140"/>
      <c r="EO100" s="141"/>
      <c r="EP100" s="142"/>
      <c r="EQ100" s="140"/>
      <c r="ER100" s="141"/>
      <c r="ES100" s="142"/>
      <c r="ET100" s="140"/>
      <c r="EU100" s="141"/>
      <c r="EV100" s="142"/>
      <c r="EW100" s="140"/>
      <c r="EX100" s="141"/>
      <c r="EY100" s="142"/>
      <c r="EZ100" s="140"/>
      <c r="FA100" s="141"/>
      <c r="FB100" s="142"/>
      <c r="FC100" s="140"/>
      <c r="FD100" s="141"/>
      <c r="FE100" s="142"/>
      <c r="FF100" s="140"/>
      <c r="FG100" s="141"/>
      <c r="FH100" s="142"/>
      <c r="FI100" s="140"/>
      <c r="FJ100" s="141"/>
      <c r="FK100" s="142"/>
      <c r="FL100" s="140"/>
      <c r="FM100" s="141"/>
      <c r="FN100" s="142"/>
      <c r="FO100" s="140"/>
      <c r="FP100" s="141"/>
      <c r="FQ100" s="142"/>
      <c r="FR100" s="140"/>
      <c r="FS100" s="141"/>
      <c r="FT100" s="142"/>
      <c r="FU100" s="140"/>
      <c r="FV100" s="141"/>
      <c r="FW100" s="142"/>
      <c r="FX100" s="140"/>
      <c r="FY100" s="141"/>
      <c r="FZ100" s="142"/>
      <c r="GA100" s="140"/>
      <c r="GB100" s="141"/>
      <c r="GC100" s="142"/>
      <c r="GD100" s="140"/>
      <c r="GE100" s="141"/>
      <c r="GF100" s="142"/>
      <c r="GG100" s="140"/>
      <c r="GH100" s="141"/>
      <c r="GI100" s="142"/>
      <c r="GJ100" s="140"/>
      <c r="GK100" s="141"/>
      <c r="GL100" s="142"/>
      <c r="GM100" s="140"/>
      <c r="GN100" s="141"/>
      <c r="GO100" s="142"/>
      <c r="GP100" s="140"/>
      <c r="GQ100" s="141"/>
      <c r="GR100" s="142"/>
      <c r="GS100" s="140"/>
      <c r="GT100" s="141"/>
      <c r="GU100" s="142"/>
      <c r="GV100" s="140"/>
      <c r="GW100" s="141"/>
      <c r="GX100" s="142"/>
      <c r="GY100" s="164"/>
      <c r="GZ100" s="134"/>
      <c r="HA100" s="185"/>
      <c r="HB100" s="164"/>
      <c r="HC100" s="185"/>
      <c r="HD100" s="164"/>
      <c r="HE100" s="185"/>
      <c r="HF100" s="164"/>
      <c r="HG100" s="185"/>
      <c r="HH100" s="164"/>
      <c r="HI100" s="185"/>
      <c r="HJ100" s="164"/>
      <c r="HK100" s="185"/>
      <c r="HL100" s="164"/>
      <c r="HM100" s="185"/>
      <c r="HN100" s="164"/>
      <c r="HO100" s="185"/>
      <c r="HP100" s="164"/>
      <c r="HQ100" s="185"/>
      <c r="HR100" s="164"/>
      <c r="HS100" s="185"/>
      <c r="HT100" s="164"/>
      <c r="HU100" s="185"/>
    </row>
    <row r="101" spans="1:229" x14ac:dyDescent="0.2">
      <c r="A101" s="1756" t="str">
        <f>+'1858 Hacienda'!A497</f>
        <v>Dos por ciento para pensiones civiles</v>
      </c>
      <c r="B101" s="131"/>
      <c r="C101" s="134"/>
      <c r="D101" s="133"/>
      <c r="E101" s="131"/>
      <c r="F101" s="134"/>
      <c r="G101" s="133"/>
      <c r="H101" s="131"/>
      <c r="I101" s="134"/>
      <c r="J101" s="133"/>
      <c r="K101" s="131"/>
      <c r="L101" s="134"/>
      <c r="M101" s="133"/>
      <c r="N101" s="131"/>
      <c r="O101" s="134"/>
      <c r="P101" s="133"/>
      <c r="Q101" s="131"/>
      <c r="R101" s="134"/>
      <c r="S101" s="133"/>
      <c r="T101" s="131"/>
      <c r="U101" s="134"/>
      <c r="V101" s="133"/>
      <c r="W101" s="131"/>
      <c r="X101" s="134"/>
      <c r="Y101" s="133"/>
      <c r="Z101" s="131"/>
      <c r="AA101" s="134"/>
      <c r="AB101" s="133"/>
      <c r="AC101" s="131"/>
      <c r="AD101" s="134"/>
      <c r="AE101" s="133"/>
      <c r="AF101" s="131"/>
      <c r="AG101" s="134"/>
      <c r="AH101" s="133"/>
      <c r="AI101" s="145"/>
      <c r="AJ101" s="134"/>
      <c r="AK101" s="133"/>
      <c r="AL101" s="131"/>
      <c r="AM101" s="134"/>
      <c r="AN101" s="133"/>
      <c r="AO101" s="131"/>
      <c r="AP101" s="134"/>
      <c r="AQ101" s="133"/>
      <c r="AR101" s="131"/>
      <c r="AS101" s="134"/>
      <c r="AT101" s="180"/>
      <c r="AU101" s="131"/>
      <c r="AV101" s="185"/>
      <c r="AW101" s="131">
        <f>+'1858 Hacienda'!D557</f>
        <v>10339</v>
      </c>
      <c r="AX101" s="185">
        <f>+'1858 Hacienda'!E557</f>
        <v>137</v>
      </c>
      <c r="AY101" s="131">
        <f>+'1858 Hacienda'!D614</f>
        <v>6727</v>
      </c>
      <c r="AZ101" s="185">
        <f>+'1858 Hacienda'!E614</f>
        <v>429</v>
      </c>
      <c r="BA101" s="131">
        <f>+'1858 Hacienda'!B497</f>
        <v>10072</v>
      </c>
      <c r="BB101" s="185">
        <f>+'1858 Hacienda'!C497</f>
        <v>165</v>
      </c>
      <c r="BC101" s="131">
        <f>+'1858 Hacienda'!B1029</f>
        <v>6292</v>
      </c>
      <c r="BD101" s="185">
        <f>+'1858 Hacienda'!C1029</f>
        <v>361</v>
      </c>
      <c r="BE101" s="131">
        <f>+'1858 Hacienda'!B1056</f>
        <v>4467</v>
      </c>
      <c r="BF101" s="185">
        <f>+'1858 Hacienda'!C1056</f>
        <v>906</v>
      </c>
      <c r="BG101" s="131">
        <f>+'1858 Hacienda'!B1072</f>
        <v>4473</v>
      </c>
      <c r="BH101" s="185">
        <f>+'1858 Hacienda'!C1072</f>
        <v>320</v>
      </c>
      <c r="BI101" s="131">
        <f>+'1858 Hacienda'!B1092</f>
        <v>7</v>
      </c>
      <c r="BJ101" s="185">
        <f>+'1858 Hacienda'!C1092</f>
        <v>45</v>
      </c>
      <c r="BK101" s="131"/>
      <c r="BL101" s="185"/>
      <c r="BM101" s="131"/>
      <c r="BN101" s="185"/>
      <c r="BO101" s="131"/>
      <c r="BP101" s="134"/>
      <c r="BQ101" s="131"/>
      <c r="BR101" s="134"/>
      <c r="BS101" s="133"/>
      <c r="BT101" s="145"/>
      <c r="BU101" s="134"/>
      <c r="BV101" s="131"/>
      <c r="BW101" s="134"/>
      <c r="BX101" s="131"/>
      <c r="BY101" s="134"/>
      <c r="BZ101" s="131"/>
      <c r="CA101" s="134"/>
      <c r="CB101" s="133"/>
      <c r="CC101" s="131"/>
      <c r="CD101" s="134"/>
      <c r="CE101" s="133"/>
      <c r="CF101" s="131"/>
      <c r="CG101" s="134"/>
      <c r="CH101" s="133"/>
      <c r="CI101" s="131"/>
      <c r="CJ101" s="134"/>
      <c r="CK101" s="133"/>
      <c r="CL101" s="131"/>
      <c r="CM101" s="134"/>
      <c r="CN101" s="133"/>
      <c r="CO101" s="131"/>
      <c r="CP101" s="134"/>
      <c r="CQ101" s="133"/>
      <c r="CR101" s="131"/>
      <c r="CS101" s="134"/>
      <c r="CT101" s="133"/>
      <c r="CU101" s="131"/>
      <c r="CV101" s="134"/>
      <c r="CW101" s="133"/>
      <c r="CX101" s="131"/>
      <c r="CY101" s="134"/>
      <c r="CZ101" s="133"/>
      <c r="DA101" s="140"/>
      <c r="DB101" s="141"/>
      <c r="DC101" s="142"/>
      <c r="DD101" s="140"/>
      <c r="DE101" s="141"/>
      <c r="DF101" s="142"/>
      <c r="DG101" s="140"/>
      <c r="DH101" s="141"/>
      <c r="DI101" s="142"/>
      <c r="DJ101" s="140"/>
      <c r="DK101" s="141"/>
      <c r="DL101" s="142"/>
      <c r="DM101" s="140"/>
      <c r="DN101" s="141"/>
      <c r="DO101" s="142"/>
      <c r="DP101" s="140"/>
      <c r="DQ101" s="141"/>
      <c r="DR101" s="142"/>
      <c r="DS101" s="140"/>
      <c r="DT101" s="141"/>
      <c r="DU101" s="142"/>
      <c r="DV101" s="140"/>
      <c r="DW101" s="141"/>
      <c r="DX101" s="142"/>
      <c r="DY101" s="140"/>
      <c r="DZ101" s="141"/>
      <c r="EA101" s="142"/>
      <c r="EB101" s="140"/>
      <c r="EC101" s="141"/>
      <c r="ED101" s="142"/>
      <c r="EE101" s="140"/>
      <c r="EF101" s="141"/>
      <c r="EG101" s="142"/>
      <c r="EH101" s="140"/>
      <c r="EI101" s="141"/>
      <c r="EJ101" s="142"/>
      <c r="EK101" s="140"/>
      <c r="EL101" s="141"/>
      <c r="EM101" s="142"/>
      <c r="EN101" s="140"/>
      <c r="EO101" s="141"/>
      <c r="EP101" s="142"/>
      <c r="EQ101" s="140"/>
      <c r="ER101" s="141"/>
      <c r="ES101" s="142"/>
      <c r="ET101" s="140"/>
      <c r="EU101" s="141"/>
      <c r="EV101" s="142"/>
      <c r="EW101" s="140"/>
      <c r="EX101" s="141"/>
      <c r="EY101" s="142"/>
      <c r="EZ101" s="140"/>
      <c r="FA101" s="141"/>
      <c r="FB101" s="142"/>
      <c r="FC101" s="140"/>
      <c r="FD101" s="141"/>
      <c r="FE101" s="142"/>
      <c r="FF101" s="140"/>
      <c r="FG101" s="141"/>
      <c r="FH101" s="142"/>
      <c r="FI101" s="140"/>
      <c r="FJ101" s="141"/>
      <c r="FK101" s="142"/>
      <c r="FL101" s="140"/>
      <c r="FM101" s="141"/>
      <c r="FN101" s="142"/>
      <c r="FO101" s="140"/>
      <c r="FP101" s="141"/>
      <c r="FQ101" s="142"/>
      <c r="FR101" s="140"/>
      <c r="FS101" s="141"/>
      <c r="FT101" s="142"/>
      <c r="FU101" s="140"/>
      <c r="FV101" s="141"/>
      <c r="FW101" s="142"/>
      <c r="FX101" s="140"/>
      <c r="FY101" s="141"/>
      <c r="FZ101" s="142"/>
      <c r="GA101" s="140"/>
      <c r="GB101" s="141"/>
      <c r="GC101" s="142"/>
      <c r="GD101" s="140"/>
      <c r="GE101" s="141"/>
      <c r="GF101" s="142"/>
      <c r="GG101" s="140"/>
      <c r="GH101" s="141"/>
      <c r="GI101" s="142"/>
      <c r="GJ101" s="140"/>
      <c r="GK101" s="141"/>
      <c r="GL101" s="142"/>
      <c r="GM101" s="140"/>
      <c r="GN101" s="141"/>
      <c r="GO101" s="142"/>
      <c r="GP101" s="140"/>
      <c r="GQ101" s="141"/>
      <c r="GR101" s="142"/>
      <c r="GS101" s="140"/>
      <c r="GT101" s="141"/>
      <c r="GU101" s="142"/>
      <c r="GV101" s="140"/>
      <c r="GW101" s="141"/>
      <c r="GX101" s="142"/>
      <c r="GY101" s="164"/>
      <c r="GZ101" s="134"/>
      <c r="HA101" s="185"/>
      <c r="HB101" s="164"/>
      <c r="HC101" s="185"/>
      <c r="HD101" s="164"/>
      <c r="HE101" s="185"/>
      <c r="HF101" s="164"/>
      <c r="HG101" s="185"/>
      <c r="HH101" s="164"/>
      <c r="HI101" s="185"/>
      <c r="HJ101" s="164"/>
      <c r="HK101" s="185"/>
      <c r="HL101" s="164"/>
      <c r="HM101" s="185"/>
      <c r="HN101" s="164"/>
      <c r="HO101" s="185"/>
      <c r="HP101" s="164"/>
      <c r="HQ101" s="185"/>
      <c r="HR101" s="164"/>
      <c r="HS101" s="185"/>
      <c r="HT101" s="164"/>
      <c r="HU101" s="185"/>
    </row>
    <row r="102" spans="1:229" x14ac:dyDescent="0.2">
      <c r="A102" s="1756" t="str">
        <f>+'1858 Hacienda'!A507</f>
        <v>Manumision</v>
      </c>
      <c r="B102" s="131"/>
      <c r="C102" s="134"/>
      <c r="D102" s="133"/>
      <c r="E102" s="131"/>
      <c r="F102" s="134"/>
      <c r="G102" s="133"/>
      <c r="H102" s="131"/>
      <c r="I102" s="134"/>
      <c r="J102" s="133"/>
      <c r="K102" s="131"/>
      <c r="L102" s="134"/>
      <c r="M102" s="133"/>
      <c r="N102" s="131"/>
      <c r="O102" s="134"/>
      <c r="P102" s="133"/>
      <c r="Q102" s="131"/>
      <c r="R102" s="134"/>
      <c r="S102" s="133"/>
      <c r="T102" s="131"/>
      <c r="U102" s="134"/>
      <c r="V102" s="133"/>
      <c r="W102" s="131"/>
      <c r="X102" s="134"/>
      <c r="Y102" s="133"/>
      <c r="Z102" s="131"/>
      <c r="AA102" s="134"/>
      <c r="AB102" s="133"/>
      <c r="AC102" s="131"/>
      <c r="AD102" s="134"/>
      <c r="AE102" s="133"/>
      <c r="AF102" s="131"/>
      <c r="AG102" s="134"/>
      <c r="AH102" s="133"/>
      <c r="AI102" s="145"/>
      <c r="AJ102" s="134"/>
      <c r="AK102" s="133"/>
      <c r="AL102" s="131"/>
      <c r="AM102" s="134"/>
      <c r="AN102" s="133"/>
      <c r="AO102" s="131"/>
      <c r="AP102" s="134"/>
      <c r="AQ102" s="133"/>
      <c r="AR102" s="131"/>
      <c r="AS102" s="134"/>
      <c r="AT102" s="180"/>
      <c r="AU102" s="131"/>
      <c r="AV102" s="185"/>
      <c r="AW102" s="131">
        <f>+'1858 Hacienda'!D566</f>
        <v>8722</v>
      </c>
      <c r="AX102" s="185">
        <f>+'1858 Hacienda'!E566</f>
        <v>773</v>
      </c>
      <c r="AY102" s="131">
        <f>+'1858 Hacienda'!D624</f>
        <v>11320</v>
      </c>
      <c r="AZ102" s="185">
        <f>+'1858 Hacienda'!E624</f>
        <v>173</v>
      </c>
      <c r="BA102" s="131">
        <f>+'1858 Hacienda'!B507</f>
        <v>11846</v>
      </c>
      <c r="BB102" s="185">
        <f>+'1858 Hacienda'!C507</f>
        <v>899</v>
      </c>
      <c r="BC102" s="131"/>
      <c r="BD102" s="185"/>
      <c r="BE102" s="131"/>
      <c r="BF102" s="185"/>
      <c r="BG102" s="131"/>
      <c r="BH102" s="185"/>
      <c r="BI102" s="131"/>
      <c r="BJ102" s="185"/>
      <c r="BK102" s="131"/>
      <c r="BL102" s="185"/>
      <c r="BM102" s="131"/>
      <c r="BN102" s="185"/>
      <c r="BO102" s="131"/>
      <c r="BP102" s="134"/>
      <c r="BQ102" s="131"/>
      <c r="BR102" s="134"/>
      <c r="BS102" s="133"/>
      <c r="BT102" s="145"/>
      <c r="BU102" s="134"/>
      <c r="BV102" s="131"/>
      <c r="BW102" s="134"/>
      <c r="BX102" s="131"/>
      <c r="BY102" s="134"/>
      <c r="BZ102" s="131"/>
      <c r="CA102" s="134"/>
      <c r="CB102" s="133"/>
      <c r="CC102" s="131"/>
      <c r="CD102" s="134"/>
      <c r="CE102" s="133"/>
      <c r="CF102" s="131"/>
      <c r="CG102" s="134"/>
      <c r="CH102" s="133"/>
      <c r="CI102" s="131"/>
      <c r="CJ102" s="134"/>
      <c r="CK102" s="133"/>
      <c r="CL102" s="131"/>
      <c r="CM102" s="134"/>
      <c r="CN102" s="133"/>
      <c r="CO102" s="131"/>
      <c r="CP102" s="134"/>
      <c r="CQ102" s="133"/>
      <c r="CR102" s="131"/>
      <c r="CS102" s="134"/>
      <c r="CT102" s="133"/>
      <c r="CU102" s="131"/>
      <c r="CV102" s="134"/>
      <c r="CW102" s="133"/>
      <c r="CX102" s="131"/>
      <c r="CY102" s="134"/>
      <c r="CZ102" s="133"/>
      <c r="DA102" s="140"/>
      <c r="DB102" s="141"/>
      <c r="DC102" s="142"/>
      <c r="DD102" s="140"/>
      <c r="DE102" s="141"/>
      <c r="DF102" s="142"/>
      <c r="DG102" s="140"/>
      <c r="DH102" s="141"/>
      <c r="DI102" s="142"/>
      <c r="DJ102" s="140"/>
      <c r="DK102" s="141"/>
      <c r="DL102" s="142"/>
      <c r="DM102" s="140"/>
      <c r="DN102" s="141"/>
      <c r="DO102" s="142"/>
      <c r="DP102" s="140"/>
      <c r="DQ102" s="141"/>
      <c r="DR102" s="142"/>
      <c r="DS102" s="140"/>
      <c r="DT102" s="141"/>
      <c r="DU102" s="142"/>
      <c r="DV102" s="140"/>
      <c r="DW102" s="141"/>
      <c r="DX102" s="142"/>
      <c r="DY102" s="140"/>
      <c r="DZ102" s="141"/>
      <c r="EA102" s="142"/>
      <c r="EB102" s="140"/>
      <c r="EC102" s="141"/>
      <c r="ED102" s="142"/>
      <c r="EE102" s="140"/>
      <c r="EF102" s="141"/>
      <c r="EG102" s="142"/>
      <c r="EH102" s="140"/>
      <c r="EI102" s="141"/>
      <c r="EJ102" s="142"/>
      <c r="EK102" s="140"/>
      <c r="EL102" s="141"/>
      <c r="EM102" s="142"/>
      <c r="EN102" s="140"/>
      <c r="EO102" s="141"/>
      <c r="EP102" s="142"/>
      <c r="EQ102" s="140"/>
      <c r="ER102" s="141"/>
      <c r="ES102" s="142"/>
      <c r="ET102" s="140"/>
      <c r="EU102" s="141"/>
      <c r="EV102" s="142"/>
      <c r="EW102" s="140"/>
      <c r="EX102" s="141"/>
      <c r="EY102" s="142"/>
      <c r="EZ102" s="140"/>
      <c r="FA102" s="141"/>
      <c r="FB102" s="142"/>
      <c r="FC102" s="140"/>
      <c r="FD102" s="141"/>
      <c r="FE102" s="142"/>
      <c r="FF102" s="140"/>
      <c r="FG102" s="141"/>
      <c r="FH102" s="142"/>
      <c r="FI102" s="140"/>
      <c r="FJ102" s="141"/>
      <c r="FK102" s="142"/>
      <c r="FL102" s="140"/>
      <c r="FM102" s="141"/>
      <c r="FN102" s="142"/>
      <c r="FO102" s="140"/>
      <c r="FP102" s="141"/>
      <c r="FQ102" s="142"/>
      <c r="FR102" s="140"/>
      <c r="FS102" s="141"/>
      <c r="FT102" s="142"/>
      <c r="FU102" s="140"/>
      <c r="FV102" s="141"/>
      <c r="FW102" s="142"/>
      <c r="FX102" s="140"/>
      <c r="FY102" s="141"/>
      <c r="FZ102" s="142"/>
      <c r="GA102" s="140"/>
      <c r="GB102" s="141"/>
      <c r="GC102" s="142"/>
      <c r="GD102" s="140"/>
      <c r="GE102" s="141"/>
      <c r="GF102" s="142"/>
      <c r="GG102" s="140"/>
      <c r="GH102" s="141"/>
      <c r="GI102" s="142"/>
      <c r="GJ102" s="140"/>
      <c r="GK102" s="141"/>
      <c r="GL102" s="142"/>
      <c r="GM102" s="140"/>
      <c r="GN102" s="141"/>
      <c r="GO102" s="142"/>
      <c r="GP102" s="140"/>
      <c r="GQ102" s="141"/>
      <c r="GR102" s="142"/>
      <c r="GS102" s="140"/>
      <c r="GT102" s="141"/>
      <c r="GU102" s="142"/>
      <c r="GV102" s="140"/>
      <c r="GW102" s="141"/>
      <c r="GX102" s="142"/>
      <c r="GY102" s="164"/>
      <c r="GZ102" s="134"/>
      <c r="HA102" s="185"/>
      <c r="HB102" s="164"/>
      <c r="HC102" s="185"/>
      <c r="HD102" s="164"/>
      <c r="HE102" s="185"/>
      <c r="HF102" s="164"/>
      <c r="HG102" s="185"/>
      <c r="HH102" s="164"/>
      <c r="HI102" s="185"/>
      <c r="HJ102" s="164"/>
      <c r="HK102" s="185"/>
      <c r="HL102" s="164"/>
      <c r="HM102" s="185"/>
      <c r="HN102" s="164"/>
      <c r="HO102" s="185"/>
      <c r="HP102" s="164"/>
      <c r="HQ102" s="185"/>
      <c r="HR102" s="164"/>
      <c r="HS102" s="185"/>
      <c r="HT102" s="164"/>
      <c r="HU102" s="185"/>
    </row>
    <row r="103" spans="1:229" x14ac:dyDescent="0.2">
      <c r="A103" s="1756" t="str">
        <f>+'1858 Hacienda'!A509</f>
        <v>Impuestos varios o rentas de producto accidental</v>
      </c>
      <c r="B103" s="131"/>
      <c r="C103" s="134"/>
      <c r="D103" s="133"/>
      <c r="E103" s="131"/>
      <c r="F103" s="134"/>
      <c r="G103" s="133"/>
      <c r="H103" s="131"/>
      <c r="I103" s="134"/>
      <c r="J103" s="133"/>
      <c r="K103" s="131"/>
      <c r="L103" s="134"/>
      <c r="M103" s="133"/>
      <c r="N103" s="131"/>
      <c r="O103" s="134"/>
      <c r="P103" s="133"/>
      <c r="Q103" s="131"/>
      <c r="R103" s="134"/>
      <c r="S103" s="133"/>
      <c r="T103" s="131"/>
      <c r="U103" s="134"/>
      <c r="V103" s="133"/>
      <c r="W103" s="131"/>
      <c r="X103" s="134"/>
      <c r="Y103" s="133"/>
      <c r="Z103" s="131"/>
      <c r="AA103" s="134"/>
      <c r="AB103" s="133"/>
      <c r="AC103" s="131"/>
      <c r="AD103" s="134"/>
      <c r="AE103" s="133"/>
      <c r="AF103" s="131"/>
      <c r="AG103" s="134"/>
      <c r="AH103" s="133"/>
      <c r="AI103" s="145"/>
      <c r="AJ103" s="134"/>
      <c r="AK103" s="133"/>
      <c r="AL103" s="131"/>
      <c r="AM103" s="134"/>
      <c r="AN103" s="133"/>
      <c r="AO103" s="131"/>
      <c r="AP103" s="134"/>
      <c r="AQ103" s="133"/>
      <c r="AR103" s="131"/>
      <c r="AS103" s="134"/>
      <c r="AT103" s="180"/>
      <c r="AU103" s="131"/>
      <c r="AV103" s="185"/>
      <c r="AW103" s="131">
        <f>+'1858 Hacienda'!D558</f>
        <v>69778</v>
      </c>
      <c r="AX103" s="185">
        <f>+'1858 Hacienda'!E558</f>
        <v>841</v>
      </c>
      <c r="AY103" s="131">
        <f>+'1858 Hacienda'!D626</f>
        <v>132910</v>
      </c>
      <c r="AZ103" s="185">
        <f>+'1858 Hacienda'!E626</f>
        <v>984</v>
      </c>
      <c r="BA103" s="131">
        <f>+'1858 Hacienda'!B509</f>
        <v>105346</v>
      </c>
      <c r="BB103" s="185">
        <f>+'1858 Hacienda'!C509</f>
        <v>176</v>
      </c>
      <c r="BC103" s="131">
        <f>+'1858 Hacienda'!B1040</f>
        <v>9330</v>
      </c>
      <c r="BD103" s="185">
        <f>+'1858 Hacienda'!C1040</f>
        <v>834</v>
      </c>
      <c r="BE103" s="131">
        <f>+'1858 Hacienda'!B1058</f>
        <v>1636</v>
      </c>
      <c r="BF103" s="185">
        <f>+'1858 Hacienda'!C1058</f>
        <v>713</v>
      </c>
      <c r="BG103" s="131">
        <f>+'1858 Hacienda'!B1081</f>
        <v>523</v>
      </c>
      <c r="BH103" s="185">
        <f>+'1858 Hacienda'!C1081</f>
        <v>975</v>
      </c>
      <c r="BI103" s="131">
        <f>+'1858 Hacienda'!B1099</f>
        <v>1419</v>
      </c>
      <c r="BJ103" s="185">
        <f>+'1858 Hacienda'!C1099</f>
        <v>75</v>
      </c>
      <c r="BK103" s="131">
        <f>+'1858 Hacienda'!B1104</f>
        <v>2310</v>
      </c>
      <c r="BL103" s="185">
        <f>+'1858 Hacienda'!C1104</f>
        <v>190</v>
      </c>
      <c r="BM103" s="131">
        <f>+'1858 Hacienda'!B1131</f>
        <v>2392</v>
      </c>
      <c r="BN103" s="185">
        <f>+'1858 Hacienda'!C1131</f>
        <v>955</v>
      </c>
      <c r="BO103" s="131"/>
      <c r="BP103" s="134"/>
      <c r="BQ103" s="131"/>
      <c r="BR103" s="134"/>
      <c r="BS103" s="133"/>
      <c r="BT103" s="145"/>
      <c r="BU103" s="134"/>
      <c r="BV103" s="131"/>
      <c r="BW103" s="134"/>
      <c r="BX103" s="131"/>
      <c r="BY103" s="134"/>
      <c r="BZ103" s="131"/>
      <c r="CA103" s="134"/>
      <c r="CB103" s="133"/>
      <c r="CC103" s="131"/>
      <c r="CD103" s="134"/>
      <c r="CE103" s="133"/>
      <c r="CF103" s="131"/>
      <c r="CG103" s="134"/>
      <c r="CH103" s="133"/>
      <c r="CI103" s="131"/>
      <c r="CJ103" s="134"/>
      <c r="CK103" s="133"/>
      <c r="CL103" s="131"/>
      <c r="CM103" s="134"/>
      <c r="CN103" s="133"/>
      <c r="CO103" s="131"/>
      <c r="CP103" s="134"/>
      <c r="CQ103" s="133"/>
      <c r="CR103" s="131"/>
      <c r="CS103" s="134"/>
      <c r="CT103" s="133"/>
      <c r="CU103" s="131"/>
      <c r="CV103" s="134"/>
      <c r="CW103" s="133"/>
      <c r="CX103" s="131"/>
      <c r="CY103" s="134"/>
      <c r="CZ103" s="133"/>
      <c r="DA103" s="140"/>
      <c r="DB103" s="141"/>
      <c r="DC103" s="142"/>
      <c r="DD103" s="140"/>
      <c r="DE103" s="141"/>
      <c r="DF103" s="142"/>
      <c r="DG103" s="140"/>
      <c r="DH103" s="141"/>
      <c r="DI103" s="142"/>
      <c r="DJ103" s="140"/>
      <c r="DK103" s="141"/>
      <c r="DL103" s="142"/>
      <c r="DM103" s="140"/>
      <c r="DN103" s="141"/>
      <c r="DO103" s="142"/>
      <c r="DP103" s="140"/>
      <c r="DQ103" s="141"/>
      <c r="DR103" s="142"/>
      <c r="DS103" s="140"/>
      <c r="DT103" s="141"/>
      <c r="DU103" s="142"/>
      <c r="DV103" s="140"/>
      <c r="DW103" s="141"/>
      <c r="DX103" s="142"/>
      <c r="DY103" s="140"/>
      <c r="DZ103" s="141"/>
      <c r="EA103" s="142"/>
      <c r="EB103" s="140"/>
      <c r="EC103" s="141"/>
      <c r="ED103" s="142"/>
      <c r="EE103" s="140"/>
      <c r="EF103" s="141"/>
      <c r="EG103" s="142"/>
      <c r="EH103" s="140"/>
      <c r="EI103" s="141"/>
      <c r="EJ103" s="142"/>
      <c r="EK103" s="140"/>
      <c r="EL103" s="141"/>
      <c r="EM103" s="142"/>
      <c r="EN103" s="140"/>
      <c r="EO103" s="141"/>
      <c r="EP103" s="142"/>
      <c r="EQ103" s="140"/>
      <c r="ER103" s="141"/>
      <c r="ES103" s="142"/>
      <c r="ET103" s="140"/>
      <c r="EU103" s="141"/>
      <c r="EV103" s="142"/>
      <c r="EW103" s="140"/>
      <c r="EX103" s="141"/>
      <c r="EY103" s="142"/>
      <c r="EZ103" s="140"/>
      <c r="FA103" s="141"/>
      <c r="FB103" s="142"/>
      <c r="FC103" s="140"/>
      <c r="FD103" s="141"/>
      <c r="FE103" s="142"/>
      <c r="FF103" s="140"/>
      <c r="FG103" s="141"/>
      <c r="FH103" s="142"/>
      <c r="FI103" s="140"/>
      <c r="FJ103" s="141"/>
      <c r="FK103" s="142"/>
      <c r="FL103" s="140"/>
      <c r="FM103" s="141"/>
      <c r="FN103" s="142"/>
      <c r="FO103" s="140"/>
      <c r="FP103" s="141"/>
      <c r="FQ103" s="142"/>
      <c r="FR103" s="140"/>
      <c r="FS103" s="141"/>
      <c r="FT103" s="142"/>
      <c r="FU103" s="140"/>
      <c r="FV103" s="141"/>
      <c r="FW103" s="142"/>
      <c r="FX103" s="140"/>
      <c r="FY103" s="141"/>
      <c r="FZ103" s="142"/>
      <c r="GA103" s="140"/>
      <c r="GB103" s="141"/>
      <c r="GC103" s="142"/>
      <c r="GD103" s="140"/>
      <c r="GE103" s="141"/>
      <c r="GF103" s="142"/>
      <c r="GG103" s="140"/>
      <c r="GH103" s="141"/>
      <c r="GI103" s="142"/>
      <c r="GJ103" s="140"/>
      <c r="GK103" s="141"/>
      <c r="GL103" s="142"/>
      <c r="GM103" s="140"/>
      <c r="GN103" s="141"/>
      <c r="GO103" s="142"/>
      <c r="GP103" s="140"/>
      <c r="GQ103" s="141"/>
      <c r="GR103" s="142"/>
      <c r="GS103" s="140"/>
      <c r="GT103" s="141"/>
      <c r="GU103" s="142"/>
      <c r="GV103" s="140"/>
      <c r="GW103" s="141"/>
      <c r="GX103" s="142"/>
      <c r="GY103" s="164"/>
      <c r="GZ103" s="134"/>
      <c r="HA103" s="185"/>
      <c r="HB103" s="164"/>
      <c r="HC103" s="185"/>
      <c r="HD103" s="164"/>
      <c r="HE103" s="185"/>
      <c r="HF103" s="164"/>
      <c r="HG103" s="185"/>
      <c r="HH103" s="164"/>
      <c r="HI103" s="185"/>
      <c r="HJ103" s="164"/>
      <c r="HK103" s="185"/>
      <c r="HL103" s="164"/>
      <c r="HM103" s="185"/>
      <c r="HN103" s="164"/>
      <c r="HO103" s="185"/>
      <c r="HP103" s="164"/>
      <c r="HQ103" s="185"/>
      <c r="HR103" s="164"/>
      <c r="HS103" s="185"/>
      <c r="HT103" s="164"/>
      <c r="HU103" s="185"/>
    </row>
    <row r="104" spans="1:229" x14ac:dyDescent="0.2">
      <c r="A104" s="1756" t="s">
        <v>1812</v>
      </c>
      <c r="B104" s="131"/>
      <c r="C104" s="134"/>
      <c r="D104" s="133"/>
      <c r="E104" s="131"/>
      <c r="F104" s="134"/>
      <c r="G104" s="133"/>
      <c r="H104" s="131"/>
      <c r="I104" s="134"/>
      <c r="J104" s="133"/>
      <c r="K104" s="131"/>
      <c r="L104" s="134"/>
      <c r="M104" s="133"/>
      <c r="N104" s="131"/>
      <c r="O104" s="134"/>
      <c r="P104" s="133"/>
      <c r="Q104" s="131"/>
      <c r="R104" s="134"/>
      <c r="S104" s="133"/>
      <c r="T104" s="131"/>
      <c r="U104" s="134"/>
      <c r="V104" s="133"/>
      <c r="W104" s="131"/>
      <c r="X104" s="134"/>
      <c r="Y104" s="133"/>
      <c r="Z104" s="131"/>
      <c r="AA104" s="134"/>
      <c r="AB104" s="133"/>
      <c r="AC104" s="131"/>
      <c r="AD104" s="134"/>
      <c r="AE104" s="133"/>
      <c r="AF104" s="131"/>
      <c r="AG104" s="134"/>
      <c r="AH104" s="133"/>
      <c r="AI104" s="145"/>
      <c r="AJ104" s="134"/>
      <c r="AK104" s="133"/>
      <c r="AL104" s="131"/>
      <c r="AM104" s="134"/>
      <c r="AN104" s="133"/>
      <c r="AO104" s="131"/>
      <c r="AP104" s="134"/>
      <c r="AQ104" s="133"/>
      <c r="AR104" s="131"/>
      <c r="AS104" s="134"/>
      <c r="AT104" s="180"/>
      <c r="AU104" s="131"/>
      <c r="AV104" s="185"/>
      <c r="AW104" s="131"/>
      <c r="AX104" s="185"/>
      <c r="AY104" s="131"/>
      <c r="AZ104" s="185"/>
      <c r="BA104" s="131"/>
      <c r="BB104" s="185"/>
      <c r="BC104" s="131">
        <f>+'1858 Hacienda'!B1039</f>
        <v>22119</v>
      </c>
      <c r="BD104" s="185">
        <f>+'1858 Hacienda'!C1039</f>
        <v>713</v>
      </c>
      <c r="BE104" s="131">
        <f>+'1858 Hacienda'!B1060</f>
        <v>39994</v>
      </c>
      <c r="BF104" s="185">
        <f>+'1858 Hacienda'!C1060</f>
        <v>229</v>
      </c>
      <c r="BG104" s="131">
        <f>+'1858 Hacienda'!B1079</f>
        <v>5097</v>
      </c>
      <c r="BH104" s="185">
        <f>+'1858 Hacienda'!C1079</f>
        <v>374</v>
      </c>
      <c r="BI104" s="131">
        <f>+'1858 Hacienda'!B1101</f>
        <v>15539</v>
      </c>
      <c r="BJ104" s="185">
        <f>+'1858 Hacienda'!C1101</f>
        <v>965</v>
      </c>
      <c r="BK104" s="131">
        <f>+'1858 Hacienda'!B1115</f>
        <v>20725</v>
      </c>
      <c r="BL104" s="185">
        <f>+'1858 Hacienda'!C1115</f>
        <v>165</v>
      </c>
      <c r="BM104" s="131">
        <f>+'1858 Hacienda'!B1129</f>
        <v>3774</v>
      </c>
      <c r="BN104" s="185">
        <f>+'1858 Hacienda'!C1129</f>
        <v>875</v>
      </c>
      <c r="BO104" s="131"/>
      <c r="BP104" s="134"/>
      <c r="BQ104" s="131"/>
      <c r="BR104" s="134"/>
      <c r="BS104" s="133"/>
      <c r="BT104" s="145"/>
      <c r="BU104" s="134"/>
      <c r="BV104" s="131"/>
      <c r="BW104" s="134"/>
      <c r="BX104" s="131"/>
      <c r="BY104" s="134"/>
      <c r="BZ104" s="131"/>
      <c r="CA104" s="134"/>
      <c r="CB104" s="133"/>
      <c r="CC104" s="131"/>
      <c r="CD104" s="134"/>
      <c r="CE104" s="133"/>
      <c r="CF104" s="131"/>
      <c r="CG104" s="134"/>
      <c r="CH104" s="133"/>
      <c r="CI104" s="131"/>
      <c r="CJ104" s="134"/>
      <c r="CK104" s="133"/>
      <c r="CL104" s="131"/>
      <c r="CM104" s="134"/>
      <c r="CN104" s="133"/>
      <c r="CO104" s="131"/>
      <c r="CP104" s="134"/>
      <c r="CQ104" s="133"/>
      <c r="CR104" s="131"/>
      <c r="CS104" s="134"/>
      <c r="CT104" s="133"/>
      <c r="CU104" s="131"/>
      <c r="CV104" s="134"/>
      <c r="CW104" s="133"/>
      <c r="CX104" s="131"/>
      <c r="CY104" s="134"/>
      <c r="CZ104" s="133"/>
      <c r="DA104" s="140"/>
      <c r="DB104" s="141"/>
      <c r="DC104" s="142"/>
      <c r="DD104" s="140"/>
      <c r="DE104" s="141"/>
      <c r="DF104" s="142"/>
      <c r="DG104" s="140"/>
      <c r="DH104" s="141"/>
      <c r="DI104" s="142"/>
      <c r="DJ104" s="140"/>
      <c r="DK104" s="141"/>
      <c r="DL104" s="142"/>
      <c r="DM104" s="140"/>
      <c r="DN104" s="141"/>
      <c r="DO104" s="142"/>
      <c r="DP104" s="140"/>
      <c r="DQ104" s="141"/>
      <c r="DR104" s="142"/>
      <c r="DS104" s="140"/>
      <c r="DT104" s="141"/>
      <c r="DU104" s="142"/>
      <c r="DV104" s="140"/>
      <c r="DW104" s="141"/>
      <c r="DX104" s="142"/>
      <c r="DY104" s="140"/>
      <c r="DZ104" s="141"/>
      <c r="EA104" s="142"/>
      <c r="EB104" s="140"/>
      <c r="EC104" s="141"/>
      <c r="ED104" s="142"/>
      <c r="EE104" s="140"/>
      <c r="EF104" s="141"/>
      <c r="EG104" s="142"/>
      <c r="EH104" s="140"/>
      <c r="EI104" s="141"/>
      <c r="EJ104" s="142"/>
      <c r="EK104" s="140"/>
      <c r="EL104" s="141"/>
      <c r="EM104" s="142"/>
      <c r="EN104" s="140"/>
      <c r="EO104" s="141"/>
      <c r="EP104" s="142"/>
      <c r="EQ104" s="140"/>
      <c r="ER104" s="141"/>
      <c r="ES104" s="142"/>
      <c r="ET104" s="140"/>
      <c r="EU104" s="141"/>
      <c r="EV104" s="142"/>
      <c r="EW104" s="140"/>
      <c r="EX104" s="141"/>
      <c r="EY104" s="142"/>
      <c r="EZ104" s="140"/>
      <c r="FA104" s="141"/>
      <c r="FB104" s="142"/>
      <c r="FC104" s="140"/>
      <c r="FD104" s="141"/>
      <c r="FE104" s="142"/>
      <c r="FF104" s="140"/>
      <c r="FG104" s="141"/>
      <c r="FH104" s="142"/>
      <c r="FI104" s="140"/>
      <c r="FJ104" s="141"/>
      <c r="FK104" s="142"/>
      <c r="FL104" s="140"/>
      <c r="FM104" s="141"/>
      <c r="FN104" s="142"/>
      <c r="FO104" s="140"/>
      <c r="FP104" s="141"/>
      <c r="FQ104" s="142"/>
      <c r="FR104" s="140"/>
      <c r="FS104" s="141"/>
      <c r="FT104" s="142"/>
      <c r="FU104" s="140"/>
      <c r="FV104" s="141"/>
      <c r="FW104" s="142"/>
      <c r="FX104" s="140"/>
      <c r="FY104" s="141"/>
      <c r="FZ104" s="142"/>
      <c r="GA104" s="140"/>
      <c r="GB104" s="141"/>
      <c r="GC104" s="142"/>
      <c r="GD104" s="140"/>
      <c r="GE104" s="141"/>
      <c r="GF104" s="142"/>
      <c r="GG104" s="140"/>
      <c r="GH104" s="141"/>
      <c r="GI104" s="142"/>
      <c r="GJ104" s="140"/>
      <c r="GK104" s="141"/>
      <c r="GL104" s="142"/>
      <c r="GM104" s="140"/>
      <c r="GN104" s="141"/>
      <c r="GO104" s="142"/>
      <c r="GP104" s="140"/>
      <c r="GQ104" s="141"/>
      <c r="GR104" s="142"/>
      <c r="GS104" s="140"/>
      <c r="GT104" s="141"/>
      <c r="GU104" s="142"/>
      <c r="GV104" s="140"/>
      <c r="GW104" s="141"/>
      <c r="GX104" s="142"/>
      <c r="GY104" s="164"/>
      <c r="GZ104" s="134"/>
      <c r="HA104" s="185"/>
      <c r="HB104" s="164"/>
      <c r="HC104" s="185"/>
      <c r="HD104" s="164"/>
      <c r="HE104" s="185"/>
      <c r="HF104" s="164"/>
      <c r="HG104" s="185"/>
      <c r="HH104" s="164"/>
      <c r="HI104" s="185"/>
      <c r="HJ104" s="164"/>
      <c r="HK104" s="185"/>
      <c r="HL104" s="164"/>
      <c r="HM104" s="185"/>
      <c r="HN104" s="164"/>
      <c r="HO104" s="185"/>
      <c r="HP104" s="164"/>
      <c r="HQ104" s="185"/>
      <c r="HR104" s="164"/>
      <c r="HS104" s="185"/>
      <c r="HT104" s="164"/>
      <c r="HU104" s="185"/>
    </row>
    <row r="105" spans="1:229" x14ac:dyDescent="0.2">
      <c r="A105" s="1756" t="str">
        <f>+'1858 Hacienda'!A511</f>
        <v>Arriendo de salinas</v>
      </c>
      <c r="B105" s="131"/>
      <c r="C105" s="134"/>
      <c r="D105" s="133"/>
      <c r="E105" s="131"/>
      <c r="F105" s="134"/>
      <c r="G105" s="133"/>
      <c r="H105" s="131"/>
      <c r="I105" s="134"/>
      <c r="J105" s="133"/>
      <c r="K105" s="131"/>
      <c r="L105" s="134"/>
      <c r="M105" s="133"/>
      <c r="N105" s="131"/>
      <c r="O105" s="134"/>
      <c r="P105" s="133"/>
      <c r="Q105" s="131"/>
      <c r="R105" s="134"/>
      <c r="S105" s="133"/>
      <c r="T105" s="131"/>
      <c r="U105" s="134"/>
      <c r="V105" s="133"/>
      <c r="W105" s="131"/>
      <c r="X105" s="134"/>
      <c r="Y105" s="133"/>
      <c r="Z105" s="131"/>
      <c r="AA105" s="134"/>
      <c r="AB105" s="133"/>
      <c r="AC105" s="131"/>
      <c r="AD105" s="134"/>
      <c r="AE105" s="133"/>
      <c r="AF105" s="131"/>
      <c r="AG105" s="134"/>
      <c r="AH105" s="133"/>
      <c r="AI105" s="145"/>
      <c r="AJ105" s="134"/>
      <c r="AK105" s="133"/>
      <c r="AL105" s="131"/>
      <c r="AM105" s="134"/>
      <c r="AN105" s="133"/>
      <c r="AO105" s="131"/>
      <c r="AP105" s="134"/>
      <c r="AQ105" s="133"/>
      <c r="AR105" s="131"/>
      <c r="AS105" s="134"/>
      <c r="AT105" s="180"/>
      <c r="AU105" s="131"/>
      <c r="AV105" s="185"/>
      <c r="AW105" s="131">
        <f>+'1858 Hacienda'!D562</f>
        <v>2258</v>
      </c>
      <c r="AX105" s="185">
        <f>+'1858 Hacienda'!E562</f>
        <v>936</v>
      </c>
      <c r="AY105" s="131">
        <f>+'1858 Hacienda'!D612</f>
        <v>2020</v>
      </c>
      <c r="AZ105" s="185">
        <f>+'1858 Hacienda'!E612</f>
        <v>808</v>
      </c>
      <c r="BA105" s="131">
        <f>+'1858 Hacienda'!B511</f>
        <v>1628</v>
      </c>
      <c r="BB105" s="185">
        <f>+'1858 Hacienda'!C511</f>
        <v>66</v>
      </c>
      <c r="BC105" s="131"/>
      <c r="BD105" s="185"/>
      <c r="BE105" s="131"/>
      <c r="BF105" s="185"/>
      <c r="BG105" s="131"/>
      <c r="BH105" s="185"/>
      <c r="BI105" s="131"/>
      <c r="BJ105" s="185"/>
      <c r="BK105" s="131"/>
      <c r="BL105" s="185"/>
      <c r="BM105" s="131"/>
      <c r="BN105" s="185"/>
      <c r="BO105" s="131"/>
      <c r="BP105" s="134"/>
      <c r="BQ105" s="131"/>
      <c r="BR105" s="134"/>
      <c r="BS105" s="133"/>
      <c r="BT105" s="145"/>
      <c r="BU105" s="134"/>
      <c r="BV105" s="131"/>
      <c r="BW105" s="134"/>
      <c r="BX105" s="131"/>
      <c r="BY105" s="134"/>
      <c r="BZ105" s="131"/>
      <c r="CA105" s="134"/>
      <c r="CB105" s="133"/>
      <c r="CC105" s="131"/>
      <c r="CD105" s="134"/>
      <c r="CE105" s="133"/>
      <c r="CF105" s="131"/>
      <c r="CG105" s="134"/>
      <c r="CH105" s="133"/>
      <c r="CI105" s="131"/>
      <c r="CJ105" s="134"/>
      <c r="CK105" s="133"/>
      <c r="CL105" s="131"/>
      <c r="CM105" s="134"/>
      <c r="CN105" s="133"/>
      <c r="CO105" s="131"/>
      <c r="CP105" s="134"/>
      <c r="CQ105" s="133"/>
      <c r="CR105" s="131"/>
      <c r="CS105" s="134"/>
      <c r="CT105" s="133"/>
      <c r="CU105" s="131"/>
      <c r="CV105" s="134"/>
      <c r="CW105" s="133"/>
      <c r="CX105" s="131"/>
      <c r="CY105" s="134"/>
      <c r="CZ105" s="133"/>
      <c r="DA105" s="140"/>
      <c r="DB105" s="141"/>
      <c r="DC105" s="142"/>
      <c r="DD105" s="140"/>
      <c r="DE105" s="141"/>
      <c r="DF105" s="142"/>
      <c r="DG105" s="140"/>
      <c r="DH105" s="141"/>
      <c r="DI105" s="142"/>
      <c r="DJ105" s="140"/>
      <c r="DK105" s="141"/>
      <c r="DL105" s="142"/>
      <c r="DM105" s="140"/>
      <c r="DN105" s="141"/>
      <c r="DO105" s="142"/>
      <c r="DP105" s="140"/>
      <c r="DQ105" s="141"/>
      <c r="DR105" s="142"/>
      <c r="DS105" s="140"/>
      <c r="DT105" s="141"/>
      <c r="DU105" s="142"/>
      <c r="DV105" s="140"/>
      <c r="DW105" s="141"/>
      <c r="DX105" s="142"/>
      <c r="DY105" s="140"/>
      <c r="DZ105" s="141"/>
      <c r="EA105" s="142"/>
      <c r="EB105" s="140"/>
      <c r="EC105" s="141"/>
      <c r="ED105" s="142"/>
      <c r="EE105" s="140"/>
      <c r="EF105" s="141"/>
      <c r="EG105" s="142"/>
      <c r="EH105" s="140"/>
      <c r="EI105" s="141"/>
      <c r="EJ105" s="142"/>
      <c r="EK105" s="140"/>
      <c r="EL105" s="141"/>
      <c r="EM105" s="142"/>
      <c r="EN105" s="140"/>
      <c r="EO105" s="141"/>
      <c r="EP105" s="142"/>
      <c r="EQ105" s="140"/>
      <c r="ER105" s="141"/>
      <c r="ES105" s="142"/>
      <c r="ET105" s="140"/>
      <c r="EU105" s="141"/>
      <c r="EV105" s="142"/>
      <c r="EW105" s="140"/>
      <c r="EX105" s="141"/>
      <c r="EY105" s="142"/>
      <c r="EZ105" s="140"/>
      <c r="FA105" s="141"/>
      <c r="FB105" s="142"/>
      <c r="FC105" s="140"/>
      <c r="FD105" s="141"/>
      <c r="FE105" s="142"/>
      <c r="FF105" s="140"/>
      <c r="FG105" s="141"/>
      <c r="FH105" s="142"/>
      <c r="FI105" s="140"/>
      <c r="FJ105" s="141"/>
      <c r="FK105" s="142"/>
      <c r="FL105" s="140"/>
      <c r="FM105" s="141"/>
      <c r="FN105" s="142"/>
      <c r="FO105" s="140"/>
      <c r="FP105" s="141"/>
      <c r="FQ105" s="142"/>
      <c r="FR105" s="140"/>
      <c r="FS105" s="141"/>
      <c r="FT105" s="142"/>
      <c r="FU105" s="140"/>
      <c r="FV105" s="141"/>
      <c r="FW105" s="142"/>
      <c r="FX105" s="140"/>
      <c r="FY105" s="141"/>
      <c r="FZ105" s="142"/>
      <c r="GA105" s="140"/>
      <c r="GB105" s="141"/>
      <c r="GC105" s="142"/>
      <c r="GD105" s="140"/>
      <c r="GE105" s="141"/>
      <c r="GF105" s="142"/>
      <c r="GG105" s="140"/>
      <c r="GH105" s="141"/>
      <c r="GI105" s="142"/>
      <c r="GJ105" s="140"/>
      <c r="GK105" s="141"/>
      <c r="GL105" s="142"/>
      <c r="GM105" s="140"/>
      <c r="GN105" s="141"/>
      <c r="GO105" s="142"/>
      <c r="GP105" s="140"/>
      <c r="GQ105" s="141"/>
      <c r="GR105" s="142"/>
      <c r="GS105" s="140"/>
      <c r="GT105" s="141"/>
      <c r="GU105" s="142"/>
      <c r="GV105" s="140"/>
      <c r="GW105" s="141"/>
      <c r="GX105" s="142"/>
      <c r="GY105" s="164"/>
      <c r="GZ105" s="134"/>
      <c r="HA105" s="185"/>
      <c r="HB105" s="164"/>
      <c r="HC105" s="185"/>
      <c r="HD105" s="164"/>
      <c r="HE105" s="185"/>
      <c r="HF105" s="164"/>
      <c r="HG105" s="185"/>
      <c r="HH105" s="164"/>
      <c r="HI105" s="185"/>
      <c r="HJ105" s="164"/>
      <c r="HK105" s="185"/>
      <c r="HL105" s="164"/>
      <c r="HM105" s="185"/>
      <c r="HN105" s="164"/>
      <c r="HO105" s="185"/>
      <c r="HP105" s="164"/>
      <c r="HQ105" s="185"/>
      <c r="HR105" s="164"/>
      <c r="HS105" s="185"/>
      <c r="HT105" s="164"/>
      <c r="HU105" s="185"/>
    </row>
    <row r="106" spans="1:229" x14ac:dyDescent="0.2">
      <c r="A106" s="1756" t="str">
        <f>+'1858 Hacienda'!A512</f>
        <v>Arriendo de minas</v>
      </c>
      <c r="B106" s="131"/>
      <c r="C106" s="134"/>
      <c r="D106" s="133"/>
      <c r="E106" s="131"/>
      <c r="F106" s="134"/>
      <c r="G106" s="133"/>
      <c r="H106" s="131"/>
      <c r="I106" s="134"/>
      <c r="J106" s="133"/>
      <c r="K106" s="131"/>
      <c r="L106" s="134"/>
      <c r="M106" s="133"/>
      <c r="N106" s="131"/>
      <c r="O106" s="134"/>
      <c r="P106" s="133"/>
      <c r="Q106" s="131"/>
      <c r="R106" s="134"/>
      <c r="S106" s="133"/>
      <c r="T106" s="131"/>
      <c r="U106" s="134"/>
      <c r="V106" s="133"/>
      <c r="W106" s="131"/>
      <c r="X106" s="134"/>
      <c r="Y106" s="133"/>
      <c r="Z106" s="131"/>
      <c r="AA106" s="134"/>
      <c r="AB106" s="133"/>
      <c r="AC106" s="131"/>
      <c r="AD106" s="134"/>
      <c r="AE106" s="133"/>
      <c r="AF106" s="131"/>
      <c r="AG106" s="134"/>
      <c r="AH106" s="133"/>
      <c r="AI106" s="145"/>
      <c r="AJ106" s="134"/>
      <c r="AK106" s="133"/>
      <c r="AL106" s="131"/>
      <c r="AM106" s="134"/>
      <c r="AN106" s="133"/>
      <c r="AO106" s="131"/>
      <c r="AP106" s="134"/>
      <c r="AQ106" s="133"/>
      <c r="AR106" s="131"/>
      <c r="AS106" s="134"/>
      <c r="AT106" s="180"/>
      <c r="AU106" s="131"/>
      <c r="AV106" s="185"/>
      <c r="AW106" s="131">
        <f>+'1858 Hacienda'!D563</f>
        <v>5298</v>
      </c>
      <c r="AX106" s="185">
        <f>+'1858 Hacienda'!E563</f>
        <v>400</v>
      </c>
      <c r="AY106" s="131">
        <f>+'1858 Hacienda'!D611</f>
        <v>3351</v>
      </c>
      <c r="AZ106" s="185">
        <f>+'1858 Hacienda'!E611</f>
        <v>0</v>
      </c>
      <c r="BA106" s="131">
        <f>+'1858 Hacienda'!B512</f>
        <v>35335</v>
      </c>
      <c r="BB106" s="185">
        <f>+'1858 Hacienda'!C512</f>
        <v>90</v>
      </c>
      <c r="BC106" s="131">
        <f>+'1858 Hacienda'!B1026</f>
        <v>15949</v>
      </c>
      <c r="BD106" s="185">
        <f>+'1858 Hacienda'!C1026</f>
        <v>650</v>
      </c>
      <c r="BE106" s="131"/>
      <c r="BF106" s="185"/>
      <c r="BG106" s="131">
        <f>+'1858 Hacienda'!B1070</f>
        <v>14316</v>
      </c>
      <c r="BH106" s="185">
        <f>+'1858 Hacienda'!C1070</f>
        <v>825</v>
      </c>
      <c r="BI106" s="131">
        <f>+'1858 Hacienda'!B1090</f>
        <v>12366</v>
      </c>
      <c r="BJ106" s="185">
        <f>+'1858 Hacienda'!C1090</f>
        <v>825</v>
      </c>
      <c r="BK106" s="131">
        <f>+'1858 Hacienda'!B1117</f>
        <v>12319</v>
      </c>
      <c r="BL106" s="185">
        <f>+'1858 Hacienda'!C1117</f>
        <v>525</v>
      </c>
      <c r="BM106" s="131">
        <f>+'1858 Hacienda'!B1128</f>
        <v>24247</v>
      </c>
      <c r="BN106" s="185">
        <f>+'1858 Hacienda'!C1128</f>
        <v>725</v>
      </c>
      <c r="BO106" s="131"/>
      <c r="BP106" s="134"/>
      <c r="BQ106" s="131"/>
      <c r="BR106" s="134"/>
      <c r="BS106" s="133"/>
      <c r="BT106" s="145"/>
      <c r="BU106" s="134"/>
      <c r="BV106" s="131"/>
      <c r="BW106" s="134"/>
      <c r="BX106" s="131"/>
      <c r="BY106" s="134"/>
      <c r="BZ106" s="131"/>
      <c r="CA106" s="134"/>
      <c r="CB106" s="133"/>
      <c r="CC106" s="131"/>
      <c r="CD106" s="134"/>
      <c r="CE106" s="133"/>
      <c r="CF106" s="131"/>
      <c r="CG106" s="134"/>
      <c r="CH106" s="133"/>
      <c r="CI106" s="131"/>
      <c r="CJ106" s="134"/>
      <c r="CK106" s="133"/>
      <c r="CL106" s="131"/>
      <c r="CM106" s="134"/>
      <c r="CN106" s="133"/>
      <c r="CO106" s="131"/>
      <c r="CP106" s="134"/>
      <c r="CQ106" s="133"/>
      <c r="CR106" s="131"/>
      <c r="CS106" s="134"/>
      <c r="CT106" s="133"/>
      <c r="CU106" s="131"/>
      <c r="CV106" s="134"/>
      <c r="CW106" s="133"/>
      <c r="CX106" s="131"/>
      <c r="CY106" s="134"/>
      <c r="CZ106" s="133"/>
      <c r="DA106" s="140"/>
      <c r="DB106" s="141"/>
      <c r="DC106" s="142"/>
      <c r="DD106" s="140"/>
      <c r="DE106" s="141"/>
      <c r="DF106" s="142"/>
      <c r="DG106" s="140"/>
      <c r="DH106" s="141"/>
      <c r="DI106" s="142"/>
      <c r="DJ106" s="140"/>
      <c r="DK106" s="141"/>
      <c r="DL106" s="142"/>
      <c r="DM106" s="140"/>
      <c r="DN106" s="141"/>
      <c r="DO106" s="142"/>
      <c r="DP106" s="140"/>
      <c r="DQ106" s="141"/>
      <c r="DR106" s="142"/>
      <c r="DS106" s="140"/>
      <c r="DT106" s="141"/>
      <c r="DU106" s="142"/>
      <c r="DV106" s="140"/>
      <c r="DW106" s="141"/>
      <c r="DX106" s="142"/>
      <c r="DY106" s="140"/>
      <c r="DZ106" s="141"/>
      <c r="EA106" s="142"/>
      <c r="EB106" s="140"/>
      <c r="EC106" s="141"/>
      <c r="ED106" s="142"/>
      <c r="EE106" s="140"/>
      <c r="EF106" s="141"/>
      <c r="EG106" s="142"/>
      <c r="EH106" s="140"/>
      <c r="EI106" s="141"/>
      <c r="EJ106" s="142"/>
      <c r="EK106" s="140"/>
      <c r="EL106" s="141"/>
      <c r="EM106" s="142"/>
      <c r="EN106" s="140"/>
      <c r="EO106" s="141"/>
      <c r="EP106" s="142"/>
      <c r="EQ106" s="140"/>
      <c r="ER106" s="141"/>
      <c r="ES106" s="142"/>
      <c r="ET106" s="140"/>
      <c r="EU106" s="141"/>
      <c r="EV106" s="142"/>
      <c r="EW106" s="140"/>
      <c r="EX106" s="141"/>
      <c r="EY106" s="142"/>
      <c r="EZ106" s="140"/>
      <c r="FA106" s="141"/>
      <c r="FB106" s="142"/>
      <c r="FC106" s="140"/>
      <c r="FD106" s="141"/>
      <c r="FE106" s="142"/>
      <c r="FF106" s="140"/>
      <c r="FG106" s="141"/>
      <c r="FH106" s="142"/>
      <c r="FI106" s="140"/>
      <c r="FJ106" s="141"/>
      <c r="FK106" s="142"/>
      <c r="FL106" s="140"/>
      <c r="FM106" s="141"/>
      <c r="FN106" s="142"/>
      <c r="FO106" s="140"/>
      <c r="FP106" s="141"/>
      <c r="FQ106" s="142"/>
      <c r="FR106" s="140"/>
      <c r="FS106" s="141"/>
      <c r="FT106" s="142"/>
      <c r="FU106" s="140"/>
      <c r="FV106" s="141"/>
      <c r="FW106" s="142"/>
      <c r="FX106" s="140"/>
      <c r="FY106" s="141"/>
      <c r="FZ106" s="142"/>
      <c r="GA106" s="140"/>
      <c r="GB106" s="141"/>
      <c r="GC106" s="142"/>
      <c r="GD106" s="140"/>
      <c r="GE106" s="141"/>
      <c r="GF106" s="142"/>
      <c r="GG106" s="140"/>
      <c r="GH106" s="141"/>
      <c r="GI106" s="142"/>
      <c r="GJ106" s="140"/>
      <c r="GK106" s="141"/>
      <c r="GL106" s="142"/>
      <c r="GM106" s="140"/>
      <c r="GN106" s="141"/>
      <c r="GO106" s="142"/>
      <c r="GP106" s="140"/>
      <c r="GQ106" s="141"/>
      <c r="GR106" s="142"/>
      <c r="GS106" s="140"/>
      <c r="GT106" s="141"/>
      <c r="GU106" s="142"/>
      <c r="GV106" s="140"/>
      <c r="GW106" s="141"/>
      <c r="GX106" s="142"/>
      <c r="GY106" s="164"/>
      <c r="GZ106" s="134"/>
      <c r="HA106" s="185"/>
      <c r="HB106" s="164"/>
      <c r="HC106" s="185"/>
      <c r="HD106" s="164"/>
      <c r="HE106" s="185"/>
      <c r="HF106" s="164"/>
      <c r="HG106" s="185"/>
      <c r="HH106" s="164"/>
      <c r="HI106" s="185"/>
      <c r="HJ106" s="164"/>
      <c r="HK106" s="185"/>
      <c r="HL106" s="164"/>
      <c r="HM106" s="185"/>
      <c r="HN106" s="164"/>
      <c r="HO106" s="185"/>
      <c r="HP106" s="164"/>
      <c r="HQ106" s="185"/>
      <c r="HR106" s="164"/>
      <c r="HS106" s="185"/>
      <c r="HT106" s="164"/>
      <c r="HU106" s="185"/>
    </row>
    <row r="107" spans="1:229" x14ac:dyDescent="0.2">
      <c r="A107" s="1756" t="str">
        <f>+'1858 Hacienda'!A565</f>
        <v>Venta de edificios del Estado</v>
      </c>
      <c r="B107" s="131"/>
      <c r="C107" s="134"/>
      <c r="D107" s="133"/>
      <c r="E107" s="131"/>
      <c r="F107" s="134"/>
      <c r="G107" s="133"/>
      <c r="H107" s="131"/>
      <c r="I107" s="134"/>
      <c r="J107" s="133"/>
      <c r="K107" s="131"/>
      <c r="L107" s="134"/>
      <c r="M107" s="133"/>
      <c r="N107" s="131"/>
      <c r="O107" s="134"/>
      <c r="P107" s="133"/>
      <c r="Q107" s="131"/>
      <c r="R107" s="134"/>
      <c r="S107" s="133"/>
      <c r="T107" s="131"/>
      <c r="U107" s="134"/>
      <c r="V107" s="133"/>
      <c r="W107" s="131"/>
      <c r="X107" s="134"/>
      <c r="Y107" s="133"/>
      <c r="Z107" s="131"/>
      <c r="AA107" s="134"/>
      <c r="AB107" s="133"/>
      <c r="AC107" s="131"/>
      <c r="AD107" s="134"/>
      <c r="AE107" s="133"/>
      <c r="AF107" s="131"/>
      <c r="AG107" s="134"/>
      <c r="AH107" s="133"/>
      <c r="AI107" s="145"/>
      <c r="AJ107" s="134"/>
      <c r="AK107" s="133"/>
      <c r="AL107" s="131"/>
      <c r="AM107" s="134"/>
      <c r="AN107" s="133"/>
      <c r="AO107" s="131"/>
      <c r="AP107" s="134"/>
      <c r="AQ107" s="133"/>
      <c r="AR107" s="131"/>
      <c r="AS107" s="134"/>
      <c r="AT107" s="180"/>
      <c r="AU107" s="131"/>
      <c r="AV107" s="185"/>
      <c r="AW107" s="131">
        <f>+'1858 Hacienda'!D565</f>
        <v>5067</v>
      </c>
      <c r="AX107" s="185">
        <f>+'1858 Hacienda'!E565</f>
        <v>200</v>
      </c>
      <c r="AY107" s="131">
        <f>+'1858 Hacienda'!D610</f>
        <v>12800</v>
      </c>
      <c r="AZ107" s="185">
        <f>+'1858 Hacienda'!E610</f>
        <v>0</v>
      </c>
      <c r="BA107" s="131"/>
      <c r="BB107" s="185"/>
      <c r="BC107" s="131"/>
      <c r="BD107" s="185"/>
      <c r="BE107" s="131"/>
      <c r="BF107" s="185"/>
      <c r="BG107" s="131"/>
      <c r="BH107" s="185"/>
      <c r="BI107" s="131"/>
      <c r="BJ107" s="185"/>
      <c r="BK107" s="131"/>
      <c r="BL107" s="185"/>
      <c r="BM107" s="131"/>
      <c r="BN107" s="185"/>
      <c r="BO107" s="131"/>
      <c r="BP107" s="134"/>
      <c r="BQ107" s="131"/>
      <c r="BR107" s="134"/>
      <c r="BS107" s="133"/>
      <c r="BT107" s="145"/>
      <c r="BU107" s="134"/>
      <c r="BV107" s="131"/>
      <c r="BW107" s="134"/>
      <c r="BX107" s="131"/>
      <c r="BY107" s="134"/>
      <c r="BZ107" s="131"/>
      <c r="CA107" s="134"/>
      <c r="CB107" s="133"/>
      <c r="CC107" s="131"/>
      <c r="CD107" s="134"/>
      <c r="CE107" s="133"/>
      <c r="CF107" s="131"/>
      <c r="CG107" s="134"/>
      <c r="CH107" s="133"/>
      <c r="CI107" s="131"/>
      <c r="CJ107" s="134"/>
      <c r="CK107" s="133"/>
      <c r="CL107" s="131"/>
      <c r="CM107" s="134"/>
      <c r="CN107" s="133"/>
      <c r="CO107" s="131"/>
      <c r="CP107" s="134"/>
      <c r="CQ107" s="133"/>
      <c r="CR107" s="131"/>
      <c r="CS107" s="134"/>
      <c r="CT107" s="133"/>
      <c r="CU107" s="131"/>
      <c r="CV107" s="134"/>
      <c r="CW107" s="133"/>
      <c r="CX107" s="131"/>
      <c r="CY107" s="134"/>
      <c r="CZ107" s="133"/>
      <c r="DA107" s="140"/>
      <c r="DB107" s="141"/>
      <c r="DC107" s="142"/>
      <c r="DD107" s="140"/>
      <c r="DE107" s="141"/>
      <c r="DF107" s="142"/>
      <c r="DG107" s="140"/>
      <c r="DH107" s="141"/>
      <c r="DI107" s="142"/>
      <c r="DJ107" s="140"/>
      <c r="DK107" s="141"/>
      <c r="DL107" s="142"/>
      <c r="DM107" s="140"/>
      <c r="DN107" s="141"/>
      <c r="DO107" s="142"/>
      <c r="DP107" s="140"/>
      <c r="DQ107" s="141"/>
      <c r="DR107" s="142"/>
      <c r="DS107" s="140"/>
      <c r="DT107" s="141"/>
      <c r="DU107" s="142"/>
      <c r="DV107" s="140"/>
      <c r="DW107" s="141"/>
      <c r="DX107" s="142"/>
      <c r="DY107" s="140"/>
      <c r="DZ107" s="141"/>
      <c r="EA107" s="142"/>
      <c r="EB107" s="140"/>
      <c r="EC107" s="141"/>
      <c r="ED107" s="142"/>
      <c r="EE107" s="140"/>
      <c r="EF107" s="141"/>
      <c r="EG107" s="142"/>
      <c r="EH107" s="140"/>
      <c r="EI107" s="141"/>
      <c r="EJ107" s="142"/>
      <c r="EK107" s="140"/>
      <c r="EL107" s="141"/>
      <c r="EM107" s="142"/>
      <c r="EN107" s="140"/>
      <c r="EO107" s="141"/>
      <c r="EP107" s="142"/>
      <c r="EQ107" s="140"/>
      <c r="ER107" s="141"/>
      <c r="ES107" s="142"/>
      <c r="ET107" s="140"/>
      <c r="EU107" s="141"/>
      <c r="EV107" s="142"/>
      <c r="EW107" s="140"/>
      <c r="EX107" s="141"/>
      <c r="EY107" s="142"/>
      <c r="EZ107" s="140"/>
      <c r="FA107" s="141"/>
      <c r="FB107" s="142"/>
      <c r="FC107" s="140"/>
      <c r="FD107" s="141"/>
      <c r="FE107" s="142"/>
      <c r="FF107" s="140"/>
      <c r="FG107" s="141"/>
      <c r="FH107" s="142"/>
      <c r="FI107" s="140"/>
      <c r="FJ107" s="141"/>
      <c r="FK107" s="142"/>
      <c r="FL107" s="140"/>
      <c r="FM107" s="141"/>
      <c r="FN107" s="142"/>
      <c r="FO107" s="140"/>
      <c r="FP107" s="141"/>
      <c r="FQ107" s="142"/>
      <c r="FR107" s="140"/>
      <c r="FS107" s="141"/>
      <c r="FT107" s="142"/>
      <c r="FU107" s="140"/>
      <c r="FV107" s="141"/>
      <c r="FW107" s="142"/>
      <c r="FX107" s="140"/>
      <c r="FY107" s="141"/>
      <c r="FZ107" s="142"/>
      <c r="GA107" s="140"/>
      <c r="GB107" s="141"/>
      <c r="GC107" s="142"/>
      <c r="GD107" s="140"/>
      <c r="GE107" s="141"/>
      <c r="GF107" s="142"/>
      <c r="GG107" s="140"/>
      <c r="GH107" s="141"/>
      <c r="GI107" s="142"/>
      <c r="GJ107" s="140"/>
      <c r="GK107" s="141"/>
      <c r="GL107" s="142"/>
      <c r="GM107" s="140"/>
      <c r="GN107" s="141"/>
      <c r="GO107" s="142"/>
      <c r="GP107" s="140"/>
      <c r="GQ107" s="141"/>
      <c r="GR107" s="142"/>
      <c r="GS107" s="140"/>
      <c r="GT107" s="141"/>
      <c r="GU107" s="142"/>
      <c r="GV107" s="140"/>
      <c r="GW107" s="141"/>
      <c r="GX107" s="142"/>
      <c r="GY107" s="164"/>
      <c r="GZ107" s="134"/>
      <c r="HA107" s="185"/>
      <c r="HB107" s="164"/>
      <c r="HC107" s="185"/>
      <c r="HD107" s="164"/>
      <c r="HE107" s="185"/>
      <c r="HF107" s="164"/>
      <c r="HG107" s="185"/>
      <c r="HH107" s="164"/>
      <c r="HI107" s="185"/>
      <c r="HJ107" s="164"/>
      <c r="HK107" s="185"/>
      <c r="HL107" s="164"/>
      <c r="HM107" s="185"/>
      <c r="HN107" s="164"/>
      <c r="HO107" s="185"/>
      <c r="HP107" s="164"/>
      <c r="HQ107" s="185"/>
      <c r="HR107" s="164"/>
      <c r="HS107" s="185"/>
      <c r="HT107" s="164"/>
      <c r="HU107" s="185"/>
    </row>
    <row r="108" spans="1:229" x14ac:dyDescent="0.2">
      <c r="A108" s="1756" t="str">
        <f>+'1858 Hacienda'!A567</f>
        <v>Rentas abolidas</v>
      </c>
      <c r="B108" s="131"/>
      <c r="C108" s="134"/>
      <c r="D108" s="133"/>
      <c r="E108" s="131"/>
      <c r="F108" s="134"/>
      <c r="G108" s="133"/>
      <c r="H108" s="131"/>
      <c r="I108" s="134"/>
      <c r="J108" s="133"/>
      <c r="K108" s="131"/>
      <c r="L108" s="134"/>
      <c r="M108" s="133"/>
      <c r="N108" s="131"/>
      <c r="O108" s="134"/>
      <c r="P108" s="133"/>
      <c r="Q108" s="131"/>
      <c r="R108" s="134"/>
      <c r="S108" s="133"/>
      <c r="T108" s="131"/>
      <c r="U108" s="134"/>
      <c r="V108" s="133"/>
      <c r="W108" s="131"/>
      <c r="X108" s="134"/>
      <c r="Y108" s="133"/>
      <c r="Z108" s="131"/>
      <c r="AA108" s="134"/>
      <c r="AB108" s="133"/>
      <c r="AC108" s="131"/>
      <c r="AD108" s="134"/>
      <c r="AE108" s="133"/>
      <c r="AF108" s="131"/>
      <c r="AG108" s="134"/>
      <c r="AH108" s="133"/>
      <c r="AI108" s="145"/>
      <c r="AJ108" s="134"/>
      <c r="AK108" s="133"/>
      <c r="AL108" s="131"/>
      <c r="AM108" s="134"/>
      <c r="AN108" s="133"/>
      <c r="AO108" s="131"/>
      <c r="AP108" s="134"/>
      <c r="AQ108" s="133"/>
      <c r="AR108" s="131"/>
      <c r="AS108" s="134"/>
      <c r="AT108" s="180"/>
      <c r="AU108" s="131"/>
      <c r="AV108" s="185"/>
      <c r="AW108" s="131">
        <f>+'1858 Hacienda'!D567</f>
        <v>7557</v>
      </c>
      <c r="AX108" s="185">
        <f>+'1858 Hacienda'!E567</f>
        <v>65</v>
      </c>
      <c r="AY108" s="131"/>
      <c r="AZ108" s="185"/>
      <c r="BA108" s="131"/>
      <c r="BB108" s="185"/>
      <c r="BC108" s="131"/>
      <c r="BD108" s="185"/>
      <c r="BE108" s="131"/>
      <c r="BF108" s="185"/>
      <c r="BG108" s="131"/>
      <c r="BH108" s="185"/>
      <c r="BI108" s="131"/>
      <c r="BJ108" s="185"/>
      <c r="BK108" s="131"/>
      <c r="BL108" s="185"/>
      <c r="BM108" s="131"/>
      <c r="BN108" s="185"/>
      <c r="BO108" s="131"/>
      <c r="BP108" s="134"/>
      <c r="BQ108" s="131"/>
      <c r="BR108" s="134"/>
      <c r="BS108" s="133"/>
      <c r="BT108" s="145"/>
      <c r="BU108" s="134"/>
      <c r="BV108" s="131"/>
      <c r="BW108" s="134"/>
      <c r="BX108" s="131"/>
      <c r="BY108" s="134"/>
      <c r="BZ108" s="131"/>
      <c r="CA108" s="134"/>
      <c r="CB108" s="133"/>
      <c r="CC108" s="131"/>
      <c r="CD108" s="134"/>
      <c r="CE108" s="133"/>
      <c r="CF108" s="131"/>
      <c r="CG108" s="134"/>
      <c r="CH108" s="133"/>
      <c r="CI108" s="131"/>
      <c r="CJ108" s="134"/>
      <c r="CK108" s="133"/>
      <c r="CL108" s="131"/>
      <c r="CM108" s="134"/>
      <c r="CN108" s="133"/>
      <c r="CO108" s="131"/>
      <c r="CP108" s="134"/>
      <c r="CQ108" s="133"/>
      <c r="CR108" s="131"/>
      <c r="CS108" s="134"/>
      <c r="CT108" s="133"/>
      <c r="CU108" s="131"/>
      <c r="CV108" s="134"/>
      <c r="CW108" s="133"/>
      <c r="CX108" s="131"/>
      <c r="CY108" s="134"/>
      <c r="CZ108" s="133"/>
      <c r="DA108" s="140"/>
      <c r="DB108" s="141"/>
      <c r="DC108" s="142"/>
      <c r="DD108" s="140"/>
      <c r="DE108" s="141"/>
      <c r="DF108" s="142"/>
      <c r="DG108" s="140"/>
      <c r="DH108" s="141"/>
      <c r="DI108" s="142"/>
      <c r="DJ108" s="140"/>
      <c r="DK108" s="141"/>
      <c r="DL108" s="142"/>
      <c r="DM108" s="140"/>
      <c r="DN108" s="141"/>
      <c r="DO108" s="142"/>
      <c r="DP108" s="140"/>
      <c r="DQ108" s="141"/>
      <c r="DR108" s="142"/>
      <c r="DS108" s="140"/>
      <c r="DT108" s="141"/>
      <c r="DU108" s="142"/>
      <c r="DV108" s="140"/>
      <c r="DW108" s="141"/>
      <c r="DX108" s="142"/>
      <c r="DY108" s="140"/>
      <c r="DZ108" s="141"/>
      <c r="EA108" s="142"/>
      <c r="EB108" s="140"/>
      <c r="EC108" s="141"/>
      <c r="ED108" s="142"/>
      <c r="EE108" s="140"/>
      <c r="EF108" s="141"/>
      <c r="EG108" s="142"/>
      <c r="EH108" s="140"/>
      <c r="EI108" s="141"/>
      <c r="EJ108" s="142"/>
      <c r="EK108" s="140"/>
      <c r="EL108" s="141"/>
      <c r="EM108" s="142"/>
      <c r="EN108" s="140"/>
      <c r="EO108" s="141"/>
      <c r="EP108" s="142"/>
      <c r="EQ108" s="140"/>
      <c r="ER108" s="141"/>
      <c r="ES108" s="142"/>
      <c r="ET108" s="140"/>
      <c r="EU108" s="141"/>
      <c r="EV108" s="142"/>
      <c r="EW108" s="140"/>
      <c r="EX108" s="141"/>
      <c r="EY108" s="142"/>
      <c r="EZ108" s="140"/>
      <c r="FA108" s="141"/>
      <c r="FB108" s="142"/>
      <c r="FC108" s="140"/>
      <c r="FD108" s="141"/>
      <c r="FE108" s="142"/>
      <c r="FF108" s="140"/>
      <c r="FG108" s="141"/>
      <c r="FH108" s="142"/>
      <c r="FI108" s="140"/>
      <c r="FJ108" s="141"/>
      <c r="FK108" s="142"/>
      <c r="FL108" s="140"/>
      <c r="FM108" s="141"/>
      <c r="FN108" s="142"/>
      <c r="FO108" s="140"/>
      <c r="FP108" s="141"/>
      <c r="FQ108" s="142"/>
      <c r="FR108" s="140"/>
      <c r="FS108" s="141"/>
      <c r="FT108" s="142"/>
      <c r="FU108" s="140"/>
      <c r="FV108" s="141"/>
      <c r="FW108" s="142"/>
      <c r="FX108" s="140"/>
      <c r="FY108" s="141"/>
      <c r="FZ108" s="142"/>
      <c r="GA108" s="140"/>
      <c r="GB108" s="141"/>
      <c r="GC108" s="142"/>
      <c r="GD108" s="140"/>
      <c r="GE108" s="141"/>
      <c r="GF108" s="142"/>
      <c r="GG108" s="140"/>
      <c r="GH108" s="141"/>
      <c r="GI108" s="142"/>
      <c r="GJ108" s="140"/>
      <c r="GK108" s="141"/>
      <c r="GL108" s="142"/>
      <c r="GM108" s="140"/>
      <c r="GN108" s="141"/>
      <c r="GO108" s="142"/>
      <c r="GP108" s="140"/>
      <c r="GQ108" s="141"/>
      <c r="GR108" s="142"/>
      <c r="GS108" s="140"/>
      <c r="GT108" s="141"/>
      <c r="GU108" s="142"/>
      <c r="GV108" s="140"/>
      <c r="GW108" s="141"/>
      <c r="GX108" s="142"/>
      <c r="GY108" s="164"/>
      <c r="GZ108" s="134"/>
      <c r="HA108" s="185"/>
      <c r="HB108" s="164"/>
      <c r="HC108" s="185"/>
      <c r="HD108" s="164"/>
      <c r="HE108" s="185"/>
      <c r="HF108" s="164"/>
      <c r="HG108" s="185"/>
      <c r="HH108" s="164"/>
      <c r="HI108" s="185"/>
      <c r="HJ108" s="164"/>
      <c r="HK108" s="185"/>
      <c r="HL108" s="164"/>
      <c r="HM108" s="185"/>
      <c r="HN108" s="164"/>
      <c r="HO108" s="185"/>
      <c r="HP108" s="164"/>
      <c r="HQ108" s="185"/>
      <c r="HR108" s="164"/>
      <c r="HS108" s="185"/>
      <c r="HT108" s="164"/>
      <c r="HU108" s="185"/>
    </row>
    <row r="109" spans="1:229" x14ac:dyDescent="0.2">
      <c r="A109" s="1756" t="str">
        <f>+'1858 Hacienda'!A1041</f>
        <v>Redencion de censos</v>
      </c>
      <c r="B109" s="131"/>
      <c r="C109" s="134"/>
      <c r="D109" s="133"/>
      <c r="E109" s="131"/>
      <c r="F109" s="134"/>
      <c r="G109" s="133"/>
      <c r="H109" s="131"/>
      <c r="I109" s="134"/>
      <c r="J109" s="133"/>
      <c r="K109" s="131"/>
      <c r="L109" s="134"/>
      <c r="M109" s="133"/>
      <c r="N109" s="131"/>
      <c r="O109" s="134"/>
      <c r="P109" s="133"/>
      <c r="Q109" s="131"/>
      <c r="R109" s="134"/>
      <c r="S109" s="133"/>
      <c r="T109" s="131"/>
      <c r="U109" s="134"/>
      <c r="V109" s="133"/>
      <c r="W109" s="131"/>
      <c r="X109" s="134"/>
      <c r="Y109" s="133"/>
      <c r="Z109" s="131"/>
      <c r="AA109" s="134"/>
      <c r="AB109" s="133"/>
      <c r="AC109" s="131"/>
      <c r="AD109" s="134"/>
      <c r="AE109" s="133"/>
      <c r="AF109" s="131"/>
      <c r="AG109" s="134"/>
      <c r="AH109" s="133"/>
      <c r="AI109" s="145"/>
      <c r="AJ109" s="134"/>
      <c r="AK109" s="133"/>
      <c r="AL109" s="131"/>
      <c r="AM109" s="134"/>
      <c r="AN109" s="133"/>
      <c r="AO109" s="131"/>
      <c r="AP109" s="134"/>
      <c r="AQ109" s="133"/>
      <c r="AR109" s="131"/>
      <c r="AS109" s="134"/>
      <c r="AT109" s="180"/>
      <c r="AU109" s="131"/>
      <c r="AV109" s="185"/>
      <c r="AW109" s="131"/>
      <c r="AX109" s="185"/>
      <c r="AY109" s="131"/>
      <c r="AZ109" s="185"/>
      <c r="BA109" s="131"/>
      <c r="BB109" s="185"/>
      <c r="BC109" s="131">
        <f>+'1858 Hacienda'!B1041</f>
        <v>37176</v>
      </c>
      <c r="BD109" s="185">
        <f>+'1858 Hacienda'!C1041</f>
        <v>250</v>
      </c>
      <c r="BE109" s="131">
        <f>+'1858 Hacienda'!B1052</f>
        <v>305979</v>
      </c>
      <c r="BF109" s="185">
        <f>+'1858 Hacienda'!C1052</f>
        <v>142</v>
      </c>
      <c r="BG109" s="131">
        <f>+'1858 Hacienda'!B1064</f>
        <v>235754</v>
      </c>
      <c r="BH109" s="185">
        <f>+'1858 Hacienda'!C1064</f>
        <v>875</v>
      </c>
      <c r="BI109" s="131">
        <f>+'1858 Hacienda'!B1097</f>
        <v>104302</v>
      </c>
      <c r="BJ109" s="185">
        <f>+'1858 Hacienda'!C1097</f>
        <v>710</v>
      </c>
      <c r="BK109" s="131">
        <f>+'1858 Hacienda'!B1112</f>
        <v>131226</v>
      </c>
      <c r="BL109" s="185">
        <f>+'1858 Hacienda'!C1112</f>
        <v>815</v>
      </c>
      <c r="BM109" s="131"/>
      <c r="BN109" s="185"/>
      <c r="BO109" s="131"/>
      <c r="BP109" s="134"/>
      <c r="BQ109" s="131"/>
      <c r="BR109" s="134"/>
      <c r="BS109" s="133"/>
      <c r="BT109" s="145"/>
      <c r="BU109" s="134"/>
      <c r="BV109" s="131"/>
      <c r="BW109" s="134"/>
      <c r="BX109" s="131"/>
      <c r="BY109" s="134"/>
      <c r="BZ109" s="131"/>
      <c r="CA109" s="134"/>
      <c r="CB109" s="133"/>
      <c r="CC109" s="131"/>
      <c r="CD109" s="134"/>
      <c r="CE109" s="133"/>
      <c r="CF109" s="131"/>
      <c r="CG109" s="134"/>
      <c r="CH109" s="133"/>
      <c r="CI109" s="131"/>
      <c r="CJ109" s="134"/>
      <c r="CK109" s="133"/>
      <c r="CL109" s="131"/>
      <c r="CM109" s="134"/>
      <c r="CN109" s="133"/>
      <c r="CO109" s="131"/>
      <c r="CP109" s="134"/>
      <c r="CQ109" s="133"/>
      <c r="CR109" s="131"/>
      <c r="CS109" s="134"/>
      <c r="CT109" s="133"/>
      <c r="CU109" s="131"/>
      <c r="CV109" s="134"/>
      <c r="CW109" s="133"/>
      <c r="CX109" s="131"/>
      <c r="CY109" s="134"/>
      <c r="CZ109" s="133"/>
      <c r="DA109" s="140"/>
      <c r="DB109" s="141"/>
      <c r="DC109" s="142"/>
      <c r="DD109" s="140"/>
      <c r="DE109" s="141"/>
      <c r="DF109" s="142"/>
      <c r="DG109" s="140"/>
      <c r="DH109" s="141"/>
      <c r="DI109" s="142"/>
      <c r="DJ109" s="140"/>
      <c r="DK109" s="141"/>
      <c r="DL109" s="142"/>
      <c r="DM109" s="140"/>
      <c r="DN109" s="141"/>
      <c r="DO109" s="142"/>
      <c r="DP109" s="140"/>
      <c r="DQ109" s="141"/>
      <c r="DR109" s="142"/>
      <c r="DS109" s="140"/>
      <c r="DT109" s="141"/>
      <c r="DU109" s="142"/>
      <c r="DV109" s="140"/>
      <c r="DW109" s="141"/>
      <c r="DX109" s="142"/>
      <c r="DY109" s="140"/>
      <c r="DZ109" s="141"/>
      <c r="EA109" s="142"/>
      <c r="EB109" s="140"/>
      <c r="EC109" s="141"/>
      <c r="ED109" s="142"/>
      <c r="EE109" s="140"/>
      <c r="EF109" s="141"/>
      <c r="EG109" s="142"/>
      <c r="EH109" s="140"/>
      <c r="EI109" s="141"/>
      <c r="EJ109" s="142"/>
      <c r="EK109" s="140"/>
      <c r="EL109" s="141"/>
      <c r="EM109" s="142"/>
      <c r="EN109" s="140"/>
      <c r="EO109" s="141"/>
      <c r="EP109" s="142"/>
      <c r="EQ109" s="140"/>
      <c r="ER109" s="141"/>
      <c r="ES109" s="142"/>
      <c r="ET109" s="140"/>
      <c r="EU109" s="141"/>
      <c r="EV109" s="142"/>
      <c r="EW109" s="140"/>
      <c r="EX109" s="141"/>
      <c r="EY109" s="142"/>
      <c r="EZ109" s="140"/>
      <c r="FA109" s="141"/>
      <c r="FB109" s="142"/>
      <c r="FC109" s="140"/>
      <c r="FD109" s="141"/>
      <c r="FE109" s="142"/>
      <c r="FF109" s="140"/>
      <c r="FG109" s="141"/>
      <c r="FH109" s="142"/>
      <c r="FI109" s="140"/>
      <c r="FJ109" s="141"/>
      <c r="FK109" s="142"/>
      <c r="FL109" s="140"/>
      <c r="FM109" s="141"/>
      <c r="FN109" s="142"/>
      <c r="FO109" s="140"/>
      <c r="FP109" s="141"/>
      <c r="FQ109" s="142"/>
      <c r="FR109" s="140"/>
      <c r="FS109" s="141"/>
      <c r="FT109" s="142"/>
      <c r="FU109" s="140"/>
      <c r="FV109" s="141"/>
      <c r="FW109" s="142"/>
      <c r="FX109" s="140"/>
      <c r="FY109" s="141"/>
      <c r="FZ109" s="142"/>
      <c r="GA109" s="140"/>
      <c r="GB109" s="141"/>
      <c r="GC109" s="142"/>
      <c r="GD109" s="140"/>
      <c r="GE109" s="141"/>
      <c r="GF109" s="142"/>
      <c r="GG109" s="140"/>
      <c r="GH109" s="141"/>
      <c r="GI109" s="142"/>
      <c r="GJ109" s="140"/>
      <c r="GK109" s="141"/>
      <c r="GL109" s="142"/>
      <c r="GM109" s="140"/>
      <c r="GN109" s="141"/>
      <c r="GO109" s="142"/>
      <c r="GP109" s="140"/>
      <c r="GQ109" s="141"/>
      <c r="GR109" s="142"/>
      <c r="GS109" s="140"/>
      <c r="GT109" s="141"/>
      <c r="GU109" s="142"/>
      <c r="GV109" s="140"/>
      <c r="GW109" s="141"/>
      <c r="GX109" s="142"/>
      <c r="GY109" s="164"/>
      <c r="GZ109" s="134"/>
      <c r="HA109" s="185"/>
      <c r="HB109" s="164"/>
      <c r="HC109" s="185"/>
      <c r="HD109" s="164"/>
      <c r="HE109" s="185"/>
      <c r="HF109" s="164"/>
      <c r="HG109" s="185"/>
      <c r="HH109" s="164"/>
      <c r="HI109" s="185"/>
      <c r="HJ109" s="164"/>
      <c r="HK109" s="185"/>
      <c r="HL109" s="164"/>
      <c r="HM109" s="185"/>
      <c r="HN109" s="164"/>
      <c r="HO109" s="185"/>
      <c r="HP109" s="164"/>
      <c r="HQ109" s="185"/>
      <c r="HR109" s="164"/>
      <c r="HS109" s="185"/>
      <c r="HT109" s="164"/>
      <c r="HU109" s="185"/>
    </row>
    <row r="110" spans="1:229" x14ac:dyDescent="0.2">
      <c r="A110" s="1756" t="str">
        <f>+'1858 Hacienda'!A1025</f>
        <v>Billetes nacionales</v>
      </c>
      <c r="B110" s="131"/>
      <c r="C110" s="134"/>
      <c r="D110" s="133"/>
      <c r="E110" s="131"/>
      <c r="F110" s="134"/>
      <c r="G110" s="133"/>
      <c r="H110" s="131"/>
      <c r="I110" s="134"/>
      <c r="J110" s="133"/>
      <c r="K110" s="131"/>
      <c r="L110" s="134"/>
      <c r="M110" s="133"/>
      <c r="N110" s="131"/>
      <c r="O110" s="134"/>
      <c r="P110" s="133"/>
      <c r="Q110" s="131"/>
      <c r="R110" s="134"/>
      <c r="S110" s="133"/>
      <c r="T110" s="131"/>
      <c r="U110" s="134"/>
      <c r="V110" s="133"/>
      <c r="W110" s="131"/>
      <c r="X110" s="134"/>
      <c r="Y110" s="133"/>
      <c r="Z110" s="131"/>
      <c r="AA110" s="134"/>
      <c r="AB110" s="133"/>
      <c r="AC110" s="131"/>
      <c r="AD110" s="134"/>
      <c r="AE110" s="133"/>
      <c r="AF110" s="131"/>
      <c r="AG110" s="134"/>
      <c r="AH110" s="133"/>
      <c r="AI110" s="145"/>
      <c r="AJ110" s="134"/>
      <c r="AK110" s="133"/>
      <c r="AL110" s="131"/>
      <c r="AM110" s="134"/>
      <c r="AN110" s="133"/>
      <c r="AO110" s="131"/>
      <c r="AP110" s="134"/>
      <c r="AQ110" s="133"/>
      <c r="AR110" s="131"/>
      <c r="AS110" s="134"/>
      <c r="AT110" s="180"/>
      <c r="AU110" s="131"/>
      <c r="AV110" s="185"/>
      <c r="AW110" s="131"/>
      <c r="AX110" s="185"/>
      <c r="AY110" s="131"/>
      <c r="AZ110" s="185"/>
      <c r="BA110" s="131"/>
      <c r="BB110" s="185"/>
      <c r="BC110" s="131">
        <f>+'1858 Hacienda'!B1025</f>
        <v>19373</v>
      </c>
      <c r="BD110" s="185">
        <f>+'1858 Hacienda'!C1025</f>
        <v>682</v>
      </c>
      <c r="BE110" s="131"/>
      <c r="BF110" s="185"/>
      <c r="BG110" s="131"/>
      <c r="BH110" s="185"/>
      <c r="BI110" s="131"/>
      <c r="BJ110" s="185"/>
      <c r="BK110" s="131"/>
      <c r="BL110" s="185"/>
      <c r="BM110" s="131"/>
      <c r="BN110" s="185"/>
      <c r="BO110" s="131"/>
      <c r="BP110" s="134"/>
      <c r="BQ110" s="131"/>
      <c r="BR110" s="134"/>
      <c r="BS110" s="133"/>
      <c r="BT110" s="145"/>
      <c r="BU110" s="134"/>
      <c r="BV110" s="131"/>
      <c r="BW110" s="134"/>
      <c r="BX110" s="131"/>
      <c r="BY110" s="134"/>
      <c r="BZ110" s="131"/>
      <c r="CA110" s="134"/>
      <c r="CB110" s="133"/>
      <c r="CC110" s="131"/>
      <c r="CD110" s="134"/>
      <c r="CE110" s="133"/>
      <c r="CF110" s="131"/>
      <c r="CG110" s="134"/>
      <c r="CH110" s="133"/>
      <c r="CI110" s="131"/>
      <c r="CJ110" s="134"/>
      <c r="CK110" s="133"/>
      <c r="CL110" s="131"/>
      <c r="CM110" s="134"/>
      <c r="CN110" s="133"/>
      <c r="CO110" s="131"/>
      <c r="CP110" s="134"/>
      <c r="CQ110" s="133"/>
      <c r="CR110" s="131"/>
      <c r="CS110" s="134"/>
      <c r="CT110" s="133"/>
      <c r="CU110" s="131"/>
      <c r="CV110" s="134"/>
      <c r="CW110" s="133"/>
      <c r="CX110" s="131"/>
      <c r="CY110" s="134"/>
      <c r="CZ110" s="133"/>
      <c r="DA110" s="140"/>
      <c r="DB110" s="141"/>
      <c r="DC110" s="142"/>
      <c r="DD110" s="140"/>
      <c r="DE110" s="141"/>
      <c r="DF110" s="142"/>
      <c r="DG110" s="140"/>
      <c r="DH110" s="141"/>
      <c r="DI110" s="142"/>
      <c r="DJ110" s="140"/>
      <c r="DK110" s="141"/>
      <c r="DL110" s="142"/>
      <c r="DM110" s="140"/>
      <c r="DN110" s="141"/>
      <c r="DO110" s="142"/>
      <c r="DP110" s="140"/>
      <c r="DQ110" s="141"/>
      <c r="DR110" s="142"/>
      <c r="DS110" s="140"/>
      <c r="DT110" s="141"/>
      <c r="DU110" s="142"/>
      <c r="DV110" s="140"/>
      <c r="DW110" s="141"/>
      <c r="DX110" s="142"/>
      <c r="DY110" s="140"/>
      <c r="DZ110" s="141"/>
      <c r="EA110" s="142"/>
      <c r="EB110" s="140"/>
      <c r="EC110" s="141"/>
      <c r="ED110" s="142"/>
      <c r="EE110" s="140"/>
      <c r="EF110" s="141"/>
      <c r="EG110" s="142"/>
      <c r="EH110" s="140"/>
      <c r="EI110" s="141"/>
      <c r="EJ110" s="142"/>
      <c r="EK110" s="140"/>
      <c r="EL110" s="141"/>
      <c r="EM110" s="142"/>
      <c r="EN110" s="140"/>
      <c r="EO110" s="141"/>
      <c r="EP110" s="142"/>
      <c r="EQ110" s="140"/>
      <c r="ER110" s="141"/>
      <c r="ES110" s="142"/>
      <c r="ET110" s="140"/>
      <c r="EU110" s="141"/>
      <c r="EV110" s="142"/>
      <c r="EW110" s="140"/>
      <c r="EX110" s="141"/>
      <c r="EY110" s="142"/>
      <c r="EZ110" s="140"/>
      <c r="FA110" s="141"/>
      <c r="FB110" s="142"/>
      <c r="FC110" s="140"/>
      <c r="FD110" s="141"/>
      <c r="FE110" s="142"/>
      <c r="FF110" s="140"/>
      <c r="FG110" s="141"/>
      <c r="FH110" s="142"/>
      <c r="FI110" s="140"/>
      <c r="FJ110" s="141"/>
      <c r="FK110" s="142"/>
      <c r="FL110" s="140"/>
      <c r="FM110" s="141"/>
      <c r="FN110" s="142"/>
      <c r="FO110" s="140"/>
      <c r="FP110" s="141"/>
      <c r="FQ110" s="142"/>
      <c r="FR110" s="140"/>
      <c r="FS110" s="141"/>
      <c r="FT110" s="142"/>
      <c r="FU110" s="140"/>
      <c r="FV110" s="141"/>
      <c r="FW110" s="142"/>
      <c r="FX110" s="140"/>
      <c r="FY110" s="141"/>
      <c r="FZ110" s="142"/>
      <c r="GA110" s="140"/>
      <c r="GB110" s="141"/>
      <c r="GC110" s="142"/>
      <c r="GD110" s="140"/>
      <c r="GE110" s="141"/>
      <c r="GF110" s="142"/>
      <c r="GG110" s="140"/>
      <c r="GH110" s="141"/>
      <c r="GI110" s="142"/>
      <c r="GJ110" s="140"/>
      <c r="GK110" s="141"/>
      <c r="GL110" s="142"/>
      <c r="GM110" s="140"/>
      <c r="GN110" s="141"/>
      <c r="GO110" s="142"/>
      <c r="GP110" s="140"/>
      <c r="GQ110" s="141"/>
      <c r="GR110" s="142"/>
      <c r="GS110" s="140"/>
      <c r="GT110" s="141"/>
      <c r="GU110" s="142"/>
      <c r="GV110" s="140"/>
      <c r="GW110" s="141"/>
      <c r="GX110" s="142"/>
      <c r="GY110" s="164"/>
      <c r="GZ110" s="134"/>
      <c r="HA110" s="185"/>
      <c r="HB110" s="164"/>
      <c r="HC110" s="185"/>
      <c r="HD110" s="164"/>
      <c r="HE110" s="185"/>
      <c r="HF110" s="164"/>
      <c r="HG110" s="185"/>
      <c r="HH110" s="164"/>
      <c r="HI110" s="185"/>
      <c r="HJ110" s="164"/>
      <c r="HK110" s="185"/>
      <c r="HL110" s="164"/>
      <c r="HM110" s="185"/>
      <c r="HN110" s="164"/>
      <c r="HO110" s="185"/>
      <c r="HP110" s="164"/>
      <c r="HQ110" s="185"/>
      <c r="HR110" s="164"/>
      <c r="HS110" s="185"/>
      <c r="HT110" s="164"/>
      <c r="HU110" s="185"/>
    </row>
    <row r="111" spans="1:229" x14ac:dyDescent="0.2">
      <c r="A111" s="1756" t="str">
        <f>+'1858 Hacienda'!A1042</f>
        <v>Rentas sin determinar</v>
      </c>
      <c r="B111" s="131"/>
      <c r="C111" s="134"/>
      <c r="D111" s="133"/>
      <c r="E111" s="131"/>
      <c r="F111" s="134"/>
      <c r="G111" s="133"/>
      <c r="H111" s="131"/>
      <c r="I111" s="134"/>
      <c r="J111" s="133"/>
      <c r="K111" s="131"/>
      <c r="L111" s="134"/>
      <c r="M111" s="133"/>
      <c r="N111" s="131"/>
      <c r="O111" s="134"/>
      <c r="P111" s="133"/>
      <c r="Q111" s="131"/>
      <c r="R111" s="134"/>
      <c r="S111" s="133"/>
      <c r="T111" s="131"/>
      <c r="U111" s="134"/>
      <c r="V111" s="133"/>
      <c r="W111" s="131"/>
      <c r="X111" s="134"/>
      <c r="Y111" s="133"/>
      <c r="Z111" s="131"/>
      <c r="AA111" s="134"/>
      <c r="AB111" s="133"/>
      <c r="AC111" s="131"/>
      <c r="AD111" s="134"/>
      <c r="AE111" s="133"/>
      <c r="AF111" s="131"/>
      <c r="AG111" s="134"/>
      <c r="AH111" s="133"/>
      <c r="AI111" s="145"/>
      <c r="AJ111" s="134"/>
      <c r="AK111" s="133"/>
      <c r="AL111" s="131"/>
      <c r="AM111" s="134"/>
      <c r="AN111" s="133"/>
      <c r="AO111" s="131"/>
      <c r="AP111" s="134"/>
      <c r="AQ111" s="133"/>
      <c r="AR111" s="131"/>
      <c r="AS111" s="134"/>
      <c r="AT111" s="180"/>
      <c r="AU111" s="131"/>
      <c r="AV111" s="185"/>
      <c r="AW111" s="131"/>
      <c r="AX111" s="185"/>
      <c r="AY111" s="131"/>
      <c r="AZ111" s="185"/>
      <c r="BA111" s="131"/>
      <c r="BB111" s="185"/>
      <c r="BC111" s="131">
        <f>+'1858 Hacienda'!B1042</f>
        <v>12184</v>
      </c>
      <c r="BD111" s="185">
        <f>+'1858 Hacienda'!C1042</f>
        <v>436</v>
      </c>
      <c r="BE111" s="131">
        <f>+'1858 Hacienda'!B1059</f>
        <v>38183</v>
      </c>
      <c r="BF111" s="185">
        <f>+'1858 Hacienda'!C1059</f>
        <v>670</v>
      </c>
      <c r="BG111" s="131">
        <f>+'1858 Hacienda'!B1080</f>
        <v>40043</v>
      </c>
      <c r="BH111" s="185">
        <f>+'1858 Hacienda'!C1080</f>
        <v>132</v>
      </c>
      <c r="BI111" s="131">
        <f>+'1858 Hacienda'!B1098</f>
        <v>43203</v>
      </c>
      <c r="BJ111" s="185">
        <f>+'1858 Hacienda'!C1098</f>
        <v>100</v>
      </c>
      <c r="BK111" s="131">
        <f>+'1858 Hacienda'!B1118</f>
        <v>47151</v>
      </c>
      <c r="BL111" s="185">
        <f>+'1858 Hacienda'!C1118</f>
        <v>125</v>
      </c>
      <c r="BM111" s="131">
        <f>+'1858 Hacienda'!B1132</f>
        <v>364</v>
      </c>
      <c r="BN111" s="185">
        <f>+'1858 Hacienda'!C1132</f>
        <v>695</v>
      </c>
      <c r="BO111" s="131"/>
      <c r="BP111" s="134"/>
      <c r="BQ111" s="131"/>
      <c r="BR111" s="134"/>
      <c r="BS111" s="133"/>
      <c r="BT111" s="145"/>
      <c r="BU111" s="134"/>
      <c r="BV111" s="131"/>
      <c r="BW111" s="134"/>
      <c r="BX111" s="131"/>
      <c r="BY111" s="134"/>
      <c r="BZ111" s="131"/>
      <c r="CA111" s="134"/>
      <c r="CB111" s="133"/>
      <c r="CC111" s="131"/>
      <c r="CD111" s="134"/>
      <c r="CE111" s="133"/>
      <c r="CF111" s="131"/>
      <c r="CG111" s="134"/>
      <c r="CH111" s="133"/>
      <c r="CI111" s="131"/>
      <c r="CJ111" s="134"/>
      <c r="CK111" s="133"/>
      <c r="CL111" s="131"/>
      <c r="CM111" s="134"/>
      <c r="CN111" s="133"/>
      <c r="CO111" s="131"/>
      <c r="CP111" s="134"/>
      <c r="CQ111" s="133"/>
      <c r="CR111" s="131"/>
      <c r="CS111" s="134"/>
      <c r="CT111" s="133"/>
      <c r="CU111" s="131"/>
      <c r="CV111" s="134"/>
      <c r="CW111" s="133"/>
      <c r="CX111" s="131"/>
      <c r="CY111" s="134"/>
      <c r="CZ111" s="133"/>
      <c r="DA111" s="140"/>
      <c r="DB111" s="141"/>
      <c r="DC111" s="142"/>
      <c r="DD111" s="140"/>
      <c r="DE111" s="141"/>
      <c r="DF111" s="142"/>
      <c r="DG111" s="140"/>
      <c r="DH111" s="141"/>
      <c r="DI111" s="142"/>
      <c r="DJ111" s="140"/>
      <c r="DK111" s="141"/>
      <c r="DL111" s="142"/>
      <c r="DM111" s="140"/>
      <c r="DN111" s="141"/>
      <c r="DO111" s="142"/>
      <c r="DP111" s="140"/>
      <c r="DQ111" s="141"/>
      <c r="DR111" s="142"/>
      <c r="DS111" s="140"/>
      <c r="DT111" s="141"/>
      <c r="DU111" s="142"/>
      <c r="DV111" s="140"/>
      <c r="DW111" s="141"/>
      <c r="DX111" s="142"/>
      <c r="DY111" s="140"/>
      <c r="DZ111" s="141"/>
      <c r="EA111" s="142"/>
      <c r="EB111" s="140"/>
      <c r="EC111" s="141"/>
      <c r="ED111" s="142"/>
      <c r="EE111" s="140"/>
      <c r="EF111" s="141"/>
      <c r="EG111" s="142"/>
      <c r="EH111" s="140"/>
      <c r="EI111" s="141"/>
      <c r="EJ111" s="142"/>
      <c r="EK111" s="140"/>
      <c r="EL111" s="141"/>
      <c r="EM111" s="142"/>
      <c r="EN111" s="140"/>
      <c r="EO111" s="141"/>
      <c r="EP111" s="142"/>
      <c r="EQ111" s="140"/>
      <c r="ER111" s="141"/>
      <c r="ES111" s="142"/>
      <c r="ET111" s="140"/>
      <c r="EU111" s="141"/>
      <c r="EV111" s="142"/>
      <c r="EW111" s="140"/>
      <c r="EX111" s="141"/>
      <c r="EY111" s="142"/>
      <c r="EZ111" s="140"/>
      <c r="FA111" s="141"/>
      <c r="FB111" s="142"/>
      <c r="FC111" s="140"/>
      <c r="FD111" s="141"/>
      <c r="FE111" s="142"/>
      <c r="FF111" s="140"/>
      <c r="FG111" s="141"/>
      <c r="FH111" s="142"/>
      <c r="FI111" s="140"/>
      <c r="FJ111" s="141"/>
      <c r="FK111" s="142"/>
      <c r="FL111" s="140"/>
      <c r="FM111" s="141"/>
      <c r="FN111" s="142"/>
      <c r="FO111" s="140"/>
      <c r="FP111" s="141"/>
      <c r="FQ111" s="142"/>
      <c r="FR111" s="140"/>
      <c r="FS111" s="141"/>
      <c r="FT111" s="142"/>
      <c r="FU111" s="140"/>
      <c r="FV111" s="141"/>
      <c r="FW111" s="142"/>
      <c r="FX111" s="140"/>
      <c r="FY111" s="141"/>
      <c r="FZ111" s="142"/>
      <c r="GA111" s="140"/>
      <c r="GB111" s="141"/>
      <c r="GC111" s="142"/>
      <c r="GD111" s="140"/>
      <c r="GE111" s="141"/>
      <c r="GF111" s="142"/>
      <c r="GG111" s="140"/>
      <c r="GH111" s="141"/>
      <c r="GI111" s="142"/>
      <c r="GJ111" s="140"/>
      <c r="GK111" s="141"/>
      <c r="GL111" s="142"/>
      <c r="GM111" s="140"/>
      <c r="GN111" s="141"/>
      <c r="GO111" s="142"/>
      <c r="GP111" s="140"/>
      <c r="GQ111" s="141"/>
      <c r="GR111" s="142"/>
      <c r="GS111" s="140"/>
      <c r="GT111" s="141"/>
      <c r="GU111" s="142"/>
      <c r="GV111" s="140"/>
      <c r="GW111" s="141"/>
      <c r="GX111" s="142"/>
      <c r="GY111" s="164"/>
      <c r="GZ111" s="134"/>
      <c r="HA111" s="185"/>
      <c r="HB111" s="164"/>
      <c r="HC111" s="185"/>
      <c r="HD111" s="164"/>
      <c r="HE111" s="185"/>
      <c r="HF111" s="164"/>
      <c r="HG111" s="185"/>
      <c r="HH111" s="164"/>
      <c r="HI111" s="185"/>
      <c r="HJ111" s="164"/>
      <c r="HK111" s="185"/>
      <c r="HL111" s="164"/>
      <c r="HM111" s="185"/>
      <c r="HN111" s="164"/>
      <c r="HO111" s="185"/>
      <c r="HP111" s="164"/>
      <c r="HQ111" s="185"/>
      <c r="HR111" s="164"/>
      <c r="HS111" s="185"/>
      <c r="HT111" s="164"/>
      <c r="HU111" s="185"/>
    </row>
    <row r="112" spans="1:229" x14ac:dyDescent="0.2">
      <c r="A112" s="1756" t="str">
        <f>+'1858 Hacienda'!A1061</f>
        <v>Venta de vales de nueva deuda flotante</v>
      </c>
      <c r="B112" s="131"/>
      <c r="C112" s="134"/>
      <c r="D112" s="133"/>
      <c r="E112" s="131"/>
      <c r="F112" s="134"/>
      <c r="G112" s="133"/>
      <c r="H112" s="131"/>
      <c r="I112" s="134"/>
      <c r="J112" s="133"/>
      <c r="K112" s="131"/>
      <c r="L112" s="134"/>
      <c r="M112" s="133"/>
      <c r="N112" s="131"/>
      <c r="O112" s="134"/>
      <c r="P112" s="133"/>
      <c r="Q112" s="131"/>
      <c r="R112" s="134"/>
      <c r="S112" s="133"/>
      <c r="T112" s="131"/>
      <c r="U112" s="134"/>
      <c r="V112" s="133"/>
      <c r="W112" s="131"/>
      <c r="X112" s="134"/>
      <c r="Y112" s="133"/>
      <c r="Z112" s="131"/>
      <c r="AA112" s="134"/>
      <c r="AB112" s="133"/>
      <c r="AC112" s="131"/>
      <c r="AD112" s="134"/>
      <c r="AE112" s="133"/>
      <c r="AF112" s="131"/>
      <c r="AG112" s="134"/>
      <c r="AH112" s="133"/>
      <c r="AI112" s="145"/>
      <c r="AJ112" s="134"/>
      <c r="AK112" s="133"/>
      <c r="AL112" s="131"/>
      <c r="AM112" s="134"/>
      <c r="AN112" s="133"/>
      <c r="AO112" s="131"/>
      <c r="AP112" s="134"/>
      <c r="AQ112" s="133"/>
      <c r="AR112" s="131"/>
      <c r="AS112" s="134"/>
      <c r="AT112" s="180"/>
      <c r="AU112" s="131"/>
      <c r="AV112" s="185"/>
      <c r="AW112" s="131"/>
      <c r="AX112" s="185"/>
      <c r="AY112" s="131"/>
      <c r="AZ112" s="185"/>
      <c r="BA112" s="131"/>
      <c r="BB112" s="185"/>
      <c r="BC112" s="131"/>
      <c r="BD112" s="185"/>
      <c r="BE112" s="131">
        <f>+'1858 Hacienda'!B1061</f>
        <v>25298</v>
      </c>
      <c r="BF112" s="185">
        <f>+'1858 Hacienda'!C1061</f>
        <v>0</v>
      </c>
      <c r="BG112" s="131">
        <f>+'1858 Hacienda'!B1078</f>
        <v>173800</v>
      </c>
      <c r="BH112" s="185">
        <f>+'1858 Hacienda'!C1078</f>
        <v>310</v>
      </c>
      <c r="BI112" s="131"/>
      <c r="BJ112" s="185"/>
      <c r="BK112" s="131"/>
      <c r="BL112" s="185"/>
      <c r="BM112" s="131">
        <f>+'1858 Hacienda'!B1130</f>
        <v>15838</v>
      </c>
      <c r="BN112" s="185">
        <f>+'1858 Hacienda'!C1130</f>
        <v>880</v>
      </c>
      <c r="BO112" s="131"/>
      <c r="BP112" s="134"/>
      <c r="BQ112" s="131"/>
      <c r="BR112" s="134"/>
      <c r="BS112" s="133"/>
      <c r="BT112" s="145"/>
      <c r="BU112" s="134"/>
      <c r="BV112" s="131"/>
      <c r="BW112" s="134"/>
      <c r="BX112" s="131"/>
      <c r="BY112" s="134"/>
      <c r="BZ112" s="131"/>
      <c r="CA112" s="134"/>
      <c r="CB112" s="133"/>
      <c r="CC112" s="131"/>
      <c r="CD112" s="134"/>
      <c r="CE112" s="133"/>
      <c r="CF112" s="131"/>
      <c r="CG112" s="134"/>
      <c r="CH112" s="133"/>
      <c r="CI112" s="131"/>
      <c r="CJ112" s="134"/>
      <c r="CK112" s="133"/>
      <c r="CL112" s="131"/>
      <c r="CM112" s="134"/>
      <c r="CN112" s="133"/>
      <c r="CO112" s="131"/>
      <c r="CP112" s="134"/>
      <c r="CQ112" s="133"/>
      <c r="CR112" s="131"/>
      <c r="CS112" s="134"/>
      <c r="CT112" s="133"/>
      <c r="CU112" s="131"/>
      <c r="CV112" s="134"/>
      <c r="CW112" s="133"/>
      <c r="CX112" s="131"/>
      <c r="CY112" s="134"/>
      <c r="CZ112" s="133"/>
      <c r="DA112" s="140"/>
      <c r="DB112" s="141"/>
      <c r="DC112" s="142"/>
      <c r="DD112" s="140"/>
      <c r="DE112" s="141"/>
      <c r="DF112" s="142"/>
      <c r="DG112" s="140"/>
      <c r="DH112" s="141"/>
      <c r="DI112" s="142"/>
      <c r="DJ112" s="140"/>
      <c r="DK112" s="141"/>
      <c r="DL112" s="142"/>
      <c r="DM112" s="140"/>
      <c r="DN112" s="141"/>
      <c r="DO112" s="142"/>
      <c r="DP112" s="140"/>
      <c r="DQ112" s="141"/>
      <c r="DR112" s="142"/>
      <c r="DS112" s="140"/>
      <c r="DT112" s="141"/>
      <c r="DU112" s="142"/>
      <c r="DV112" s="140"/>
      <c r="DW112" s="141"/>
      <c r="DX112" s="142"/>
      <c r="DY112" s="140"/>
      <c r="DZ112" s="141"/>
      <c r="EA112" s="142"/>
      <c r="EB112" s="140"/>
      <c r="EC112" s="141"/>
      <c r="ED112" s="142"/>
      <c r="EE112" s="140"/>
      <c r="EF112" s="141"/>
      <c r="EG112" s="142"/>
      <c r="EH112" s="140"/>
      <c r="EI112" s="141"/>
      <c r="EJ112" s="142"/>
      <c r="EK112" s="140"/>
      <c r="EL112" s="141"/>
      <c r="EM112" s="142"/>
      <c r="EN112" s="140"/>
      <c r="EO112" s="141"/>
      <c r="EP112" s="142"/>
      <c r="EQ112" s="140"/>
      <c r="ER112" s="141"/>
      <c r="ES112" s="142"/>
      <c r="ET112" s="140"/>
      <c r="EU112" s="141"/>
      <c r="EV112" s="142"/>
      <c r="EW112" s="140"/>
      <c r="EX112" s="141"/>
      <c r="EY112" s="142"/>
      <c r="EZ112" s="140"/>
      <c r="FA112" s="141"/>
      <c r="FB112" s="142"/>
      <c r="FC112" s="140"/>
      <c r="FD112" s="141"/>
      <c r="FE112" s="142"/>
      <c r="FF112" s="140"/>
      <c r="FG112" s="141"/>
      <c r="FH112" s="142"/>
      <c r="FI112" s="140"/>
      <c r="FJ112" s="141"/>
      <c r="FK112" s="142"/>
      <c r="FL112" s="140"/>
      <c r="FM112" s="141"/>
      <c r="FN112" s="142"/>
      <c r="FO112" s="140"/>
      <c r="FP112" s="141"/>
      <c r="FQ112" s="142"/>
      <c r="FR112" s="140"/>
      <c r="FS112" s="141"/>
      <c r="FT112" s="142"/>
      <c r="FU112" s="140"/>
      <c r="FV112" s="141"/>
      <c r="FW112" s="142"/>
      <c r="FX112" s="140"/>
      <c r="FY112" s="141"/>
      <c r="FZ112" s="142"/>
      <c r="GA112" s="140"/>
      <c r="GB112" s="141"/>
      <c r="GC112" s="142"/>
      <c r="GD112" s="140"/>
      <c r="GE112" s="141"/>
      <c r="GF112" s="142"/>
      <c r="GG112" s="140"/>
      <c r="GH112" s="141"/>
      <c r="GI112" s="142"/>
      <c r="GJ112" s="140"/>
      <c r="GK112" s="141"/>
      <c r="GL112" s="142"/>
      <c r="GM112" s="140"/>
      <c r="GN112" s="141"/>
      <c r="GO112" s="142"/>
      <c r="GP112" s="140"/>
      <c r="GQ112" s="141"/>
      <c r="GR112" s="142"/>
      <c r="GS112" s="140"/>
      <c r="GT112" s="141"/>
      <c r="GU112" s="142"/>
      <c r="GV112" s="140"/>
      <c r="GW112" s="141"/>
      <c r="GX112" s="142"/>
      <c r="GY112" s="164"/>
      <c r="GZ112" s="134"/>
      <c r="HA112" s="185"/>
      <c r="HB112" s="164"/>
      <c r="HC112" s="185"/>
      <c r="HD112" s="164"/>
      <c r="HE112" s="185"/>
      <c r="HF112" s="164"/>
      <c r="HG112" s="185"/>
      <c r="HH112" s="164"/>
      <c r="HI112" s="185"/>
      <c r="HJ112" s="164"/>
      <c r="HK112" s="185"/>
      <c r="HL112" s="164"/>
      <c r="HM112" s="185"/>
      <c r="HN112" s="164"/>
      <c r="HO112" s="185"/>
      <c r="HP112" s="164"/>
      <c r="HQ112" s="185"/>
      <c r="HR112" s="164"/>
      <c r="HS112" s="185"/>
      <c r="HT112" s="164"/>
      <c r="HU112" s="185"/>
    </row>
    <row r="113" spans="1:229" x14ac:dyDescent="0.2">
      <c r="A113" s="1756" t="str">
        <f>+'1858 Hacienda'!A1100</f>
        <v>Deuda del Perú</v>
      </c>
      <c r="B113" s="131"/>
      <c r="C113" s="134"/>
      <c r="D113" s="133"/>
      <c r="E113" s="131"/>
      <c r="F113" s="134"/>
      <c r="G113" s="133"/>
      <c r="H113" s="131"/>
      <c r="I113" s="134"/>
      <c r="J113" s="133"/>
      <c r="K113" s="131"/>
      <c r="L113" s="134"/>
      <c r="M113" s="133"/>
      <c r="N113" s="131"/>
      <c r="O113" s="134"/>
      <c r="P113" s="133"/>
      <c r="Q113" s="131"/>
      <c r="R113" s="134"/>
      <c r="S113" s="133"/>
      <c r="T113" s="131"/>
      <c r="U113" s="134"/>
      <c r="V113" s="133"/>
      <c r="W113" s="131"/>
      <c r="X113" s="134"/>
      <c r="Y113" s="133"/>
      <c r="Z113" s="131"/>
      <c r="AA113" s="134"/>
      <c r="AB113" s="133"/>
      <c r="AC113" s="131"/>
      <c r="AD113" s="134"/>
      <c r="AE113" s="133"/>
      <c r="AF113" s="131"/>
      <c r="AG113" s="134"/>
      <c r="AH113" s="133"/>
      <c r="AI113" s="145"/>
      <c r="AJ113" s="134"/>
      <c r="AK113" s="133"/>
      <c r="AL113" s="131"/>
      <c r="AM113" s="134"/>
      <c r="AN113" s="133"/>
      <c r="AO113" s="131"/>
      <c r="AP113" s="134"/>
      <c r="AQ113" s="133"/>
      <c r="AR113" s="131"/>
      <c r="AS113" s="134"/>
      <c r="AT113" s="180"/>
      <c r="AU113" s="131"/>
      <c r="AV113" s="185"/>
      <c r="AW113" s="131"/>
      <c r="AX113" s="185"/>
      <c r="AY113" s="131"/>
      <c r="AZ113" s="185"/>
      <c r="BA113" s="131"/>
      <c r="BB113" s="185"/>
      <c r="BC113" s="131"/>
      <c r="BD113" s="185"/>
      <c r="BE113" s="131"/>
      <c r="BF113" s="185"/>
      <c r="BG113" s="131"/>
      <c r="BH113" s="185"/>
      <c r="BI113" s="131">
        <f>+'1858 Hacienda'!B1100</f>
        <v>204000</v>
      </c>
      <c r="BJ113" s="185">
        <f>+'1858 Hacienda'!C1100</f>
        <v>0</v>
      </c>
      <c r="BK113" s="131">
        <f>+'1858 Hacienda'!B1113</f>
        <v>84852</v>
      </c>
      <c r="BL113" s="185">
        <f>+'1858 Hacienda'!C1113</f>
        <v>250</v>
      </c>
      <c r="BM113" s="131"/>
      <c r="BN113" s="185"/>
      <c r="BO113" s="131"/>
      <c r="BP113" s="134"/>
      <c r="BQ113" s="131"/>
      <c r="BR113" s="134"/>
      <c r="BS113" s="133"/>
      <c r="BT113" s="145"/>
      <c r="BU113" s="134"/>
      <c r="BV113" s="131"/>
      <c r="BW113" s="134"/>
      <c r="BX113" s="131"/>
      <c r="BY113" s="134"/>
      <c r="BZ113" s="131"/>
      <c r="CA113" s="134"/>
      <c r="CB113" s="133"/>
      <c r="CC113" s="131"/>
      <c r="CD113" s="134"/>
      <c r="CE113" s="133"/>
      <c r="CF113" s="131"/>
      <c r="CG113" s="134"/>
      <c r="CH113" s="133"/>
      <c r="CI113" s="131"/>
      <c r="CJ113" s="134"/>
      <c r="CK113" s="133"/>
      <c r="CL113" s="131"/>
      <c r="CM113" s="134"/>
      <c r="CN113" s="133"/>
      <c r="CO113" s="131"/>
      <c r="CP113" s="134"/>
      <c r="CQ113" s="133"/>
      <c r="CR113" s="131"/>
      <c r="CS113" s="134"/>
      <c r="CT113" s="133"/>
      <c r="CU113" s="131"/>
      <c r="CV113" s="134"/>
      <c r="CW113" s="133"/>
      <c r="CX113" s="131"/>
      <c r="CY113" s="134"/>
      <c r="CZ113" s="133"/>
      <c r="DA113" s="140"/>
      <c r="DB113" s="141"/>
      <c r="DC113" s="142"/>
      <c r="DD113" s="140"/>
      <c r="DE113" s="141"/>
      <c r="DF113" s="142"/>
      <c r="DG113" s="140"/>
      <c r="DH113" s="141"/>
      <c r="DI113" s="142"/>
      <c r="DJ113" s="140"/>
      <c r="DK113" s="141"/>
      <c r="DL113" s="142"/>
      <c r="DM113" s="140"/>
      <c r="DN113" s="141"/>
      <c r="DO113" s="142"/>
      <c r="DP113" s="140"/>
      <c r="DQ113" s="141"/>
      <c r="DR113" s="142"/>
      <c r="DS113" s="140"/>
      <c r="DT113" s="141"/>
      <c r="DU113" s="142"/>
      <c r="DV113" s="140"/>
      <c r="DW113" s="141"/>
      <c r="DX113" s="142"/>
      <c r="DY113" s="140"/>
      <c r="DZ113" s="141"/>
      <c r="EA113" s="142"/>
      <c r="EB113" s="140"/>
      <c r="EC113" s="141"/>
      <c r="ED113" s="142"/>
      <c r="EE113" s="140"/>
      <c r="EF113" s="141"/>
      <c r="EG113" s="142"/>
      <c r="EH113" s="140"/>
      <c r="EI113" s="141"/>
      <c r="EJ113" s="142"/>
      <c r="EK113" s="140"/>
      <c r="EL113" s="141"/>
      <c r="EM113" s="142"/>
      <c r="EN113" s="140"/>
      <c r="EO113" s="141"/>
      <c r="EP113" s="142"/>
      <c r="EQ113" s="140"/>
      <c r="ER113" s="141"/>
      <c r="ES113" s="142"/>
      <c r="ET113" s="140"/>
      <c r="EU113" s="141"/>
      <c r="EV113" s="142"/>
      <c r="EW113" s="140"/>
      <c r="EX113" s="141"/>
      <c r="EY113" s="142"/>
      <c r="EZ113" s="140"/>
      <c r="FA113" s="141"/>
      <c r="FB113" s="142"/>
      <c r="FC113" s="140"/>
      <c r="FD113" s="141"/>
      <c r="FE113" s="142"/>
      <c r="FF113" s="140"/>
      <c r="FG113" s="141"/>
      <c r="FH113" s="142"/>
      <c r="FI113" s="140"/>
      <c r="FJ113" s="141"/>
      <c r="FK113" s="142"/>
      <c r="FL113" s="140"/>
      <c r="FM113" s="141"/>
      <c r="FN113" s="142"/>
      <c r="FO113" s="140"/>
      <c r="FP113" s="141"/>
      <c r="FQ113" s="142"/>
      <c r="FR113" s="140"/>
      <c r="FS113" s="141"/>
      <c r="FT113" s="142"/>
      <c r="FU113" s="140"/>
      <c r="FV113" s="141"/>
      <c r="FW113" s="142"/>
      <c r="FX113" s="140"/>
      <c r="FY113" s="141"/>
      <c r="FZ113" s="142"/>
      <c r="GA113" s="140"/>
      <c r="GB113" s="141"/>
      <c r="GC113" s="142"/>
      <c r="GD113" s="140"/>
      <c r="GE113" s="141"/>
      <c r="GF113" s="142"/>
      <c r="GG113" s="140"/>
      <c r="GH113" s="141"/>
      <c r="GI113" s="142"/>
      <c r="GJ113" s="140"/>
      <c r="GK113" s="141"/>
      <c r="GL113" s="142"/>
      <c r="GM113" s="140"/>
      <c r="GN113" s="141"/>
      <c r="GO113" s="142"/>
      <c r="GP113" s="140"/>
      <c r="GQ113" s="141"/>
      <c r="GR113" s="142"/>
      <c r="GS113" s="140"/>
      <c r="GT113" s="141"/>
      <c r="GU113" s="142"/>
      <c r="GV113" s="140"/>
      <c r="GW113" s="141"/>
      <c r="GX113" s="142"/>
      <c r="GY113" s="164"/>
      <c r="GZ113" s="134"/>
      <c r="HA113" s="185"/>
      <c r="HB113" s="164"/>
      <c r="HC113" s="185"/>
      <c r="HD113" s="164"/>
      <c r="HE113" s="185"/>
      <c r="HF113" s="164"/>
      <c r="HG113" s="185"/>
      <c r="HH113" s="164"/>
      <c r="HI113" s="185"/>
      <c r="HJ113" s="164"/>
      <c r="HK113" s="185"/>
      <c r="HL113" s="164"/>
      <c r="HM113" s="185"/>
      <c r="HN113" s="164"/>
      <c r="HO113" s="185"/>
      <c r="HP113" s="164"/>
      <c r="HQ113" s="185"/>
      <c r="HR113" s="164"/>
      <c r="HS113" s="185"/>
      <c r="HT113" s="164"/>
      <c r="HU113" s="185"/>
    </row>
    <row r="114" spans="1:229" x14ac:dyDescent="0.2">
      <c r="A114" s="1756" t="str">
        <f>+'1858 Hacienda'!A1114</f>
        <v>Deuda del Perú, complemento de los dos millones</v>
      </c>
      <c r="B114" s="131"/>
      <c r="C114" s="134"/>
      <c r="D114" s="133"/>
      <c r="E114" s="131"/>
      <c r="F114" s="134"/>
      <c r="G114" s="133"/>
      <c r="H114" s="131"/>
      <c r="I114" s="134"/>
      <c r="J114" s="133"/>
      <c r="K114" s="131"/>
      <c r="L114" s="134"/>
      <c r="M114" s="133"/>
      <c r="N114" s="131"/>
      <c r="O114" s="134"/>
      <c r="P114" s="133"/>
      <c r="Q114" s="131"/>
      <c r="R114" s="134"/>
      <c r="S114" s="133"/>
      <c r="T114" s="131"/>
      <c r="U114" s="134"/>
      <c r="V114" s="133"/>
      <c r="W114" s="131"/>
      <c r="X114" s="134"/>
      <c r="Y114" s="133"/>
      <c r="Z114" s="131"/>
      <c r="AA114" s="134"/>
      <c r="AB114" s="133"/>
      <c r="AC114" s="131"/>
      <c r="AD114" s="134"/>
      <c r="AE114" s="133"/>
      <c r="AF114" s="131"/>
      <c r="AG114" s="134"/>
      <c r="AH114" s="133"/>
      <c r="AI114" s="145"/>
      <c r="AJ114" s="134"/>
      <c r="AK114" s="133"/>
      <c r="AL114" s="131"/>
      <c r="AM114" s="134"/>
      <c r="AN114" s="133"/>
      <c r="AO114" s="131"/>
      <c r="AP114" s="134"/>
      <c r="AQ114" s="133"/>
      <c r="AR114" s="131"/>
      <c r="AS114" s="134"/>
      <c r="AT114" s="180"/>
      <c r="AU114" s="131"/>
      <c r="AV114" s="185"/>
      <c r="AW114" s="131"/>
      <c r="AX114" s="185"/>
      <c r="AY114" s="131"/>
      <c r="AZ114" s="185"/>
      <c r="BA114" s="131"/>
      <c r="BB114" s="185"/>
      <c r="BC114" s="131"/>
      <c r="BD114" s="185"/>
      <c r="BE114" s="131"/>
      <c r="BF114" s="185"/>
      <c r="BG114" s="131"/>
      <c r="BH114" s="185"/>
      <c r="BI114" s="131"/>
      <c r="BJ114" s="185"/>
      <c r="BK114" s="131">
        <f>+'1858 Hacienda'!B1114</f>
        <v>1711147</v>
      </c>
      <c r="BL114" s="185">
        <f>+'1858 Hacienda'!C1114</f>
        <v>750</v>
      </c>
      <c r="BM114" s="131"/>
      <c r="BN114" s="185"/>
      <c r="BO114" s="131"/>
      <c r="BP114" s="134"/>
      <c r="BQ114" s="131"/>
      <c r="BR114" s="134"/>
      <c r="BS114" s="133"/>
      <c r="BT114" s="145"/>
      <c r="BU114" s="134"/>
      <c r="BV114" s="131"/>
      <c r="BW114" s="134"/>
      <c r="BX114" s="131"/>
      <c r="BY114" s="134"/>
      <c r="BZ114" s="131"/>
      <c r="CA114" s="134"/>
      <c r="CB114" s="133"/>
      <c r="CC114" s="131"/>
      <c r="CD114" s="134"/>
      <c r="CE114" s="133"/>
      <c r="CF114" s="131"/>
      <c r="CG114" s="134"/>
      <c r="CH114" s="133"/>
      <c r="CI114" s="131"/>
      <c r="CJ114" s="134"/>
      <c r="CK114" s="133"/>
      <c r="CL114" s="131"/>
      <c r="CM114" s="134"/>
      <c r="CN114" s="133"/>
      <c r="CO114" s="131"/>
      <c r="CP114" s="134"/>
      <c r="CQ114" s="133"/>
      <c r="CR114" s="131"/>
      <c r="CS114" s="134"/>
      <c r="CT114" s="133"/>
      <c r="CU114" s="131"/>
      <c r="CV114" s="134"/>
      <c r="CW114" s="133"/>
      <c r="CX114" s="131"/>
      <c r="CY114" s="134"/>
      <c r="CZ114" s="133"/>
      <c r="DA114" s="140"/>
      <c r="DB114" s="141"/>
      <c r="DC114" s="142"/>
      <c r="DD114" s="140"/>
      <c r="DE114" s="141"/>
      <c r="DF114" s="142"/>
      <c r="DG114" s="140"/>
      <c r="DH114" s="141"/>
      <c r="DI114" s="142"/>
      <c r="DJ114" s="140"/>
      <c r="DK114" s="141"/>
      <c r="DL114" s="142"/>
      <c r="DM114" s="140"/>
      <c r="DN114" s="141"/>
      <c r="DO114" s="142"/>
      <c r="DP114" s="140"/>
      <c r="DQ114" s="141"/>
      <c r="DR114" s="142"/>
      <c r="DS114" s="140"/>
      <c r="DT114" s="141"/>
      <c r="DU114" s="142"/>
      <c r="DV114" s="140"/>
      <c r="DW114" s="141"/>
      <c r="DX114" s="142"/>
      <c r="DY114" s="140"/>
      <c r="DZ114" s="141"/>
      <c r="EA114" s="142"/>
      <c r="EB114" s="140"/>
      <c r="EC114" s="141"/>
      <c r="ED114" s="142"/>
      <c r="EE114" s="140"/>
      <c r="EF114" s="141"/>
      <c r="EG114" s="142"/>
      <c r="EH114" s="140"/>
      <c r="EI114" s="141"/>
      <c r="EJ114" s="142"/>
      <c r="EK114" s="140"/>
      <c r="EL114" s="141"/>
      <c r="EM114" s="142"/>
      <c r="EN114" s="140"/>
      <c r="EO114" s="141"/>
      <c r="EP114" s="142"/>
      <c r="EQ114" s="140"/>
      <c r="ER114" s="141"/>
      <c r="ES114" s="142"/>
      <c r="ET114" s="140"/>
      <c r="EU114" s="141"/>
      <c r="EV114" s="142"/>
      <c r="EW114" s="140"/>
      <c r="EX114" s="141"/>
      <c r="EY114" s="142"/>
      <c r="EZ114" s="140"/>
      <c r="FA114" s="141"/>
      <c r="FB114" s="142"/>
      <c r="FC114" s="140"/>
      <c r="FD114" s="141"/>
      <c r="FE114" s="142"/>
      <c r="FF114" s="140"/>
      <c r="FG114" s="141"/>
      <c r="FH114" s="142"/>
      <c r="FI114" s="140"/>
      <c r="FJ114" s="141"/>
      <c r="FK114" s="142"/>
      <c r="FL114" s="140"/>
      <c r="FM114" s="141"/>
      <c r="FN114" s="142"/>
      <c r="FO114" s="140"/>
      <c r="FP114" s="141"/>
      <c r="FQ114" s="142"/>
      <c r="FR114" s="140"/>
      <c r="FS114" s="141"/>
      <c r="FT114" s="142"/>
      <c r="FU114" s="140"/>
      <c r="FV114" s="141"/>
      <c r="FW114" s="142"/>
      <c r="FX114" s="140"/>
      <c r="FY114" s="141"/>
      <c r="FZ114" s="142"/>
      <c r="GA114" s="140"/>
      <c r="GB114" s="141"/>
      <c r="GC114" s="142"/>
      <c r="GD114" s="140"/>
      <c r="GE114" s="141"/>
      <c r="GF114" s="142"/>
      <c r="GG114" s="140"/>
      <c r="GH114" s="141"/>
      <c r="GI114" s="142"/>
      <c r="GJ114" s="140"/>
      <c r="GK114" s="141"/>
      <c r="GL114" s="142"/>
      <c r="GM114" s="140"/>
      <c r="GN114" s="141"/>
      <c r="GO114" s="142"/>
      <c r="GP114" s="140"/>
      <c r="GQ114" s="141"/>
      <c r="GR114" s="142"/>
      <c r="GS114" s="140"/>
      <c r="GT114" s="141"/>
      <c r="GU114" s="142"/>
      <c r="GV114" s="140"/>
      <c r="GW114" s="141"/>
      <c r="GX114" s="142"/>
      <c r="GY114" s="164"/>
      <c r="GZ114" s="134"/>
      <c r="HA114" s="185"/>
      <c r="HB114" s="164"/>
      <c r="HC114" s="185"/>
      <c r="HD114" s="164"/>
      <c r="HE114" s="185"/>
      <c r="HF114" s="164"/>
      <c r="HG114" s="185"/>
      <c r="HH114" s="164"/>
      <c r="HI114" s="185"/>
      <c r="HJ114" s="164"/>
      <c r="HK114" s="185"/>
      <c r="HL114" s="164"/>
      <c r="HM114" s="185"/>
      <c r="HN114" s="164"/>
      <c r="HO114" s="185"/>
      <c r="HP114" s="164"/>
      <c r="HQ114" s="185"/>
      <c r="HR114" s="164"/>
      <c r="HS114" s="185"/>
      <c r="HT114" s="164"/>
      <c r="HU114" s="185"/>
    </row>
    <row r="115" spans="1:229" x14ac:dyDescent="0.2">
      <c r="A115" s="1756" t="str">
        <f>+'1869 Hacienda'!A11</f>
        <v>Tierras baldías (bosques nacionales)</v>
      </c>
      <c r="B115" s="131"/>
      <c r="C115" s="134"/>
      <c r="D115" s="133"/>
      <c r="E115" s="131"/>
      <c r="F115" s="134"/>
      <c r="G115" s="133"/>
      <c r="H115" s="131"/>
      <c r="I115" s="134"/>
      <c r="J115" s="133"/>
      <c r="K115" s="131"/>
      <c r="L115" s="134"/>
      <c r="M115" s="133"/>
      <c r="N115" s="131"/>
      <c r="O115" s="134"/>
      <c r="P115" s="133"/>
      <c r="Q115" s="131"/>
      <c r="R115" s="134"/>
      <c r="S115" s="133"/>
      <c r="T115" s="131"/>
      <c r="U115" s="134"/>
      <c r="V115" s="133"/>
      <c r="W115" s="131"/>
      <c r="X115" s="134"/>
      <c r="Y115" s="133"/>
      <c r="Z115" s="131"/>
      <c r="AA115" s="134"/>
      <c r="AB115" s="133"/>
      <c r="AC115" s="131"/>
      <c r="AD115" s="134"/>
      <c r="AE115" s="133"/>
      <c r="AF115" s="131"/>
      <c r="AG115" s="134"/>
      <c r="AH115" s="133"/>
      <c r="AI115" s="145"/>
      <c r="AJ115" s="134"/>
      <c r="AK115" s="133"/>
      <c r="AL115" s="131"/>
      <c r="AM115" s="134"/>
      <c r="AN115" s="133"/>
      <c r="AO115" s="131"/>
      <c r="AP115" s="134"/>
      <c r="AQ115" s="133"/>
      <c r="AR115" s="131"/>
      <c r="AS115" s="134"/>
      <c r="AT115" s="180"/>
      <c r="AU115" s="131"/>
      <c r="AV115" s="185"/>
      <c r="AW115" s="131"/>
      <c r="AX115" s="185"/>
      <c r="AY115" s="131"/>
      <c r="AZ115" s="185"/>
      <c r="BA115" s="131"/>
      <c r="BB115" s="185"/>
      <c r="BC115" s="131"/>
      <c r="BD115" s="185"/>
      <c r="BE115" s="131"/>
      <c r="BF115" s="185"/>
      <c r="BG115" s="131"/>
      <c r="BH115" s="185"/>
      <c r="BI115" s="131"/>
      <c r="BJ115" s="185"/>
      <c r="BK115" s="131"/>
      <c r="BL115" s="185"/>
      <c r="BM115" s="131"/>
      <c r="BN115" s="185"/>
      <c r="BO115" s="131"/>
      <c r="BP115" s="134"/>
      <c r="BQ115" s="131"/>
      <c r="BR115" s="134"/>
      <c r="BS115" s="133"/>
      <c r="BT115" s="145"/>
      <c r="BU115" s="134"/>
      <c r="BV115" s="131"/>
      <c r="BW115" s="134"/>
      <c r="BX115" s="131"/>
      <c r="BY115" s="134"/>
      <c r="BZ115" s="131"/>
      <c r="CA115" s="134"/>
      <c r="CB115" s="133"/>
      <c r="CC115" s="131"/>
      <c r="CD115" s="134"/>
      <c r="CE115" s="133"/>
      <c r="CF115" s="131"/>
      <c r="CG115" s="134"/>
      <c r="CH115" s="133"/>
      <c r="CI115" s="131">
        <f>+'1869 Hacienda'!B50</f>
        <v>23849</v>
      </c>
      <c r="CK115" s="133"/>
      <c r="CL115" s="131">
        <f>+'1869 Hacienda'!C50</f>
        <v>12264</v>
      </c>
      <c r="CN115" s="133"/>
      <c r="CO115" s="131">
        <f>+'1869 Hacienda'!D50</f>
        <v>17996</v>
      </c>
      <c r="CQ115" s="133"/>
      <c r="CR115" s="131">
        <f>+'1869 Hacienda'!E50</f>
        <v>15551</v>
      </c>
      <c r="CT115" s="133"/>
      <c r="CU115" s="107">
        <f>+'1869 Hacienda'!F50</f>
        <v>10811</v>
      </c>
      <c r="CV115" s="134"/>
      <c r="CW115" s="133"/>
      <c r="CX115" s="131">
        <f>+'1869 Hacienda'!B11</f>
        <v>6817</v>
      </c>
      <c r="CY115" s="134"/>
      <c r="CZ115" s="133"/>
      <c r="DA115" s="140">
        <f>+'1872 Hacienda'!B14</f>
        <v>1223</v>
      </c>
      <c r="DB115" s="141">
        <f>+'1872 Hacienda'!C14</f>
        <v>75</v>
      </c>
      <c r="DC115" s="142">
        <f>+'1872 Hacienda'!D14</f>
        <v>0</v>
      </c>
      <c r="DD115" s="140"/>
      <c r="DE115" s="141"/>
      <c r="DF115" s="142"/>
      <c r="DG115" s="140"/>
      <c r="DH115" s="141"/>
      <c r="DI115" s="142"/>
      <c r="DJ115" s="140"/>
      <c r="DK115" s="141"/>
      <c r="DL115" s="142"/>
      <c r="DM115" s="140"/>
      <c r="DN115" s="141"/>
      <c r="DO115" s="142"/>
      <c r="DP115" s="140"/>
      <c r="DQ115" s="141"/>
      <c r="DR115" s="142"/>
      <c r="DS115" s="140"/>
      <c r="DT115" s="141"/>
      <c r="DU115" s="142"/>
      <c r="DV115" s="140"/>
      <c r="DW115" s="141"/>
      <c r="DX115" s="142"/>
      <c r="DY115" s="140"/>
      <c r="DZ115" s="141"/>
      <c r="EA115" s="142"/>
      <c r="EB115" s="140"/>
      <c r="EC115" s="141"/>
      <c r="ED115" s="142"/>
      <c r="EE115" s="140"/>
      <c r="EF115" s="141"/>
      <c r="EG115" s="142"/>
      <c r="EH115" s="140"/>
      <c r="EI115" s="141"/>
      <c r="EJ115" s="142"/>
      <c r="EK115" s="140"/>
      <c r="EL115" s="141"/>
      <c r="EM115" s="142"/>
      <c r="EN115" s="140"/>
      <c r="EO115" s="141"/>
      <c r="EP115" s="142"/>
      <c r="EQ115" s="140"/>
      <c r="ER115" s="141"/>
      <c r="ES115" s="142"/>
      <c r="ET115" s="140"/>
      <c r="EU115" s="141"/>
      <c r="EV115" s="142"/>
      <c r="EW115" s="140"/>
      <c r="EX115" s="141"/>
      <c r="EY115" s="142"/>
      <c r="EZ115" s="140"/>
      <c r="FA115" s="141"/>
      <c r="FB115" s="142"/>
      <c r="FC115" s="140"/>
      <c r="FD115" s="141"/>
      <c r="FE115" s="142"/>
      <c r="FF115" s="140"/>
      <c r="FG115" s="141"/>
      <c r="FH115" s="142"/>
      <c r="FI115" s="140"/>
      <c r="FJ115" s="141"/>
      <c r="FK115" s="142"/>
      <c r="FL115" s="140"/>
      <c r="FM115" s="141"/>
      <c r="FN115" s="142"/>
      <c r="FO115" s="140"/>
      <c r="FP115" s="141"/>
      <c r="FQ115" s="142"/>
      <c r="FR115" s="140"/>
      <c r="FS115" s="141"/>
      <c r="FT115" s="142"/>
      <c r="FU115" s="140"/>
      <c r="FV115" s="141"/>
      <c r="FW115" s="142"/>
      <c r="FX115" s="140"/>
      <c r="FY115" s="141"/>
      <c r="FZ115" s="142"/>
      <c r="GA115" s="140"/>
      <c r="GB115" s="141"/>
      <c r="GC115" s="142"/>
      <c r="GD115" s="140"/>
      <c r="GE115" s="141"/>
      <c r="GF115" s="142"/>
      <c r="GG115" s="140"/>
      <c r="GH115" s="141"/>
      <c r="GI115" s="142"/>
      <c r="GJ115" s="140"/>
      <c r="GK115" s="141"/>
      <c r="GL115" s="142"/>
      <c r="GM115" s="140"/>
      <c r="GN115" s="141"/>
      <c r="GO115" s="142"/>
      <c r="GP115" s="140"/>
      <c r="GQ115" s="141"/>
      <c r="GR115" s="142"/>
      <c r="GS115" s="140"/>
      <c r="GT115" s="141"/>
      <c r="GU115" s="142"/>
      <c r="GV115" s="140"/>
      <c r="GW115" s="141"/>
      <c r="GX115" s="142"/>
      <c r="GY115" s="164"/>
      <c r="GZ115" s="134"/>
      <c r="HA115" s="185"/>
      <c r="HB115" s="164"/>
      <c r="HC115" s="185"/>
      <c r="HD115" s="164"/>
      <c r="HE115" s="185"/>
      <c r="HF115" s="164"/>
      <c r="HG115" s="185"/>
      <c r="HH115" s="164"/>
      <c r="HI115" s="185"/>
      <c r="HJ115" s="164"/>
      <c r="HK115" s="185"/>
      <c r="HL115" s="164"/>
      <c r="HM115" s="185"/>
      <c r="HN115" s="164"/>
      <c r="HO115" s="185"/>
      <c r="HP115" s="164"/>
      <c r="HQ115" s="185"/>
      <c r="HR115" s="164"/>
      <c r="HS115" s="185"/>
      <c r="HT115" s="164"/>
      <c r="HU115" s="185"/>
    </row>
    <row r="116" spans="1:229" x14ac:dyDescent="0.2">
      <c r="A116" s="1756" t="str">
        <f>+'1872 Hacienda'!A12</f>
        <v>Bienes desamortizados (arrendamiento)</v>
      </c>
      <c r="B116" s="131"/>
      <c r="C116" s="134"/>
      <c r="D116" s="133"/>
      <c r="E116" s="131"/>
      <c r="F116" s="134"/>
      <c r="G116" s="133"/>
      <c r="H116" s="131"/>
      <c r="I116" s="134"/>
      <c r="J116" s="133"/>
      <c r="K116" s="131"/>
      <c r="L116" s="134"/>
      <c r="M116" s="133"/>
      <c r="N116" s="131"/>
      <c r="O116" s="134"/>
      <c r="P116" s="133"/>
      <c r="Q116" s="131"/>
      <c r="R116" s="134"/>
      <c r="S116" s="133"/>
      <c r="T116" s="131"/>
      <c r="U116" s="134"/>
      <c r="V116" s="133"/>
      <c r="W116" s="131"/>
      <c r="X116" s="134"/>
      <c r="Y116" s="133"/>
      <c r="Z116" s="131"/>
      <c r="AA116" s="134"/>
      <c r="AB116" s="133"/>
      <c r="AC116" s="131"/>
      <c r="AD116" s="134"/>
      <c r="AE116" s="133"/>
      <c r="AF116" s="131"/>
      <c r="AG116" s="134"/>
      <c r="AH116" s="133"/>
      <c r="AI116" s="145"/>
      <c r="AJ116" s="134"/>
      <c r="AK116" s="133"/>
      <c r="AL116" s="131"/>
      <c r="AM116" s="134"/>
      <c r="AN116" s="133"/>
      <c r="AO116" s="131"/>
      <c r="AP116" s="134"/>
      <c r="AQ116" s="133"/>
      <c r="AR116" s="131"/>
      <c r="AS116" s="134"/>
      <c r="AT116" s="180"/>
      <c r="AU116" s="131"/>
      <c r="AV116" s="185"/>
      <c r="AW116" s="131"/>
      <c r="AX116" s="185"/>
      <c r="AY116" s="131"/>
      <c r="AZ116" s="185"/>
      <c r="BA116" s="131"/>
      <c r="BB116" s="185"/>
      <c r="BC116" s="131"/>
      <c r="BD116" s="185"/>
      <c r="BE116" s="131"/>
      <c r="BF116" s="185"/>
      <c r="BG116" s="131"/>
      <c r="BH116" s="185"/>
      <c r="BI116" s="131"/>
      <c r="BJ116" s="185"/>
      <c r="BK116" s="131"/>
      <c r="BL116" s="185"/>
      <c r="BM116" s="131"/>
      <c r="BN116" s="185"/>
      <c r="BO116" s="131"/>
      <c r="BP116" s="134"/>
      <c r="BQ116" s="131"/>
      <c r="BR116" s="134"/>
      <c r="BS116" s="133"/>
      <c r="BT116" s="145"/>
      <c r="BU116" s="134"/>
      <c r="BV116" s="131"/>
      <c r="BW116" s="134"/>
      <c r="BX116" s="131"/>
      <c r="BY116" s="134"/>
      <c r="BZ116" s="131"/>
      <c r="CA116" s="134"/>
      <c r="CB116" s="133"/>
      <c r="CC116" s="131"/>
      <c r="CD116" s="134"/>
      <c r="CE116" s="133"/>
      <c r="CF116" s="131"/>
      <c r="CG116" s="134"/>
      <c r="CH116" s="133"/>
      <c r="CI116" s="131"/>
      <c r="CK116" s="133"/>
      <c r="CL116" s="131"/>
      <c r="CN116" s="133"/>
      <c r="CO116" s="131"/>
      <c r="CQ116" s="133"/>
      <c r="CR116" s="131"/>
      <c r="CT116" s="133"/>
      <c r="CU116" s="131"/>
      <c r="CV116" s="134"/>
      <c r="CW116" s="133"/>
      <c r="CX116" s="131"/>
      <c r="CY116" s="134"/>
      <c r="CZ116" s="133"/>
      <c r="DA116" s="140">
        <f>+'1872 Hacienda'!B12</f>
        <v>15673</v>
      </c>
      <c r="DB116" s="141">
        <f>+'1872 Hacienda'!C12</f>
        <v>88</v>
      </c>
      <c r="DC116" s="142">
        <f>+'1872 Hacienda'!D12</f>
        <v>0</v>
      </c>
      <c r="DD116" s="140"/>
      <c r="DE116" s="141"/>
      <c r="DF116" s="142"/>
      <c r="DG116" s="140"/>
      <c r="DH116" s="141"/>
      <c r="DI116" s="142"/>
      <c r="DJ116" s="140"/>
      <c r="DK116" s="141"/>
      <c r="DL116" s="142"/>
      <c r="DM116" s="140"/>
      <c r="DN116" s="141"/>
      <c r="DO116" s="142"/>
      <c r="DP116" s="140"/>
      <c r="DQ116" s="141"/>
      <c r="DR116" s="142"/>
      <c r="DS116" s="140"/>
      <c r="DT116" s="141"/>
      <c r="DU116" s="142"/>
      <c r="DV116" s="140"/>
      <c r="DW116" s="141"/>
      <c r="DX116" s="142"/>
      <c r="DY116" s="140">
        <f>+'1880 Hacienda'!B11</f>
        <v>1200</v>
      </c>
      <c r="DZ116" s="141"/>
      <c r="EA116" s="142"/>
      <c r="EB116" s="140">
        <f>+'1881 Hacienda'!B10</f>
        <v>18310</v>
      </c>
      <c r="EC116" s="141">
        <f>+'1881 Hacienda'!C10</f>
        <v>800</v>
      </c>
      <c r="ED116" s="142"/>
      <c r="EE116" s="140">
        <f>+'1882 Hacienda'!B15</f>
        <v>18263</v>
      </c>
      <c r="EF116" s="141">
        <f>+'1882 Hacienda'!C15</f>
        <v>42</v>
      </c>
      <c r="EG116" s="142">
        <f>+'1882 Hacienda'!D15</f>
        <v>0.5</v>
      </c>
      <c r="EH116" s="140"/>
      <c r="EI116" s="141"/>
      <c r="EJ116" s="142"/>
      <c r="EK116" s="140"/>
      <c r="EL116" s="141"/>
      <c r="EM116" s="142"/>
      <c r="EN116" s="140"/>
      <c r="EO116" s="141"/>
      <c r="EP116" s="142"/>
      <c r="EQ116" s="140"/>
      <c r="ER116" s="141"/>
      <c r="ES116" s="142"/>
      <c r="ET116" s="140"/>
      <c r="EU116" s="141"/>
      <c r="EV116" s="142"/>
      <c r="EW116" s="140"/>
      <c r="EX116" s="141"/>
      <c r="EY116" s="142"/>
      <c r="EZ116" s="140"/>
      <c r="FA116" s="141"/>
      <c r="FB116" s="142"/>
      <c r="FC116" s="140"/>
      <c r="FD116" s="141"/>
      <c r="FE116" s="142"/>
      <c r="FF116" s="140"/>
      <c r="FG116" s="141"/>
      <c r="FH116" s="142"/>
      <c r="FI116" s="140"/>
      <c r="FJ116" s="141"/>
      <c r="FK116" s="142"/>
      <c r="FL116" s="140"/>
      <c r="FM116" s="141"/>
      <c r="FN116" s="142"/>
      <c r="FO116" s="140"/>
      <c r="FP116" s="141"/>
      <c r="FQ116" s="142"/>
      <c r="FR116" s="140"/>
      <c r="FS116" s="141"/>
      <c r="FT116" s="142"/>
      <c r="FU116" s="140"/>
      <c r="FV116" s="141"/>
      <c r="FW116" s="142"/>
      <c r="FX116" s="140"/>
      <c r="FY116" s="141"/>
      <c r="FZ116" s="142"/>
      <c r="GA116" s="140"/>
      <c r="GB116" s="141"/>
      <c r="GC116" s="142"/>
      <c r="GD116" s="140"/>
      <c r="GE116" s="141"/>
      <c r="GF116" s="142"/>
      <c r="GG116" s="140"/>
      <c r="GH116" s="141"/>
      <c r="GI116" s="142"/>
      <c r="GJ116" s="140"/>
      <c r="GK116" s="141"/>
      <c r="GL116" s="142"/>
      <c r="GM116" s="140"/>
      <c r="GN116" s="141"/>
      <c r="GO116" s="142"/>
      <c r="GP116" s="140"/>
      <c r="GQ116" s="141"/>
      <c r="GR116" s="142"/>
      <c r="GS116" s="140"/>
      <c r="GT116" s="141"/>
      <c r="GU116" s="142"/>
      <c r="GV116" s="140"/>
      <c r="GW116" s="141"/>
      <c r="GX116" s="142"/>
      <c r="GY116" s="164"/>
      <c r="GZ116" s="134"/>
      <c r="HA116" s="185"/>
      <c r="HB116" s="164"/>
      <c r="HC116" s="185"/>
      <c r="HD116" s="164"/>
      <c r="HE116" s="185"/>
      <c r="HF116" s="164"/>
      <c r="HG116" s="185"/>
      <c r="HH116" s="164"/>
      <c r="HI116" s="185"/>
      <c r="HJ116" s="164"/>
      <c r="HK116" s="185"/>
      <c r="HL116" s="164"/>
      <c r="HM116" s="185"/>
      <c r="HN116" s="164"/>
      <c r="HO116" s="185"/>
      <c r="HP116" s="164"/>
      <c r="HQ116" s="185"/>
      <c r="HR116" s="164"/>
      <c r="HS116" s="185"/>
      <c r="HT116" s="164"/>
      <c r="HU116" s="185"/>
    </row>
    <row r="117" spans="1:229" x14ac:dyDescent="0.2">
      <c r="A117" s="1756" t="str">
        <f>+'1872 Hacienda'!A13</f>
        <v>Id.           Id.                       (venta por bonos)</v>
      </c>
      <c r="B117" s="131"/>
      <c r="C117" s="134"/>
      <c r="D117" s="133"/>
      <c r="E117" s="131"/>
      <c r="F117" s="134"/>
      <c r="G117" s="133"/>
      <c r="H117" s="131"/>
      <c r="I117" s="134"/>
      <c r="J117" s="133"/>
      <c r="K117" s="131"/>
      <c r="L117" s="134"/>
      <c r="M117" s="133"/>
      <c r="N117" s="131"/>
      <c r="O117" s="134"/>
      <c r="P117" s="133"/>
      <c r="Q117" s="131"/>
      <c r="R117" s="134"/>
      <c r="S117" s="133"/>
      <c r="T117" s="131"/>
      <c r="U117" s="134"/>
      <c r="V117" s="133"/>
      <c r="W117" s="131"/>
      <c r="X117" s="134"/>
      <c r="Y117" s="133"/>
      <c r="Z117" s="131"/>
      <c r="AA117" s="134"/>
      <c r="AB117" s="133"/>
      <c r="AC117" s="131"/>
      <c r="AD117" s="134"/>
      <c r="AE117" s="133"/>
      <c r="AF117" s="131"/>
      <c r="AG117" s="134"/>
      <c r="AH117" s="133"/>
      <c r="AI117" s="145"/>
      <c r="AJ117" s="134"/>
      <c r="AK117" s="133"/>
      <c r="AL117" s="131"/>
      <c r="AM117" s="134"/>
      <c r="AN117" s="133"/>
      <c r="AO117" s="131"/>
      <c r="AP117" s="134"/>
      <c r="AQ117" s="133"/>
      <c r="AR117" s="131"/>
      <c r="AS117" s="134"/>
      <c r="AT117" s="180"/>
      <c r="AU117" s="131"/>
      <c r="AV117" s="185"/>
      <c r="AW117" s="131"/>
      <c r="AX117" s="185"/>
      <c r="AY117" s="131"/>
      <c r="AZ117" s="185"/>
      <c r="BA117" s="131"/>
      <c r="BB117" s="185"/>
      <c r="BC117" s="131"/>
      <c r="BD117" s="185"/>
      <c r="BE117" s="131"/>
      <c r="BF117" s="185"/>
      <c r="BG117" s="131"/>
      <c r="BH117" s="185"/>
      <c r="BI117" s="131"/>
      <c r="BJ117" s="185"/>
      <c r="BK117" s="131"/>
      <c r="BL117" s="185"/>
      <c r="BM117" s="131"/>
      <c r="BN117" s="185"/>
      <c r="BO117" s="131"/>
      <c r="BP117" s="134"/>
      <c r="BQ117" s="131"/>
      <c r="BR117" s="134"/>
      <c r="BS117" s="133"/>
      <c r="BT117" s="145"/>
      <c r="BU117" s="134"/>
      <c r="BV117" s="131"/>
      <c r="BW117" s="134"/>
      <c r="BX117" s="131"/>
      <c r="BY117" s="134"/>
      <c r="BZ117" s="131"/>
      <c r="CA117" s="134"/>
      <c r="CB117" s="133"/>
      <c r="CC117" s="131"/>
      <c r="CD117" s="134"/>
      <c r="CE117" s="133"/>
      <c r="CF117" s="131"/>
      <c r="CG117" s="134"/>
      <c r="CH117" s="133"/>
      <c r="CI117" s="131"/>
      <c r="CK117" s="133"/>
      <c r="CL117" s="131"/>
      <c r="CN117" s="133"/>
      <c r="CO117" s="131"/>
      <c r="CQ117" s="133"/>
      <c r="CR117" s="131"/>
      <c r="CT117" s="133"/>
      <c r="CU117" s="131"/>
      <c r="CV117" s="134"/>
      <c r="CW117" s="133"/>
      <c r="CX117" s="131"/>
      <c r="CY117" s="134"/>
      <c r="CZ117" s="133"/>
      <c r="DA117" s="140">
        <f>+'1872 Hacienda'!B13</f>
        <v>738114</v>
      </c>
      <c r="DB117" s="141">
        <f>+'1872 Hacienda'!C13</f>
        <v>0</v>
      </c>
      <c r="DC117" s="142">
        <f>+'1872 Hacienda'!D13</f>
        <v>0</v>
      </c>
      <c r="DD117" s="140"/>
      <c r="DE117" s="141"/>
      <c r="DF117" s="142"/>
      <c r="DG117" s="140"/>
      <c r="DH117" s="141"/>
      <c r="DI117" s="142"/>
      <c r="DJ117" s="140"/>
      <c r="DK117" s="141"/>
      <c r="DL117" s="142"/>
      <c r="DM117" s="140"/>
      <c r="DN117" s="141"/>
      <c r="DO117" s="142"/>
      <c r="DP117" s="140"/>
      <c r="DQ117" s="141"/>
      <c r="DR117" s="142"/>
      <c r="DS117" s="140"/>
      <c r="DT117" s="141"/>
      <c r="DU117" s="142"/>
      <c r="DV117" s="140"/>
      <c r="DW117" s="141"/>
      <c r="DX117" s="142"/>
      <c r="DY117" s="140"/>
      <c r="DZ117" s="141"/>
      <c r="EA117" s="142"/>
      <c r="EB117" s="140"/>
      <c r="EC117" s="141"/>
      <c r="ED117" s="142"/>
      <c r="EE117" s="140"/>
      <c r="EF117" s="141"/>
      <c r="EG117" s="142"/>
      <c r="EH117" s="140"/>
      <c r="EI117" s="141"/>
      <c r="EJ117" s="142"/>
      <c r="EK117" s="140"/>
      <c r="EL117" s="141"/>
      <c r="EM117" s="142"/>
      <c r="EN117" s="140"/>
      <c r="EO117" s="141"/>
      <c r="EP117" s="142"/>
      <c r="EQ117" s="140"/>
      <c r="ER117" s="141"/>
      <c r="ES117" s="142"/>
      <c r="ET117" s="140"/>
      <c r="EU117" s="141"/>
      <c r="EV117" s="142"/>
      <c r="EW117" s="140"/>
      <c r="EX117" s="141"/>
      <c r="EY117" s="142"/>
      <c r="EZ117" s="140"/>
      <c r="FA117" s="141"/>
      <c r="FB117" s="142"/>
      <c r="FC117" s="140"/>
      <c r="FD117" s="141"/>
      <c r="FE117" s="142"/>
      <c r="FF117" s="140"/>
      <c r="FG117" s="141"/>
      <c r="FH117" s="142"/>
      <c r="FI117" s="140"/>
      <c r="FJ117" s="141"/>
      <c r="FK117" s="142"/>
      <c r="FL117" s="140"/>
      <c r="FM117" s="141"/>
      <c r="FN117" s="142"/>
      <c r="FO117" s="140"/>
      <c r="FP117" s="141"/>
      <c r="FQ117" s="142"/>
      <c r="FR117" s="140"/>
      <c r="FS117" s="141"/>
      <c r="FT117" s="142"/>
      <c r="FU117" s="140"/>
      <c r="FV117" s="141"/>
      <c r="FW117" s="142"/>
      <c r="FX117" s="140"/>
      <c r="FY117" s="141"/>
      <c r="FZ117" s="142"/>
      <c r="GA117" s="140"/>
      <c r="GB117" s="141"/>
      <c r="GC117" s="142"/>
      <c r="GD117" s="140"/>
      <c r="GE117" s="141"/>
      <c r="GF117" s="142"/>
      <c r="GG117" s="140"/>
      <c r="GH117" s="141"/>
      <c r="GI117" s="142"/>
      <c r="GJ117" s="140"/>
      <c r="GK117" s="141"/>
      <c r="GL117" s="142"/>
      <c r="GM117" s="140"/>
      <c r="GN117" s="141"/>
      <c r="GO117" s="142"/>
      <c r="GP117" s="140"/>
      <c r="GQ117" s="141"/>
      <c r="GR117" s="142"/>
      <c r="GS117" s="140"/>
      <c r="GT117" s="141"/>
      <c r="GU117" s="142"/>
      <c r="GV117" s="140"/>
      <c r="GW117" s="141"/>
      <c r="GX117" s="142"/>
      <c r="GY117" s="164"/>
      <c r="GZ117" s="134"/>
      <c r="HA117" s="185"/>
      <c r="HB117" s="164"/>
      <c r="HC117" s="185"/>
      <c r="HD117" s="164"/>
      <c r="HE117" s="185"/>
      <c r="HF117" s="164"/>
      <c r="HG117" s="185"/>
      <c r="HH117" s="164"/>
      <c r="HI117" s="185"/>
      <c r="HJ117" s="164"/>
      <c r="HK117" s="185"/>
      <c r="HL117" s="164"/>
      <c r="HM117" s="185"/>
      <c r="HN117" s="164"/>
      <c r="HO117" s="185"/>
      <c r="HP117" s="164"/>
      <c r="HQ117" s="185"/>
      <c r="HR117" s="164"/>
      <c r="HS117" s="185"/>
      <c r="HT117" s="164"/>
      <c r="HU117" s="185"/>
    </row>
    <row r="118" spans="1:229" x14ac:dyDescent="0.2">
      <c r="A118" s="1756" t="str">
        <f>+'1882 Hacienda'!A9</f>
        <v>Timbre nacional</v>
      </c>
      <c r="B118" s="131"/>
      <c r="C118" s="134"/>
      <c r="D118" s="133"/>
      <c r="E118" s="131"/>
      <c r="F118" s="134"/>
      <c r="G118" s="133"/>
      <c r="H118" s="131"/>
      <c r="I118" s="134"/>
      <c r="J118" s="133"/>
      <c r="K118" s="131"/>
      <c r="L118" s="134"/>
      <c r="M118" s="133"/>
      <c r="N118" s="131"/>
      <c r="O118" s="134"/>
      <c r="P118" s="133"/>
      <c r="Q118" s="131"/>
      <c r="R118" s="134"/>
      <c r="S118" s="133"/>
      <c r="T118" s="131"/>
      <c r="U118" s="134"/>
      <c r="V118" s="133"/>
      <c r="W118" s="131"/>
      <c r="X118" s="134"/>
      <c r="Y118" s="133"/>
      <c r="Z118" s="131"/>
      <c r="AA118" s="134"/>
      <c r="AB118" s="133"/>
      <c r="AC118" s="131"/>
      <c r="AD118" s="134"/>
      <c r="AE118" s="133"/>
      <c r="AF118" s="131"/>
      <c r="AG118" s="134"/>
      <c r="AH118" s="133"/>
      <c r="AI118" s="145"/>
      <c r="AJ118" s="134"/>
      <c r="AK118" s="133"/>
      <c r="AL118" s="131"/>
      <c r="AM118" s="134"/>
      <c r="AN118" s="133"/>
      <c r="AO118" s="131"/>
      <c r="AP118" s="134"/>
      <c r="AQ118" s="133"/>
      <c r="AR118" s="131"/>
      <c r="AS118" s="134"/>
      <c r="AT118" s="180"/>
      <c r="AU118" s="131"/>
      <c r="AV118" s="185"/>
      <c r="AW118" s="131"/>
      <c r="AX118" s="185"/>
      <c r="AY118" s="131"/>
      <c r="AZ118" s="185"/>
      <c r="BA118" s="131"/>
      <c r="BB118" s="185"/>
      <c r="BC118" s="131"/>
      <c r="BD118" s="185"/>
      <c r="BE118" s="131"/>
      <c r="BF118" s="185"/>
      <c r="BG118" s="131"/>
      <c r="BH118" s="185"/>
      <c r="BI118" s="131"/>
      <c r="BJ118" s="185"/>
      <c r="BK118" s="131"/>
      <c r="BL118" s="185"/>
      <c r="BM118" s="131"/>
      <c r="BN118" s="185"/>
      <c r="BO118" s="131"/>
      <c r="BP118" s="134"/>
      <c r="BQ118" s="131"/>
      <c r="BR118" s="134"/>
      <c r="BS118" s="133"/>
      <c r="BT118" s="145"/>
      <c r="BU118" s="134"/>
      <c r="BV118" s="131"/>
      <c r="BW118" s="134"/>
      <c r="BX118" s="131"/>
      <c r="BY118" s="134"/>
      <c r="BZ118" s="131"/>
      <c r="CA118" s="134"/>
      <c r="CB118" s="133"/>
      <c r="CC118" s="131"/>
      <c r="CD118" s="134"/>
      <c r="CE118" s="133"/>
      <c r="CF118" s="131"/>
      <c r="CG118" s="134"/>
      <c r="CH118" s="133"/>
      <c r="CI118" s="131"/>
      <c r="CK118" s="133"/>
      <c r="CL118" s="131"/>
      <c r="CN118" s="133"/>
      <c r="CO118" s="131"/>
      <c r="CQ118" s="133"/>
      <c r="CR118" s="131"/>
      <c r="CT118" s="133"/>
      <c r="CU118" s="131"/>
      <c r="CV118" s="134"/>
      <c r="CW118" s="133"/>
      <c r="CX118" s="131"/>
      <c r="CY118" s="134"/>
      <c r="CZ118" s="133"/>
      <c r="DA118" s="140"/>
      <c r="DB118" s="141"/>
      <c r="DC118" s="142"/>
      <c r="DD118" s="140"/>
      <c r="DE118" s="141"/>
      <c r="DF118" s="142"/>
      <c r="DG118" s="140"/>
      <c r="DH118" s="141"/>
      <c r="DI118" s="142"/>
      <c r="DJ118" s="140"/>
      <c r="DK118" s="141"/>
      <c r="DL118" s="142"/>
      <c r="DM118" s="140"/>
      <c r="DN118" s="141"/>
      <c r="DO118" s="142"/>
      <c r="DP118" s="140"/>
      <c r="DQ118" s="141"/>
      <c r="DR118" s="142"/>
      <c r="DS118" s="140"/>
      <c r="DT118" s="141"/>
      <c r="DU118" s="142"/>
      <c r="DV118" s="140"/>
      <c r="DW118" s="141"/>
      <c r="DX118" s="142"/>
      <c r="DY118" s="140"/>
      <c r="DZ118" s="141"/>
      <c r="EA118" s="142"/>
      <c r="EB118" s="140"/>
      <c r="EC118" s="141"/>
      <c r="ED118" s="142"/>
      <c r="EE118" s="140">
        <f>+'1882 Hacienda'!B9</f>
        <v>51709</v>
      </c>
      <c r="EF118" s="141">
        <f>+'1882 Hacienda'!C9</f>
        <v>20</v>
      </c>
      <c r="EG118" s="142"/>
      <c r="EH118" s="140">
        <f>+'1883 Hacienda'!B7</f>
        <v>46982</v>
      </c>
      <c r="EI118" s="141"/>
      <c r="EJ118" s="142"/>
      <c r="EK118" s="140"/>
      <c r="EL118" s="141"/>
      <c r="EM118" s="142"/>
      <c r="EN118" s="140">
        <f>+'1885 Hacienda'!B81</f>
        <v>38723</v>
      </c>
      <c r="EO118" s="141"/>
      <c r="EP118" s="142"/>
      <c r="EQ118" s="140">
        <f>+'1888 Hacienda'!B129</f>
        <v>21523</v>
      </c>
      <c r="ER118" s="141">
        <f>+'1888 Hacienda'!C129</f>
        <v>30</v>
      </c>
      <c r="ES118" s="142"/>
      <c r="ET118" s="140">
        <f>+'1888 Hacienda'!B130</f>
        <v>27045</v>
      </c>
      <c r="EU118" s="141">
        <f>+'1888 Hacienda'!C130</f>
        <v>35</v>
      </c>
      <c r="EV118" s="142"/>
      <c r="EW118" s="140"/>
      <c r="EX118" s="141"/>
      <c r="EY118" s="142"/>
      <c r="EZ118" s="140"/>
      <c r="FA118" s="141"/>
      <c r="FB118" s="142"/>
      <c r="FC118" s="140"/>
      <c r="FD118" s="141"/>
      <c r="FE118" s="142"/>
      <c r="FF118" s="140"/>
      <c r="FG118" s="141"/>
      <c r="FH118" s="142"/>
      <c r="FI118" s="140"/>
      <c r="FJ118" s="141"/>
      <c r="FK118" s="142"/>
      <c r="FL118" s="140"/>
      <c r="FM118" s="141"/>
      <c r="FN118" s="142"/>
      <c r="FO118" s="140"/>
      <c r="FP118" s="141"/>
      <c r="FQ118" s="142"/>
      <c r="FR118" s="140"/>
      <c r="FS118" s="141"/>
      <c r="FT118" s="142"/>
      <c r="FU118" s="140"/>
      <c r="FV118" s="141"/>
      <c r="FW118" s="142"/>
      <c r="FX118" s="140"/>
      <c r="FY118" s="141"/>
      <c r="FZ118" s="142"/>
      <c r="GA118" s="140"/>
      <c r="GB118" s="141"/>
      <c r="GC118" s="142"/>
      <c r="GD118" s="140"/>
      <c r="GE118" s="141"/>
      <c r="GF118" s="142"/>
      <c r="GG118" s="140"/>
      <c r="GH118" s="141"/>
      <c r="GI118" s="142"/>
      <c r="GJ118" s="140"/>
      <c r="GK118" s="141"/>
      <c r="GL118" s="142"/>
      <c r="GM118" s="140"/>
      <c r="GN118" s="141"/>
      <c r="GO118" s="142"/>
      <c r="GP118" s="140"/>
      <c r="GQ118" s="141"/>
      <c r="GR118" s="142"/>
      <c r="GS118" s="140"/>
      <c r="GT118" s="141"/>
      <c r="GU118" s="142"/>
      <c r="GV118" s="140"/>
      <c r="GW118" s="141"/>
      <c r="GX118" s="142"/>
      <c r="GY118" s="164"/>
      <c r="GZ118" s="134"/>
      <c r="HA118" s="185"/>
      <c r="HB118" s="164"/>
      <c r="HC118" s="185"/>
      <c r="HD118" s="164"/>
      <c r="HE118" s="185"/>
      <c r="HF118" s="164"/>
      <c r="HG118" s="185"/>
      <c r="HH118" s="164"/>
      <c r="HI118" s="185"/>
      <c r="HJ118" s="164"/>
      <c r="HK118" s="185"/>
      <c r="HL118" s="164"/>
      <c r="HM118" s="185"/>
      <c r="HN118" s="164"/>
      <c r="HO118" s="185"/>
      <c r="HP118" s="164"/>
      <c r="HQ118" s="185"/>
      <c r="HR118" s="164"/>
      <c r="HS118" s="185"/>
      <c r="HT118" s="164"/>
      <c r="HU118" s="185"/>
    </row>
    <row r="119" spans="1:229" x14ac:dyDescent="0.2">
      <c r="A119" s="1756" t="str">
        <f>+'1882 Hacienda'!A18</f>
        <v>Pasajes de rios navegables</v>
      </c>
      <c r="B119" s="131"/>
      <c r="C119" s="134"/>
      <c r="D119" s="133"/>
      <c r="E119" s="131"/>
      <c r="F119" s="134"/>
      <c r="G119" s="133"/>
      <c r="H119" s="131"/>
      <c r="I119" s="134"/>
      <c r="J119" s="133"/>
      <c r="K119" s="131"/>
      <c r="L119" s="134"/>
      <c r="M119" s="133"/>
      <c r="N119" s="131"/>
      <c r="O119" s="134"/>
      <c r="P119" s="133"/>
      <c r="Q119" s="131"/>
      <c r="R119" s="134"/>
      <c r="S119" s="133"/>
      <c r="T119" s="131"/>
      <c r="U119" s="134"/>
      <c r="V119" s="133"/>
      <c r="W119" s="131"/>
      <c r="X119" s="134"/>
      <c r="Y119" s="133"/>
      <c r="Z119" s="131"/>
      <c r="AA119" s="134"/>
      <c r="AB119" s="133"/>
      <c r="AC119" s="131"/>
      <c r="AD119" s="134"/>
      <c r="AE119" s="133"/>
      <c r="AF119" s="131"/>
      <c r="AG119" s="134"/>
      <c r="AH119" s="133"/>
      <c r="AI119" s="145"/>
      <c r="AJ119" s="134"/>
      <c r="AK119" s="133"/>
      <c r="AL119" s="131"/>
      <c r="AM119" s="134"/>
      <c r="AN119" s="133"/>
      <c r="AO119" s="131"/>
      <c r="AP119" s="134"/>
      <c r="AQ119" s="133"/>
      <c r="AR119" s="131"/>
      <c r="AS119" s="134"/>
      <c r="AT119" s="180"/>
      <c r="AU119" s="131"/>
      <c r="AV119" s="185"/>
      <c r="AW119" s="131"/>
      <c r="AX119" s="185"/>
      <c r="AY119" s="131"/>
      <c r="AZ119" s="185"/>
      <c r="BA119" s="131"/>
      <c r="BB119" s="185"/>
      <c r="BC119" s="131"/>
      <c r="BD119" s="185"/>
      <c r="BE119" s="131"/>
      <c r="BF119" s="185"/>
      <c r="BG119" s="131"/>
      <c r="BH119" s="185"/>
      <c r="BI119" s="131"/>
      <c r="BJ119" s="185"/>
      <c r="BK119" s="131"/>
      <c r="BL119" s="185"/>
      <c r="BM119" s="131"/>
      <c r="BN119" s="185"/>
      <c r="BO119" s="131"/>
      <c r="BP119" s="134"/>
      <c r="BQ119" s="131"/>
      <c r="BR119" s="134"/>
      <c r="BS119" s="133"/>
      <c r="BT119" s="145"/>
      <c r="BU119" s="134"/>
      <c r="BV119" s="131"/>
      <c r="BW119" s="134"/>
      <c r="BX119" s="131"/>
      <c r="BY119" s="134"/>
      <c r="BZ119" s="131"/>
      <c r="CA119" s="134"/>
      <c r="CB119" s="133"/>
      <c r="CC119" s="131"/>
      <c r="CD119" s="134"/>
      <c r="CE119" s="133"/>
      <c r="CF119" s="131"/>
      <c r="CG119" s="134"/>
      <c r="CH119" s="133"/>
      <c r="CI119" s="131"/>
      <c r="CK119" s="133"/>
      <c r="CL119" s="131"/>
      <c r="CN119" s="133"/>
      <c r="CO119" s="131"/>
      <c r="CQ119" s="133"/>
      <c r="CR119" s="131"/>
      <c r="CT119" s="133"/>
      <c r="CU119" s="131"/>
      <c r="CV119" s="134"/>
      <c r="CW119" s="133"/>
      <c r="CX119" s="131"/>
      <c r="CY119" s="134"/>
      <c r="CZ119" s="133"/>
      <c r="DA119" s="140"/>
      <c r="DB119" s="141"/>
      <c r="DC119" s="142"/>
      <c r="DD119" s="140"/>
      <c r="DE119" s="141"/>
      <c r="DF119" s="142"/>
      <c r="DG119" s="140"/>
      <c r="DH119" s="141"/>
      <c r="DI119" s="142"/>
      <c r="DJ119" s="140"/>
      <c r="DK119" s="141"/>
      <c r="DL119" s="142"/>
      <c r="DM119" s="140"/>
      <c r="DN119" s="141"/>
      <c r="DO119" s="142"/>
      <c r="DP119" s="140"/>
      <c r="DQ119" s="141"/>
      <c r="DR119" s="142"/>
      <c r="DS119" s="140"/>
      <c r="DT119" s="141"/>
      <c r="DU119" s="142"/>
      <c r="DV119" s="140"/>
      <c r="DW119" s="141"/>
      <c r="DX119" s="142"/>
      <c r="DY119" s="140"/>
      <c r="DZ119" s="141"/>
      <c r="EA119" s="142"/>
      <c r="EB119" s="140"/>
      <c r="EC119" s="141"/>
      <c r="ED119" s="142"/>
      <c r="EE119" s="140">
        <f>+'1882 Hacienda'!B18</f>
        <v>5119</v>
      </c>
      <c r="EF119" s="141">
        <f>+'1882 Hacienda'!C18</f>
        <v>5</v>
      </c>
      <c r="EG119" s="142">
        <f>+'1882 Hacienda'!D18</f>
        <v>0</v>
      </c>
      <c r="EH119" s="140"/>
      <c r="EI119" s="141"/>
      <c r="EJ119" s="142"/>
      <c r="EK119" s="140"/>
      <c r="EL119" s="141"/>
      <c r="EM119" s="142"/>
      <c r="EN119" s="140"/>
      <c r="EO119" s="141"/>
      <c r="EP119" s="142"/>
      <c r="EQ119" s="140"/>
      <c r="ER119" s="141"/>
      <c r="ES119" s="142"/>
      <c r="ET119" s="140"/>
      <c r="EU119" s="141"/>
      <c r="EV119" s="142"/>
      <c r="EW119" s="140"/>
      <c r="EX119" s="141"/>
      <c r="EY119" s="142"/>
      <c r="EZ119" s="140"/>
      <c r="FA119" s="141"/>
      <c r="FB119" s="142"/>
      <c r="FC119" s="140"/>
      <c r="FD119" s="141"/>
      <c r="FE119" s="142"/>
      <c r="FF119" s="140"/>
      <c r="FG119" s="141"/>
      <c r="FH119" s="142"/>
      <c r="FI119" s="140"/>
      <c r="FJ119" s="141"/>
      <c r="FK119" s="142"/>
      <c r="FL119" s="140"/>
      <c r="FM119" s="141"/>
      <c r="FN119" s="142"/>
      <c r="FO119" s="140"/>
      <c r="FP119" s="141"/>
      <c r="FQ119" s="142"/>
      <c r="FR119" s="140"/>
      <c r="FS119" s="141"/>
      <c r="FT119" s="142"/>
      <c r="FU119" s="140"/>
      <c r="FV119" s="141"/>
      <c r="FW119" s="142"/>
      <c r="FX119" s="140"/>
      <c r="FY119" s="141"/>
      <c r="FZ119" s="142"/>
      <c r="GA119" s="140"/>
      <c r="GB119" s="141"/>
      <c r="GC119" s="142"/>
      <c r="GD119" s="140"/>
      <c r="GE119" s="141"/>
      <c r="GF119" s="142"/>
      <c r="GG119" s="140"/>
      <c r="GH119" s="141"/>
      <c r="GI119" s="142"/>
      <c r="GJ119" s="140"/>
      <c r="GK119" s="141"/>
      <c r="GL119" s="142"/>
      <c r="GM119" s="140"/>
      <c r="GN119" s="141"/>
      <c r="GO119" s="142"/>
      <c r="GP119" s="140"/>
      <c r="GQ119" s="141"/>
      <c r="GR119" s="142"/>
      <c r="GS119" s="140"/>
      <c r="GT119" s="141"/>
      <c r="GU119" s="142"/>
      <c r="GV119" s="140"/>
      <c r="GW119" s="141"/>
      <c r="GX119" s="142"/>
      <c r="GY119" s="164"/>
      <c r="GZ119" s="134"/>
      <c r="HA119" s="185"/>
      <c r="HB119" s="164"/>
      <c r="HC119" s="185"/>
      <c r="HD119" s="164"/>
      <c r="HE119" s="185"/>
      <c r="HF119" s="164"/>
      <c r="HG119" s="185"/>
      <c r="HH119" s="164"/>
      <c r="HI119" s="185"/>
      <c r="HJ119" s="164"/>
      <c r="HK119" s="185"/>
      <c r="HL119" s="164"/>
      <c r="HM119" s="185"/>
      <c r="HN119" s="164"/>
      <c r="HO119" s="185"/>
      <c r="HP119" s="164"/>
      <c r="HQ119" s="185"/>
      <c r="HR119" s="164"/>
      <c r="HS119" s="185"/>
      <c r="HT119" s="164"/>
      <c r="HU119" s="185"/>
    </row>
    <row r="120" spans="1:229" x14ac:dyDescent="0.2">
      <c r="A120" s="1756" t="s">
        <v>6065</v>
      </c>
      <c r="B120" s="131"/>
      <c r="C120" s="134"/>
      <c r="D120" s="133"/>
      <c r="E120" s="131"/>
      <c r="F120" s="134"/>
      <c r="G120" s="133"/>
      <c r="H120" s="131"/>
      <c r="I120" s="134"/>
      <c r="J120" s="133"/>
      <c r="K120" s="131"/>
      <c r="L120" s="134"/>
      <c r="M120" s="133"/>
      <c r="N120" s="131"/>
      <c r="O120" s="134"/>
      <c r="P120" s="133"/>
      <c r="Q120" s="131"/>
      <c r="R120" s="134"/>
      <c r="S120" s="133"/>
      <c r="T120" s="131"/>
      <c r="U120" s="134"/>
      <c r="V120" s="133"/>
      <c r="W120" s="131"/>
      <c r="X120" s="134"/>
      <c r="Y120" s="133"/>
      <c r="Z120" s="131"/>
      <c r="AA120" s="134"/>
      <c r="AB120" s="133"/>
      <c r="AC120" s="131"/>
      <c r="AD120" s="134"/>
      <c r="AE120" s="133"/>
      <c r="AF120" s="131"/>
      <c r="AG120" s="134"/>
      <c r="AH120" s="133"/>
      <c r="AI120" s="145"/>
      <c r="AJ120" s="134"/>
      <c r="AK120" s="133"/>
      <c r="AL120" s="131"/>
      <c r="AM120" s="134"/>
      <c r="AN120" s="133"/>
      <c r="AO120" s="131"/>
      <c r="AP120" s="134"/>
      <c r="AQ120" s="133"/>
      <c r="AR120" s="131"/>
      <c r="AS120" s="134"/>
      <c r="AT120" s="180"/>
      <c r="AU120" s="131"/>
      <c r="AV120" s="185"/>
      <c r="AW120" s="131"/>
      <c r="AX120" s="185"/>
      <c r="AY120" s="131"/>
      <c r="AZ120" s="185"/>
      <c r="BA120" s="131"/>
      <c r="BB120" s="185"/>
      <c r="BC120" s="131"/>
      <c r="BD120" s="185"/>
      <c r="BE120" s="131"/>
      <c r="BF120" s="185"/>
      <c r="BG120" s="131"/>
      <c r="BH120" s="185"/>
      <c r="BI120" s="131"/>
      <c r="BJ120" s="185"/>
      <c r="BK120" s="131"/>
      <c r="BL120" s="185"/>
      <c r="BM120" s="131"/>
      <c r="BN120" s="185"/>
      <c r="BO120" s="131"/>
      <c r="BP120" s="134"/>
      <c r="BQ120" s="131"/>
      <c r="BR120" s="134"/>
      <c r="BS120" s="133"/>
      <c r="BT120" s="145"/>
      <c r="BU120" s="134"/>
      <c r="BV120" s="131"/>
      <c r="BW120" s="134"/>
      <c r="BX120" s="131"/>
      <c r="BY120" s="134"/>
      <c r="BZ120" s="131"/>
      <c r="CA120" s="134"/>
      <c r="CB120" s="133"/>
      <c r="CC120" s="131"/>
      <c r="CD120" s="134"/>
      <c r="CE120" s="133"/>
      <c r="CF120" s="131"/>
      <c r="CG120" s="134"/>
      <c r="CH120" s="133"/>
      <c r="CI120" s="131"/>
      <c r="CK120" s="133"/>
      <c r="CL120" s="131"/>
      <c r="CN120" s="133"/>
      <c r="CO120" s="131"/>
      <c r="CQ120" s="133"/>
      <c r="CR120" s="131"/>
      <c r="CT120" s="133"/>
      <c r="CU120" s="131"/>
      <c r="CV120" s="134"/>
      <c r="CW120" s="133"/>
      <c r="CX120" s="131"/>
      <c r="CY120" s="134"/>
      <c r="CZ120" s="133"/>
      <c r="DA120" s="140"/>
      <c r="DB120" s="141"/>
      <c r="DC120" s="142"/>
      <c r="DD120" s="140"/>
      <c r="DE120" s="141"/>
      <c r="DF120" s="142"/>
      <c r="DG120" s="140"/>
      <c r="DH120" s="141"/>
      <c r="DI120" s="142"/>
      <c r="DJ120" s="140"/>
      <c r="DK120" s="141"/>
      <c r="DL120" s="142"/>
      <c r="DM120" s="140"/>
      <c r="DN120" s="141"/>
      <c r="DO120" s="142"/>
      <c r="DP120" s="140"/>
      <c r="DQ120" s="141"/>
      <c r="DR120" s="142"/>
      <c r="DS120" s="140"/>
      <c r="DT120" s="141"/>
      <c r="DU120" s="142"/>
      <c r="DV120" s="140"/>
      <c r="DW120" s="141"/>
      <c r="DX120" s="142"/>
      <c r="DY120" s="140"/>
      <c r="DZ120" s="141"/>
      <c r="EA120" s="142"/>
      <c r="EB120" s="140"/>
      <c r="EC120" s="141"/>
      <c r="ED120" s="142"/>
      <c r="EE120" s="140"/>
      <c r="EF120" s="141"/>
      <c r="EG120" s="142"/>
      <c r="EH120" s="140"/>
      <c r="EI120" s="141"/>
      <c r="EJ120" s="142"/>
      <c r="EK120" s="140"/>
      <c r="EL120" s="141"/>
      <c r="EM120" s="142"/>
      <c r="EN120" s="140"/>
      <c r="EO120" s="141"/>
      <c r="EP120" s="142"/>
      <c r="EQ120" s="140"/>
      <c r="ER120" s="141"/>
      <c r="ES120" s="142"/>
      <c r="ET120" s="140"/>
      <c r="EU120" s="141"/>
      <c r="EV120" s="142"/>
      <c r="EW120" s="140"/>
      <c r="EX120" s="141"/>
      <c r="EY120" s="142"/>
      <c r="EZ120" s="140"/>
      <c r="FA120" s="141"/>
      <c r="FB120" s="142"/>
      <c r="FC120" s="140">
        <f>+'1890 Hacienda'!B217</f>
        <v>130000</v>
      </c>
      <c r="FD120" s="141"/>
      <c r="FE120" s="142"/>
      <c r="FF120" s="140"/>
      <c r="FG120" s="141"/>
      <c r="FH120" s="142"/>
      <c r="FI120" s="140"/>
      <c r="FJ120" s="141"/>
      <c r="FK120" s="142"/>
      <c r="FL120" s="140"/>
      <c r="FM120" s="141"/>
      <c r="FN120" s="142"/>
      <c r="FO120" s="140"/>
      <c r="FP120" s="141"/>
      <c r="FQ120" s="142"/>
      <c r="FR120" s="140"/>
      <c r="FS120" s="141"/>
      <c r="FT120" s="142"/>
      <c r="FU120" s="140"/>
      <c r="FV120" s="141"/>
      <c r="FW120" s="142"/>
      <c r="FX120" s="140"/>
      <c r="FY120" s="141"/>
      <c r="FZ120" s="142"/>
      <c r="GA120" s="140"/>
      <c r="GB120" s="141"/>
      <c r="GC120" s="142"/>
      <c r="GD120" s="140"/>
      <c r="GE120" s="141"/>
      <c r="GF120" s="142"/>
      <c r="GG120" s="140"/>
      <c r="GH120" s="141"/>
      <c r="GI120" s="142"/>
      <c r="GJ120" s="140"/>
      <c r="GK120" s="141"/>
      <c r="GL120" s="142"/>
      <c r="GM120" s="140"/>
      <c r="GN120" s="141"/>
      <c r="GO120" s="142"/>
      <c r="GP120" s="140"/>
      <c r="GQ120" s="141"/>
      <c r="GR120" s="142"/>
      <c r="GS120" s="140"/>
      <c r="GT120" s="141"/>
      <c r="GU120" s="142"/>
      <c r="GV120" s="140"/>
      <c r="GW120" s="141"/>
      <c r="GX120" s="142"/>
      <c r="GY120" s="164"/>
      <c r="GZ120" s="134"/>
      <c r="HA120" s="185"/>
      <c r="HB120" s="164"/>
      <c r="HC120" s="185"/>
      <c r="HD120" s="164"/>
      <c r="HE120" s="185"/>
      <c r="HF120" s="164"/>
      <c r="HG120" s="185"/>
      <c r="HH120" s="164"/>
      <c r="HI120" s="185"/>
      <c r="HJ120" s="164"/>
      <c r="HK120" s="185"/>
      <c r="HL120" s="164"/>
      <c r="HM120" s="185"/>
      <c r="HN120" s="164"/>
      <c r="HO120" s="185"/>
      <c r="HP120" s="164"/>
      <c r="HQ120" s="185"/>
      <c r="HR120" s="164"/>
      <c r="HS120" s="185"/>
      <c r="HT120" s="164"/>
      <c r="HU120" s="185"/>
    </row>
    <row r="121" spans="1:229" x14ac:dyDescent="0.2">
      <c r="A121" s="1756" t="s">
        <v>6066</v>
      </c>
      <c r="B121" s="131"/>
      <c r="C121" s="134"/>
      <c r="D121" s="133"/>
      <c r="E121" s="131"/>
      <c r="F121" s="134"/>
      <c r="G121" s="133"/>
      <c r="H121" s="131"/>
      <c r="I121" s="134"/>
      <c r="J121" s="133"/>
      <c r="K121" s="131"/>
      <c r="L121" s="134"/>
      <c r="M121" s="133"/>
      <c r="N121" s="131"/>
      <c r="O121" s="134"/>
      <c r="P121" s="133"/>
      <c r="Q121" s="131"/>
      <c r="R121" s="134"/>
      <c r="S121" s="133"/>
      <c r="T121" s="131"/>
      <c r="U121" s="134"/>
      <c r="V121" s="133"/>
      <c r="W121" s="131"/>
      <c r="X121" s="134"/>
      <c r="Y121" s="133"/>
      <c r="Z121" s="131"/>
      <c r="AA121" s="134"/>
      <c r="AB121" s="133"/>
      <c r="AC121" s="131"/>
      <c r="AD121" s="134"/>
      <c r="AE121" s="133"/>
      <c r="AF121" s="131"/>
      <c r="AG121" s="134"/>
      <c r="AH121" s="133"/>
      <c r="AI121" s="145"/>
      <c r="AJ121" s="134"/>
      <c r="AK121" s="133"/>
      <c r="AL121" s="131"/>
      <c r="AM121" s="134"/>
      <c r="AN121" s="133"/>
      <c r="AO121" s="131"/>
      <c r="AP121" s="134"/>
      <c r="AQ121" s="133"/>
      <c r="AR121" s="131"/>
      <c r="AS121" s="134"/>
      <c r="AT121" s="180"/>
      <c r="AU121" s="131"/>
      <c r="AV121" s="185"/>
      <c r="AW121" s="131"/>
      <c r="AX121" s="185"/>
      <c r="AY121" s="131"/>
      <c r="AZ121" s="185"/>
      <c r="BA121" s="131"/>
      <c r="BB121" s="185"/>
      <c r="BC121" s="131"/>
      <c r="BD121" s="185"/>
      <c r="BE121" s="131"/>
      <c r="BF121" s="185"/>
      <c r="BG121" s="131"/>
      <c r="BH121" s="185"/>
      <c r="BI121" s="131"/>
      <c r="BJ121" s="185"/>
      <c r="BK121" s="131"/>
      <c r="BL121" s="185"/>
      <c r="BM121" s="131"/>
      <c r="BN121" s="185"/>
      <c r="BO121" s="131"/>
      <c r="BP121" s="134"/>
      <c r="BQ121" s="131"/>
      <c r="BR121" s="134"/>
      <c r="BS121" s="133"/>
      <c r="BT121" s="145"/>
      <c r="BU121" s="134"/>
      <c r="BV121" s="131"/>
      <c r="BW121" s="134"/>
      <c r="BX121" s="131"/>
      <c r="BY121" s="134"/>
      <c r="BZ121" s="131"/>
      <c r="CA121" s="134"/>
      <c r="CB121" s="133"/>
      <c r="CC121" s="131"/>
      <c r="CD121" s="134"/>
      <c r="CE121" s="133"/>
      <c r="CF121" s="131"/>
      <c r="CG121" s="134"/>
      <c r="CH121" s="133"/>
      <c r="CI121" s="131"/>
      <c r="CK121" s="133"/>
      <c r="CL121" s="131"/>
      <c r="CN121" s="133"/>
      <c r="CO121" s="131"/>
      <c r="CQ121" s="133"/>
      <c r="CR121" s="131"/>
      <c r="CT121" s="133"/>
      <c r="CU121" s="131"/>
      <c r="CV121" s="134"/>
      <c r="CW121" s="133"/>
      <c r="CX121" s="131"/>
      <c r="CY121" s="134"/>
      <c r="CZ121" s="133"/>
      <c r="DA121" s="140"/>
      <c r="DB121" s="141"/>
      <c r="DC121" s="142"/>
      <c r="DD121" s="140"/>
      <c r="DE121" s="141"/>
      <c r="DF121" s="142"/>
      <c r="DG121" s="140"/>
      <c r="DH121" s="141"/>
      <c r="DI121" s="142"/>
      <c r="DJ121" s="140"/>
      <c r="DK121" s="141"/>
      <c r="DL121" s="142"/>
      <c r="DM121" s="140"/>
      <c r="DN121" s="141"/>
      <c r="DO121" s="142"/>
      <c r="DP121" s="140"/>
      <c r="DQ121" s="141"/>
      <c r="DR121" s="142"/>
      <c r="DS121" s="140"/>
      <c r="DT121" s="141"/>
      <c r="DU121" s="142"/>
      <c r="DV121" s="140"/>
      <c r="DW121" s="141"/>
      <c r="DX121" s="142"/>
      <c r="DY121" s="140"/>
      <c r="DZ121" s="141"/>
      <c r="EA121" s="142"/>
      <c r="EB121" s="140"/>
      <c r="EC121" s="141"/>
      <c r="ED121" s="142"/>
      <c r="EE121" s="140"/>
      <c r="EF121" s="141"/>
      <c r="EG121" s="142"/>
      <c r="EH121" s="140"/>
      <c r="EI121" s="141"/>
      <c r="EJ121" s="142"/>
      <c r="EK121" s="140"/>
      <c r="EL121" s="141"/>
      <c r="EM121" s="142"/>
      <c r="EN121" s="140"/>
      <c r="EO121" s="141"/>
      <c r="EP121" s="142"/>
      <c r="EQ121" s="140"/>
      <c r="ER121" s="141"/>
      <c r="ES121" s="142"/>
      <c r="ET121" s="140"/>
      <c r="EU121" s="141"/>
      <c r="EV121" s="142"/>
      <c r="EW121" s="140"/>
      <c r="EX121" s="141"/>
      <c r="EY121" s="142"/>
      <c r="EZ121" s="140"/>
      <c r="FA121" s="141"/>
      <c r="FB121" s="142"/>
      <c r="FC121" s="140">
        <f>+'1890 Hacienda'!B223</f>
        <v>66500</v>
      </c>
      <c r="FD121" s="141"/>
      <c r="FE121" s="142"/>
      <c r="FF121" s="140">
        <f>+'1890 Hacienda'!E223</f>
        <v>33250</v>
      </c>
      <c r="FG121" s="141"/>
      <c r="FH121" s="142"/>
      <c r="FI121" s="140"/>
      <c r="FJ121" s="141"/>
      <c r="FK121" s="142"/>
      <c r="FL121" s="140"/>
      <c r="FM121" s="141"/>
      <c r="FN121" s="142"/>
      <c r="FO121" s="140"/>
      <c r="FP121" s="141"/>
      <c r="FQ121" s="142"/>
      <c r="FR121" s="140"/>
      <c r="FS121" s="141"/>
      <c r="FT121" s="142"/>
      <c r="FU121" s="140"/>
      <c r="FV121" s="141"/>
      <c r="FW121" s="142"/>
      <c r="FX121" s="140"/>
      <c r="FY121" s="141"/>
      <c r="FZ121" s="142"/>
      <c r="GA121" s="140"/>
      <c r="GB121" s="141"/>
      <c r="GC121" s="142"/>
      <c r="GD121" s="140"/>
      <c r="GE121" s="141"/>
      <c r="GF121" s="142"/>
      <c r="GG121" s="140"/>
      <c r="GH121" s="141"/>
      <c r="GI121" s="142"/>
      <c r="GJ121" s="140"/>
      <c r="GK121" s="141"/>
      <c r="GL121" s="142"/>
      <c r="GM121" s="140"/>
      <c r="GN121" s="141"/>
      <c r="GO121" s="142"/>
      <c r="GP121" s="140"/>
      <c r="GQ121" s="141"/>
      <c r="GR121" s="142"/>
      <c r="GS121" s="140"/>
      <c r="GT121" s="141"/>
      <c r="GU121" s="142"/>
      <c r="GV121" s="140"/>
      <c r="GW121" s="141"/>
      <c r="GX121" s="142"/>
      <c r="GY121" s="164"/>
      <c r="GZ121" s="134"/>
      <c r="HA121" s="185"/>
      <c r="HB121" s="164"/>
      <c r="HC121" s="185"/>
      <c r="HD121" s="164"/>
      <c r="HE121" s="185"/>
      <c r="HF121" s="164"/>
      <c r="HG121" s="185"/>
      <c r="HH121" s="164"/>
      <c r="HI121" s="185"/>
      <c r="HJ121" s="164"/>
      <c r="HK121" s="185"/>
      <c r="HL121" s="164"/>
      <c r="HM121" s="185"/>
      <c r="HN121" s="164"/>
      <c r="HO121" s="185"/>
      <c r="HP121" s="164"/>
      <c r="HQ121" s="185"/>
      <c r="HR121" s="164"/>
      <c r="HS121" s="185"/>
      <c r="HT121" s="164"/>
      <c r="HU121" s="185"/>
    </row>
    <row r="122" spans="1:229" x14ac:dyDescent="0.2">
      <c r="A122" s="1756" t="s">
        <v>5054</v>
      </c>
      <c r="B122" s="131"/>
      <c r="C122" s="134"/>
      <c r="D122" s="133"/>
      <c r="E122" s="131"/>
      <c r="F122" s="134"/>
      <c r="G122" s="133"/>
      <c r="H122" s="131"/>
      <c r="I122" s="134"/>
      <c r="J122" s="133"/>
      <c r="K122" s="131"/>
      <c r="L122" s="134"/>
      <c r="M122" s="133"/>
      <c r="N122" s="131"/>
      <c r="O122" s="134"/>
      <c r="P122" s="133"/>
      <c r="Q122" s="131"/>
      <c r="R122" s="134"/>
      <c r="S122" s="133"/>
      <c r="T122" s="131"/>
      <c r="U122" s="134"/>
      <c r="V122" s="133"/>
      <c r="W122" s="131"/>
      <c r="X122" s="134"/>
      <c r="Y122" s="133"/>
      <c r="Z122" s="131"/>
      <c r="AA122" s="134"/>
      <c r="AB122" s="133"/>
      <c r="AC122" s="131"/>
      <c r="AD122" s="134"/>
      <c r="AE122" s="133"/>
      <c r="AF122" s="131"/>
      <c r="AG122" s="134"/>
      <c r="AH122" s="133"/>
      <c r="AI122" s="145"/>
      <c r="AJ122" s="134"/>
      <c r="AK122" s="133"/>
      <c r="AL122" s="131"/>
      <c r="AM122" s="134"/>
      <c r="AN122" s="133"/>
      <c r="AO122" s="131"/>
      <c r="AP122" s="134"/>
      <c r="AQ122" s="133"/>
      <c r="AR122" s="131"/>
      <c r="AS122" s="134"/>
      <c r="AT122" s="180"/>
      <c r="AU122" s="131"/>
      <c r="AV122" s="185"/>
      <c r="AW122" s="131"/>
      <c r="AX122" s="185"/>
      <c r="AY122" s="131"/>
      <c r="AZ122" s="185"/>
      <c r="BA122" s="131"/>
      <c r="BB122" s="185"/>
      <c r="BC122" s="131"/>
      <c r="BD122" s="185"/>
      <c r="BE122" s="131"/>
      <c r="BF122" s="185"/>
      <c r="BG122" s="131"/>
      <c r="BH122" s="185"/>
      <c r="BI122" s="131"/>
      <c r="BJ122" s="185"/>
      <c r="BK122" s="131"/>
      <c r="BL122" s="185"/>
      <c r="BM122" s="131"/>
      <c r="BN122" s="185"/>
      <c r="BO122" s="131"/>
      <c r="BP122" s="134"/>
      <c r="BQ122" s="131"/>
      <c r="BR122" s="134"/>
      <c r="BS122" s="133"/>
      <c r="BT122" s="145"/>
      <c r="BU122" s="134"/>
      <c r="BV122" s="131"/>
      <c r="BW122" s="134"/>
      <c r="BX122" s="131"/>
      <c r="BY122" s="134"/>
      <c r="BZ122" s="131"/>
      <c r="CA122" s="134"/>
      <c r="CB122" s="133"/>
      <c r="CC122" s="131"/>
      <c r="CD122" s="134"/>
      <c r="CE122" s="133"/>
      <c r="CF122" s="131"/>
      <c r="CG122" s="134"/>
      <c r="CH122" s="133"/>
      <c r="CI122" s="131"/>
      <c r="CK122" s="133"/>
      <c r="CL122" s="131"/>
      <c r="CN122" s="133"/>
      <c r="CO122" s="131"/>
      <c r="CQ122" s="133"/>
      <c r="CR122" s="131"/>
      <c r="CT122" s="133"/>
      <c r="CU122" s="131"/>
      <c r="CV122" s="134"/>
      <c r="CW122" s="133"/>
      <c r="CX122" s="131"/>
      <c r="CY122" s="134"/>
      <c r="CZ122" s="133"/>
      <c r="DA122" s="140"/>
      <c r="DB122" s="141"/>
      <c r="DC122" s="142"/>
      <c r="DD122" s="140"/>
      <c r="DE122" s="141"/>
      <c r="DF122" s="142"/>
      <c r="DG122" s="140"/>
      <c r="DH122" s="141"/>
      <c r="DI122" s="142"/>
      <c r="DJ122" s="140"/>
      <c r="DK122" s="141"/>
      <c r="DL122" s="142"/>
      <c r="DM122" s="140"/>
      <c r="DN122" s="141"/>
      <c r="DO122" s="142"/>
      <c r="DP122" s="140"/>
      <c r="DQ122" s="141"/>
      <c r="DR122" s="142"/>
      <c r="DS122" s="140"/>
      <c r="DT122" s="141"/>
      <c r="DU122" s="142"/>
      <c r="DV122" s="140"/>
      <c r="DW122" s="141"/>
      <c r="DX122" s="142"/>
      <c r="DY122" s="140"/>
      <c r="DZ122" s="141"/>
      <c r="EA122" s="142"/>
      <c r="EB122" s="140"/>
      <c r="EC122" s="141"/>
      <c r="ED122" s="142"/>
      <c r="EE122" s="140"/>
      <c r="EF122" s="141"/>
      <c r="EG122" s="142"/>
      <c r="EH122" s="140"/>
      <c r="EI122" s="141"/>
      <c r="EJ122" s="142"/>
      <c r="EK122" s="140"/>
      <c r="EL122" s="141"/>
      <c r="EM122" s="142"/>
      <c r="EN122" s="140"/>
      <c r="EO122" s="141"/>
      <c r="EP122" s="142"/>
      <c r="EQ122" s="140"/>
      <c r="ER122" s="141"/>
      <c r="ES122" s="142"/>
      <c r="ET122" s="140"/>
      <c r="EU122" s="141"/>
      <c r="EV122" s="142"/>
      <c r="EW122" s="140"/>
      <c r="EX122" s="141"/>
      <c r="EY122" s="142"/>
      <c r="EZ122" s="140"/>
      <c r="FA122" s="141"/>
      <c r="FB122" s="142"/>
      <c r="FC122" s="140"/>
      <c r="FD122" s="141"/>
      <c r="FE122" s="142"/>
      <c r="FF122" s="140">
        <f>+'1890 Hacienda'!E235</f>
        <v>44206</v>
      </c>
      <c r="FG122" s="141">
        <f>+'1890 Hacienda'!F235</f>
        <v>80</v>
      </c>
      <c r="FH122" s="142"/>
      <c r="FI122" s="140"/>
      <c r="FJ122" s="141"/>
      <c r="FK122" s="142"/>
      <c r="FL122" s="140">
        <f>+'1894 Hacienda'!C15</f>
        <v>58064</v>
      </c>
      <c r="FM122" s="141">
        <f>+'1894 Hacienda'!D15</f>
        <v>25</v>
      </c>
      <c r="FN122" s="142"/>
      <c r="FO122" s="140">
        <f>+'1894 Hacienda'!F15</f>
        <v>59783</v>
      </c>
      <c r="FP122" s="141">
        <f>+'1894 Hacienda'!G15</f>
        <v>95</v>
      </c>
      <c r="FQ122" s="142"/>
      <c r="FR122" s="140">
        <f>+'1896 Hacienda'!C16</f>
        <v>62795</v>
      </c>
      <c r="FS122" s="141">
        <f>+'1896 Hacienda'!D16</f>
        <v>10</v>
      </c>
      <c r="FT122" s="142"/>
      <c r="FU122" s="140">
        <f>+'1896 Hacienda'!F16</f>
        <v>60000</v>
      </c>
      <c r="FV122" s="141"/>
      <c r="FW122" s="142"/>
      <c r="FX122" s="140">
        <f>+'1896 Hacienda'!L16</f>
        <v>68140</v>
      </c>
      <c r="FY122" s="141">
        <f>+'1896 Hacienda'!M16</f>
        <v>30</v>
      </c>
      <c r="FZ122" s="142"/>
      <c r="GA122" s="140">
        <f>+'1898 Hacienda'!E15</f>
        <v>58462</v>
      </c>
      <c r="GB122" s="141">
        <f>+'1898 Hacienda'!F15</f>
        <v>25</v>
      </c>
      <c r="GC122" s="142"/>
      <c r="GD122" s="140">
        <f>+'1898 Hacienda'!K15</f>
        <v>74437</v>
      </c>
      <c r="GE122" s="141">
        <f>+'1898 Hacienda'!L15</f>
        <v>5</v>
      </c>
      <c r="GF122" s="142"/>
      <c r="GG122" s="140"/>
      <c r="GH122" s="141"/>
      <c r="GI122" s="142"/>
      <c r="GJ122" s="140"/>
      <c r="GK122" s="141"/>
      <c r="GL122" s="142"/>
      <c r="GM122" s="140"/>
      <c r="GN122" s="141"/>
      <c r="GO122" s="142"/>
      <c r="GP122" s="140"/>
      <c r="GQ122" s="141"/>
      <c r="GR122" s="142"/>
      <c r="GS122" s="140"/>
      <c r="GT122" s="141"/>
      <c r="GU122" s="142"/>
      <c r="GV122" s="140"/>
      <c r="GW122" s="141"/>
      <c r="GX122" s="142"/>
      <c r="GY122" s="164"/>
      <c r="GZ122" s="134"/>
      <c r="HA122" s="185"/>
      <c r="HB122" s="164"/>
      <c r="HC122" s="185"/>
      <c r="HD122" s="164"/>
      <c r="HE122" s="185"/>
      <c r="HF122" s="164"/>
      <c r="HG122" s="185"/>
      <c r="HH122" s="164"/>
      <c r="HI122" s="185"/>
      <c r="HJ122" s="164"/>
      <c r="HK122" s="185"/>
      <c r="HL122" s="164"/>
      <c r="HM122" s="185"/>
      <c r="HN122" s="164"/>
      <c r="HO122" s="185"/>
      <c r="HP122" s="164"/>
      <c r="HQ122" s="185"/>
      <c r="HR122" s="164"/>
      <c r="HS122" s="185"/>
      <c r="HT122" s="164"/>
      <c r="HU122" s="185"/>
    </row>
    <row r="123" spans="1:229" x14ac:dyDescent="0.2">
      <c r="A123" s="1756" t="str">
        <f>+'1894 Hacienda'!B18</f>
        <v>Puente de Girardot</v>
      </c>
      <c r="B123" s="131"/>
      <c r="C123" s="134"/>
      <c r="D123" s="133"/>
      <c r="E123" s="131"/>
      <c r="F123" s="134"/>
      <c r="G123" s="133"/>
      <c r="H123" s="131"/>
      <c r="I123" s="134"/>
      <c r="J123" s="133"/>
      <c r="K123" s="131"/>
      <c r="L123" s="134"/>
      <c r="M123" s="133"/>
      <c r="N123" s="131"/>
      <c r="O123" s="134"/>
      <c r="P123" s="133"/>
      <c r="Q123" s="131"/>
      <c r="R123" s="134"/>
      <c r="S123" s="133"/>
      <c r="T123" s="131"/>
      <c r="U123" s="134"/>
      <c r="V123" s="133"/>
      <c r="W123" s="131"/>
      <c r="X123" s="134"/>
      <c r="Y123" s="133"/>
      <c r="Z123" s="131"/>
      <c r="AA123" s="134"/>
      <c r="AB123" s="133"/>
      <c r="AC123" s="131"/>
      <c r="AD123" s="134"/>
      <c r="AE123" s="133"/>
      <c r="AF123" s="131"/>
      <c r="AG123" s="134"/>
      <c r="AH123" s="133"/>
      <c r="AI123" s="145"/>
      <c r="AJ123" s="134"/>
      <c r="AK123" s="133"/>
      <c r="AL123" s="131"/>
      <c r="AM123" s="134"/>
      <c r="AN123" s="133"/>
      <c r="AO123" s="131"/>
      <c r="AP123" s="134"/>
      <c r="AQ123" s="133"/>
      <c r="AR123" s="131"/>
      <c r="AS123" s="134"/>
      <c r="AT123" s="180"/>
      <c r="AU123" s="131"/>
      <c r="AV123" s="185"/>
      <c r="AW123" s="131"/>
      <c r="AX123" s="185"/>
      <c r="AY123" s="131"/>
      <c r="AZ123" s="185"/>
      <c r="BA123" s="131"/>
      <c r="BB123" s="185"/>
      <c r="BC123" s="131"/>
      <c r="BD123" s="185"/>
      <c r="BE123" s="131"/>
      <c r="BF123" s="185"/>
      <c r="BG123" s="131"/>
      <c r="BH123" s="185"/>
      <c r="BI123" s="131"/>
      <c r="BJ123" s="185"/>
      <c r="BK123" s="131"/>
      <c r="BL123" s="185"/>
      <c r="BM123" s="131"/>
      <c r="BN123" s="185"/>
      <c r="BO123" s="131"/>
      <c r="BP123" s="134"/>
      <c r="BQ123" s="131"/>
      <c r="BR123" s="134"/>
      <c r="BS123" s="133"/>
      <c r="BT123" s="145"/>
      <c r="BU123" s="134"/>
      <c r="BV123" s="131"/>
      <c r="BW123" s="134"/>
      <c r="BX123" s="131"/>
      <c r="BY123" s="134"/>
      <c r="BZ123" s="131"/>
      <c r="CA123" s="134"/>
      <c r="CB123" s="133"/>
      <c r="CC123" s="131"/>
      <c r="CD123" s="134"/>
      <c r="CE123" s="133"/>
      <c r="CF123" s="131"/>
      <c r="CG123" s="134"/>
      <c r="CH123" s="133"/>
      <c r="CI123" s="131"/>
      <c r="CK123" s="133"/>
      <c r="CL123" s="131"/>
      <c r="CN123" s="133"/>
      <c r="CO123" s="131"/>
      <c r="CQ123" s="133"/>
      <c r="CR123" s="131"/>
      <c r="CT123" s="133"/>
      <c r="CU123" s="131"/>
      <c r="CV123" s="134"/>
      <c r="CW123" s="133"/>
      <c r="CX123" s="131"/>
      <c r="CY123" s="134"/>
      <c r="CZ123" s="133"/>
      <c r="DA123" s="140"/>
      <c r="DB123" s="141"/>
      <c r="DC123" s="142"/>
      <c r="DD123" s="140"/>
      <c r="DE123" s="141"/>
      <c r="DF123" s="142"/>
      <c r="DG123" s="140"/>
      <c r="DH123" s="141"/>
      <c r="DI123" s="142"/>
      <c r="DJ123" s="140"/>
      <c r="DK123" s="141"/>
      <c r="DL123" s="142"/>
      <c r="DM123" s="140"/>
      <c r="DN123" s="141"/>
      <c r="DO123" s="142"/>
      <c r="DP123" s="140"/>
      <c r="DQ123" s="141"/>
      <c r="DR123" s="142"/>
      <c r="DS123" s="140"/>
      <c r="DT123" s="141"/>
      <c r="DU123" s="142"/>
      <c r="DV123" s="140"/>
      <c r="DW123" s="141"/>
      <c r="DX123" s="142"/>
      <c r="DY123" s="140"/>
      <c r="DZ123" s="141"/>
      <c r="EA123" s="142"/>
      <c r="EB123" s="140"/>
      <c r="EC123" s="141"/>
      <c r="ED123" s="142"/>
      <c r="EE123" s="140"/>
      <c r="EF123" s="141"/>
      <c r="EG123" s="142"/>
      <c r="EH123" s="140"/>
      <c r="EI123" s="141"/>
      <c r="EJ123" s="142"/>
      <c r="EK123" s="140"/>
      <c r="EL123" s="141"/>
      <c r="EM123" s="142"/>
      <c r="EN123" s="140"/>
      <c r="EO123" s="141"/>
      <c r="EP123" s="142"/>
      <c r="EQ123" s="140"/>
      <c r="ER123" s="141"/>
      <c r="ES123" s="142"/>
      <c r="ET123" s="140"/>
      <c r="EU123" s="141"/>
      <c r="EV123" s="142"/>
      <c r="EW123" s="140"/>
      <c r="EX123" s="141"/>
      <c r="EY123" s="142"/>
      <c r="EZ123" s="140"/>
      <c r="FA123" s="141"/>
      <c r="FB123" s="142"/>
      <c r="FC123" s="140"/>
      <c r="FD123" s="141"/>
      <c r="FE123" s="142"/>
      <c r="FF123" s="140"/>
      <c r="FG123" s="141"/>
      <c r="FH123" s="142"/>
      <c r="FI123" s="140"/>
      <c r="FJ123" s="141"/>
      <c r="FK123" s="142"/>
      <c r="FL123" s="140">
        <f>+'1894 Hacienda'!C18</f>
        <v>6600</v>
      </c>
      <c r="FM123" s="141"/>
      <c r="FN123" s="142"/>
      <c r="FO123" s="140">
        <f>+'1894 Hacienda'!F18</f>
        <v>6600</v>
      </c>
      <c r="FP123" s="141"/>
      <c r="FQ123" s="142"/>
      <c r="FR123" s="140">
        <f>+'1896 Hacienda'!C19</f>
        <v>6660</v>
      </c>
      <c r="FS123" s="141"/>
      <c r="FT123" s="142"/>
      <c r="FU123" s="140"/>
      <c r="FV123" s="141"/>
      <c r="FW123" s="142"/>
      <c r="FX123" s="140"/>
      <c r="FY123" s="141"/>
      <c r="FZ123" s="142"/>
      <c r="GA123" s="140"/>
      <c r="GB123" s="141"/>
      <c r="GC123" s="142"/>
      <c r="GD123" s="140"/>
      <c r="GE123" s="141"/>
      <c r="GF123" s="142"/>
      <c r="GG123" s="140"/>
      <c r="GH123" s="141"/>
      <c r="GI123" s="142"/>
      <c r="GJ123" s="140"/>
      <c r="GK123" s="141"/>
      <c r="GL123" s="142"/>
      <c r="GM123" s="140"/>
      <c r="GN123" s="141"/>
      <c r="GO123" s="142"/>
      <c r="GP123" s="140"/>
      <c r="GQ123" s="141"/>
      <c r="GR123" s="142"/>
      <c r="GS123" s="140"/>
      <c r="GT123" s="141"/>
      <c r="GU123" s="142"/>
      <c r="GV123" s="140"/>
      <c r="GW123" s="141"/>
      <c r="GX123" s="142"/>
      <c r="GY123" s="164"/>
      <c r="GZ123" s="134"/>
      <c r="HA123" s="185"/>
      <c r="HB123" s="164"/>
      <c r="HC123" s="185"/>
      <c r="HD123" s="164"/>
      <c r="HE123" s="185"/>
      <c r="HF123" s="164"/>
      <c r="HG123" s="185"/>
      <c r="HH123" s="164"/>
      <c r="HI123" s="185"/>
      <c r="HJ123" s="164"/>
      <c r="HK123" s="185"/>
      <c r="HL123" s="164"/>
      <c r="HM123" s="185"/>
      <c r="HN123" s="164"/>
      <c r="HO123" s="185"/>
      <c r="HP123" s="164"/>
      <c r="HQ123" s="185"/>
      <c r="HR123" s="164"/>
      <c r="HS123" s="185"/>
      <c r="HT123" s="164"/>
      <c r="HU123" s="185"/>
    </row>
    <row r="124" spans="1:229" x14ac:dyDescent="0.2">
      <c r="A124" s="1756" t="str">
        <f>+'1894 Hacienda'!B23</f>
        <v>Carboneras de San Jorge</v>
      </c>
      <c r="B124" s="131"/>
      <c r="C124" s="134"/>
      <c r="D124" s="133"/>
      <c r="E124" s="131"/>
      <c r="F124" s="134"/>
      <c r="G124" s="133"/>
      <c r="H124" s="131"/>
      <c r="I124" s="134"/>
      <c r="J124" s="133"/>
      <c r="K124" s="131"/>
      <c r="L124" s="134"/>
      <c r="M124" s="133"/>
      <c r="N124" s="131"/>
      <c r="O124" s="134"/>
      <c r="P124" s="133"/>
      <c r="Q124" s="131"/>
      <c r="R124" s="134"/>
      <c r="S124" s="133"/>
      <c r="T124" s="131"/>
      <c r="U124" s="134"/>
      <c r="V124" s="133"/>
      <c r="W124" s="131"/>
      <c r="X124" s="134"/>
      <c r="Y124" s="133"/>
      <c r="Z124" s="131"/>
      <c r="AA124" s="134"/>
      <c r="AB124" s="133"/>
      <c r="AC124" s="131"/>
      <c r="AD124" s="134"/>
      <c r="AE124" s="133"/>
      <c r="AF124" s="131"/>
      <c r="AG124" s="134"/>
      <c r="AH124" s="133"/>
      <c r="AI124" s="145"/>
      <c r="AJ124" s="134"/>
      <c r="AK124" s="133"/>
      <c r="AL124" s="131"/>
      <c r="AM124" s="134"/>
      <c r="AN124" s="133"/>
      <c r="AO124" s="131"/>
      <c r="AP124" s="134"/>
      <c r="AQ124" s="133"/>
      <c r="AR124" s="131"/>
      <c r="AS124" s="134"/>
      <c r="AT124" s="180"/>
      <c r="AU124" s="131"/>
      <c r="AV124" s="185"/>
      <c r="AW124" s="131"/>
      <c r="AX124" s="185"/>
      <c r="AY124" s="131"/>
      <c r="AZ124" s="185"/>
      <c r="BA124" s="131"/>
      <c r="BB124" s="185"/>
      <c r="BC124" s="131"/>
      <c r="BD124" s="185"/>
      <c r="BE124" s="131"/>
      <c r="BF124" s="185"/>
      <c r="BG124" s="131"/>
      <c r="BH124" s="185"/>
      <c r="BI124" s="131"/>
      <c r="BJ124" s="185"/>
      <c r="BK124" s="131"/>
      <c r="BL124" s="185"/>
      <c r="BM124" s="131"/>
      <c r="BN124" s="185"/>
      <c r="BO124" s="131"/>
      <c r="BP124" s="134"/>
      <c r="BQ124" s="131"/>
      <c r="BR124" s="134"/>
      <c r="BS124" s="133"/>
      <c r="BT124" s="145"/>
      <c r="BU124" s="134"/>
      <c r="BV124" s="131"/>
      <c r="BW124" s="134"/>
      <c r="BX124" s="131"/>
      <c r="BY124" s="134"/>
      <c r="BZ124" s="131"/>
      <c r="CA124" s="134"/>
      <c r="CB124" s="133"/>
      <c r="CC124" s="131"/>
      <c r="CD124" s="134"/>
      <c r="CE124" s="133"/>
      <c r="CF124" s="131"/>
      <c r="CG124" s="134"/>
      <c r="CH124" s="133"/>
      <c r="CI124" s="131"/>
      <c r="CK124" s="133"/>
      <c r="CL124" s="131"/>
      <c r="CN124" s="133"/>
      <c r="CO124" s="131"/>
      <c r="CQ124" s="133"/>
      <c r="CR124" s="131"/>
      <c r="CT124" s="133"/>
      <c r="CU124" s="131"/>
      <c r="CV124" s="134"/>
      <c r="CW124" s="133"/>
      <c r="CX124" s="131"/>
      <c r="CY124" s="134"/>
      <c r="CZ124" s="133"/>
      <c r="DA124" s="140"/>
      <c r="DB124" s="141"/>
      <c r="DC124" s="142"/>
      <c r="DD124" s="140"/>
      <c r="DE124" s="141"/>
      <c r="DF124" s="142"/>
      <c r="DG124" s="140"/>
      <c r="DH124" s="141"/>
      <c r="DI124" s="142"/>
      <c r="DJ124" s="140"/>
      <c r="DK124" s="141"/>
      <c r="DL124" s="142"/>
      <c r="DM124" s="140"/>
      <c r="DN124" s="141"/>
      <c r="DO124" s="142"/>
      <c r="DP124" s="140"/>
      <c r="DQ124" s="141"/>
      <c r="DR124" s="142"/>
      <c r="DS124" s="140"/>
      <c r="DT124" s="141"/>
      <c r="DU124" s="142"/>
      <c r="DV124" s="140"/>
      <c r="DW124" s="141"/>
      <c r="DX124" s="142"/>
      <c r="DY124" s="140"/>
      <c r="DZ124" s="141"/>
      <c r="EA124" s="142"/>
      <c r="EB124" s="140"/>
      <c r="EC124" s="141"/>
      <c r="ED124" s="142"/>
      <c r="EE124" s="140"/>
      <c r="EF124" s="141"/>
      <c r="EG124" s="142"/>
      <c r="EH124" s="140"/>
      <c r="EI124" s="141"/>
      <c r="EJ124" s="142"/>
      <c r="EK124" s="140"/>
      <c r="EL124" s="141"/>
      <c r="EM124" s="142"/>
      <c r="EN124" s="140"/>
      <c r="EO124" s="141"/>
      <c r="EP124" s="142"/>
      <c r="EQ124" s="140"/>
      <c r="ER124" s="141"/>
      <c r="ES124" s="142"/>
      <c r="ET124" s="140"/>
      <c r="EU124" s="141"/>
      <c r="EV124" s="142"/>
      <c r="EW124" s="140"/>
      <c r="EX124" s="141"/>
      <c r="EY124" s="142"/>
      <c r="EZ124" s="140"/>
      <c r="FA124" s="141"/>
      <c r="FB124" s="142"/>
      <c r="FC124" s="140"/>
      <c r="FD124" s="141"/>
      <c r="FE124" s="142"/>
      <c r="FF124" s="140"/>
      <c r="FG124" s="141"/>
      <c r="FH124" s="142"/>
      <c r="FI124" s="140"/>
      <c r="FJ124" s="141"/>
      <c r="FK124" s="142"/>
      <c r="FL124" s="140">
        <f>+'1894 Hacienda'!C23</f>
        <v>8311</v>
      </c>
      <c r="FM124" s="141"/>
      <c r="FN124" s="142"/>
      <c r="FO124" s="140">
        <f>+'1894 Hacienda'!F23</f>
        <v>16964</v>
      </c>
      <c r="FP124" s="141">
        <f>+'1894 Hacienda'!G23</f>
        <v>70</v>
      </c>
      <c r="FQ124" s="142"/>
      <c r="FR124" s="140">
        <f>+'1896 Hacienda'!C24</f>
        <v>16246</v>
      </c>
      <c r="FS124" s="141">
        <f>+'1896 Hacienda'!D24</f>
        <v>25</v>
      </c>
      <c r="FT124" s="142"/>
      <c r="FU124" s="140">
        <f>+'1896 Hacienda'!F24</f>
        <v>20124</v>
      </c>
      <c r="FV124" s="141">
        <f>+'1896 Hacienda'!G24</f>
        <v>70</v>
      </c>
      <c r="FW124" s="142"/>
      <c r="FX124" s="140">
        <f>+'1896 Hacienda'!L24</f>
        <v>20437</v>
      </c>
      <c r="FY124" s="141">
        <f>+'1896 Hacienda'!M24</f>
        <v>25</v>
      </c>
      <c r="FZ124" s="142"/>
      <c r="GA124" s="140">
        <f>+'1898 Hacienda'!E22</f>
        <v>11676</v>
      </c>
      <c r="GB124" s="141">
        <f>+'1898 Hacienda'!F22</f>
        <v>50</v>
      </c>
      <c r="GC124" s="142"/>
      <c r="GD124" s="140">
        <f>+'1898 Hacienda'!K22</f>
        <v>14568</v>
      </c>
      <c r="GE124" s="141">
        <f>+'1898 Hacienda'!L22</f>
        <v>50</v>
      </c>
      <c r="GF124" s="142"/>
      <c r="GG124" s="140"/>
      <c r="GH124" s="141"/>
      <c r="GI124" s="142"/>
      <c r="GJ124" s="140"/>
      <c r="GK124" s="141"/>
      <c r="GL124" s="142"/>
      <c r="GM124" s="140"/>
      <c r="GN124" s="141"/>
      <c r="GO124" s="142"/>
      <c r="GP124" s="140"/>
      <c r="GQ124" s="141"/>
      <c r="GR124" s="142"/>
      <c r="GS124" s="140"/>
      <c r="GT124" s="141"/>
      <c r="GU124" s="142"/>
      <c r="GV124" s="140"/>
      <c r="GW124" s="141"/>
      <c r="GX124" s="142"/>
      <c r="GY124" s="164"/>
      <c r="GZ124" s="134"/>
      <c r="HA124" s="185"/>
      <c r="HB124" s="164"/>
      <c r="HC124" s="185"/>
      <c r="HD124" s="164"/>
      <c r="HE124" s="185"/>
      <c r="HF124" s="164"/>
      <c r="HG124" s="185"/>
      <c r="HH124" s="164"/>
      <c r="HI124" s="185"/>
      <c r="HJ124" s="164"/>
      <c r="HK124" s="185"/>
      <c r="HL124" s="164"/>
      <c r="HM124" s="185"/>
      <c r="HN124" s="164"/>
      <c r="HO124" s="185"/>
      <c r="HP124" s="164"/>
      <c r="HQ124" s="185"/>
      <c r="HR124" s="164"/>
      <c r="HS124" s="185"/>
      <c r="HT124" s="164"/>
      <c r="HU124" s="185"/>
    </row>
    <row r="125" spans="1:229" x14ac:dyDescent="0.2">
      <c r="A125" s="1756" t="str">
        <f>+'1894 Hacienda'!B27</f>
        <v>Multas nacionales en Panamá</v>
      </c>
      <c r="B125" s="131"/>
      <c r="C125" s="134"/>
      <c r="D125" s="133"/>
      <c r="E125" s="131"/>
      <c r="F125" s="134"/>
      <c r="G125" s="133"/>
      <c r="H125" s="131"/>
      <c r="I125" s="134"/>
      <c r="J125" s="133"/>
      <c r="K125" s="131"/>
      <c r="L125" s="134"/>
      <c r="M125" s="133"/>
      <c r="N125" s="131"/>
      <c r="O125" s="134"/>
      <c r="P125" s="133"/>
      <c r="Q125" s="131"/>
      <c r="R125" s="134"/>
      <c r="S125" s="133"/>
      <c r="T125" s="131"/>
      <c r="U125" s="134"/>
      <c r="V125" s="133"/>
      <c r="W125" s="131"/>
      <c r="X125" s="134"/>
      <c r="Y125" s="133"/>
      <c r="Z125" s="131"/>
      <c r="AA125" s="134"/>
      <c r="AB125" s="133"/>
      <c r="AC125" s="131"/>
      <c r="AD125" s="134"/>
      <c r="AE125" s="133"/>
      <c r="AF125" s="131"/>
      <c r="AG125" s="134"/>
      <c r="AH125" s="133"/>
      <c r="AI125" s="145"/>
      <c r="AJ125" s="134"/>
      <c r="AK125" s="133"/>
      <c r="AL125" s="131"/>
      <c r="AM125" s="134"/>
      <c r="AN125" s="133"/>
      <c r="AO125" s="131"/>
      <c r="AP125" s="134"/>
      <c r="AQ125" s="133"/>
      <c r="AR125" s="131"/>
      <c r="AS125" s="134"/>
      <c r="AT125" s="180"/>
      <c r="AU125" s="131"/>
      <c r="AV125" s="185"/>
      <c r="AW125" s="131"/>
      <c r="AX125" s="185"/>
      <c r="AY125" s="131"/>
      <c r="AZ125" s="185"/>
      <c r="BA125" s="131"/>
      <c r="BB125" s="185"/>
      <c r="BC125" s="131"/>
      <c r="BD125" s="185"/>
      <c r="BE125" s="131"/>
      <c r="BF125" s="185"/>
      <c r="BG125" s="131"/>
      <c r="BH125" s="185"/>
      <c r="BI125" s="131"/>
      <c r="BJ125" s="185"/>
      <c r="BK125" s="131"/>
      <c r="BL125" s="185"/>
      <c r="BM125" s="131"/>
      <c r="BN125" s="185"/>
      <c r="BO125" s="131"/>
      <c r="BP125" s="134"/>
      <c r="BQ125" s="131"/>
      <c r="BR125" s="134"/>
      <c r="BS125" s="133"/>
      <c r="BT125" s="145"/>
      <c r="BU125" s="134"/>
      <c r="BV125" s="131"/>
      <c r="BW125" s="134"/>
      <c r="BX125" s="131"/>
      <c r="BY125" s="134"/>
      <c r="BZ125" s="131"/>
      <c r="CA125" s="134"/>
      <c r="CB125" s="133"/>
      <c r="CC125" s="131"/>
      <c r="CD125" s="134"/>
      <c r="CE125" s="133"/>
      <c r="CF125" s="131"/>
      <c r="CG125" s="134"/>
      <c r="CH125" s="133"/>
      <c r="CI125" s="131"/>
      <c r="CK125" s="133"/>
      <c r="CL125" s="131"/>
      <c r="CN125" s="133"/>
      <c r="CO125" s="131"/>
      <c r="CQ125" s="133"/>
      <c r="CR125" s="131"/>
      <c r="CT125" s="133"/>
      <c r="CU125" s="131"/>
      <c r="CV125" s="134"/>
      <c r="CW125" s="133"/>
      <c r="CX125" s="131"/>
      <c r="CY125" s="134"/>
      <c r="CZ125" s="133"/>
      <c r="DA125" s="140"/>
      <c r="DB125" s="141"/>
      <c r="DC125" s="142"/>
      <c r="DD125" s="140"/>
      <c r="DE125" s="141"/>
      <c r="DF125" s="142"/>
      <c r="DG125" s="140"/>
      <c r="DH125" s="141"/>
      <c r="DI125" s="142"/>
      <c r="DJ125" s="140"/>
      <c r="DK125" s="141"/>
      <c r="DL125" s="142"/>
      <c r="DM125" s="140"/>
      <c r="DN125" s="141"/>
      <c r="DO125" s="142"/>
      <c r="DP125" s="140"/>
      <c r="DQ125" s="141"/>
      <c r="DR125" s="142"/>
      <c r="DS125" s="140"/>
      <c r="DT125" s="141"/>
      <c r="DU125" s="142"/>
      <c r="DV125" s="140"/>
      <c r="DW125" s="141"/>
      <c r="DX125" s="142"/>
      <c r="DY125" s="140"/>
      <c r="DZ125" s="141"/>
      <c r="EA125" s="142"/>
      <c r="EB125" s="140"/>
      <c r="EC125" s="141"/>
      <c r="ED125" s="142"/>
      <c r="EE125" s="140"/>
      <c r="EF125" s="141"/>
      <c r="EG125" s="142"/>
      <c r="EH125" s="140"/>
      <c r="EI125" s="141"/>
      <c r="EJ125" s="142"/>
      <c r="EK125" s="140"/>
      <c r="EL125" s="141"/>
      <c r="EM125" s="142"/>
      <c r="EN125" s="140"/>
      <c r="EO125" s="141"/>
      <c r="EP125" s="142"/>
      <c r="EQ125" s="140"/>
      <c r="ER125" s="141"/>
      <c r="ES125" s="142"/>
      <c r="ET125" s="140"/>
      <c r="EU125" s="141"/>
      <c r="EV125" s="142"/>
      <c r="EW125" s="140"/>
      <c r="EX125" s="141"/>
      <c r="EY125" s="142"/>
      <c r="EZ125" s="140"/>
      <c r="FA125" s="141"/>
      <c r="FB125" s="142"/>
      <c r="FC125" s="140"/>
      <c r="FD125" s="141"/>
      <c r="FE125" s="142"/>
      <c r="FF125" s="140"/>
      <c r="FG125" s="141"/>
      <c r="FH125" s="142"/>
      <c r="FI125" s="140"/>
      <c r="FJ125" s="141"/>
      <c r="FK125" s="142"/>
      <c r="FL125" s="140"/>
      <c r="FM125" s="141"/>
      <c r="FN125" s="142"/>
      <c r="FO125" s="140">
        <f>+'1894 Hacienda'!F27</f>
        <v>799</v>
      </c>
      <c r="FP125" s="141"/>
      <c r="FQ125" s="142"/>
      <c r="FR125" s="140">
        <f>+'1896 Hacienda'!C28</f>
        <v>1265</v>
      </c>
      <c r="FS125" s="141">
        <f>+'1896 Hacienda'!D28</f>
        <v>60</v>
      </c>
      <c r="FT125" s="142"/>
      <c r="FU125" s="140">
        <f>+'1896 Hacienda'!F28</f>
        <v>931</v>
      </c>
      <c r="FV125" s="141">
        <f>+'1896 Hacienda'!G28</f>
        <v>20</v>
      </c>
      <c r="FW125" s="142"/>
      <c r="FX125" s="140">
        <f>+'1896 Hacienda'!L28</f>
        <v>1040</v>
      </c>
      <c r="FY125" s="141">
        <f>+'1896 Hacienda'!M28</f>
        <v>50</v>
      </c>
      <c r="FZ125" s="142"/>
      <c r="GA125" s="140">
        <f>+'1898 Hacienda'!E26</f>
        <v>315</v>
      </c>
      <c r="GB125" s="141"/>
      <c r="GC125" s="142"/>
      <c r="GD125" s="140">
        <f>+'1898 Hacienda'!K26</f>
        <v>235</v>
      </c>
      <c r="GE125" s="141">
        <f>+'1898 Hacienda'!L26</f>
        <v>70</v>
      </c>
      <c r="GF125" s="142"/>
      <c r="GG125" s="140"/>
      <c r="GH125" s="141"/>
      <c r="GI125" s="142"/>
      <c r="GJ125" s="140"/>
      <c r="GK125" s="141"/>
      <c r="GL125" s="142"/>
      <c r="GM125" s="140"/>
      <c r="GN125" s="141"/>
      <c r="GO125" s="142"/>
      <c r="GP125" s="140"/>
      <c r="GQ125" s="141"/>
      <c r="GR125" s="142"/>
      <c r="GS125" s="140"/>
      <c r="GT125" s="141"/>
      <c r="GU125" s="142"/>
      <c r="GV125" s="140"/>
      <c r="GW125" s="141"/>
      <c r="GX125" s="142"/>
      <c r="GY125" s="164"/>
      <c r="GZ125" s="134"/>
      <c r="HA125" s="185"/>
      <c r="HB125" s="164"/>
      <c r="HC125" s="185"/>
      <c r="HD125" s="164"/>
      <c r="HE125" s="185"/>
      <c r="HF125" s="164"/>
      <c r="HG125" s="185"/>
      <c r="HH125" s="164"/>
      <c r="HI125" s="185"/>
      <c r="HJ125" s="164"/>
      <c r="HK125" s="185"/>
      <c r="HL125" s="164"/>
      <c r="HM125" s="185"/>
      <c r="HN125" s="164"/>
      <c r="HO125" s="185"/>
      <c r="HP125" s="164"/>
      <c r="HQ125" s="185"/>
      <c r="HR125" s="164"/>
      <c r="HS125" s="185"/>
      <c r="HT125" s="164"/>
      <c r="HU125" s="185"/>
    </row>
    <row r="126" spans="1:229" x14ac:dyDescent="0.2">
      <c r="A126" s="1756" t="str">
        <f>+'1896 Hacienda'!B17</f>
        <v>Canal de Panamá</v>
      </c>
      <c r="B126" s="131"/>
      <c r="C126" s="134"/>
      <c r="D126" s="133"/>
      <c r="E126" s="131"/>
      <c r="F126" s="134"/>
      <c r="G126" s="133"/>
      <c r="H126" s="131"/>
      <c r="I126" s="134"/>
      <c r="J126" s="133"/>
      <c r="K126" s="131"/>
      <c r="L126" s="134"/>
      <c r="M126" s="133"/>
      <c r="N126" s="131"/>
      <c r="O126" s="134"/>
      <c r="P126" s="133"/>
      <c r="Q126" s="131"/>
      <c r="R126" s="134"/>
      <c r="S126" s="133"/>
      <c r="T126" s="131"/>
      <c r="U126" s="134"/>
      <c r="V126" s="133"/>
      <c r="W126" s="131"/>
      <c r="X126" s="134"/>
      <c r="Y126" s="133"/>
      <c r="Z126" s="131"/>
      <c r="AA126" s="134"/>
      <c r="AB126" s="133"/>
      <c r="AC126" s="131"/>
      <c r="AD126" s="134"/>
      <c r="AE126" s="133"/>
      <c r="AF126" s="131"/>
      <c r="AG126" s="134"/>
      <c r="AH126" s="133"/>
      <c r="AI126" s="145"/>
      <c r="AJ126" s="134"/>
      <c r="AK126" s="133"/>
      <c r="AL126" s="131"/>
      <c r="AM126" s="134"/>
      <c r="AN126" s="133"/>
      <c r="AO126" s="131"/>
      <c r="AP126" s="134"/>
      <c r="AQ126" s="133"/>
      <c r="AR126" s="131"/>
      <c r="AS126" s="134"/>
      <c r="AT126" s="180"/>
      <c r="AU126" s="131"/>
      <c r="AV126" s="185"/>
      <c r="AW126" s="131"/>
      <c r="AX126" s="185"/>
      <c r="AY126" s="131"/>
      <c r="AZ126" s="185"/>
      <c r="BA126" s="131"/>
      <c r="BB126" s="185"/>
      <c r="BC126" s="131"/>
      <c r="BD126" s="185"/>
      <c r="BE126" s="131"/>
      <c r="BF126" s="185"/>
      <c r="BG126" s="131"/>
      <c r="BH126" s="185"/>
      <c r="BI126" s="131"/>
      <c r="BJ126" s="185"/>
      <c r="BK126" s="131"/>
      <c r="BL126" s="185"/>
      <c r="BM126" s="131"/>
      <c r="BN126" s="185"/>
      <c r="BO126" s="131"/>
      <c r="BP126" s="134"/>
      <c r="BQ126" s="131"/>
      <c r="BR126" s="134"/>
      <c r="BS126" s="133"/>
      <c r="BT126" s="145"/>
      <c r="BU126" s="134"/>
      <c r="BV126" s="131"/>
      <c r="BW126" s="134"/>
      <c r="BX126" s="131"/>
      <c r="BY126" s="134"/>
      <c r="BZ126" s="131"/>
      <c r="CA126" s="134"/>
      <c r="CB126" s="133"/>
      <c r="CC126" s="131"/>
      <c r="CD126" s="134"/>
      <c r="CE126" s="133"/>
      <c r="CF126" s="131"/>
      <c r="CG126" s="134"/>
      <c r="CH126" s="133"/>
      <c r="CI126" s="131"/>
      <c r="CK126" s="133"/>
      <c r="CL126" s="131"/>
      <c r="CN126" s="133"/>
      <c r="CO126" s="131"/>
      <c r="CQ126" s="133"/>
      <c r="CR126" s="131"/>
      <c r="CT126" s="133"/>
      <c r="CU126" s="131"/>
      <c r="CV126" s="134"/>
      <c r="CW126" s="133"/>
      <c r="CX126" s="131"/>
      <c r="CY126" s="134"/>
      <c r="CZ126" s="133"/>
      <c r="DA126" s="140"/>
      <c r="DB126" s="141"/>
      <c r="DC126" s="142"/>
      <c r="DD126" s="140"/>
      <c r="DE126" s="141"/>
      <c r="DF126" s="142"/>
      <c r="DG126" s="140"/>
      <c r="DH126" s="141"/>
      <c r="DI126" s="142"/>
      <c r="DJ126" s="140"/>
      <c r="DK126" s="141"/>
      <c r="DL126" s="142"/>
      <c r="DM126" s="140"/>
      <c r="DN126" s="141"/>
      <c r="DO126" s="142"/>
      <c r="DP126" s="140"/>
      <c r="DQ126" s="141"/>
      <c r="DR126" s="142"/>
      <c r="DS126" s="140"/>
      <c r="DT126" s="141"/>
      <c r="DU126" s="142"/>
      <c r="DV126" s="140"/>
      <c r="DW126" s="141"/>
      <c r="DX126" s="142"/>
      <c r="DY126" s="140"/>
      <c r="DZ126" s="141"/>
      <c r="EA126" s="142"/>
      <c r="EB126" s="140"/>
      <c r="EC126" s="141"/>
      <c r="ED126" s="142"/>
      <c r="EE126" s="140"/>
      <c r="EF126" s="141"/>
      <c r="EG126" s="142"/>
      <c r="EH126" s="140"/>
      <c r="EI126" s="141"/>
      <c r="EJ126" s="142"/>
      <c r="EK126" s="140"/>
      <c r="EL126" s="141"/>
      <c r="EM126" s="142"/>
      <c r="EN126" s="140"/>
      <c r="EO126" s="141"/>
      <c r="EP126" s="142"/>
      <c r="EQ126" s="140"/>
      <c r="ER126" s="141"/>
      <c r="ES126" s="142"/>
      <c r="ET126" s="140"/>
      <c r="EU126" s="141"/>
      <c r="EV126" s="142"/>
      <c r="EW126" s="140"/>
      <c r="EX126" s="141"/>
      <c r="EY126" s="142"/>
      <c r="EZ126" s="140"/>
      <c r="FA126" s="141"/>
      <c r="FB126" s="142"/>
      <c r="FC126" s="140"/>
      <c r="FD126" s="141"/>
      <c r="FE126" s="142"/>
      <c r="FF126" s="140"/>
      <c r="FG126" s="141"/>
      <c r="FH126" s="142"/>
      <c r="FI126" s="140"/>
      <c r="FJ126" s="141"/>
      <c r="FK126" s="142"/>
      <c r="FL126" s="140"/>
      <c r="FM126" s="141"/>
      <c r="FN126" s="142"/>
      <c r="FO126" s="140"/>
      <c r="FP126" s="141"/>
      <c r="FQ126" s="142"/>
      <c r="FR126" s="140">
        <f>+'1896 Hacienda'!C17</f>
        <v>100000</v>
      </c>
      <c r="FS126" s="141"/>
      <c r="FT126" s="142"/>
      <c r="FU126" s="140"/>
      <c r="FV126" s="141"/>
      <c r="FW126" s="142"/>
      <c r="FX126" s="140">
        <f>+'1896 Hacienda'!L17</f>
        <v>60000</v>
      </c>
      <c r="FY126" s="141"/>
      <c r="FZ126" s="142"/>
      <c r="GA126" s="140">
        <f>+'1898 Hacienda'!E16</f>
        <v>953031</v>
      </c>
      <c r="GB126" s="141">
        <f>+'1898 Hacienda'!F16</f>
        <v>90</v>
      </c>
      <c r="GC126" s="142"/>
      <c r="GD126" s="140">
        <f>+'1898 Hacienda'!K16</f>
        <v>942589</v>
      </c>
      <c r="GE126" s="141">
        <f>+'1898 Hacienda'!L16</f>
        <v>55</v>
      </c>
      <c r="GF126" s="142"/>
      <c r="GG126" s="140"/>
      <c r="GH126" s="141"/>
      <c r="GI126" s="142"/>
      <c r="GJ126" s="140"/>
      <c r="GK126" s="141"/>
      <c r="GL126" s="142"/>
      <c r="GM126" s="140"/>
      <c r="GN126" s="141"/>
      <c r="GO126" s="142"/>
      <c r="GP126" s="140"/>
      <c r="GQ126" s="141"/>
      <c r="GR126" s="142"/>
      <c r="GS126" s="140"/>
      <c r="GT126" s="141"/>
      <c r="GU126" s="142"/>
      <c r="GV126" s="140"/>
      <c r="GW126" s="141"/>
      <c r="GX126" s="142"/>
      <c r="GY126" s="164"/>
      <c r="GZ126" s="134"/>
      <c r="HA126" s="185"/>
      <c r="HB126" s="164"/>
      <c r="HC126" s="185"/>
      <c r="HD126" s="164"/>
      <c r="HE126" s="185"/>
      <c r="HF126" s="164"/>
      <c r="HG126" s="185"/>
      <c r="HH126" s="164"/>
      <c r="HI126" s="185"/>
      <c r="HJ126" s="164"/>
      <c r="HK126" s="185"/>
      <c r="HL126" s="164"/>
      <c r="HM126" s="185"/>
      <c r="HN126" s="164"/>
      <c r="HO126" s="185"/>
      <c r="HP126" s="164"/>
      <c r="HQ126" s="185"/>
      <c r="HR126" s="164"/>
      <c r="HS126" s="185"/>
      <c r="HT126" s="164"/>
      <c r="HU126" s="185"/>
    </row>
    <row r="127" spans="1:229" x14ac:dyDescent="0.2">
      <c r="A127" s="1756" t="str">
        <f>+'1896 Hacienda'!B29</f>
        <v>Extracción de lastre en las playas de Panamá</v>
      </c>
      <c r="B127" s="131"/>
      <c r="C127" s="134"/>
      <c r="D127" s="133"/>
      <c r="E127" s="131"/>
      <c r="F127" s="134"/>
      <c r="G127" s="133"/>
      <c r="H127" s="131"/>
      <c r="I127" s="134"/>
      <c r="J127" s="133"/>
      <c r="K127" s="131"/>
      <c r="L127" s="134"/>
      <c r="M127" s="133"/>
      <c r="N127" s="131"/>
      <c r="O127" s="134"/>
      <c r="P127" s="133"/>
      <c r="Q127" s="131"/>
      <c r="R127" s="134"/>
      <c r="S127" s="133"/>
      <c r="T127" s="131"/>
      <c r="U127" s="134"/>
      <c r="V127" s="133"/>
      <c r="W127" s="131"/>
      <c r="X127" s="134"/>
      <c r="Y127" s="133"/>
      <c r="Z127" s="131"/>
      <c r="AA127" s="134"/>
      <c r="AB127" s="133"/>
      <c r="AC127" s="131"/>
      <c r="AD127" s="134"/>
      <c r="AE127" s="133"/>
      <c r="AF127" s="131"/>
      <c r="AG127" s="134"/>
      <c r="AH127" s="133"/>
      <c r="AI127" s="145"/>
      <c r="AJ127" s="134"/>
      <c r="AK127" s="133"/>
      <c r="AL127" s="131"/>
      <c r="AM127" s="134"/>
      <c r="AN127" s="133"/>
      <c r="AO127" s="131"/>
      <c r="AP127" s="134"/>
      <c r="AQ127" s="133"/>
      <c r="AR127" s="131"/>
      <c r="AS127" s="134"/>
      <c r="AT127" s="180"/>
      <c r="AU127" s="131"/>
      <c r="AV127" s="185"/>
      <c r="AW127" s="131"/>
      <c r="AX127" s="185"/>
      <c r="AY127" s="131"/>
      <c r="AZ127" s="185"/>
      <c r="BA127" s="131"/>
      <c r="BB127" s="185"/>
      <c r="BC127" s="131"/>
      <c r="BD127" s="185"/>
      <c r="BE127" s="131"/>
      <c r="BF127" s="185"/>
      <c r="BG127" s="131"/>
      <c r="BH127" s="185"/>
      <c r="BI127" s="131"/>
      <c r="BJ127" s="185"/>
      <c r="BK127" s="131"/>
      <c r="BL127" s="185"/>
      <c r="BM127" s="131"/>
      <c r="BN127" s="185"/>
      <c r="BO127" s="131"/>
      <c r="BP127" s="134"/>
      <c r="BQ127" s="131"/>
      <c r="BR127" s="134"/>
      <c r="BS127" s="133"/>
      <c r="BT127" s="145"/>
      <c r="BU127" s="134"/>
      <c r="BV127" s="131"/>
      <c r="BW127" s="134"/>
      <c r="BX127" s="131"/>
      <c r="BY127" s="134"/>
      <c r="BZ127" s="131"/>
      <c r="CA127" s="134"/>
      <c r="CB127" s="133"/>
      <c r="CC127" s="131"/>
      <c r="CD127" s="134"/>
      <c r="CE127" s="133"/>
      <c r="CF127" s="131"/>
      <c r="CG127" s="134"/>
      <c r="CH127" s="133"/>
      <c r="CI127" s="131"/>
      <c r="CK127" s="133"/>
      <c r="CL127" s="131"/>
      <c r="CN127" s="133"/>
      <c r="CO127" s="131"/>
      <c r="CQ127" s="133"/>
      <c r="CR127" s="131"/>
      <c r="CT127" s="133"/>
      <c r="CU127" s="131"/>
      <c r="CV127" s="134"/>
      <c r="CW127" s="133"/>
      <c r="CX127" s="131"/>
      <c r="CY127" s="134"/>
      <c r="CZ127" s="133"/>
      <c r="DA127" s="140"/>
      <c r="DB127" s="141"/>
      <c r="DC127" s="142"/>
      <c r="DD127" s="140"/>
      <c r="DE127" s="141"/>
      <c r="DF127" s="142"/>
      <c r="DG127" s="140"/>
      <c r="DH127" s="141"/>
      <c r="DI127" s="142"/>
      <c r="DJ127" s="140"/>
      <c r="DK127" s="141"/>
      <c r="DL127" s="142"/>
      <c r="DM127" s="140"/>
      <c r="DN127" s="141"/>
      <c r="DO127" s="142"/>
      <c r="DP127" s="140"/>
      <c r="DQ127" s="141"/>
      <c r="DR127" s="142"/>
      <c r="DS127" s="140"/>
      <c r="DT127" s="141"/>
      <c r="DU127" s="142"/>
      <c r="DV127" s="140"/>
      <c r="DW127" s="141"/>
      <c r="DX127" s="142"/>
      <c r="DY127" s="140"/>
      <c r="DZ127" s="141"/>
      <c r="EA127" s="142"/>
      <c r="EB127" s="140"/>
      <c r="EC127" s="141"/>
      <c r="ED127" s="142"/>
      <c r="EE127" s="140"/>
      <c r="EF127" s="141"/>
      <c r="EG127" s="142"/>
      <c r="EH127" s="140"/>
      <c r="EI127" s="141"/>
      <c r="EJ127" s="142"/>
      <c r="EK127" s="140"/>
      <c r="EL127" s="141"/>
      <c r="EM127" s="142"/>
      <c r="EN127" s="140"/>
      <c r="EO127" s="141"/>
      <c r="EP127" s="142"/>
      <c r="EQ127" s="140"/>
      <c r="ER127" s="141"/>
      <c r="ES127" s="142"/>
      <c r="ET127" s="140"/>
      <c r="EU127" s="141"/>
      <c r="EV127" s="142"/>
      <c r="EW127" s="140"/>
      <c r="EX127" s="141"/>
      <c r="EY127" s="142"/>
      <c r="EZ127" s="140"/>
      <c r="FA127" s="141"/>
      <c r="FB127" s="142"/>
      <c r="FC127" s="140"/>
      <c r="FD127" s="141"/>
      <c r="FE127" s="142"/>
      <c r="FF127" s="140"/>
      <c r="FG127" s="141"/>
      <c r="FH127" s="142"/>
      <c r="FI127" s="140"/>
      <c r="FJ127" s="141"/>
      <c r="FK127" s="142"/>
      <c r="FL127" s="140"/>
      <c r="FM127" s="141"/>
      <c r="FN127" s="142"/>
      <c r="FO127" s="140"/>
      <c r="FP127" s="141"/>
      <c r="FQ127" s="142"/>
      <c r="FR127" s="140">
        <f>+'1896 Hacienda'!C29</f>
        <v>1120</v>
      </c>
      <c r="FS127" s="141">
        <f>+'1896 Hacienda'!D29</f>
        <v>50</v>
      </c>
      <c r="FT127" s="142"/>
      <c r="FU127" s="140">
        <f>+'1896 Hacienda'!F29</f>
        <v>2890</v>
      </c>
      <c r="FV127" s="141"/>
      <c r="FW127" s="142"/>
      <c r="FX127" s="140">
        <f>+'1896 Hacienda'!L29</f>
        <v>1367</v>
      </c>
      <c r="FY127" s="141">
        <f>+'1896 Hacienda'!M29</f>
        <v>50</v>
      </c>
      <c r="FZ127" s="142"/>
      <c r="GA127" s="140">
        <f>+'1898 Hacienda'!E27</f>
        <v>4166</v>
      </c>
      <c r="GB127" s="141">
        <f>+'1898 Hacienda'!F27</f>
        <v>50</v>
      </c>
      <c r="GC127" s="142"/>
      <c r="GD127" s="140">
        <f>+'1898 Hacienda'!K27</f>
        <v>4071</v>
      </c>
      <c r="GE127" s="141">
        <f>+'1898 Hacienda'!L27</f>
        <v>50</v>
      </c>
      <c r="GF127" s="142"/>
      <c r="GG127" s="140"/>
      <c r="GH127" s="141"/>
      <c r="GI127" s="142"/>
      <c r="GJ127" s="140"/>
      <c r="GK127" s="141"/>
      <c r="GL127" s="142"/>
      <c r="GM127" s="140"/>
      <c r="GN127" s="141"/>
      <c r="GO127" s="142"/>
      <c r="GP127" s="140"/>
      <c r="GQ127" s="141"/>
      <c r="GR127" s="142"/>
      <c r="GS127" s="140"/>
      <c r="GT127" s="141"/>
      <c r="GU127" s="142"/>
      <c r="GV127" s="140"/>
      <c r="GW127" s="141"/>
      <c r="GX127" s="142"/>
      <c r="GY127" s="164"/>
      <c r="GZ127" s="134"/>
      <c r="HA127" s="185"/>
      <c r="HB127" s="164"/>
      <c r="HC127" s="185"/>
      <c r="HD127" s="164"/>
      <c r="HE127" s="185"/>
      <c r="HF127" s="164"/>
      <c r="HG127" s="185"/>
      <c r="HH127" s="164"/>
      <c r="HI127" s="185"/>
      <c r="HJ127" s="164"/>
      <c r="HK127" s="185"/>
      <c r="HL127" s="164"/>
      <c r="HM127" s="185"/>
      <c r="HN127" s="164"/>
      <c r="HO127" s="185"/>
      <c r="HP127" s="164"/>
      <c r="HQ127" s="185"/>
      <c r="HR127" s="164"/>
      <c r="HS127" s="185"/>
      <c r="HT127" s="164"/>
      <c r="HU127" s="185"/>
    </row>
    <row r="128" spans="1:229" x14ac:dyDescent="0.2">
      <c r="A128" s="1756" t="str">
        <f>+'1896 Hacienda'!B32</f>
        <v>Barca de Arranca-plumas</v>
      </c>
      <c r="B128" s="131"/>
      <c r="C128" s="134"/>
      <c r="D128" s="133"/>
      <c r="E128" s="131"/>
      <c r="F128" s="134"/>
      <c r="G128" s="133"/>
      <c r="H128" s="131"/>
      <c r="I128" s="134"/>
      <c r="J128" s="133"/>
      <c r="K128" s="131"/>
      <c r="L128" s="134"/>
      <c r="M128" s="133"/>
      <c r="N128" s="131"/>
      <c r="O128" s="134"/>
      <c r="P128" s="133"/>
      <c r="Q128" s="131"/>
      <c r="R128" s="134"/>
      <c r="S128" s="133"/>
      <c r="T128" s="131"/>
      <c r="U128" s="134"/>
      <c r="V128" s="133"/>
      <c r="W128" s="131"/>
      <c r="X128" s="134"/>
      <c r="Y128" s="133"/>
      <c r="Z128" s="131"/>
      <c r="AA128" s="134"/>
      <c r="AB128" s="133"/>
      <c r="AC128" s="131"/>
      <c r="AD128" s="134"/>
      <c r="AE128" s="133"/>
      <c r="AF128" s="131"/>
      <c r="AG128" s="134"/>
      <c r="AH128" s="133"/>
      <c r="AI128" s="145"/>
      <c r="AJ128" s="134"/>
      <c r="AK128" s="133"/>
      <c r="AL128" s="131"/>
      <c r="AM128" s="134"/>
      <c r="AN128" s="133"/>
      <c r="AO128" s="131"/>
      <c r="AP128" s="134"/>
      <c r="AQ128" s="133"/>
      <c r="AR128" s="131"/>
      <c r="AS128" s="134"/>
      <c r="AT128" s="180"/>
      <c r="AU128" s="131"/>
      <c r="AV128" s="185"/>
      <c r="AW128" s="131"/>
      <c r="AX128" s="185"/>
      <c r="AY128" s="131"/>
      <c r="AZ128" s="185"/>
      <c r="BA128" s="131"/>
      <c r="BB128" s="185"/>
      <c r="BC128" s="131"/>
      <c r="BD128" s="185"/>
      <c r="BE128" s="131"/>
      <c r="BF128" s="185"/>
      <c r="BG128" s="131"/>
      <c r="BH128" s="185"/>
      <c r="BI128" s="131"/>
      <c r="BJ128" s="185"/>
      <c r="BK128" s="131"/>
      <c r="BL128" s="185"/>
      <c r="BM128" s="131"/>
      <c r="BN128" s="185"/>
      <c r="BO128" s="131"/>
      <c r="BP128" s="134"/>
      <c r="BQ128" s="131"/>
      <c r="BR128" s="134"/>
      <c r="BS128" s="133"/>
      <c r="BT128" s="145"/>
      <c r="BU128" s="134"/>
      <c r="BV128" s="131"/>
      <c r="BW128" s="134"/>
      <c r="BX128" s="131"/>
      <c r="BY128" s="134"/>
      <c r="BZ128" s="131"/>
      <c r="CA128" s="134"/>
      <c r="CB128" s="133"/>
      <c r="CC128" s="131"/>
      <c r="CD128" s="134"/>
      <c r="CE128" s="133"/>
      <c r="CF128" s="131"/>
      <c r="CG128" s="134"/>
      <c r="CH128" s="133"/>
      <c r="CI128" s="131"/>
      <c r="CK128" s="133"/>
      <c r="CL128" s="131"/>
      <c r="CN128" s="133"/>
      <c r="CO128" s="131"/>
      <c r="CQ128" s="133"/>
      <c r="CR128" s="131"/>
      <c r="CT128" s="133"/>
      <c r="CU128" s="131"/>
      <c r="CV128" s="134"/>
      <c r="CW128" s="133"/>
      <c r="CX128" s="131"/>
      <c r="CY128" s="134"/>
      <c r="CZ128" s="133"/>
      <c r="DA128" s="140"/>
      <c r="DB128" s="141"/>
      <c r="DC128" s="142"/>
      <c r="DD128" s="140"/>
      <c r="DE128" s="141"/>
      <c r="DF128" s="142"/>
      <c r="DG128" s="140"/>
      <c r="DH128" s="141"/>
      <c r="DI128" s="142"/>
      <c r="DJ128" s="140"/>
      <c r="DK128" s="141"/>
      <c r="DL128" s="142"/>
      <c r="DM128" s="140"/>
      <c r="DN128" s="141"/>
      <c r="DO128" s="142"/>
      <c r="DP128" s="140"/>
      <c r="DQ128" s="141"/>
      <c r="DR128" s="142"/>
      <c r="DS128" s="140"/>
      <c r="DT128" s="141"/>
      <c r="DU128" s="142"/>
      <c r="DV128" s="140"/>
      <c r="DW128" s="141"/>
      <c r="DX128" s="142"/>
      <c r="DY128" s="140"/>
      <c r="DZ128" s="141"/>
      <c r="EA128" s="142"/>
      <c r="EB128" s="140"/>
      <c r="EC128" s="141"/>
      <c r="ED128" s="142"/>
      <c r="EE128" s="140"/>
      <c r="EF128" s="141"/>
      <c r="EG128" s="142"/>
      <c r="EH128" s="140"/>
      <c r="EI128" s="141"/>
      <c r="EJ128" s="142"/>
      <c r="EK128" s="140"/>
      <c r="EL128" s="141"/>
      <c r="EM128" s="142"/>
      <c r="EN128" s="140"/>
      <c r="EO128" s="141"/>
      <c r="EP128" s="142"/>
      <c r="EQ128" s="140"/>
      <c r="ER128" s="141"/>
      <c r="ES128" s="142"/>
      <c r="ET128" s="140"/>
      <c r="EU128" s="141"/>
      <c r="EV128" s="142"/>
      <c r="EW128" s="140"/>
      <c r="EX128" s="141"/>
      <c r="EY128" s="142"/>
      <c r="EZ128" s="140"/>
      <c r="FA128" s="141"/>
      <c r="FB128" s="142"/>
      <c r="FC128" s="140"/>
      <c r="FD128" s="141"/>
      <c r="FE128" s="142"/>
      <c r="FF128" s="140"/>
      <c r="FG128" s="141"/>
      <c r="FH128" s="142"/>
      <c r="FI128" s="140"/>
      <c r="FJ128" s="141"/>
      <c r="FK128" s="142"/>
      <c r="FL128" s="140"/>
      <c r="FM128" s="141"/>
      <c r="FN128" s="142"/>
      <c r="FO128" s="140"/>
      <c r="FP128" s="141"/>
      <c r="FQ128" s="142"/>
      <c r="FR128" s="140">
        <f>+'1896 Hacienda'!C32</f>
        <v>3605</v>
      </c>
      <c r="FS128" s="141">
        <f>+'1896 Hacienda'!D32</f>
        <v>87</v>
      </c>
      <c r="FT128" s="142">
        <f>+'1896 Hacienda'!E32</f>
        <v>0.5</v>
      </c>
      <c r="FU128" s="140">
        <f>+'1896 Hacienda'!F32</f>
        <v>3066</v>
      </c>
      <c r="FV128" s="141">
        <f>+'1896 Hacienda'!G32</f>
        <v>65</v>
      </c>
      <c r="FW128" s="142"/>
      <c r="FX128" s="140">
        <f>+'1896 Hacienda'!L32</f>
        <v>7250</v>
      </c>
      <c r="FY128" s="141">
        <f>+'1896 Hacienda'!M32</f>
        <v>70</v>
      </c>
      <c r="FZ128" s="142"/>
      <c r="GA128" s="140">
        <f>+'1898 Hacienda'!E30</f>
        <v>960</v>
      </c>
      <c r="GB128" s="141"/>
      <c r="GC128" s="142"/>
      <c r="GD128" s="140">
        <f>+'1898 Hacienda'!K30</f>
        <v>4800</v>
      </c>
      <c r="GE128" s="141"/>
      <c r="GF128" s="142"/>
      <c r="GG128" s="140"/>
      <c r="GH128" s="141"/>
      <c r="GI128" s="142"/>
      <c r="GJ128" s="140"/>
      <c r="GK128" s="141"/>
      <c r="GL128" s="142"/>
      <c r="GM128" s="140"/>
      <c r="GN128" s="141"/>
      <c r="GO128" s="142"/>
      <c r="GP128" s="140"/>
      <c r="GQ128" s="141"/>
      <c r="GR128" s="142"/>
      <c r="GS128" s="140"/>
      <c r="GT128" s="141"/>
      <c r="GU128" s="142"/>
      <c r="GV128" s="140"/>
      <c r="GW128" s="141"/>
      <c r="GX128" s="142"/>
      <c r="GY128" s="164"/>
      <c r="GZ128" s="134"/>
      <c r="HA128" s="185"/>
      <c r="HB128" s="164"/>
      <c r="HC128" s="185"/>
      <c r="HD128" s="164"/>
      <c r="HE128" s="185"/>
      <c r="HF128" s="164"/>
      <c r="HG128" s="185"/>
      <c r="HH128" s="164"/>
      <c r="HI128" s="185"/>
      <c r="HJ128" s="164"/>
      <c r="HK128" s="185"/>
      <c r="HL128" s="164"/>
      <c r="HM128" s="185"/>
      <c r="HN128" s="164"/>
      <c r="HO128" s="185"/>
      <c r="HP128" s="164"/>
      <c r="HQ128" s="185"/>
      <c r="HR128" s="164"/>
      <c r="HS128" s="185"/>
      <c r="HT128" s="164"/>
      <c r="HU128" s="185"/>
    </row>
    <row r="129" spans="1:229" s="1729" customFormat="1" ht="29.5" customHeight="1" x14ac:dyDescent="0.2">
      <c r="A129" s="272" t="s">
        <v>1170</v>
      </c>
      <c r="B129" s="1757"/>
      <c r="C129" s="1758"/>
      <c r="D129" s="1759"/>
      <c r="E129" s="1757"/>
      <c r="F129" s="1758"/>
      <c r="G129" s="1759"/>
      <c r="H129" s="1757"/>
      <c r="I129" s="1758"/>
      <c r="J129" s="1759"/>
      <c r="K129" s="1757"/>
      <c r="L129" s="1758"/>
      <c r="M129" s="1759"/>
      <c r="N129" s="1757"/>
      <c r="O129" s="1758"/>
      <c r="P129" s="1759"/>
      <c r="Q129" s="1757"/>
      <c r="R129" s="1758"/>
      <c r="S129" s="1759"/>
      <c r="T129" s="1757"/>
      <c r="U129" s="1758"/>
      <c r="V129" s="1759"/>
      <c r="W129" s="1757"/>
      <c r="X129" s="1758"/>
      <c r="Y129" s="1759"/>
      <c r="Z129" s="1757"/>
      <c r="AA129" s="1758"/>
      <c r="AB129" s="1759"/>
      <c r="AC129" s="1757"/>
      <c r="AD129" s="1758"/>
      <c r="AE129" s="1759"/>
      <c r="AF129" s="1757"/>
      <c r="AG129" s="1758"/>
      <c r="AH129" s="1759"/>
      <c r="AI129" s="1760">
        <v>2972549</v>
      </c>
      <c r="AJ129" s="1758">
        <v>1</v>
      </c>
      <c r="AK129" s="1759">
        <f>3/4</f>
        <v>0.75</v>
      </c>
      <c r="AL129" s="1757">
        <v>2972751</v>
      </c>
      <c r="AM129" s="1758">
        <v>7</v>
      </c>
      <c r="AN129" s="1759">
        <v>0.75</v>
      </c>
      <c r="AO129" s="1757">
        <f>'1846 Hacienda'!E69</f>
        <v>4716177</v>
      </c>
      <c r="AP129" s="1758">
        <f>'1846 Hacienda'!F69</f>
        <v>6</v>
      </c>
      <c r="AQ129" s="1759">
        <f>'1846 Hacienda'!G69</f>
        <v>0.75</v>
      </c>
      <c r="AR129" s="1757"/>
      <c r="AS129" s="1758"/>
      <c r="AT129" s="1761"/>
      <c r="AU129" s="1757">
        <f>+'1858 Hacienda'!B118</f>
        <v>2829230</v>
      </c>
      <c r="AV129" s="1762">
        <f>+'1858 Hacienda'!C118</f>
        <v>899</v>
      </c>
      <c r="AW129" s="1757">
        <f>+'1858 Hacienda'!B119</f>
        <v>2705061</v>
      </c>
      <c r="AX129" s="1762">
        <f>+'1858 Hacienda'!C119</f>
        <v>590</v>
      </c>
      <c r="AY129" s="1757">
        <f>+'1858 Hacienda'!B120</f>
        <v>2775508</v>
      </c>
      <c r="AZ129" s="1762">
        <f>+'1858 Hacienda'!C120</f>
        <v>598</v>
      </c>
      <c r="BA129" s="1757">
        <f>+'1858 Hacienda'!B121</f>
        <v>3340131</v>
      </c>
      <c r="BB129" s="1762">
        <f>+'1858 Hacienda'!C121</f>
        <v>249</v>
      </c>
      <c r="BC129" s="1757">
        <f>+'1858 Hacienda'!B122</f>
        <v>1803272</v>
      </c>
      <c r="BD129" s="1762">
        <f>+'1858 Hacienda'!C122</f>
        <v>153</v>
      </c>
      <c r="BE129" s="1757">
        <f>+'1858 Hacienda'!B123</f>
        <v>1766916</v>
      </c>
      <c r="BF129" s="1762">
        <f>+'1858 Hacienda'!C123</f>
        <v>667</v>
      </c>
      <c r="BG129" s="1757">
        <f>+'1858 Hacienda'!B124</f>
        <v>2123485</v>
      </c>
      <c r="BH129" s="1762">
        <f>+'1858 Hacienda'!C124</f>
        <v>705</v>
      </c>
      <c r="BI129" s="1757">
        <f>+'1858 Hacienda'!B125</f>
        <v>1790926</v>
      </c>
      <c r="BJ129" s="1762">
        <f>+'1858 Hacienda'!C125</f>
        <v>139</v>
      </c>
      <c r="BK129" s="1757">
        <f>+'1858 Hacienda'!B126</f>
        <v>3377223</v>
      </c>
      <c r="BL129" s="1762">
        <f>+'1858 Hacienda'!C126</f>
        <v>673</v>
      </c>
      <c r="BM129" s="1757">
        <f>+'1858 Hacienda'!B127</f>
        <v>1880213</v>
      </c>
      <c r="BN129" s="1762">
        <f>+'1858 Hacienda'!C127</f>
        <v>581</v>
      </c>
      <c r="BO129" s="1757">
        <f>+'1858 Hacienda'!B128</f>
        <v>1937053</v>
      </c>
      <c r="BP129" s="1762">
        <f>+'1858 Hacienda'!C128</f>
        <v>395</v>
      </c>
      <c r="BQ129" s="1757">
        <f>+'1858 Hacienda'!B286</f>
        <v>1689065</v>
      </c>
      <c r="BR129" s="1758">
        <f>+'1858 Hacienda'!C286</f>
        <v>23</v>
      </c>
      <c r="BS129" s="1759">
        <f>+'1858 Hacienda'!D286</f>
        <v>0.375</v>
      </c>
      <c r="BT129" s="1760"/>
      <c r="BU129" s="1758"/>
      <c r="BV129" s="1757"/>
      <c r="BW129" s="1758"/>
      <c r="BX129" s="1757"/>
      <c r="BY129" s="1758"/>
      <c r="BZ129" s="1757"/>
      <c r="CA129" s="1758"/>
      <c r="CB129" s="1759"/>
      <c r="CC129" s="1757"/>
      <c r="CD129" s="1758"/>
      <c r="CE129" s="1759"/>
      <c r="CF129" s="1757"/>
      <c r="CG129" s="1758"/>
      <c r="CH129" s="1759"/>
      <c r="CI129" s="1757">
        <f>+'1869 Hacienda'!B52</f>
        <v>2106891</v>
      </c>
      <c r="CJ129" s="1758"/>
      <c r="CK129" s="1759"/>
      <c r="CL129" s="1757">
        <f>+'1869 Hacienda'!C52</f>
        <v>2139651</v>
      </c>
      <c r="CM129" s="1758"/>
      <c r="CN129" s="1759"/>
      <c r="CO129" s="1757">
        <f>+'1869 Hacienda'!D52</f>
        <v>3381621</v>
      </c>
      <c r="CP129" s="1758"/>
      <c r="CQ129" s="1759"/>
      <c r="CR129" s="1757">
        <f>+'1869 Hacienda'!E52</f>
        <v>3065720</v>
      </c>
      <c r="CS129" s="1758"/>
      <c r="CT129" s="1759"/>
      <c r="CU129" s="1757">
        <f>+'1869 Hacienda'!F52</f>
        <v>3297579</v>
      </c>
      <c r="CV129" s="1758"/>
      <c r="CW129" s="1759"/>
      <c r="CX129" s="1757">
        <f>+'1869 Hacienda'!B13</f>
        <v>2883758</v>
      </c>
      <c r="CY129" s="1758"/>
      <c r="CZ129" s="1759"/>
      <c r="DA129" s="1757">
        <f>+'1872 Hacienda'!B18</f>
        <v>3570580</v>
      </c>
      <c r="DB129" s="1758">
        <f>+'1872 Hacienda'!C18</f>
        <v>21</v>
      </c>
      <c r="DC129" s="1759">
        <f>+'1872 Hacienda'!D18</f>
        <v>0.5</v>
      </c>
      <c r="DD129" s="1757"/>
      <c r="DE129" s="1758"/>
      <c r="DF129" s="1759"/>
      <c r="DG129" s="1757"/>
      <c r="DH129" s="1758"/>
      <c r="DI129" s="1759"/>
      <c r="DJ129" s="1757">
        <f>+'1875 Hacienda'!B18</f>
        <v>3921000</v>
      </c>
      <c r="DK129" s="1758"/>
      <c r="DL129" s="1759"/>
      <c r="DM129" s="1757"/>
      <c r="DN129" s="1758"/>
      <c r="DO129" s="1759"/>
      <c r="DP129" s="1757"/>
      <c r="DQ129" s="1758"/>
      <c r="DR129" s="1759"/>
      <c r="DS129" s="1757"/>
      <c r="DT129" s="1758"/>
      <c r="DU129" s="1759"/>
      <c r="DV129" s="1757">
        <f>+'1879 Hacienda'!B54</f>
        <v>4025112</v>
      </c>
      <c r="DW129" s="1758">
        <f>+'1879 Hacienda'!C54</f>
        <v>15</v>
      </c>
      <c r="DX129" s="1759"/>
      <c r="DY129" s="1757">
        <f>+'1880 Hacienda'!B18</f>
        <v>5919547</v>
      </c>
      <c r="DZ129" s="1758">
        <f>+'1880 Hacienda'!C18</f>
        <v>98</v>
      </c>
      <c r="EA129" s="1759">
        <f>+'1880 Hacienda'!D18</f>
        <v>0.5</v>
      </c>
      <c r="EB129" s="1757">
        <f>+'1881 Hacienda'!B18</f>
        <v>6025835</v>
      </c>
      <c r="EC129" s="1758">
        <f>+'1881 Hacienda'!C18</f>
        <v>959</v>
      </c>
      <c r="ED129" s="1759">
        <f>+'1881 Hacienda'!D18</f>
        <v>0.5</v>
      </c>
      <c r="EE129" s="1757">
        <f>+'1882 Hacienda'!B19</f>
        <v>7019094</v>
      </c>
      <c r="EF129" s="1758">
        <f>+'1882 Hacienda'!C19</f>
        <v>33</v>
      </c>
      <c r="EG129" s="1759">
        <f>+'1882 Hacienda'!D19</f>
        <v>0.5</v>
      </c>
      <c r="EH129" s="1757">
        <f>+'1883 Hacienda'!B12</f>
        <v>5810890</v>
      </c>
      <c r="EI129" s="1758">
        <f>+'1883 Hacienda'!C12</f>
        <v>57</v>
      </c>
      <c r="EJ129" s="1759">
        <f>+'1883 Hacienda'!D12</f>
        <v>0.5</v>
      </c>
      <c r="EK129" s="1757"/>
      <c r="EL129" s="1760"/>
      <c r="EM129" s="1759"/>
      <c r="EN129" s="1757"/>
      <c r="EO129" s="1760"/>
      <c r="EP129" s="1759"/>
      <c r="EQ129" s="1757"/>
      <c r="ER129" s="1760"/>
      <c r="ES129" s="1759"/>
      <c r="ET129" s="1757"/>
      <c r="EU129" s="1760"/>
      <c r="EV129" s="1759"/>
      <c r="EW129" s="1757"/>
      <c r="EX129" s="1760"/>
      <c r="EY129" s="1759"/>
      <c r="EZ129" s="1757"/>
      <c r="FA129" s="1760"/>
      <c r="FB129" s="1759"/>
      <c r="FC129" s="1757">
        <f>+'1890 Hacienda'!B238</f>
        <v>25375705</v>
      </c>
      <c r="FD129" s="1760">
        <f>+'1890 Hacienda'!C238</f>
        <v>73</v>
      </c>
      <c r="FE129" s="1759">
        <f>+'1890 Hacienda'!D238</f>
        <v>0.25</v>
      </c>
      <c r="FF129" s="1757">
        <f>+'1890 Hacienda'!E238</f>
        <v>14014543</v>
      </c>
      <c r="FG129" s="1760">
        <f>+'1890 Hacienda'!F238</f>
        <v>93</v>
      </c>
      <c r="FH129" s="1759">
        <f>+'1890 Hacienda'!G238</f>
        <v>0.5</v>
      </c>
      <c r="FI129" s="1757"/>
      <c r="FJ129" s="1760"/>
      <c r="FK129" s="1759"/>
      <c r="FL129" s="1757">
        <f>+'1894 Hacienda'!C31</f>
        <v>13557646</v>
      </c>
      <c r="FM129" s="1760">
        <f>+'1894 Hacienda'!D31</f>
        <v>56</v>
      </c>
      <c r="FN129" s="1759"/>
      <c r="FO129" s="1757">
        <f>+'1894 Hacienda'!F31</f>
        <v>12465513</v>
      </c>
      <c r="FP129" s="1760">
        <f>+'1894 Hacienda'!G31</f>
        <v>67</v>
      </c>
      <c r="FQ129" s="1759"/>
      <c r="FR129" s="1757">
        <f>+'1896 Hacienda'!C33</f>
        <v>14038788</v>
      </c>
      <c r="FS129" s="1760">
        <f>+'1896 Hacienda'!D33</f>
        <v>5</v>
      </c>
      <c r="FT129" s="1759">
        <f>+'1896 Hacienda'!E33</f>
        <v>0.5</v>
      </c>
      <c r="FU129" s="1757">
        <f>+'1896 Hacienda'!F33</f>
        <v>13273592</v>
      </c>
      <c r="FV129" s="1760">
        <f>+'1896 Hacienda'!G33</f>
        <v>96</v>
      </c>
      <c r="FW129" s="1759">
        <f>+'1896 Hacienda'!H33</f>
        <v>0.5</v>
      </c>
      <c r="FX129" s="1757">
        <f>+'1896 Hacienda'!L33</f>
        <v>16242784</v>
      </c>
      <c r="FY129" s="1760">
        <f>+'1896 Hacienda'!M33</f>
        <v>39</v>
      </c>
      <c r="FZ129" s="1759">
        <f>+'1896 Hacienda'!N33</f>
        <v>0.5</v>
      </c>
      <c r="GA129" s="1757">
        <f>+'1898 Hacienda'!E31</f>
        <v>20444489</v>
      </c>
      <c r="GB129" s="1760">
        <f>+'1898 Hacienda'!F31</f>
        <v>40</v>
      </c>
      <c r="GC129" s="1759">
        <f>+'1898 Hacienda'!G31</f>
        <v>0.5</v>
      </c>
      <c r="GD129" s="1757">
        <f>+'1898 Hacienda'!K31</f>
        <v>19519431</v>
      </c>
      <c r="GE129" s="1760">
        <f>+'1898 Hacienda'!L31</f>
        <v>46</v>
      </c>
      <c r="GF129" s="1759">
        <f>+'1898 Hacienda'!M31</f>
        <v>0.5</v>
      </c>
      <c r="GG129" s="1757"/>
      <c r="GH129" s="1760"/>
      <c r="GI129" s="1759"/>
      <c r="GJ129" s="1757"/>
      <c r="GK129" s="1760"/>
      <c r="GL129" s="1759"/>
      <c r="GM129" s="1757"/>
      <c r="GN129" s="1760"/>
      <c r="GO129" s="1759"/>
      <c r="GP129" s="1757"/>
      <c r="GQ129" s="1760"/>
      <c r="GR129" s="1759"/>
      <c r="GS129" s="1757"/>
      <c r="GT129" s="1760"/>
      <c r="GU129" s="1759"/>
      <c r="GV129" s="1757"/>
      <c r="GW129" s="1760"/>
      <c r="GX129" s="1759"/>
      <c r="GY129" s="1763"/>
      <c r="HA129" s="1764"/>
      <c r="HB129" s="1757">
        <f>'1910 Hacienda'!C22</f>
        <v>9149012</v>
      </c>
      <c r="HC129" s="1762">
        <f>'1910 Hacienda'!D22</f>
        <v>20</v>
      </c>
      <c r="HD129" s="1757">
        <f>'1910 Hacienda'!C50</f>
        <v>13935674</v>
      </c>
      <c r="HE129" s="1762">
        <f>'1910 Hacienda'!D50</f>
        <v>22</v>
      </c>
      <c r="HF129" s="1757">
        <f>'1910 Hacienda'!C80</f>
        <v>15829655</v>
      </c>
      <c r="HG129" s="1762">
        <f>'1910 Hacienda'!D80</f>
        <v>59</v>
      </c>
      <c r="HH129" s="1757">
        <f>'1910 Hacienda'!C121</f>
        <v>16138444</v>
      </c>
      <c r="HI129" s="1762">
        <f>'1910 Hacienda'!D121</f>
        <v>48</v>
      </c>
      <c r="HJ129" s="1757">
        <f>+'1910 Hacienda'!C158</f>
        <v>14437100</v>
      </c>
      <c r="HK129" s="1762">
        <f>+'1910 Hacienda'!D158</f>
        <v>4</v>
      </c>
      <c r="HL129" s="1757">
        <f>+'1911 Hacienda'!B49</f>
        <v>12220760</v>
      </c>
      <c r="HM129" s="1762">
        <f>+'1911 Hacienda'!C49</f>
        <v>44</v>
      </c>
      <c r="HN129" s="1757">
        <f>+'1912 Hacienda'!B66</f>
        <v>12450489</v>
      </c>
      <c r="HO129" s="1762">
        <f>+'1912 Hacienda'!C66</f>
        <v>46</v>
      </c>
      <c r="HP129" s="1757">
        <f>+'1912 Hacienda'!B35</f>
        <v>13862317</v>
      </c>
      <c r="HQ129" s="1762">
        <f>+'1912 Hacienda'!C35</f>
        <v>37</v>
      </c>
      <c r="HR129" s="1757">
        <f>+'1915 Hacienda'!D42</f>
        <v>17385921</v>
      </c>
      <c r="HS129" s="1762">
        <f>+'1915 Hacienda'!E42</f>
        <v>58</v>
      </c>
      <c r="HT129" s="1757">
        <f>+'1915 Hacienda'!D39</f>
        <v>13649582</v>
      </c>
      <c r="HU129" s="1762">
        <f>+'1915 Hacienda'!E39</f>
        <v>6</v>
      </c>
    </row>
    <row r="130" spans="1:229" s="1732" customFormat="1" x14ac:dyDescent="0.2">
      <c r="B130" s="434"/>
      <c r="C130" s="435"/>
      <c r="D130" s="1765"/>
      <c r="E130" s="434"/>
      <c r="F130" s="435"/>
      <c r="G130" s="1765"/>
      <c r="H130" s="434"/>
      <c r="I130" s="435"/>
      <c r="J130" s="1765"/>
      <c r="K130" s="434"/>
      <c r="L130" s="435"/>
      <c r="M130" s="1765"/>
      <c r="N130" s="434"/>
      <c r="O130" s="435"/>
      <c r="P130" s="1765"/>
      <c r="Q130" s="434"/>
      <c r="R130" s="435"/>
      <c r="S130" s="1765"/>
      <c r="T130" s="434"/>
      <c r="U130" s="435"/>
      <c r="V130" s="1765"/>
      <c r="W130" s="434"/>
      <c r="X130" s="435"/>
      <c r="Y130" s="1765"/>
      <c r="Z130" s="434"/>
      <c r="AA130" s="435"/>
      <c r="AB130" s="1765"/>
      <c r="AC130" s="434"/>
      <c r="AD130" s="435"/>
      <c r="AE130" s="1765"/>
      <c r="AF130" s="434"/>
      <c r="AG130" s="435"/>
      <c r="AH130" s="1765"/>
      <c r="AI130" s="435">
        <f>AI2+AI9+AI10+AI12+AI14+AI32</f>
        <v>2972547</v>
      </c>
      <c r="AJ130" s="435">
        <f>AJ2+AJ9+AJ10+AJ12+AJ14+AJ32</f>
        <v>18</v>
      </c>
      <c r="AK130" s="1765">
        <f>AK2+AK9+AK10+AK12+AK14+AK32</f>
        <v>1.75</v>
      </c>
      <c r="AL130" s="434">
        <f t="shared" ref="AL130:AQ130" si="0">AL2+AL9+AL10+AL12+AL15+AL16+AL19+AL20+AL21+AL22+AL23+AL24+AL27+AL28+AL29+AL30+AL31+AL33</f>
        <v>2972742</v>
      </c>
      <c r="AM130" s="435">
        <f t="shared" si="0"/>
        <v>75</v>
      </c>
      <c r="AN130" s="1765">
        <f t="shared" si="0"/>
        <v>8.75</v>
      </c>
      <c r="AO130" s="434">
        <f t="shared" si="0"/>
        <v>4716170</v>
      </c>
      <c r="AP130" s="435">
        <f t="shared" si="0"/>
        <v>58</v>
      </c>
      <c r="AQ130" s="1765">
        <f t="shared" si="0"/>
        <v>7.5</v>
      </c>
      <c r="AR130" s="434"/>
      <c r="AS130" s="435"/>
      <c r="AT130" s="1765"/>
      <c r="AU130" s="434"/>
      <c r="AV130" s="435"/>
      <c r="AW130" s="434">
        <f>+SUM(AW2:AW108)</f>
        <v>2705050</v>
      </c>
      <c r="AX130" s="434">
        <f>+SUM(AX2:AX108)</f>
        <v>11590</v>
      </c>
      <c r="AY130" s="1766">
        <f>+SUM(AY2:AY108)</f>
        <v>2775498</v>
      </c>
      <c r="AZ130" s="1766">
        <f>+SUM(AZ2:AZ106)</f>
        <v>10598</v>
      </c>
      <c r="BA130" s="1766">
        <f>+SUM(BA2:BA106)</f>
        <v>3340122</v>
      </c>
      <c r="BB130" s="1766">
        <f>+SUM(BB2:BB106)</f>
        <v>9249</v>
      </c>
      <c r="BC130" s="434">
        <f>+SUM(BC2:BC111)</f>
        <v>1803261</v>
      </c>
      <c r="BD130" s="434">
        <f>+SUM(BD2:BD111)</f>
        <v>11153</v>
      </c>
      <c r="BE130" s="434">
        <f>+SUM(BE2:BE112)</f>
        <v>1766911</v>
      </c>
      <c r="BF130" s="434">
        <f>+SUM(BF2:BF112)</f>
        <v>5667</v>
      </c>
      <c r="BG130" s="434">
        <f>+SUM(BG2:BG112)</f>
        <v>2123477</v>
      </c>
      <c r="BH130" s="434">
        <f>+SUM(BH2:BH112)</f>
        <v>8705</v>
      </c>
      <c r="BI130" s="434">
        <f>+SUM(BI2:BI113)</f>
        <v>1790819</v>
      </c>
      <c r="BJ130" s="434">
        <f>+SUM(BJ2:BJ112)</f>
        <v>7139</v>
      </c>
      <c r="BK130" s="434">
        <f>+SUM(BK2:BK114)</f>
        <v>3377217</v>
      </c>
      <c r="BL130" s="434">
        <f>+SUM(BL2:BL112)</f>
        <v>5678</v>
      </c>
      <c r="BM130" s="1767">
        <f>+SUM(BM2:BM114)</f>
        <v>1880206</v>
      </c>
      <c r="BN130" s="1767">
        <f>+SUM(BN2:BN112)</f>
        <v>7581</v>
      </c>
      <c r="BO130" s="434"/>
      <c r="BP130" s="435"/>
      <c r="BQ130" s="434">
        <f>+SUM(BQ2:BQ114)</f>
        <v>1689061</v>
      </c>
      <c r="BR130" s="435">
        <f>+SUM(BR2:BR114)</f>
        <v>420</v>
      </c>
      <c r="BS130" s="1765">
        <f>+SUM(BS2:BS114)</f>
        <v>2.375</v>
      </c>
      <c r="BT130" s="434"/>
      <c r="BU130" s="435"/>
      <c r="BV130" s="434"/>
      <c r="BW130" s="435"/>
      <c r="BX130" s="434"/>
      <c r="BY130" s="435"/>
      <c r="BZ130" s="434"/>
      <c r="CA130" s="435"/>
      <c r="CB130" s="1765"/>
      <c r="CC130" s="434"/>
      <c r="CD130" s="435"/>
      <c r="CE130" s="1765"/>
      <c r="CF130" s="434"/>
      <c r="CG130" s="435"/>
      <c r="CH130" s="1765"/>
      <c r="CI130" s="434">
        <f>+SUM(CI2:CI115)</f>
        <v>2106891</v>
      </c>
      <c r="CJ130" s="435"/>
      <c r="CK130" s="1765"/>
      <c r="CL130" s="1768">
        <f>+SUM(CL2:CL115)</f>
        <v>2138651</v>
      </c>
      <c r="CM130" s="1175"/>
      <c r="CN130" s="1769"/>
      <c r="CO130" s="1768">
        <f>+SUM(CO2:CO115)</f>
        <v>3381421</v>
      </c>
      <c r="CP130" s="1175"/>
      <c r="CQ130" s="1769"/>
      <c r="CR130" s="1768">
        <f>+SUM(CR2:CR115)</f>
        <v>2965610</v>
      </c>
      <c r="CS130" s="1175"/>
      <c r="CT130" s="1769"/>
      <c r="CU130" s="1768">
        <f>+SUM(CU2:CU117)</f>
        <v>3288379</v>
      </c>
      <c r="CV130" s="1175"/>
      <c r="CW130" s="1769"/>
      <c r="CX130" s="434">
        <f>+SUM(CX2:CX115)</f>
        <v>2883758</v>
      </c>
      <c r="CY130" s="435">
        <f>+SUM(CY2:CY115)</f>
        <v>0</v>
      </c>
      <c r="CZ130" s="1765">
        <f>+SUM(CZ2:CZ115)</f>
        <v>0</v>
      </c>
      <c r="DA130" s="434">
        <f>+SUM(DA2:DA117)</f>
        <v>3570575</v>
      </c>
      <c r="DB130" s="435">
        <f>+SUM(DB2:DB117)</f>
        <v>520</v>
      </c>
      <c r="DC130" s="1765">
        <f>+SUM(DC2:DC117)</f>
        <v>1.5</v>
      </c>
      <c r="DD130" s="434"/>
      <c r="DE130" s="435"/>
      <c r="DF130" s="1765"/>
      <c r="DG130" s="434"/>
      <c r="DH130" s="435"/>
      <c r="DI130" s="1765"/>
      <c r="DJ130" s="434">
        <f>+SUM(DJ2:DJ117)</f>
        <v>3921000</v>
      </c>
      <c r="DK130" s="435"/>
      <c r="DL130" s="1765"/>
      <c r="DM130" s="434"/>
      <c r="DN130" s="435"/>
      <c r="DO130" s="1765"/>
      <c r="DP130" s="434"/>
      <c r="DQ130" s="435"/>
      <c r="DR130" s="1765"/>
      <c r="DS130" s="434"/>
      <c r="DT130" s="435"/>
      <c r="DU130" s="1765"/>
      <c r="DV130" s="434"/>
      <c r="DW130" s="435"/>
      <c r="DX130" s="1765"/>
      <c r="DY130" s="434">
        <f t="shared" ref="DY130:ED130" si="1">+SUM(DY2:DY117)</f>
        <v>5919544</v>
      </c>
      <c r="DZ130" s="435">
        <f t="shared" si="1"/>
        <v>398</v>
      </c>
      <c r="EA130" s="1765">
        <f t="shared" si="1"/>
        <v>0.5</v>
      </c>
      <c r="EB130" s="434">
        <f t="shared" si="1"/>
        <v>6025830</v>
      </c>
      <c r="EC130" s="435">
        <f t="shared" si="1"/>
        <v>5959</v>
      </c>
      <c r="ED130" s="1765">
        <f t="shared" si="1"/>
        <v>0.5</v>
      </c>
      <c r="EE130" s="434">
        <f t="shared" ref="EE130:EJ130" si="2">+SUM(EE2:EE119)</f>
        <v>10949952</v>
      </c>
      <c r="EF130" s="435">
        <f t="shared" si="2"/>
        <v>432</v>
      </c>
      <c r="EG130" s="1765">
        <f t="shared" si="2"/>
        <v>1.5</v>
      </c>
      <c r="EH130" s="434">
        <f t="shared" si="2"/>
        <v>5810889</v>
      </c>
      <c r="EI130" s="435">
        <f t="shared" si="2"/>
        <v>157</v>
      </c>
      <c r="EJ130" s="1765">
        <f t="shared" si="2"/>
        <v>0.5</v>
      </c>
      <c r="EK130" s="246"/>
      <c r="EL130" s="1117"/>
      <c r="EM130" s="1770"/>
      <c r="EN130" s="246"/>
      <c r="EO130" s="1117"/>
      <c r="EP130" s="1770"/>
      <c r="EQ130" s="246"/>
      <c r="ER130" s="1117"/>
      <c r="ES130" s="1770"/>
      <c r="ET130" s="246"/>
      <c r="EU130" s="1117"/>
      <c r="EV130" s="1770"/>
      <c r="EW130" s="246"/>
      <c r="EX130" s="1117"/>
      <c r="EY130" s="1770"/>
      <c r="EZ130" s="246"/>
      <c r="FA130" s="1117"/>
      <c r="FB130" s="1770"/>
      <c r="FC130" s="246">
        <f>+SUM(FC2:FC122)</f>
        <v>25375700</v>
      </c>
      <c r="FD130" s="1117">
        <f>+SUM(FD2:FD122)</f>
        <v>572</v>
      </c>
      <c r="FE130" s="1770">
        <f>+SUM(FE2:FE122)</f>
        <v>1.25</v>
      </c>
      <c r="FF130" s="246">
        <f>+SUM(FF2:FF122)-(FF17+FF18)</f>
        <v>14014538</v>
      </c>
      <c r="FG130" s="1117">
        <f>+SUM(FG2:FG122)</f>
        <v>633</v>
      </c>
      <c r="FH130" s="1770">
        <f>+SUM(FH2:FH122)</f>
        <v>0.5</v>
      </c>
      <c r="FI130" s="246"/>
      <c r="FJ130" s="1117"/>
      <c r="FK130" s="1770"/>
      <c r="FL130" s="246">
        <f>+SUM(FL2:FL125)</f>
        <v>13557641</v>
      </c>
      <c r="FM130" s="1117">
        <f t="shared" ref="FM130:FQ130" si="3">+SUM(FM2:FM125)</f>
        <v>555</v>
      </c>
      <c r="FN130" s="1770">
        <f t="shared" si="3"/>
        <v>1</v>
      </c>
      <c r="FO130" s="246">
        <f>+SUM(FO2:FO125)</f>
        <v>12465505</v>
      </c>
      <c r="FP130" s="1117">
        <f t="shared" si="3"/>
        <v>865</v>
      </c>
      <c r="FQ130" s="1770">
        <f t="shared" si="3"/>
        <v>2</v>
      </c>
      <c r="FR130" s="246">
        <f>+SUM(FR2:FR128)</f>
        <v>14038781</v>
      </c>
      <c r="FS130" s="1117">
        <f t="shared" ref="FS130:FW130" si="4">+SUM(FS2:FS128)</f>
        <v>703</v>
      </c>
      <c r="FT130" s="1770">
        <f t="shared" si="4"/>
        <v>2.5</v>
      </c>
      <c r="FU130" s="246">
        <f t="shared" si="4"/>
        <v>13273585</v>
      </c>
      <c r="FV130" s="1117">
        <f t="shared" si="4"/>
        <v>796</v>
      </c>
      <c r="FW130" s="1770">
        <f t="shared" si="4"/>
        <v>0.5</v>
      </c>
      <c r="FX130" s="246">
        <f>+SUM(FX2:FX128)-(FX66+FX62)</f>
        <v>16242776</v>
      </c>
      <c r="FY130" s="1117">
        <f>+SUM(FY2:FY128)-(FY66+FY62)</f>
        <v>839</v>
      </c>
      <c r="FZ130" s="1770">
        <f>+SUM(FZ2:FZ128)-(FZ66+FZ62)</f>
        <v>0.5</v>
      </c>
      <c r="GA130" s="246">
        <f>+SUM(GA2:GA128)</f>
        <v>20444481</v>
      </c>
      <c r="GB130" s="1117">
        <f t="shared" ref="GB130:GC130" si="5">+SUM(GB2:GB128)</f>
        <v>839</v>
      </c>
      <c r="GC130" s="1770">
        <f t="shared" si="5"/>
        <v>1.5</v>
      </c>
      <c r="GD130" s="246">
        <f>+SUM(GD2:GD128)</f>
        <v>19519421</v>
      </c>
      <c r="GE130" s="1117">
        <f>+SUM(GE2:GE128)</f>
        <v>1046</v>
      </c>
      <c r="GF130" s="1770">
        <f>+SUM(GF2:GF128)</f>
        <v>0.5</v>
      </c>
      <c r="GG130" s="246"/>
      <c r="GH130" s="1117"/>
      <c r="GI130" s="1770"/>
      <c r="GJ130" s="246"/>
      <c r="GK130" s="1117"/>
      <c r="GL130" s="1770"/>
      <c r="GM130" s="246"/>
      <c r="GN130" s="1117"/>
      <c r="GO130" s="1770"/>
      <c r="GP130" s="246"/>
      <c r="GQ130" s="1117"/>
      <c r="GR130" s="1770"/>
      <c r="GS130" s="246"/>
      <c r="GT130" s="1117"/>
      <c r="GU130" s="1770"/>
      <c r="GV130" s="246"/>
      <c r="GW130" s="1117"/>
      <c r="GX130" s="1770"/>
      <c r="HB130" s="393">
        <f>+SUM(HB2:HB57)</f>
        <v>9149004</v>
      </c>
      <c r="HC130" s="393">
        <f>+SUM(HC2:HC57)</f>
        <v>820</v>
      </c>
      <c r="HD130" s="393">
        <f>SUM(HD2:HD69)</f>
        <v>13935665</v>
      </c>
      <c r="HE130" s="393">
        <f>SUM(HE2:HE69)</f>
        <v>922</v>
      </c>
      <c r="HF130" s="393">
        <f>+SUM(HF2:HF71)</f>
        <v>15829645</v>
      </c>
      <c r="HG130" s="393">
        <f>+SUM(HG2:HG71)</f>
        <v>1059</v>
      </c>
      <c r="HH130" s="393">
        <f>+SUM(HH2:HH85)</f>
        <v>16138397</v>
      </c>
      <c r="HI130" s="393">
        <f>+SUM(HI2:HI85)</f>
        <v>1748</v>
      </c>
      <c r="HJ130" s="393">
        <f>+SUM(HJ2:HJ88)</f>
        <v>14437087</v>
      </c>
      <c r="HK130" s="393">
        <f>+SUM(HK2:HK88)</f>
        <v>1304</v>
      </c>
      <c r="HL130" s="393">
        <f>+SUM(HL2:HL92)</f>
        <v>12529547</v>
      </c>
      <c r="HM130" s="393">
        <f>+SUM(HM7:HM92)</f>
        <v>1226</v>
      </c>
      <c r="HP130" s="393">
        <f>+HP2+HP3+HP9+HP17+HP18+HP19+HP34+HP35+HP36+HP39+HP43+HP46+HP47+HP53+HP55+HP68+HP88+HP90+HP91+HP93+HP94+HP95</f>
        <v>13862308</v>
      </c>
      <c r="HQ130" s="393">
        <f>+SUM(HQ2:HQ95)</f>
        <v>937</v>
      </c>
      <c r="HT130" s="393">
        <f>+HT4+HT5+HT6+HT7+HT9+HT17+HT18+HT19+HT34+HT35+HT36+HT39+HT42+HT44+HT45+HT46+HT47+HT53+HT55+HT68+HT88+HT90+HT91+HT96+HT97+HT98+HT99</f>
        <v>13649570</v>
      </c>
      <c r="HU130" s="393">
        <f>+SUM(HU4:HV99)</f>
        <v>1206</v>
      </c>
    </row>
    <row r="131" spans="1:229" x14ac:dyDescent="0.2">
      <c r="B131" s="107"/>
      <c r="D131" s="555"/>
      <c r="E131" s="107"/>
      <c r="G131" s="555"/>
      <c r="H131" s="107"/>
      <c r="J131" s="555"/>
      <c r="K131" s="107"/>
      <c r="M131" s="555"/>
      <c r="N131" s="107"/>
      <c r="P131" s="555"/>
      <c r="Q131" s="107"/>
      <c r="S131" s="555"/>
      <c r="T131" s="107"/>
      <c r="V131" s="555"/>
      <c r="W131" s="107"/>
      <c r="Y131" s="555"/>
      <c r="Z131" s="107"/>
      <c r="AB131" s="555"/>
      <c r="AC131" s="107"/>
      <c r="AE131" s="555"/>
      <c r="AF131" s="107"/>
      <c r="AH131" s="555"/>
      <c r="AI131" s="107"/>
      <c r="AK131" s="555"/>
      <c r="AL131" s="107"/>
      <c r="AN131" s="555"/>
      <c r="AO131" s="107"/>
      <c r="AQ131" s="555"/>
      <c r="AR131" s="107"/>
      <c r="AT131" s="555"/>
      <c r="AU131" s="107"/>
      <c r="AW131" s="107"/>
      <c r="AY131" s="107"/>
      <c r="BA131" s="107"/>
      <c r="BC131" s="107"/>
      <c r="BE131" s="107"/>
      <c r="BG131" s="107"/>
      <c r="BI131" s="107"/>
      <c r="BK131" s="107"/>
      <c r="BM131" s="107"/>
      <c r="BO131" s="107"/>
      <c r="BQ131" s="107"/>
      <c r="BS131" s="555"/>
      <c r="BT131" s="107"/>
      <c r="BV131" s="107"/>
      <c r="BX131" s="107"/>
      <c r="BZ131" s="107"/>
      <c r="CB131" s="555"/>
      <c r="CC131" s="107"/>
      <c r="CE131" s="555"/>
      <c r="CF131" s="107"/>
      <c r="CH131" s="555"/>
      <c r="CI131" s="107"/>
      <c r="CK131" s="555"/>
      <c r="CL131" s="107"/>
      <c r="CN131" s="555"/>
      <c r="CO131" s="107"/>
      <c r="CQ131" s="555"/>
      <c r="CR131" s="107"/>
      <c r="CT131" s="555"/>
      <c r="CU131" s="107"/>
      <c r="CW131" s="555"/>
      <c r="CX131" s="107"/>
      <c r="CZ131" s="555"/>
      <c r="EK131" s="107"/>
      <c r="EL131" s="107"/>
      <c r="EN131" s="107"/>
      <c r="EO131" s="107"/>
      <c r="EQ131" s="107"/>
      <c r="ER131" s="107"/>
      <c r="ET131" s="107"/>
      <c r="EU131" s="107"/>
      <c r="EW131" s="107"/>
      <c r="EX131" s="107"/>
      <c r="EZ131" s="107"/>
      <c r="FA131" s="107"/>
      <c r="FC131" s="107"/>
      <c r="FD131" s="107"/>
      <c r="FF131" s="107"/>
      <c r="FG131" s="107"/>
      <c r="FI131" s="107"/>
      <c r="FJ131" s="107"/>
      <c r="FL131" s="107"/>
      <c r="FM131" s="107"/>
      <c r="FO131" s="107"/>
      <c r="FP131" s="107"/>
      <c r="FR131" s="107"/>
      <c r="FS131" s="107"/>
      <c r="FU131" s="107"/>
      <c r="FV131" s="107"/>
      <c r="FX131" s="107"/>
      <c r="FY131" s="107"/>
      <c r="GA131" s="107"/>
      <c r="GB131" s="107"/>
      <c r="GD131" s="107"/>
      <c r="GE131" s="107"/>
      <c r="GG131" s="107"/>
      <c r="GH131" s="107"/>
      <c r="GJ131" s="107"/>
      <c r="GK131" s="107"/>
      <c r="GM131" s="107"/>
      <c r="GN131" s="107"/>
      <c r="GP131" s="107"/>
      <c r="GQ131" s="107"/>
      <c r="GS131" s="107"/>
      <c r="GT131" s="107"/>
      <c r="GV131" s="107"/>
      <c r="GW131" s="107"/>
    </row>
  </sheetData>
  <mergeCells count="84">
    <mergeCell ref="HJ1:HK1"/>
    <mergeCell ref="HL1:HM1"/>
    <mergeCell ref="HN1:HO1"/>
    <mergeCell ref="HP1:HQ1"/>
    <mergeCell ref="HR1:HS1"/>
    <mergeCell ref="HT1:HU1"/>
    <mergeCell ref="GV1:GX1"/>
    <mergeCell ref="GY1:HA1"/>
    <mergeCell ref="HB1:HC1"/>
    <mergeCell ref="HD1:HE1"/>
    <mergeCell ref="HF1:HG1"/>
    <mergeCell ref="HH1:HI1"/>
    <mergeCell ref="GD1:GF1"/>
    <mergeCell ref="GG1:GI1"/>
    <mergeCell ref="GJ1:GL1"/>
    <mergeCell ref="GM1:GO1"/>
    <mergeCell ref="GP1:GR1"/>
    <mergeCell ref="GS1:GU1"/>
    <mergeCell ref="FL1:FN1"/>
    <mergeCell ref="FO1:FQ1"/>
    <mergeCell ref="FR1:FT1"/>
    <mergeCell ref="FU1:FW1"/>
    <mergeCell ref="FX1:FZ1"/>
    <mergeCell ref="GA1:GC1"/>
    <mergeCell ref="ET1:EV1"/>
    <mergeCell ref="EW1:EY1"/>
    <mergeCell ref="EZ1:FB1"/>
    <mergeCell ref="FC1:FE1"/>
    <mergeCell ref="FF1:FH1"/>
    <mergeCell ref="FI1:FK1"/>
    <mergeCell ref="EB1:ED1"/>
    <mergeCell ref="EE1:EG1"/>
    <mergeCell ref="EH1:EJ1"/>
    <mergeCell ref="EK1:EM1"/>
    <mergeCell ref="EN1:EP1"/>
    <mergeCell ref="EQ1:ES1"/>
    <mergeCell ref="DJ1:DL1"/>
    <mergeCell ref="DM1:DO1"/>
    <mergeCell ref="DP1:DR1"/>
    <mergeCell ref="DS1:DU1"/>
    <mergeCell ref="DV1:DX1"/>
    <mergeCell ref="DY1:EA1"/>
    <mergeCell ref="CR1:CT1"/>
    <mergeCell ref="CU1:CW1"/>
    <mergeCell ref="CX1:CZ1"/>
    <mergeCell ref="DA1:DC1"/>
    <mergeCell ref="DD1:DF1"/>
    <mergeCell ref="DG1:DI1"/>
    <mergeCell ref="BZ1:CB1"/>
    <mergeCell ref="CC1:CE1"/>
    <mergeCell ref="CF1:CH1"/>
    <mergeCell ref="CI1:CK1"/>
    <mergeCell ref="CL1:CN1"/>
    <mergeCell ref="CO1:CQ1"/>
    <mergeCell ref="BM1:BN1"/>
    <mergeCell ref="BO1:BP1"/>
    <mergeCell ref="BQ1:BS1"/>
    <mergeCell ref="BT1:BU1"/>
    <mergeCell ref="BV1:BW1"/>
    <mergeCell ref="BX1:BY1"/>
    <mergeCell ref="BA1:BB1"/>
    <mergeCell ref="BC1:BD1"/>
    <mergeCell ref="BE1:BF1"/>
    <mergeCell ref="BG1:BH1"/>
    <mergeCell ref="BI1:BJ1"/>
    <mergeCell ref="BK1:BL1"/>
    <mergeCell ref="AL1:AN1"/>
    <mergeCell ref="AO1:AQ1"/>
    <mergeCell ref="AR1:AT1"/>
    <mergeCell ref="AU1:AV1"/>
    <mergeCell ref="AW1:AX1"/>
    <mergeCell ref="AY1:AZ1"/>
    <mergeCell ref="T1:V1"/>
    <mergeCell ref="W1:Y1"/>
    <mergeCell ref="Z1:AB1"/>
    <mergeCell ref="AC1:AE1"/>
    <mergeCell ref="AF1:AH1"/>
    <mergeCell ref="AI1:AK1"/>
    <mergeCell ref="B1:D1"/>
    <mergeCell ref="E1:G1"/>
    <mergeCell ref="H1:J1"/>
    <mergeCell ref="K1:M1"/>
    <mergeCell ref="N1:P1"/>
    <mergeCell ref="Q1:S1"/>
  </mergeCells>
  <pageMargins left="0.7" right="0.7" top="0.75" bottom="0.75" header="0.3" footer="0.3"/>
  <legacyDrawing r:id="rId1"/>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5" tint="0.39997558519241921"/>
  </sheetPr>
  <dimension ref="A1:HU131"/>
  <sheetViews>
    <sheetView workbookViewId="0">
      <pane xSplit="1" topLeftCell="B1" activePane="topRight" state="frozenSplit"/>
      <selection activeCell="B1" sqref="B1"/>
      <selection pane="topRight" activeCell="B1" sqref="B1"/>
    </sheetView>
  </sheetViews>
  <sheetFormatPr baseColWidth="10" defaultRowHeight="15" x14ac:dyDescent="0.2"/>
  <cols>
    <col min="1" max="1" width="44.1640625" style="106" customWidth="1"/>
    <col min="2" max="2" width="10.83203125" style="106"/>
    <col min="3" max="3" width="5.83203125" style="106" customWidth="1"/>
    <col min="4" max="4" width="5.33203125" style="106" customWidth="1"/>
    <col min="5" max="5" width="10.83203125" style="106"/>
    <col min="6" max="6" width="5.83203125" style="106" customWidth="1"/>
    <col min="7" max="7" width="5.33203125" style="106" customWidth="1"/>
    <col min="8" max="8" width="10.83203125" style="106"/>
    <col min="9" max="9" width="5.83203125" style="106" customWidth="1"/>
    <col min="10" max="10" width="5.33203125" style="106" customWidth="1"/>
    <col min="11" max="11" width="10.83203125" style="106"/>
    <col min="12" max="12" width="5.83203125" style="106" customWidth="1"/>
    <col min="13" max="13" width="5.33203125" style="106" customWidth="1"/>
    <col min="14" max="14" width="10.83203125" style="106"/>
    <col min="15" max="15" width="5.83203125" style="106" customWidth="1"/>
    <col min="16" max="16" width="5.33203125" style="106" customWidth="1"/>
    <col min="17" max="17" width="10.83203125" style="106"/>
    <col min="18" max="18" width="5.83203125" style="106" customWidth="1"/>
    <col min="19" max="19" width="5.33203125" style="106" customWidth="1"/>
    <col min="20" max="20" width="10.83203125" style="106"/>
    <col min="21" max="21" width="5.83203125" style="106" customWidth="1"/>
    <col min="22" max="22" width="5.33203125" style="106" customWidth="1"/>
    <col min="23" max="23" width="10.83203125" style="106"/>
    <col min="24" max="24" width="5.83203125" style="106" customWidth="1"/>
    <col min="25" max="25" width="5.33203125" style="106" customWidth="1"/>
    <col min="26" max="26" width="10.83203125" style="106"/>
    <col min="27" max="27" width="5.83203125" style="106" customWidth="1"/>
    <col min="28" max="28" width="5.33203125" style="106" customWidth="1"/>
    <col min="29" max="29" width="10.83203125" style="106"/>
    <col min="30" max="30" width="5.83203125" style="106" customWidth="1"/>
    <col min="31" max="31" width="5.33203125" style="106" customWidth="1"/>
    <col min="32" max="32" width="10.83203125" style="106"/>
    <col min="33" max="33" width="5.83203125" style="106" customWidth="1"/>
    <col min="34" max="34" width="5.33203125" style="106" customWidth="1"/>
    <col min="35" max="35" width="10.83203125" style="106"/>
    <col min="36" max="36" width="5.83203125" style="106" customWidth="1"/>
    <col min="37" max="37" width="5.33203125" style="106" customWidth="1"/>
    <col min="38" max="38" width="10.83203125" style="106"/>
    <col min="39" max="39" width="5.83203125" style="106" customWidth="1"/>
    <col min="40" max="40" width="5.33203125" style="106" customWidth="1"/>
    <col min="41" max="41" width="10.83203125" style="106"/>
    <col min="42" max="42" width="5.83203125" style="106" customWidth="1"/>
    <col min="43" max="43" width="5.33203125" style="106" customWidth="1"/>
    <col min="44" max="44" width="10.83203125" style="106"/>
    <col min="45" max="45" width="5.83203125" style="106" customWidth="1"/>
    <col min="46" max="46" width="5.33203125" style="106" customWidth="1"/>
    <col min="47" max="47" width="10.83203125" style="106"/>
    <col min="48" max="48" width="5.83203125" style="106" customWidth="1"/>
    <col min="49" max="49" width="10.83203125" style="106"/>
    <col min="50" max="50" width="6.5" style="106" customWidth="1"/>
    <col min="51" max="51" width="10.83203125" style="106"/>
    <col min="52" max="52" width="7.83203125" style="106" customWidth="1"/>
    <col min="53" max="53" width="10.83203125" style="106"/>
    <col min="54" max="54" width="5.83203125" style="106" customWidth="1"/>
    <col min="55" max="55" width="10.83203125" style="106"/>
    <col min="56" max="56" width="6.6640625" style="106" customWidth="1"/>
    <col min="57" max="57" width="10.83203125" style="106"/>
    <col min="58" max="58" width="5.83203125" style="106" customWidth="1"/>
    <col min="59" max="59" width="10.83203125" style="106"/>
    <col min="60" max="60" width="5.83203125" style="106" customWidth="1"/>
    <col min="61" max="61" width="11.6640625" style="106" bestFit="1" customWidth="1"/>
    <col min="62" max="62" width="5.83203125" style="106" customWidth="1"/>
    <col min="63" max="63" width="10.83203125" style="106"/>
    <col min="64" max="64" width="5.83203125" style="106" customWidth="1"/>
    <col min="65" max="65" width="10.83203125" style="106"/>
    <col min="66" max="66" width="5.83203125" style="106" customWidth="1"/>
    <col min="67" max="67" width="10.83203125" style="106"/>
    <col min="68" max="68" width="5.83203125" style="106" customWidth="1"/>
    <col min="69" max="69" width="10.83203125" style="106"/>
    <col min="70" max="70" width="5.83203125" style="106" customWidth="1"/>
    <col min="71" max="71" width="5.33203125" style="106" customWidth="1"/>
    <col min="72" max="72" width="10.83203125" style="106"/>
    <col min="73" max="73" width="5.83203125" style="106" customWidth="1"/>
    <col min="74" max="74" width="10.83203125" style="106"/>
    <col min="75" max="75" width="5.83203125" style="106" customWidth="1"/>
    <col min="76" max="76" width="10.83203125" style="106"/>
    <col min="77" max="77" width="5.83203125" style="106" customWidth="1"/>
    <col min="78" max="78" width="10.83203125" style="106"/>
    <col min="79" max="79" width="5.83203125" style="106" customWidth="1"/>
    <col min="80" max="80" width="5.33203125" style="106" customWidth="1"/>
    <col min="81" max="81" width="10.83203125" style="106"/>
    <col min="82" max="82" width="5.83203125" style="106" customWidth="1"/>
    <col min="83" max="83" width="5.33203125" style="106" customWidth="1"/>
    <col min="84" max="84" width="10.83203125" style="106"/>
    <col min="85" max="85" width="5.83203125" style="106" customWidth="1"/>
    <col min="86" max="86" width="5.33203125" style="106" customWidth="1"/>
    <col min="87" max="87" width="10.83203125" style="106"/>
    <col min="88" max="88" width="5.83203125" style="106" customWidth="1"/>
    <col min="89" max="89" width="5.33203125" style="106" customWidth="1"/>
    <col min="90" max="90" width="10.83203125" style="106"/>
    <col min="91" max="91" width="5.83203125" style="106" customWidth="1"/>
    <col min="92" max="92" width="5.33203125" style="106" customWidth="1"/>
    <col min="93" max="93" width="10.83203125" style="106"/>
    <col min="94" max="94" width="5.83203125" style="106" customWidth="1"/>
    <col min="95" max="95" width="5.33203125" style="106" customWidth="1"/>
    <col min="96" max="96" width="10.83203125" style="106"/>
    <col min="97" max="97" width="5.83203125" style="106" customWidth="1"/>
    <col min="98" max="98" width="5.33203125" style="106" customWidth="1"/>
    <col min="99" max="99" width="10.83203125" style="106"/>
    <col min="100" max="100" width="5.83203125" style="106" customWidth="1"/>
    <col min="101" max="101" width="5.33203125" style="106" customWidth="1"/>
    <col min="102" max="102" width="10.83203125" style="106"/>
    <col min="103" max="103" width="5.83203125" style="106" customWidth="1"/>
    <col min="104" max="104" width="5.33203125" style="106" customWidth="1"/>
    <col min="105" max="105" width="10.83203125" style="143"/>
    <col min="106" max="107" width="6.5" style="143" customWidth="1"/>
    <col min="108" max="108" width="10.83203125" style="143"/>
    <col min="109" max="110" width="6.5" style="143" customWidth="1"/>
    <col min="111" max="111" width="10.83203125" style="143"/>
    <col min="112" max="113" width="6.5" style="143" customWidth="1"/>
    <col min="114" max="114" width="10.83203125" style="143"/>
    <col min="115" max="116" width="6.5" style="143" customWidth="1"/>
    <col min="117" max="117" width="10.83203125" style="143"/>
    <col min="118" max="119" width="6.5" style="143" customWidth="1"/>
    <col min="120" max="120" width="10.83203125" style="143"/>
    <col min="121" max="122" width="6.5" style="143" customWidth="1"/>
    <col min="123" max="123" width="10.83203125" style="143"/>
    <col min="124" max="125" width="6.5" style="143" customWidth="1"/>
    <col min="126" max="126" width="10.83203125" style="143"/>
    <col min="127" max="128" width="6.5" style="143" customWidth="1"/>
    <col min="129" max="129" width="10.83203125" style="143"/>
    <col min="130" max="131" width="6.5" style="143" customWidth="1"/>
    <col min="132" max="132" width="10.83203125" style="143"/>
    <col min="133" max="134" width="6.5" style="143" customWidth="1"/>
    <col min="135" max="135" width="10.83203125" style="143"/>
    <col min="136" max="137" width="6.5" style="143" customWidth="1"/>
    <col min="138" max="138" width="10.83203125" style="143"/>
    <col min="139" max="140" width="6.5" style="143" customWidth="1"/>
    <col min="141" max="141" width="10.83203125" style="106"/>
    <col min="142" max="142" width="5.5" style="106" customWidth="1"/>
    <col min="143" max="143" width="5.83203125" style="106" customWidth="1"/>
    <col min="144" max="144" width="10.83203125" style="106"/>
    <col min="145" max="145" width="5.5" style="106" customWidth="1"/>
    <col min="146" max="146" width="5.83203125" style="106" customWidth="1"/>
    <col min="147" max="147" width="10.83203125" style="106"/>
    <col min="148" max="148" width="5.5" style="106" customWidth="1"/>
    <col min="149" max="149" width="5.83203125" style="106" customWidth="1"/>
    <col min="150" max="150" width="10.83203125" style="106"/>
    <col min="151" max="151" width="5.5" style="106" customWidth="1"/>
    <col min="152" max="152" width="5.83203125" style="106" customWidth="1"/>
    <col min="153" max="153" width="10.83203125" style="106"/>
    <col min="154" max="154" width="5.5" style="106" customWidth="1"/>
    <col min="155" max="155" width="5.83203125" style="106" customWidth="1"/>
    <col min="156" max="156" width="10.83203125" style="106"/>
    <col min="157" max="157" width="5.5" style="106" customWidth="1"/>
    <col min="158" max="158" width="5.83203125" style="106" customWidth="1"/>
    <col min="159" max="159" width="10.83203125" style="106"/>
    <col min="160" max="160" width="5.5" style="106" customWidth="1"/>
    <col min="161" max="161" width="5.83203125" style="106" customWidth="1"/>
    <col min="162" max="162" width="10.83203125" style="106"/>
    <col min="163" max="163" width="5.5" style="106" customWidth="1"/>
    <col min="164" max="164" width="5.83203125" style="106" customWidth="1"/>
    <col min="165" max="165" width="10.83203125" style="106"/>
    <col min="166" max="166" width="5.5" style="106" customWidth="1"/>
    <col min="167" max="167" width="5.83203125" style="106" customWidth="1"/>
    <col min="168" max="168" width="10.83203125" style="106"/>
    <col min="169" max="169" width="5.5" style="106" customWidth="1"/>
    <col min="170" max="170" width="5.83203125" style="106" customWidth="1"/>
    <col min="171" max="171" width="10.83203125" style="106"/>
    <col min="172" max="172" width="5.5" style="106" customWidth="1"/>
    <col min="173" max="173" width="5.83203125" style="106" customWidth="1"/>
    <col min="174" max="174" width="10.83203125" style="106"/>
    <col min="175" max="175" width="5.5" style="106" customWidth="1"/>
    <col min="176" max="176" width="5.83203125" style="106" customWidth="1"/>
    <col min="177" max="177" width="10.83203125" style="106"/>
    <col min="178" max="178" width="5.5" style="106" customWidth="1"/>
    <col min="179" max="179" width="5.83203125" style="106" customWidth="1"/>
    <col min="180" max="180" width="10.83203125" style="106"/>
    <col min="181" max="181" width="5.5" style="106" customWidth="1"/>
    <col min="182" max="182" width="5.83203125" style="106" customWidth="1"/>
    <col min="183" max="183" width="10.83203125" style="106"/>
    <col min="184" max="184" width="5.5" style="106" customWidth="1"/>
    <col min="185" max="185" width="5.83203125" style="106" customWidth="1"/>
    <col min="186" max="186" width="10.83203125" style="106"/>
    <col min="187" max="187" width="5.5" style="106" customWidth="1"/>
    <col min="188" max="188" width="5.83203125" style="106" customWidth="1"/>
    <col min="189" max="189" width="10.83203125" style="106"/>
    <col min="190" max="190" width="5.5" style="106" customWidth="1"/>
    <col min="191" max="191" width="5.83203125" style="106" customWidth="1"/>
    <col min="192" max="192" width="10.83203125" style="106"/>
    <col min="193" max="193" width="5.5" style="106" customWidth="1"/>
    <col min="194" max="194" width="5.83203125" style="106" customWidth="1"/>
    <col min="195" max="195" width="10.83203125" style="106"/>
    <col min="196" max="196" width="5.5" style="106" customWidth="1"/>
    <col min="197" max="197" width="5.83203125" style="106" customWidth="1"/>
    <col min="198" max="198" width="10.83203125" style="106"/>
    <col min="199" max="199" width="5.5" style="106" customWidth="1"/>
    <col min="200" max="200" width="5.83203125" style="106" customWidth="1"/>
    <col min="201" max="201" width="10.83203125" style="106"/>
    <col min="202" max="202" width="5.5" style="106" customWidth="1"/>
    <col min="203" max="203" width="5.83203125" style="106" customWidth="1"/>
    <col min="204" max="204" width="10.83203125" style="106"/>
    <col min="205" max="205" width="5.5" style="106" customWidth="1"/>
    <col min="206" max="206" width="5.83203125" style="106" customWidth="1"/>
    <col min="207" max="207" width="10.83203125" style="106"/>
    <col min="208" max="208" width="5.5" style="106" customWidth="1"/>
    <col min="209" max="209" width="6.5" style="106" customWidth="1"/>
    <col min="210" max="210" width="10.83203125" style="106"/>
    <col min="211" max="211" width="5.83203125" style="106" customWidth="1"/>
    <col min="212" max="212" width="11.33203125" style="106" customWidth="1"/>
    <col min="213" max="213" width="5.83203125" style="106" customWidth="1"/>
    <col min="214" max="214" width="12" style="106" customWidth="1"/>
    <col min="215" max="215" width="5.83203125" style="106" customWidth="1"/>
    <col min="216" max="216" width="12.1640625" style="106" customWidth="1"/>
    <col min="217" max="217" width="5.83203125" style="106" customWidth="1"/>
    <col min="218" max="218" width="12" style="106" customWidth="1"/>
    <col min="219" max="219" width="5.83203125" style="106" customWidth="1"/>
    <col min="220" max="220" width="10.83203125" style="106"/>
    <col min="221" max="221" width="5.33203125" style="106" customWidth="1"/>
    <col min="222" max="222" width="10.83203125" style="106"/>
    <col min="223" max="223" width="6.1640625" style="106" customWidth="1"/>
    <col min="224" max="224" width="10.83203125" style="106"/>
    <col min="225" max="225" width="7.1640625" style="106" customWidth="1"/>
    <col min="226" max="226" width="10.83203125" style="106"/>
    <col min="227" max="227" width="4.83203125" style="106" customWidth="1"/>
    <col min="228" max="228" width="10.83203125" style="106"/>
    <col min="229" max="229" width="6" style="106" customWidth="1"/>
    <col min="230" max="16384" width="10.83203125" style="106"/>
  </cols>
  <sheetData>
    <row r="1" spans="1:229" s="1721" customFormat="1" ht="57.75" customHeight="1" x14ac:dyDescent="0.15">
      <c r="A1" s="1721" t="s">
        <v>5962</v>
      </c>
      <c r="B1" s="1722" t="s">
        <v>6011</v>
      </c>
      <c r="C1" s="1723"/>
      <c r="D1" s="1724"/>
      <c r="E1" s="1722" t="s">
        <v>6012</v>
      </c>
      <c r="F1" s="1723"/>
      <c r="G1" s="1724"/>
      <c r="H1" s="1722" t="s">
        <v>6013</v>
      </c>
      <c r="I1" s="1723"/>
      <c r="J1" s="1724"/>
      <c r="K1" s="1722" t="s">
        <v>6014</v>
      </c>
      <c r="L1" s="1723"/>
      <c r="M1" s="1724"/>
      <c r="N1" s="1722" t="s">
        <v>6015</v>
      </c>
      <c r="O1" s="1723"/>
      <c r="P1" s="1724"/>
      <c r="Q1" s="1722" t="s">
        <v>6016</v>
      </c>
      <c r="R1" s="1723"/>
      <c r="S1" s="1724"/>
      <c r="T1" s="1741" t="s">
        <v>6017</v>
      </c>
      <c r="U1" s="1742"/>
      <c r="V1" s="1742"/>
      <c r="W1" s="1742" t="s">
        <v>6018</v>
      </c>
      <c r="X1" s="1742"/>
      <c r="Y1" s="1742"/>
      <c r="Z1" s="1742" t="s">
        <v>6019</v>
      </c>
      <c r="AA1" s="1742"/>
      <c r="AB1" s="1742"/>
      <c r="AC1" s="1742" t="s">
        <v>6020</v>
      </c>
      <c r="AD1" s="1742"/>
      <c r="AE1" s="1742"/>
      <c r="AF1" s="1742" t="s">
        <v>6021</v>
      </c>
      <c r="AG1" s="1742"/>
      <c r="AH1" s="1742"/>
      <c r="AI1" s="1742" t="s">
        <v>1173</v>
      </c>
      <c r="AJ1" s="1742"/>
      <c r="AK1" s="1742"/>
      <c r="AL1" s="1742" t="s">
        <v>6022</v>
      </c>
      <c r="AM1" s="1742"/>
      <c r="AN1" s="1742"/>
      <c r="AO1" s="1742" t="s">
        <v>6023</v>
      </c>
      <c r="AP1" s="1742"/>
      <c r="AQ1" s="1742"/>
      <c r="AR1" s="1742" t="s">
        <v>6024</v>
      </c>
      <c r="AS1" s="1742"/>
      <c r="AT1" s="1742"/>
      <c r="AU1" s="1742" t="s">
        <v>6025</v>
      </c>
      <c r="AV1" s="1742"/>
      <c r="AW1" s="1742" t="s">
        <v>6026</v>
      </c>
      <c r="AX1" s="1742"/>
      <c r="AY1" s="1742" t="s">
        <v>6027</v>
      </c>
      <c r="AZ1" s="1742"/>
      <c r="BA1" s="1742" t="s">
        <v>6028</v>
      </c>
      <c r="BB1" s="1742"/>
      <c r="BC1" s="1742" t="s">
        <v>6029</v>
      </c>
      <c r="BD1" s="1742"/>
      <c r="BE1" s="1742" t="s">
        <v>6030</v>
      </c>
      <c r="BF1" s="1742"/>
      <c r="BG1" s="1742" t="s">
        <v>6031</v>
      </c>
      <c r="BH1" s="1742"/>
      <c r="BI1" s="1742" t="s">
        <v>6032</v>
      </c>
      <c r="BJ1" s="1742"/>
      <c r="BK1" s="1742" t="s">
        <v>6033</v>
      </c>
      <c r="BL1" s="1742"/>
      <c r="BM1" s="1742" t="s">
        <v>6034</v>
      </c>
      <c r="BN1" s="1742"/>
      <c r="BO1" s="1742" t="s">
        <v>6035</v>
      </c>
      <c r="BP1" s="1742"/>
      <c r="BQ1" s="1742" t="s">
        <v>6036</v>
      </c>
      <c r="BR1" s="1742"/>
      <c r="BS1" s="1742"/>
      <c r="BT1" s="1742" t="s">
        <v>6037</v>
      </c>
      <c r="BU1" s="1742"/>
      <c r="BV1" s="1742" t="s">
        <v>6038</v>
      </c>
      <c r="BW1" s="1742"/>
      <c r="BX1" s="1742" t="s">
        <v>6039</v>
      </c>
      <c r="BY1" s="1742"/>
      <c r="BZ1" s="1742" t="s">
        <v>6040</v>
      </c>
      <c r="CA1" s="1742"/>
      <c r="CB1" s="1742"/>
      <c r="CC1" s="1742" t="s">
        <v>6041</v>
      </c>
      <c r="CD1" s="1742"/>
      <c r="CE1" s="1742"/>
      <c r="CF1" s="1742" t="s">
        <v>5963</v>
      </c>
      <c r="CG1" s="1742"/>
      <c r="CH1" s="1742"/>
      <c r="CI1" s="1742" t="s">
        <v>5964</v>
      </c>
      <c r="CJ1" s="1742"/>
      <c r="CK1" s="1742"/>
      <c r="CL1" s="1742" t="s">
        <v>5965</v>
      </c>
      <c r="CM1" s="1742"/>
      <c r="CN1" s="1742"/>
      <c r="CO1" s="1742" t="s">
        <v>5966</v>
      </c>
      <c r="CP1" s="1742"/>
      <c r="CQ1" s="1742"/>
      <c r="CR1" s="1742" t="s">
        <v>5967</v>
      </c>
      <c r="CS1" s="1742"/>
      <c r="CT1" s="1742"/>
      <c r="CU1" s="1742" t="s">
        <v>5968</v>
      </c>
      <c r="CV1" s="1742"/>
      <c r="CW1" s="1742"/>
      <c r="CX1" s="1742" t="s">
        <v>5969</v>
      </c>
      <c r="CY1" s="1742"/>
      <c r="CZ1" s="1742"/>
      <c r="DA1" s="1742" t="s">
        <v>5970</v>
      </c>
      <c r="DB1" s="1742"/>
      <c r="DC1" s="1742"/>
      <c r="DD1" s="1742" t="s">
        <v>5971</v>
      </c>
      <c r="DE1" s="1742"/>
      <c r="DF1" s="1742"/>
      <c r="DG1" s="1742" t="s">
        <v>5972</v>
      </c>
      <c r="DH1" s="1742"/>
      <c r="DI1" s="1742"/>
      <c r="DJ1" s="1742" t="s">
        <v>5973</v>
      </c>
      <c r="DK1" s="1742"/>
      <c r="DL1" s="1742"/>
      <c r="DM1" s="1742" t="s">
        <v>5974</v>
      </c>
      <c r="DN1" s="1742"/>
      <c r="DO1" s="1742"/>
      <c r="DP1" s="1742" t="s">
        <v>5975</v>
      </c>
      <c r="DQ1" s="1742"/>
      <c r="DR1" s="1742"/>
      <c r="DS1" s="1742" t="s">
        <v>5976</v>
      </c>
      <c r="DT1" s="1742"/>
      <c r="DU1" s="1742"/>
      <c r="DV1" s="1742" t="s">
        <v>5977</v>
      </c>
      <c r="DW1" s="1742"/>
      <c r="DX1" s="1742"/>
      <c r="DY1" s="1742" t="s">
        <v>5978</v>
      </c>
      <c r="DZ1" s="1742"/>
      <c r="EA1" s="1742"/>
      <c r="EB1" s="1742" t="s">
        <v>5979</v>
      </c>
      <c r="EC1" s="1742"/>
      <c r="ED1" s="1742"/>
      <c r="EE1" s="1742" t="s">
        <v>5980</v>
      </c>
      <c r="EF1" s="1742"/>
      <c r="EG1" s="1742"/>
      <c r="EH1" s="1742" t="s">
        <v>5981</v>
      </c>
      <c r="EI1" s="1742"/>
      <c r="EJ1" s="1742"/>
      <c r="EK1" s="1742" t="s">
        <v>5982</v>
      </c>
      <c r="EL1" s="1742"/>
      <c r="EM1" s="1742"/>
      <c r="EN1" s="1742" t="s">
        <v>5983</v>
      </c>
      <c r="EO1" s="1742"/>
      <c r="EP1" s="1742"/>
      <c r="EQ1" s="1742" t="s">
        <v>5984</v>
      </c>
      <c r="ER1" s="1742"/>
      <c r="ES1" s="1742"/>
      <c r="ET1" s="1742" t="s">
        <v>5985</v>
      </c>
      <c r="EU1" s="1742"/>
      <c r="EV1" s="1742"/>
      <c r="EW1" s="1742" t="s">
        <v>5986</v>
      </c>
      <c r="EX1" s="1742"/>
      <c r="EY1" s="1742"/>
      <c r="EZ1" s="1742" t="s">
        <v>5987</v>
      </c>
      <c r="FA1" s="1742"/>
      <c r="FB1" s="1742"/>
      <c r="FC1" s="1743" t="s">
        <v>4916</v>
      </c>
      <c r="FD1" s="1743"/>
      <c r="FE1" s="1743"/>
      <c r="FF1" s="1742">
        <v>1889</v>
      </c>
      <c r="FG1" s="1742"/>
      <c r="FH1" s="1742"/>
      <c r="FI1" s="1742">
        <v>1890</v>
      </c>
      <c r="FJ1" s="1742"/>
      <c r="FK1" s="1742"/>
      <c r="FL1" s="1742">
        <v>1891</v>
      </c>
      <c r="FM1" s="1742"/>
      <c r="FN1" s="1742"/>
      <c r="FO1" s="1742">
        <v>1892</v>
      </c>
      <c r="FP1" s="1742"/>
      <c r="FQ1" s="1742"/>
      <c r="FR1" s="1742">
        <v>1893</v>
      </c>
      <c r="FS1" s="1742"/>
      <c r="FT1" s="1742"/>
      <c r="FU1" s="1742">
        <v>1894</v>
      </c>
      <c r="FV1" s="1742"/>
      <c r="FW1" s="1742"/>
      <c r="FX1" s="1742">
        <v>1895</v>
      </c>
      <c r="FY1" s="1742"/>
      <c r="FZ1" s="1742"/>
      <c r="GA1" s="1742">
        <v>1896</v>
      </c>
      <c r="GB1" s="1742"/>
      <c r="GC1" s="1742"/>
      <c r="GD1" s="1742">
        <v>1897</v>
      </c>
      <c r="GE1" s="1742"/>
      <c r="GF1" s="1742"/>
      <c r="GG1" s="1742">
        <v>1898</v>
      </c>
      <c r="GH1" s="1742"/>
      <c r="GI1" s="1742"/>
      <c r="GJ1" s="1742">
        <v>1899</v>
      </c>
      <c r="GK1" s="1742"/>
      <c r="GL1" s="1742"/>
      <c r="GM1" s="1742">
        <v>1900</v>
      </c>
      <c r="GN1" s="1742"/>
      <c r="GO1" s="1742"/>
      <c r="GP1" s="1742">
        <v>1901</v>
      </c>
      <c r="GQ1" s="1742"/>
      <c r="GR1" s="1742"/>
      <c r="GS1" s="1742">
        <v>1902</v>
      </c>
      <c r="GT1" s="1742"/>
      <c r="GU1" s="1742"/>
      <c r="GV1" s="1742">
        <v>1903</v>
      </c>
      <c r="GW1" s="1742"/>
      <c r="GX1" s="1742"/>
      <c r="GY1" s="1722">
        <v>1904</v>
      </c>
      <c r="GZ1" s="1723"/>
      <c r="HA1" s="1724"/>
      <c r="HB1" s="1744">
        <v>1905</v>
      </c>
      <c r="HC1" s="1744"/>
      <c r="HD1" s="1744">
        <v>1906</v>
      </c>
      <c r="HE1" s="1744"/>
      <c r="HF1" s="1744">
        <v>1907</v>
      </c>
      <c r="HG1" s="1744"/>
      <c r="HH1" s="1744">
        <v>1908</v>
      </c>
      <c r="HI1" s="1744"/>
      <c r="HJ1" s="1744">
        <v>1909</v>
      </c>
      <c r="HK1" s="1744"/>
      <c r="HL1" s="1744">
        <v>1910</v>
      </c>
      <c r="HM1" s="1744"/>
      <c r="HN1" s="1744">
        <v>1911</v>
      </c>
      <c r="HO1" s="1744"/>
      <c r="HP1" s="1744">
        <v>1912</v>
      </c>
      <c r="HQ1" s="1744"/>
      <c r="HR1" s="1744">
        <v>1913</v>
      </c>
      <c r="HS1" s="1744"/>
      <c r="HT1" s="1744">
        <v>1914</v>
      </c>
      <c r="HU1" s="1744"/>
    </row>
    <row r="2" spans="1:229" x14ac:dyDescent="0.2">
      <c r="A2" s="106" t="s">
        <v>1174</v>
      </c>
      <c r="B2" s="131">
        <f>+'1879 Hacienda'!B28</f>
        <v>874330</v>
      </c>
      <c r="C2" s="134"/>
      <c r="D2" s="133"/>
      <c r="E2" s="131">
        <f>+'1879 Hacienda'!B29</f>
        <v>498324</v>
      </c>
      <c r="F2" s="134"/>
      <c r="G2" s="133"/>
      <c r="I2" s="134"/>
      <c r="J2" s="133"/>
      <c r="K2" s="131"/>
      <c r="L2" s="134"/>
      <c r="M2" s="133"/>
      <c r="N2" s="131">
        <v>966343</v>
      </c>
      <c r="O2" s="134">
        <v>6</v>
      </c>
      <c r="P2" s="133"/>
      <c r="Q2" s="131"/>
      <c r="R2" s="134"/>
      <c r="S2" s="133"/>
      <c r="T2" s="131"/>
      <c r="U2" s="134"/>
      <c r="V2" s="133"/>
      <c r="W2" s="131"/>
      <c r="X2" s="134"/>
      <c r="Y2" s="133"/>
      <c r="Z2" s="131"/>
      <c r="AA2" s="134"/>
      <c r="AB2" s="133"/>
      <c r="AC2" s="131"/>
      <c r="AD2" s="134"/>
      <c r="AE2" s="133"/>
      <c r="AF2" s="131"/>
      <c r="AG2" s="134"/>
      <c r="AH2" s="133"/>
      <c r="AI2" s="145">
        <v>1134107</v>
      </c>
      <c r="AJ2" s="134">
        <v>3</v>
      </c>
      <c r="AK2" s="133"/>
      <c r="AL2" s="131">
        <v>1124345</v>
      </c>
      <c r="AM2" s="134">
        <v>4</v>
      </c>
      <c r="AN2" s="133">
        <v>0.75</v>
      </c>
      <c r="AO2" s="131">
        <f>'1846 Hacienda'!E61</f>
        <v>851165</v>
      </c>
      <c r="AP2" s="134">
        <f>'1846 Hacienda'!F61</f>
        <v>6</v>
      </c>
      <c r="AQ2" s="133">
        <f>'1846 Hacienda'!G61</f>
        <v>0.75</v>
      </c>
      <c r="AR2" s="131">
        <f>+'1879 Hacienda'!B31</f>
        <v>680932</v>
      </c>
      <c r="AS2" s="134"/>
      <c r="AT2" s="180"/>
      <c r="AU2" s="349"/>
      <c r="AV2" s="199"/>
      <c r="AW2" s="349">
        <f>+'1858 Hacienda'!D545</f>
        <v>552636</v>
      </c>
      <c r="AX2" s="199">
        <f>+'1858 Hacienda'!E545</f>
        <v>990</v>
      </c>
      <c r="AY2" s="349">
        <f>+'1858 Hacienda'!D619</f>
        <v>540238</v>
      </c>
      <c r="AZ2" s="199">
        <f>+'1858 Hacienda'!E619</f>
        <v>790</v>
      </c>
      <c r="BA2" s="349">
        <f>+'1858 Hacienda'!B502</f>
        <v>687950</v>
      </c>
      <c r="BB2" s="199">
        <f>+'1858 Hacienda'!C502</f>
        <v>379</v>
      </c>
      <c r="BC2" s="349">
        <f>+'1858 Hacienda'!B1032</f>
        <v>710057</v>
      </c>
      <c r="BD2" s="199">
        <f>+'1858 Hacienda'!C1032</f>
        <v>185</v>
      </c>
      <c r="BE2" s="349">
        <f>+'1858 Hacienda'!B1053</f>
        <v>714977</v>
      </c>
      <c r="BF2" s="199">
        <f>+'1858 Hacienda'!C1053</f>
        <v>437</v>
      </c>
      <c r="BG2" s="349">
        <f>+'1858 Hacienda'!B1073</f>
        <v>1054775</v>
      </c>
      <c r="BH2" s="199">
        <f>+'1858 Hacienda'!C1073</f>
        <v>409</v>
      </c>
      <c r="BI2" s="349">
        <f>+'1858 Hacienda'!B1084</f>
        <v>947673</v>
      </c>
      <c r="BJ2" s="199">
        <f>+'1858 Hacienda'!C1084</f>
        <v>114</v>
      </c>
      <c r="BK2" s="349">
        <f>+'1858 Hacienda'!B1105</f>
        <v>757894</v>
      </c>
      <c r="BL2" s="199">
        <f>+'1858 Hacienda'!C1105</f>
        <v>745</v>
      </c>
      <c r="BM2" s="349">
        <f>+'1858 Hacienda'!B1121</f>
        <v>1097611</v>
      </c>
      <c r="BN2" s="199">
        <f>+'1858 Hacienda'!C1121</f>
        <v>255</v>
      </c>
      <c r="BO2" s="1745">
        <f>+'1879 Hacienda'!B33</f>
        <v>979933</v>
      </c>
      <c r="BP2" s="198"/>
      <c r="BQ2" s="131">
        <f>+'1858 Hacienda'!B277</f>
        <v>857508</v>
      </c>
      <c r="BR2" s="134">
        <f>+'1858 Hacienda'!C277</f>
        <v>15</v>
      </c>
      <c r="BS2" s="133">
        <f>+'1858 Hacienda'!D277</f>
        <v>0.375</v>
      </c>
      <c r="BT2" s="131"/>
      <c r="BU2" s="134"/>
      <c r="BV2" s="131"/>
      <c r="BW2" s="134"/>
      <c r="BX2" s="131"/>
      <c r="BY2" s="134"/>
      <c r="BZ2" s="131"/>
      <c r="CA2" s="134"/>
      <c r="CB2" s="133"/>
      <c r="CC2" s="1745">
        <f>+'1879 Hacienda'!B34</f>
        <v>829610</v>
      </c>
      <c r="CD2" s="1746"/>
      <c r="CE2" s="1747"/>
      <c r="CF2" s="1745">
        <f>+'1879 Hacienda'!B35</f>
        <v>636961</v>
      </c>
      <c r="CG2" s="134"/>
      <c r="CH2" s="133"/>
      <c r="CI2" s="131">
        <f>+'1869 Hacienda'!B44</f>
        <v>1337946</v>
      </c>
      <c r="CK2" s="133"/>
      <c r="CL2" s="131">
        <f>+'1869 Hacienda'!C44</f>
        <v>1372331</v>
      </c>
      <c r="CN2" s="133"/>
      <c r="CO2" s="131">
        <f>+'1869 Hacienda'!D44</f>
        <v>1148668</v>
      </c>
      <c r="CQ2" s="133"/>
      <c r="CR2" s="131">
        <f>+'1869 Hacienda'!E44</f>
        <v>1544587</v>
      </c>
      <c r="CT2" s="133"/>
      <c r="CU2" s="107">
        <f>+'1869 Hacienda'!F44</f>
        <v>2089065</v>
      </c>
      <c r="CV2" s="145"/>
      <c r="CW2" s="133"/>
      <c r="CX2" s="131">
        <f>+'1869 Hacienda'!B5</f>
        <v>1575904</v>
      </c>
      <c r="CY2" s="145"/>
      <c r="CZ2" s="133"/>
      <c r="DA2" s="131">
        <f>+'1872 Hacienda'!B5</f>
        <v>1561082</v>
      </c>
      <c r="DB2" s="145">
        <f>+'1872 Hacienda'!C5</f>
        <v>10</v>
      </c>
      <c r="DC2" s="133">
        <f>+'1872 Hacienda'!D5</f>
        <v>0</v>
      </c>
      <c r="DD2" s="131">
        <f>+'1873 Hacienda'!B21</f>
        <v>2039450</v>
      </c>
      <c r="DE2" s="145">
        <f>+'1873 Hacienda'!C21</f>
        <v>21</v>
      </c>
      <c r="DF2" s="133"/>
      <c r="DG2" s="131">
        <f>+'1874 Hacienda'!D52</f>
        <v>2774185</v>
      </c>
      <c r="DH2" s="145">
        <f>+'1874 Hacienda'!E52</f>
        <v>9</v>
      </c>
      <c r="DI2" s="133">
        <f>+'1874 Hacienda'!F52</f>
        <v>0.5</v>
      </c>
      <c r="DJ2" s="131">
        <f>+'1875 Hacienda'!B9</f>
        <v>2811000</v>
      </c>
      <c r="DK2" s="145"/>
      <c r="DL2" s="133"/>
      <c r="DM2" s="131">
        <f>+'1877 Hacienda'!T6</f>
        <v>2574273</v>
      </c>
      <c r="DN2" s="145">
        <f>+'1877 Hacienda'!U6</f>
        <v>84</v>
      </c>
      <c r="DO2" s="133">
        <f>+'1877 Hacienda'!V6</f>
        <v>0.5</v>
      </c>
      <c r="DP2" s="131">
        <f>+'1877 Hacienda'!W6</f>
        <v>2367816</v>
      </c>
      <c r="DQ2" s="145">
        <f>+'1877 Hacienda'!X6</f>
        <v>83</v>
      </c>
      <c r="DR2" s="133">
        <f>+'1877 Hacienda'!Y6</f>
        <v>0</v>
      </c>
      <c r="DS2" s="131">
        <f>+'1885 Hacienda'!B21</f>
        <v>2160104</v>
      </c>
      <c r="DT2" s="145"/>
      <c r="DU2" s="133"/>
      <c r="DV2" s="131">
        <f>+'1880 Hacienda'!B26</f>
        <v>4025112</v>
      </c>
      <c r="DW2" s="145">
        <f>+'1880 Hacienda'!C26</f>
        <v>15</v>
      </c>
      <c r="DX2" s="133"/>
      <c r="DY2" s="131">
        <f>+'1880 Hacienda'!B5</f>
        <v>3992424</v>
      </c>
      <c r="DZ2" s="145">
        <f>+'1880 Hacienda'!C5</f>
        <v>35</v>
      </c>
      <c r="EA2" s="133">
        <f>+'1880 Hacienda'!D5</f>
        <v>0</v>
      </c>
      <c r="EB2" s="131">
        <f>+'1881 Hacienda'!B5</f>
        <v>3488218</v>
      </c>
      <c r="EC2" s="145">
        <f>+'1881 Hacienda'!C5</f>
        <v>350</v>
      </c>
      <c r="ED2" s="133"/>
      <c r="EE2" s="131">
        <f>+'1882 Hacienda'!B5</f>
        <v>4292835</v>
      </c>
      <c r="EF2" s="145">
        <f>+'1882 Hacienda'!C5</f>
        <v>22</v>
      </c>
      <c r="EG2" s="133">
        <f>+'1882 Hacienda'!D5</f>
        <v>0.5</v>
      </c>
      <c r="EH2" s="131">
        <f>+'1883 Hacienda'!B5</f>
        <v>4304905</v>
      </c>
      <c r="EI2" s="145">
        <f>+'1883 Hacienda'!C5</f>
        <v>35</v>
      </c>
      <c r="EJ2" s="133">
        <f>+'1883 Hacienda'!D5</f>
        <v>0</v>
      </c>
      <c r="EK2" s="674">
        <v>4360412</v>
      </c>
      <c r="EL2" s="916"/>
      <c r="EM2" s="917"/>
      <c r="EN2" s="674">
        <f>+'1885 Hacienda'!B4</f>
        <v>3826852</v>
      </c>
      <c r="EO2" s="916"/>
      <c r="EP2" s="917"/>
      <c r="EQ2" s="674">
        <f>+'1888 Hacienda'!B4</f>
        <v>1782297</v>
      </c>
      <c r="ER2" s="916">
        <f>+'1888 Hacienda'!C4</f>
        <v>85</v>
      </c>
      <c r="ES2" s="917"/>
      <c r="ET2" s="674">
        <f>+'1888 Hacienda'!B5</f>
        <v>4532081</v>
      </c>
      <c r="EU2" s="916">
        <f>+'1888 Hacienda'!C5</f>
        <v>22</v>
      </c>
      <c r="EV2" s="917">
        <f>+'1888 Hacienda'!D5</f>
        <v>0.5</v>
      </c>
      <c r="EW2" s="674">
        <f>+'1890 Hacienda'!B6</f>
        <v>4795266</v>
      </c>
      <c r="EX2" s="916">
        <f>+'1890 Hacienda'!C6</f>
        <v>32</v>
      </c>
      <c r="EY2" s="917">
        <f>+'1890 Hacienda'!D6</f>
        <v>0.25</v>
      </c>
      <c r="EZ2" s="674">
        <f>+'1890 Hacienda'!E28</f>
        <v>6887414</v>
      </c>
      <c r="FA2" s="916">
        <f>+'1890 Hacienda'!F28</f>
        <v>1</v>
      </c>
      <c r="FB2" s="917">
        <f>+'1890 Hacienda'!G28</f>
        <v>0.5</v>
      </c>
      <c r="FC2" s="674">
        <f>+'1890 Hacienda'!B211</f>
        <v>11682680</v>
      </c>
      <c r="FD2" s="916">
        <f>+'1890 Hacienda'!C211</f>
        <v>33</v>
      </c>
      <c r="FE2" s="917">
        <f>+'1890 Hacienda'!D211</f>
        <v>0.25</v>
      </c>
      <c r="FF2" s="674">
        <f>+'1890 Hacienda'!E211</f>
        <v>7725599</v>
      </c>
      <c r="FG2" s="916">
        <f>+'1890 Hacienda'!F211</f>
        <v>30</v>
      </c>
      <c r="FH2" s="917"/>
      <c r="FI2" s="674">
        <f>+'1892 Hacienda'!A24</f>
        <v>8626732</v>
      </c>
      <c r="FJ2" s="916"/>
      <c r="FK2" s="917"/>
      <c r="FL2" s="674">
        <f>+'1894 Hacienda'!C7</f>
        <v>9522388</v>
      </c>
      <c r="FM2" s="916">
        <f>+'1894 Hacienda'!D7</f>
        <v>5</v>
      </c>
      <c r="FN2" s="917"/>
      <c r="FO2" s="674">
        <f>+'1894 Hacienda'!F7</f>
        <v>8384671</v>
      </c>
      <c r="FP2" s="916">
        <f>+'1894 Hacienda'!G7</f>
        <v>86</v>
      </c>
      <c r="FQ2" s="917"/>
      <c r="FR2" s="674">
        <f>+'1896 Hacienda'!C7</f>
        <v>9259910</v>
      </c>
      <c r="FS2" s="916">
        <f>+'1896 Hacienda'!D7</f>
        <v>52</v>
      </c>
      <c r="FT2" s="917">
        <f>+'1896 Hacienda'!E7</f>
        <v>0.5</v>
      </c>
      <c r="FU2" s="674">
        <f>+'1896 Hacienda'!F7</f>
        <v>8024468</v>
      </c>
      <c r="FV2" s="916">
        <f>+'1896 Hacienda'!G7</f>
        <v>17</v>
      </c>
      <c r="FW2" s="917">
        <f>+'1896 Hacienda'!H7</f>
        <v>0.5</v>
      </c>
      <c r="FX2" s="674">
        <f>+'1896 Hacienda'!L7</f>
        <v>10847966</v>
      </c>
      <c r="FY2" s="916">
        <f>+'1896 Hacienda'!M7</f>
        <v>81</v>
      </c>
      <c r="FZ2" s="917"/>
      <c r="GA2" s="674">
        <f>+'1898 Hacienda'!E6</f>
        <v>13919239</v>
      </c>
      <c r="GB2" s="916">
        <f>+'1898 Hacienda'!F6</f>
        <v>17</v>
      </c>
      <c r="GC2" s="917">
        <f>+'1898 Hacienda'!G6</f>
        <v>0.5</v>
      </c>
      <c r="GD2" s="674">
        <f>+'1898 Hacienda'!K6</f>
        <v>13537301</v>
      </c>
      <c r="GE2" s="916">
        <f>+'1898 Hacienda'!L6</f>
        <v>45</v>
      </c>
      <c r="GF2" s="917">
        <f>+'1898 Hacienda'!M6</f>
        <v>0.5</v>
      </c>
      <c r="GG2" s="674">
        <f>+'1904 Hacienda'!B16</f>
        <v>9471743</v>
      </c>
      <c r="GH2" s="916">
        <f>+'1904 Hacienda'!C16</f>
        <v>15</v>
      </c>
      <c r="GI2" s="917">
        <f>+'1904 Hacienda'!D16</f>
        <v>0</v>
      </c>
      <c r="GJ2" s="674">
        <f>+'1904 Hacienda'!E16</f>
        <v>8832404</v>
      </c>
      <c r="GK2" s="916">
        <f>+'1904 Hacienda'!F16</f>
        <v>50</v>
      </c>
      <c r="GL2" s="917">
        <f>+'1904 Hacienda'!G16</f>
        <v>0</v>
      </c>
      <c r="GM2" s="674">
        <f>+'1904 Hacienda'!H16</f>
        <v>4409540</v>
      </c>
      <c r="GN2" s="916">
        <f>+'1904 Hacienda'!I16</f>
        <v>95</v>
      </c>
      <c r="GO2" s="917">
        <f>+'1904 Hacienda'!J16</f>
        <v>0</v>
      </c>
      <c r="GP2" s="674">
        <f>+'1904 Hacienda'!K16</f>
        <v>11742155</v>
      </c>
      <c r="GQ2" s="916">
        <f>+'1904 Hacienda'!L16</f>
        <v>24</v>
      </c>
      <c r="GR2" s="917">
        <f>+'1904 Hacienda'!M16</f>
        <v>0</v>
      </c>
      <c r="GS2" s="674">
        <f>+'1904 Hacienda'!N16</f>
        <v>10576899</v>
      </c>
      <c r="GT2" s="916">
        <f>+'1904 Hacienda'!O16</f>
        <v>77</v>
      </c>
      <c r="GU2" s="917">
        <f>+'1904 Hacienda'!P16</f>
        <v>0</v>
      </c>
      <c r="GV2" s="674">
        <f>+'1904 Hacienda'!Q16</f>
        <v>8969865</v>
      </c>
      <c r="GW2" s="916">
        <f>+'1904 Hacienda'!R16</f>
        <v>42</v>
      </c>
      <c r="GX2" s="917">
        <f>+'1904 Hacienda'!S16</f>
        <v>0</v>
      </c>
      <c r="GY2" s="342"/>
      <c r="GZ2" s="198"/>
      <c r="HA2" s="199"/>
      <c r="HB2" s="349">
        <f>'1910 Hacienda'!C4</f>
        <v>6179738</v>
      </c>
      <c r="HC2" s="717">
        <f>'1910 Hacienda'!D4</f>
        <v>51</v>
      </c>
      <c r="HD2" s="349">
        <f>'1910 Hacienda'!C29</f>
        <v>7414776</v>
      </c>
      <c r="HE2" s="717">
        <f>'1910 Hacienda'!D29</f>
        <v>66</v>
      </c>
      <c r="HF2" s="349">
        <f>'1910 Hacienda'!C58</f>
        <v>6600690</v>
      </c>
      <c r="HG2" s="717">
        <f>'1910 Hacienda'!D58</f>
        <v>88</v>
      </c>
      <c r="HH2" s="349">
        <f>'1910 Hacienda'!C87</f>
        <v>6169236</v>
      </c>
      <c r="HI2" s="717">
        <f>'1910 Hacienda'!D87</f>
        <v>72</v>
      </c>
      <c r="HJ2" s="349">
        <f>'1910 Hacienda'!C128</f>
        <v>6541831</v>
      </c>
      <c r="HK2" s="717">
        <f>'1910 Hacienda'!D128</f>
        <v>4</v>
      </c>
      <c r="HL2" s="349">
        <f>+'1911 Hacienda'!B24</f>
        <v>8653478</v>
      </c>
      <c r="HM2" s="717">
        <f>+'1911 Hacienda'!C24</f>
        <v>63</v>
      </c>
      <c r="HN2" s="349">
        <f>+'1912A Hacienda'!T44</f>
        <v>9327761</v>
      </c>
      <c r="HO2" s="717">
        <f>+'1912A Hacienda'!U44</f>
        <v>8</v>
      </c>
      <c r="HP2" s="349">
        <f>+'1912 Hacienda'!B4</f>
        <v>10054897</v>
      </c>
      <c r="HQ2" s="717">
        <f>+'1912 Hacienda'!C4</f>
        <v>53</v>
      </c>
      <c r="HR2" s="349">
        <f>+'1914 Hacienda'!Z94</f>
        <v>13538064</v>
      </c>
      <c r="HS2" s="717">
        <f>+'1914 Hacienda'!AA94</f>
        <v>24</v>
      </c>
      <c r="HT2" s="349">
        <f>+'1915 Hacienda'!B75</f>
        <v>10314397</v>
      </c>
      <c r="HU2" s="717">
        <f>+'1915 Hacienda'!C75</f>
        <v>27</v>
      </c>
    </row>
    <row r="3" spans="1:229" x14ac:dyDescent="0.2">
      <c r="A3" s="178" t="s">
        <v>5611</v>
      </c>
      <c r="B3" s="131"/>
      <c r="C3" s="134"/>
      <c r="D3" s="133"/>
      <c r="E3" s="131"/>
      <c r="F3" s="134"/>
      <c r="G3" s="133"/>
      <c r="H3" s="131"/>
      <c r="I3" s="134"/>
      <c r="J3" s="133"/>
      <c r="K3" s="131"/>
      <c r="L3" s="134"/>
      <c r="M3" s="133"/>
      <c r="N3" s="131"/>
      <c r="O3" s="134"/>
      <c r="P3" s="133"/>
      <c r="Q3" s="131"/>
      <c r="R3" s="134"/>
      <c r="S3" s="133"/>
      <c r="T3" s="131"/>
      <c r="U3" s="134"/>
      <c r="V3" s="133"/>
      <c r="W3" s="131"/>
      <c r="X3" s="134"/>
      <c r="Y3" s="133"/>
      <c r="Z3" s="131"/>
      <c r="AA3" s="134"/>
      <c r="AB3" s="133"/>
      <c r="AC3" s="131"/>
      <c r="AD3" s="134"/>
      <c r="AE3" s="133"/>
      <c r="AF3" s="131"/>
      <c r="AG3" s="134"/>
      <c r="AH3" s="133"/>
      <c r="AI3" s="145"/>
      <c r="AJ3" s="134"/>
      <c r="AK3" s="133"/>
      <c r="AL3" s="1748"/>
      <c r="AM3" s="1749"/>
      <c r="AN3" s="1750"/>
      <c r="AO3" s="1748"/>
      <c r="AP3" s="134"/>
      <c r="AQ3" s="133"/>
      <c r="AR3" s="131"/>
      <c r="AS3" s="134"/>
      <c r="AT3" s="180"/>
      <c r="AU3" s="131"/>
      <c r="AV3" s="185"/>
      <c r="AW3" s="131"/>
      <c r="AX3" s="185"/>
      <c r="AY3" s="131"/>
      <c r="AZ3" s="185"/>
      <c r="BA3" s="131"/>
      <c r="BB3" s="185"/>
      <c r="BC3" s="131"/>
      <c r="BD3" s="185"/>
      <c r="BE3" s="131"/>
      <c r="BF3" s="185"/>
      <c r="BG3" s="131"/>
      <c r="BH3" s="185"/>
      <c r="BI3" s="131"/>
      <c r="BJ3" s="185"/>
      <c r="BK3" s="131"/>
      <c r="BL3" s="185"/>
      <c r="BM3" s="1748"/>
      <c r="BN3" s="1751"/>
      <c r="BP3" s="134"/>
      <c r="BQ3" s="131"/>
      <c r="BR3" s="134"/>
      <c r="BS3" s="133"/>
      <c r="BT3" s="131"/>
      <c r="BU3" s="134"/>
      <c r="BV3" s="131"/>
      <c r="BW3" s="134"/>
      <c r="BX3" s="131"/>
      <c r="BY3" s="134"/>
      <c r="BZ3" s="131"/>
      <c r="CA3" s="134"/>
      <c r="CB3" s="133"/>
      <c r="CD3" s="1749"/>
      <c r="CE3" s="1750"/>
      <c r="CG3" s="134"/>
      <c r="CH3" s="133"/>
      <c r="CI3" s="131"/>
      <c r="CJ3" s="134"/>
      <c r="CK3" s="133"/>
      <c r="CL3" s="131"/>
      <c r="CM3" s="134"/>
      <c r="CN3" s="133"/>
      <c r="CO3" s="131"/>
      <c r="CP3" s="134"/>
      <c r="CQ3" s="133"/>
      <c r="CS3" s="134"/>
      <c r="CT3" s="133"/>
      <c r="CU3" s="1748"/>
      <c r="CV3" s="1752"/>
      <c r="CW3" s="1750"/>
      <c r="CX3" s="1748"/>
      <c r="CY3" s="145"/>
      <c r="CZ3" s="133"/>
      <c r="DA3" s="131"/>
      <c r="DB3" s="145"/>
      <c r="DC3" s="133"/>
      <c r="DD3" s="131"/>
      <c r="DE3" s="145"/>
      <c r="DF3" s="133"/>
      <c r="DG3" s="131"/>
      <c r="DH3" s="145"/>
      <c r="DI3" s="133"/>
      <c r="DJ3" s="131"/>
      <c r="DK3" s="145"/>
      <c r="DL3" s="133"/>
      <c r="DM3" s="131"/>
      <c r="DN3" s="145"/>
      <c r="DO3" s="133"/>
      <c r="DP3" s="131"/>
      <c r="DQ3" s="145"/>
      <c r="DR3" s="133"/>
      <c r="DS3" s="131"/>
      <c r="DT3" s="145"/>
      <c r="DU3" s="133"/>
      <c r="DV3" s="131"/>
      <c r="DW3" s="145"/>
      <c r="DX3" s="133"/>
      <c r="DY3" s="131"/>
      <c r="DZ3" s="145"/>
      <c r="EA3" s="133"/>
      <c r="EB3" s="131"/>
      <c r="EC3" s="145"/>
      <c r="ED3" s="133"/>
      <c r="EE3" s="131"/>
      <c r="EF3" s="145"/>
      <c r="EG3" s="133"/>
      <c r="EH3" s="131"/>
      <c r="EI3" s="145"/>
      <c r="EJ3" s="133"/>
      <c r="EK3" s="140"/>
      <c r="EL3" s="141"/>
      <c r="EM3" s="142"/>
      <c r="EN3" s="140"/>
      <c r="EO3" s="141"/>
      <c r="EP3" s="142"/>
      <c r="EQ3" s="140"/>
      <c r="ER3" s="141"/>
      <c r="ES3" s="142"/>
      <c r="ET3" s="140"/>
      <c r="EU3" s="141"/>
      <c r="EV3" s="142"/>
      <c r="EW3" s="140"/>
      <c r="EX3" s="141"/>
      <c r="EY3" s="142"/>
      <c r="EZ3" s="140"/>
      <c r="FA3" s="141"/>
      <c r="FB3" s="142"/>
      <c r="FC3" s="140"/>
      <c r="FD3" s="141"/>
      <c r="FE3" s="142"/>
      <c r="FF3" s="140"/>
      <c r="FG3" s="141"/>
      <c r="FH3" s="142"/>
      <c r="FI3" s="140"/>
      <c r="FJ3" s="141"/>
      <c r="FK3" s="142"/>
      <c r="FL3" s="140"/>
      <c r="FM3" s="141"/>
      <c r="FN3" s="142"/>
      <c r="FO3" s="140"/>
      <c r="FP3" s="141"/>
      <c r="FQ3" s="142"/>
      <c r="FR3" s="140"/>
      <c r="FS3" s="141"/>
      <c r="FT3" s="142"/>
      <c r="FU3" s="140"/>
      <c r="FV3" s="141"/>
      <c r="FW3" s="142"/>
      <c r="FX3" s="140"/>
      <c r="FY3" s="141"/>
      <c r="FZ3" s="142"/>
      <c r="GA3" s="140"/>
      <c r="GB3" s="141"/>
      <c r="GC3" s="142"/>
      <c r="GD3" s="140"/>
      <c r="GE3" s="141"/>
      <c r="GF3" s="142"/>
      <c r="GG3" s="140"/>
      <c r="GH3" s="141"/>
      <c r="GI3" s="142"/>
      <c r="GJ3" s="140"/>
      <c r="GK3" s="141"/>
      <c r="GL3" s="142"/>
      <c r="GM3" s="140"/>
      <c r="GN3" s="141"/>
      <c r="GO3" s="142"/>
      <c r="GP3" s="140"/>
      <c r="GQ3" s="141"/>
      <c r="GR3" s="142"/>
      <c r="GS3" s="140"/>
      <c r="GT3" s="141"/>
      <c r="GU3" s="142"/>
      <c r="GV3" s="140"/>
      <c r="GW3" s="141"/>
      <c r="GX3" s="142"/>
      <c r="GY3" s="164"/>
      <c r="GZ3" s="134"/>
      <c r="HA3" s="185"/>
      <c r="HB3" s="131"/>
      <c r="HC3" s="307"/>
      <c r="HD3" s="131"/>
      <c r="HE3" s="307"/>
      <c r="HF3" s="131"/>
      <c r="HG3" s="307"/>
      <c r="HH3" s="131"/>
      <c r="HI3" s="307"/>
      <c r="HJ3" s="131"/>
      <c r="HK3" s="307"/>
      <c r="HL3" s="131"/>
      <c r="HM3" s="307"/>
      <c r="HN3" s="131"/>
      <c r="HO3" s="307"/>
      <c r="HP3" s="131">
        <f>+'1912 Hacienda'!B5</f>
        <v>202072</v>
      </c>
      <c r="HQ3" s="307">
        <f>+'1912 Hacienda'!C5</f>
        <v>86</v>
      </c>
      <c r="HR3" s="131"/>
      <c r="HS3" s="307"/>
      <c r="HT3" s="131"/>
      <c r="HU3" s="307"/>
    </row>
    <row r="4" spans="1:229" x14ac:dyDescent="0.2">
      <c r="A4" s="164" t="s">
        <v>5888</v>
      </c>
      <c r="B4" s="131"/>
      <c r="C4" s="134"/>
      <c r="D4" s="133"/>
      <c r="E4" s="131"/>
      <c r="F4" s="134"/>
      <c r="G4" s="133"/>
      <c r="H4" s="131"/>
      <c r="I4" s="134"/>
      <c r="J4" s="133"/>
      <c r="K4" s="131"/>
      <c r="L4" s="134"/>
      <c r="M4" s="133"/>
      <c r="N4" s="131"/>
      <c r="O4" s="134"/>
      <c r="P4" s="133"/>
      <c r="Q4" s="131"/>
      <c r="R4" s="134"/>
      <c r="S4" s="133"/>
      <c r="T4" s="131"/>
      <c r="U4" s="134"/>
      <c r="V4" s="133"/>
      <c r="W4" s="131"/>
      <c r="X4" s="134"/>
      <c r="Y4" s="133"/>
      <c r="Z4" s="131"/>
      <c r="AA4" s="134"/>
      <c r="AB4" s="133"/>
      <c r="AC4" s="131"/>
      <c r="AD4" s="134"/>
      <c r="AE4" s="133"/>
      <c r="AF4" s="131"/>
      <c r="AG4" s="134"/>
      <c r="AH4" s="133"/>
      <c r="AI4" s="145"/>
      <c r="AJ4" s="134"/>
      <c r="AK4" s="133"/>
      <c r="AL4" s="131"/>
      <c r="AM4" s="134"/>
      <c r="AN4" s="133"/>
      <c r="AO4" s="131"/>
      <c r="AP4" s="134"/>
      <c r="AQ4" s="133"/>
      <c r="AR4" s="131"/>
      <c r="AS4" s="134"/>
      <c r="AT4" s="180"/>
      <c r="AU4" s="131"/>
      <c r="AV4" s="185"/>
      <c r="AW4" s="131"/>
      <c r="AX4" s="185"/>
      <c r="AY4" s="131"/>
      <c r="AZ4" s="185"/>
      <c r="BA4" s="131"/>
      <c r="BB4" s="185"/>
      <c r="BC4" s="131"/>
      <c r="BD4" s="185"/>
      <c r="BE4" s="131"/>
      <c r="BF4" s="185"/>
      <c r="BG4" s="131"/>
      <c r="BH4" s="185"/>
      <c r="BI4" s="131"/>
      <c r="BJ4" s="185"/>
      <c r="BK4" s="131"/>
      <c r="BL4" s="185"/>
      <c r="BM4" s="131"/>
      <c r="BN4" s="185"/>
      <c r="BO4" s="131"/>
      <c r="BP4" s="134"/>
      <c r="BQ4" s="131"/>
      <c r="BR4" s="134"/>
      <c r="BS4" s="133"/>
      <c r="BT4" s="131"/>
      <c r="BU4" s="134"/>
      <c r="BV4" s="131"/>
      <c r="BW4" s="134"/>
      <c r="BX4" s="131"/>
      <c r="BY4" s="134"/>
      <c r="BZ4" s="131"/>
      <c r="CA4" s="134"/>
      <c r="CB4" s="133"/>
      <c r="CC4" s="131"/>
      <c r="CD4" s="134"/>
      <c r="CE4" s="133"/>
      <c r="CF4" s="131"/>
      <c r="CG4" s="134"/>
      <c r="CH4" s="133"/>
      <c r="CI4" s="131"/>
      <c r="CJ4" s="134"/>
      <c r="CK4" s="133"/>
      <c r="CL4" s="131"/>
      <c r="CM4" s="134"/>
      <c r="CN4" s="133"/>
      <c r="CO4" s="131"/>
      <c r="CP4" s="134"/>
      <c r="CQ4" s="133"/>
      <c r="CR4" s="131"/>
      <c r="CS4" s="134"/>
      <c r="CT4" s="133"/>
      <c r="CU4" s="131"/>
      <c r="CV4" s="145"/>
      <c r="CW4" s="133"/>
      <c r="CX4" s="131"/>
      <c r="CY4" s="145"/>
      <c r="CZ4" s="133"/>
      <c r="DA4" s="131"/>
      <c r="DB4" s="145"/>
      <c r="DC4" s="133"/>
      <c r="DD4" s="131"/>
      <c r="DE4" s="145"/>
      <c r="DF4" s="133"/>
      <c r="DG4" s="131"/>
      <c r="DH4" s="145"/>
      <c r="DI4" s="133"/>
      <c r="DJ4" s="131"/>
      <c r="DK4" s="145"/>
      <c r="DL4" s="133"/>
      <c r="DM4" s="131"/>
      <c r="DN4" s="145"/>
      <c r="DO4" s="133"/>
      <c r="DP4" s="131"/>
      <c r="DQ4" s="145"/>
      <c r="DR4" s="133"/>
      <c r="DS4" s="131"/>
      <c r="DT4" s="145"/>
      <c r="DU4" s="133"/>
      <c r="DV4" s="131"/>
      <c r="DW4" s="145"/>
      <c r="DX4" s="133"/>
      <c r="DY4" s="131"/>
      <c r="DZ4" s="145"/>
      <c r="EA4" s="133"/>
      <c r="EB4" s="131"/>
      <c r="EC4" s="145"/>
      <c r="ED4" s="133"/>
      <c r="EE4" s="131"/>
      <c r="EF4" s="145"/>
      <c r="EG4" s="133"/>
      <c r="EH4" s="131"/>
      <c r="EI4" s="145"/>
      <c r="EJ4" s="133"/>
      <c r="EK4" s="140"/>
      <c r="EL4" s="141"/>
      <c r="EM4" s="142"/>
      <c r="EN4" s="140"/>
      <c r="EO4" s="141"/>
      <c r="EP4" s="142"/>
      <c r="EQ4" s="140"/>
      <c r="ER4" s="141"/>
      <c r="ES4" s="142"/>
      <c r="ET4" s="140"/>
      <c r="EU4" s="141"/>
      <c r="EV4" s="142"/>
      <c r="EW4" s="140"/>
      <c r="EX4" s="141"/>
      <c r="EY4" s="142"/>
      <c r="EZ4" s="140"/>
      <c r="FA4" s="141"/>
      <c r="FB4" s="142"/>
      <c r="FC4" s="140"/>
      <c r="FD4" s="141"/>
      <c r="FE4" s="142"/>
      <c r="FF4" s="140"/>
      <c r="FG4" s="141"/>
      <c r="FH4" s="142"/>
      <c r="FI4" s="140"/>
      <c r="FJ4" s="141"/>
      <c r="FK4" s="142"/>
      <c r="FL4" s="140"/>
      <c r="FM4" s="141"/>
      <c r="FN4" s="142"/>
      <c r="FO4" s="140"/>
      <c r="FP4" s="141"/>
      <c r="FQ4" s="142"/>
      <c r="FR4" s="140"/>
      <c r="FS4" s="141"/>
      <c r="FT4" s="142"/>
      <c r="FU4" s="140"/>
      <c r="FV4" s="141"/>
      <c r="FW4" s="142"/>
      <c r="FX4" s="140"/>
      <c r="FY4" s="141"/>
      <c r="FZ4" s="142"/>
      <c r="GA4" s="140"/>
      <c r="GB4" s="141"/>
      <c r="GC4" s="142"/>
      <c r="GD4" s="140"/>
      <c r="GE4" s="141"/>
      <c r="GF4" s="142"/>
      <c r="GG4" s="140"/>
      <c r="GH4" s="141"/>
      <c r="GI4" s="142"/>
      <c r="GJ4" s="140"/>
      <c r="GK4" s="141"/>
      <c r="GL4" s="142"/>
      <c r="GM4" s="140"/>
      <c r="GN4" s="141"/>
      <c r="GO4" s="142"/>
      <c r="GP4" s="140"/>
      <c r="GQ4" s="141"/>
      <c r="GR4" s="142"/>
      <c r="GS4" s="140"/>
      <c r="GT4" s="141"/>
      <c r="GU4" s="142"/>
      <c r="GV4" s="140"/>
      <c r="GW4" s="141"/>
      <c r="GX4" s="142"/>
      <c r="GY4" s="164"/>
      <c r="GZ4" s="134"/>
      <c r="HA4" s="185"/>
      <c r="HB4" s="131"/>
      <c r="HC4" s="307"/>
      <c r="HD4" s="131"/>
      <c r="HE4" s="307"/>
      <c r="HF4" s="131"/>
      <c r="HG4" s="307"/>
      <c r="HH4" s="131"/>
      <c r="HI4" s="307"/>
      <c r="HJ4" s="131"/>
      <c r="HK4" s="307"/>
      <c r="HL4" s="131"/>
      <c r="HM4" s="307"/>
      <c r="HN4" s="131"/>
      <c r="HO4" s="307"/>
      <c r="HP4" s="131"/>
      <c r="HQ4" s="307"/>
      <c r="HR4" s="131">
        <f>+'1915 Hacienda'!D43</f>
        <v>12880773</v>
      </c>
      <c r="HS4" s="307">
        <f>+'1915 Hacienda'!E43</f>
        <v>87</v>
      </c>
      <c r="HT4" s="131">
        <f>+'1915 Hacienda'!D18</f>
        <v>9774366</v>
      </c>
      <c r="HU4" s="307">
        <f>+'1915 Hacienda'!E18</f>
        <v>14</v>
      </c>
    </row>
    <row r="5" spans="1:229" x14ac:dyDescent="0.2">
      <c r="A5" s="178" t="s">
        <v>5611</v>
      </c>
      <c r="B5" s="131"/>
      <c r="C5" s="134"/>
      <c r="D5" s="133"/>
      <c r="E5" s="131"/>
      <c r="F5" s="134"/>
      <c r="G5" s="133"/>
      <c r="H5" s="131"/>
      <c r="I5" s="134"/>
      <c r="J5" s="133"/>
      <c r="K5" s="131"/>
      <c r="L5" s="134"/>
      <c r="M5" s="133"/>
      <c r="N5" s="131"/>
      <c r="O5" s="134"/>
      <c r="P5" s="133"/>
      <c r="Q5" s="131"/>
      <c r="R5" s="134"/>
      <c r="S5" s="133"/>
      <c r="T5" s="131"/>
      <c r="U5" s="134"/>
      <c r="V5" s="133"/>
      <c r="W5" s="131"/>
      <c r="X5" s="134"/>
      <c r="Y5" s="133"/>
      <c r="Z5" s="131"/>
      <c r="AA5" s="134"/>
      <c r="AB5" s="133"/>
      <c r="AC5" s="131"/>
      <c r="AD5" s="134"/>
      <c r="AE5" s="133"/>
      <c r="AF5" s="131"/>
      <c r="AG5" s="134"/>
      <c r="AH5" s="133"/>
      <c r="AI5" s="145"/>
      <c r="AJ5" s="134"/>
      <c r="AK5" s="133"/>
      <c r="AL5" s="131"/>
      <c r="AM5" s="134"/>
      <c r="AN5" s="133"/>
      <c r="AO5" s="131"/>
      <c r="AP5" s="134"/>
      <c r="AQ5" s="133"/>
      <c r="AR5" s="131"/>
      <c r="AS5" s="134"/>
      <c r="AT5" s="180"/>
      <c r="AU5" s="131"/>
      <c r="AV5" s="185"/>
      <c r="AW5" s="131"/>
      <c r="AX5" s="185"/>
      <c r="AY5" s="131"/>
      <c r="AZ5" s="185"/>
      <c r="BA5" s="131"/>
      <c r="BB5" s="185"/>
      <c r="BC5" s="131"/>
      <c r="BD5" s="185"/>
      <c r="BE5" s="131"/>
      <c r="BF5" s="185"/>
      <c r="BG5" s="131"/>
      <c r="BH5" s="185"/>
      <c r="BI5" s="131"/>
      <c r="BJ5" s="185"/>
      <c r="BK5" s="131"/>
      <c r="BL5" s="185"/>
      <c r="BM5" s="131"/>
      <c r="BN5" s="185"/>
      <c r="BO5" s="131"/>
      <c r="BP5" s="134"/>
      <c r="BQ5" s="131"/>
      <c r="BR5" s="134"/>
      <c r="BS5" s="133"/>
      <c r="BT5" s="131"/>
      <c r="BU5" s="134"/>
      <c r="BV5" s="131"/>
      <c r="BW5" s="134"/>
      <c r="BX5" s="131"/>
      <c r="BY5" s="134"/>
      <c r="BZ5" s="131"/>
      <c r="CA5" s="134"/>
      <c r="CB5" s="133"/>
      <c r="CC5" s="131"/>
      <c r="CD5" s="134"/>
      <c r="CE5" s="133"/>
      <c r="CF5" s="131"/>
      <c r="CG5" s="134"/>
      <c r="CH5" s="133"/>
      <c r="CI5" s="131"/>
      <c r="CJ5" s="134"/>
      <c r="CK5" s="133"/>
      <c r="CL5" s="131"/>
      <c r="CM5" s="134"/>
      <c r="CN5" s="133"/>
      <c r="CO5" s="131"/>
      <c r="CP5" s="134"/>
      <c r="CQ5" s="133"/>
      <c r="CR5" s="131"/>
      <c r="CS5" s="134"/>
      <c r="CT5" s="133"/>
      <c r="CU5" s="131"/>
      <c r="CV5" s="134"/>
      <c r="CW5" s="133"/>
      <c r="CX5" s="131"/>
      <c r="CY5" s="134"/>
      <c r="CZ5" s="133"/>
      <c r="DA5" s="140"/>
      <c r="DB5" s="141"/>
      <c r="DC5" s="142"/>
      <c r="DD5" s="140"/>
      <c r="DE5" s="141"/>
      <c r="DF5" s="142"/>
      <c r="DG5" s="140"/>
      <c r="DH5" s="141"/>
      <c r="DI5" s="142"/>
      <c r="DJ5" s="140"/>
      <c r="DK5" s="141"/>
      <c r="DL5" s="142"/>
      <c r="DM5" s="140"/>
      <c r="DN5" s="141"/>
      <c r="DO5" s="142"/>
      <c r="DP5" s="140"/>
      <c r="DQ5" s="141"/>
      <c r="DR5" s="142"/>
      <c r="DS5" s="140"/>
      <c r="DT5" s="141"/>
      <c r="DU5" s="142"/>
      <c r="DV5" s="140"/>
      <c r="DW5" s="141"/>
      <c r="DX5" s="142"/>
      <c r="DY5" s="140"/>
      <c r="DZ5" s="141"/>
      <c r="EA5" s="142"/>
      <c r="EB5" s="140"/>
      <c r="EC5" s="141"/>
      <c r="ED5" s="142"/>
      <c r="EE5" s="140"/>
      <c r="EF5" s="141"/>
      <c r="EG5" s="142"/>
      <c r="EH5" s="140"/>
      <c r="EI5" s="141"/>
      <c r="EJ5" s="142"/>
      <c r="EK5" s="140"/>
      <c r="EL5" s="141"/>
      <c r="EM5" s="142"/>
      <c r="EN5" s="140"/>
      <c r="EO5" s="141"/>
      <c r="EP5" s="142"/>
      <c r="EQ5" s="140"/>
      <c r="ER5" s="141"/>
      <c r="ES5" s="142"/>
      <c r="ET5" s="140"/>
      <c r="EU5" s="141"/>
      <c r="EV5" s="142"/>
      <c r="EW5" s="140"/>
      <c r="EX5" s="141"/>
      <c r="EY5" s="142"/>
      <c r="EZ5" s="140"/>
      <c r="FA5" s="141"/>
      <c r="FB5" s="142"/>
      <c r="FC5" s="140"/>
      <c r="FD5" s="141"/>
      <c r="FE5" s="142"/>
      <c r="FF5" s="140"/>
      <c r="FG5" s="141"/>
      <c r="FH5" s="142"/>
      <c r="FI5" s="140"/>
      <c r="FJ5" s="141"/>
      <c r="FK5" s="142"/>
      <c r="FL5" s="140"/>
      <c r="FM5" s="141"/>
      <c r="FN5" s="142"/>
      <c r="FO5" s="140"/>
      <c r="FP5" s="141"/>
      <c r="FQ5" s="142"/>
      <c r="FR5" s="140"/>
      <c r="FS5" s="141"/>
      <c r="FT5" s="142"/>
      <c r="FU5" s="140"/>
      <c r="FV5" s="141"/>
      <c r="FW5" s="142"/>
      <c r="FX5" s="140"/>
      <c r="FY5" s="141"/>
      <c r="FZ5" s="142"/>
      <c r="GA5" s="140"/>
      <c r="GB5" s="141"/>
      <c r="GC5" s="142"/>
      <c r="GD5" s="140"/>
      <c r="GE5" s="141"/>
      <c r="GF5" s="142"/>
      <c r="GG5" s="140"/>
      <c r="GH5" s="141"/>
      <c r="GI5" s="142"/>
      <c r="GJ5" s="140"/>
      <c r="GK5" s="141"/>
      <c r="GL5" s="142"/>
      <c r="GM5" s="140"/>
      <c r="GN5" s="141"/>
      <c r="GO5" s="142"/>
      <c r="GP5" s="140"/>
      <c r="GQ5" s="141"/>
      <c r="GR5" s="142"/>
      <c r="GS5" s="140"/>
      <c r="GT5" s="141"/>
      <c r="GU5" s="142"/>
      <c r="GV5" s="140"/>
      <c r="GW5" s="141"/>
      <c r="GX5" s="142"/>
      <c r="GY5" s="164"/>
      <c r="GZ5" s="134"/>
      <c r="HA5" s="185"/>
      <c r="HB5" s="131"/>
      <c r="HC5" s="307"/>
      <c r="HD5" s="131"/>
      <c r="HE5" s="307"/>
      <c r="HF5" s="131"/>
      <c r="HG5" s="307"/>
      <c r="HH5" s="131"/>
      <c r="HI5" s="307"/>
      <c r="HJ5" s="131"/>
      <c r="HK5" s="307"/>
      <c r="HL5" s="131"/>
      <c r="HM5" s="307"/>
      <c r="HN5" s="131"/>
      <c r="HO5" s="307"/>
      <c r="HP5" s="131"/>
      <c r="HQ5" s="307"/>
      <c r="HR5" s="131"/>
      <c r="HS5" s="307"/>
      <c r="HT5" s="131">
        <f>+'1915 Hacienda'!D19</f>
        <v>196598</v>
      </c>
      <c r="HU5" s="307">
        <f>+'1915 Hacienda'!E19</f>
        <v>35</v>
      </c>
    </row>
    <row r="6" spans="1:229" x14ac:dyDescent="0.2">
      <c r="A6" s="164" t="s">
        <v>5889</v>
      </c>
      <c r="B6" s="131"/>
      <c r="C6" s="134"/>
      <c r="D6" s="133"/>
      <c r="E6" s="131"/>
      <c r="F6" s="134"/>
      <c r="G6" s="133"/>
      <c r="H6" s="131"/>
      <c r="I6" s="134"/>
      <c r="J6" s="133"/>
      <c r="K6" s="131"/>
      <c r="L6" s="134"/>
      <c r="M6" s="133"/>
      <c r="N6" s="131"/>
      <c r="O6" s="134"/>
      <c r="P6" s="133"/>
      <c r="Q6" s="131"/>
      <c r="R6" s="134"/>
      <c r="S6" s="133"/>
      <c r="T6" s="131"/>
      <c r="U6" s="134"/>
      <c r="V6" s="133"/>
      <c r="W6" s="131"/>
      <c r="X6" s="134"/>
      <c r="Y6" s="133"/>
      <c r="Z6" s="131"/>
      <c r="AA6" s="134"/>
      <c r="AB6" s="133"/>
      <c r="AC6" s="131"/>
      <c r="AD6" s="134"/>
      <c r="AE6" s="133"/>
      <c r="AF6" s="131"/>
      <c r="AG6" s="134"/>
      <c r="AH6" s="133"/>
      <c r="AI6" s="145"/>
      <c r="AJ6" s="134"/>
      <c r="AK6" s="133"/>
      <c r="AL6" s="107"/>
      <c r="AM6" s="134"/>
      <c r="AN6" s="133"/>
      <c r="AO6" s="131"/>
      <c r="AP6" s="134"/>
      <c r="AQ6" s="133"/>
      <c r="AR6" s="131"/>
      <c r="AS6" s="134"/>
      <c r="AT6" s="180"/>
      <c r="AU6" s="131"/>
      <c r="AV6" s="185"/>
      <c r="AW6" s="131"/>
      <c r="AX6" s="185"/>
      <c r="AY6" s="131"/>
      <c r="AZ6" s="185"/>
      <c r="BA6" s="131"/>
      <c r="BB6" s="185"/>
      <c r="BC6" s="131"/>
      <c r="BD6" s="185"/>
      <c r="BE6" s="131"/>
      <c r="BF6" s="185"/>
      <c r="BG6" s="131"/>
      <c r="BH6" s="185"/>
      <c r="BI6" s="131"/>
      <c r="BJ6" s="185"/>
      <c r="BK6" s="131"/>
      <c r="BL6" s="185"/>
      <c r="BM6" s="131"/>
      <c r="BN6" s="185"/>
      <c r="BO6" s="131"/>
      <c r="BP6" s="134"/>
      <c r="BQ6" s="131"/>
      <c r="BR6" s="134"/>
      <c r="BS6" s="133"/>
      <c r="BT6" s="131"/>
      <c r="BU6" s="134"/>
      <c r="BV6" s="131"/>
      <c r="BW6" s="134"/>
      <c r="BX6" s="131"/>
      <c r="BY6" s="134"/>
      <c r="BZ6" s="131"/>
      <c r="CA6" s="134"/>
      <c r="CB6" s="133"/>
      <c r="CC6" s="131"/>
      <c r="CD6" s="134"/>
      <c r="CE6" s="133"/>
      <c r="CF6" s="131"/>
      <c r="CG6" s="134"/>
      <c r="CH6" s="133"/>
      <c r="CI6" s="131"/>
      <c r="CJ6" s="134"/>
      <c r="CK6" s="133"/>
      <c r="CL6" s="131"/>
      <c r="CM6" s="134"/>
      <c r="CN6" s="133"/>
      <c r="CO6" s="131"/>
      <c r="CP6" s="134"/>
      <c r="CQ6" s="133"/>
      <c r="CR6" s="131"/>
      <c r="CS6" s="134"/>
      <c r="CT6" s="133"/>
      <c r="CU6" s="131"/>
      <c r="CV6" s="134"/>
      <c r="CW6" s="133"/>
      <c r="CX6" s="131"/>
      <c r="CY6" s="134"/>
      <c r="CZ6" s="133"/>
      <c r="DA6" s="140"/>
      <c r="DB6" s="141"/>
      <c r="DC6" s="142"/>
      <c r="DD6" s="140"/>
      <c r="DE6" s="141"/>
      <c r="DF6" s="142"/>
      <c r="DG6" s="140"/>
      <c r="DH6" s="141"/>
      <c r="DI6" s="142"/>
      <c r="DJ6" s="140"/>
      <c r="DK6" s="141"/>
      <c r="DL6" s="142"/>
      <c r="DM6" s="140"/>
      <c r="DN6" s="141"/>
      <c r="DO6" s="142"/>
      <c r="DP6" s="140"/>
      <c r="DQ6" s="141"/>
      <c r="DR6" s="142"/>
      <c r="DS6" s="140"/>
      <c r="DT6" s="141"/>
      <c r="DU6" s="142"/>
      <c r="DV6" s="140"/>
      <c r="DW6" s="141"/>
      <c r="DX6" s="142"/>
      <c r="DY6" s="140"/>
      <c r="DZ6" s="141"/>
      <c r="EA6" s="142"/>
      <c r="EB6" s="140"/>
      <c r="EC6" s="141"/>
      <c r="ED6" s="142"/>
      <c r="EE6" s="140"/>
      <c r="EF6" s="141"/>
      <c r="EG6" s="142"/>
      <c r="EH6" s="140"/>
      <c r="EI6" s="141"/>
      <c r="EJ6" s="142"/>
      <c r="EK6" s="140"/>
      <c r="EL6" s="141"/>
      <c r="EM6" s="142"/>
      <c r="EN6" s="140"/>
      <c r="EO6" s="141"/>
      <c r="EP6" s="142"/>
      <c r="EQ6" s="140"/>
      <c r="ER6" s="141"/>
      <c r="ES6" s="142"/>
      <c r="ET6" s="140"/>
      <c r="EU6" s="141"/>
      <c r="EV6" s="142"/>
      <c r="EW6" s="140"/>
      <c r="EX6" s="141"/>
      <c r="EY6" s="142"/>
      <c r="EZ6" s="140"/>
      <c r="FA6" s="141"/>
      <c r="FB6" s="142"/>
      <c r="FC6" s="140"/>
      <c r="FD6" s="141"/>
      <c r="FE6" s="142"/>
      <c r="FF6" s="140"/>
      <c r="FG6" s="141"/>
      <c r="FH6" s="142"/>
      <c r="FI6" s="140"/>
      <c r="FJ6" s="141"/>
      <c r="FK6" s="142"/>
      <c r="FL6" s="140"/>
      <c r="FM6" s="141"/>
      <c r="FN6" s="142"/>
      <c r="FO6" s="140"/>
      <c r="FP6" s="141"/>
      <c r="FQ6" s="142"/>
      <c r="FR6" s="140"/>
      <c r="FS6" s="141"/>
      <c r="FT6" s="142"/>
      <c r="FU6" s="140"/>
      <c r="FV6" s="141"/>
      <c r="FW6" s="142"/>
      <c r="FX6" s="140"/>
      <c r="FY6" s="141"/>
      <c r="FZ6" s="142"/>
      <c r="GA6" s="140"/>
      <c r="GB6" s="141"/>
      <c r="GC6" s="142"/>
      <c r="GD6" s="140"/>
      <c r="GE6" s="141"/>
      <c r="GF6" s="142"/>
      <c r="GG6" s="140"/>
      <c r="GH6" s="141"/>
      <c r="GI6" s="142"/>
      <c r="GJ6" s="140"/>
      <c r="GK6" s="141"/>
      <c r="GL6" s="142"/>
      <c r="GM6" s="140"/>
      <c r="GN6" s="141"/>
      <c r="GO6" s="142"/>
      <c r="GP6" s="140"/>
      <c r="GQ6" s="141"/>
      <c r="GR6" s="142"/>
      <c r="GS6" s="140"/>
      <c r="GT6" s="141"/>
      <c r="GU6" s="142"/>
      <c r="GV6" s="140"/>
      <c r="GW6" s="141"/>
      <c r="GX6" s="142"/>
      <c r="GY6" s="164"/>
      <c r="GZ6" s="134"/>
      <c r="HA6" s="185"/>
      <c r="HB6" s="164"/>
      <c r="HC6" s="185"/>
      <c r="HD6" s="164"/>
      <c r="HE6" s="185"/>
      <c r="HF6" s="164"/>
      <c r="HG6" s="185"/>
      <c r="HH6" s="164"/>
      <c r="HI6" s="185"/>
      <c r="HJ6" s="164"/>
      <c r="HK6" s="185"/>
      <c r="HL6" s="164"/>
      <c r="HM6" s="185"/>
      <c r="HN6" s="164"/>
      <c r="HO6" s="185"/>
      <c r="HP6" s="164"/>
      <c r="HQ6" s="185"/>
      <c r="HR6" s="164"/>
      <c r="HS6" s="185"/>
      <c r="HT6" s="164">
        <f>+'1915 Hacienda'!D20</f>
        <v>217260</v>
      </c>
      <c r="HU6" s="185">
        <f>+'1915 Hacienda'!E20</f>
        <v>20</v>
      </c>
    </row>
    <row r="7" spans="1:229" ht="30" x14ac:dyDescent="0.2">
      <c r="A7" s="178" t="s">
        <v>5554</v>
      </c>
      <c r="B7" s="131"/>
      <c r="C7" s="134"/>
      <c r="D7" s="133"/>
      <c r="E7" s="131"/>
      <c r="F7" s="134"/>
      <c r="G7" s="133"/>
      <c r="H7" s="131"/>
      <c r="I7" s="134"/>
      <c r="J7" s="133"/>
      <c r="K7" s="131"/>
      <c r="L7" s="134"/>
      <c r="M7" s="133"/>
      <c r="N7" s="131"/>
      <c r="O7" s="134"/>
      <c r="P7" s="133"/>
      <c r="Q7" s="131"/>
      <c r="R7" s="134"/>
      <c r="S7" s="133"/>
      <c r="T7" s="131"/>
      <c r="U7" s="134"/>
      <c r="V7" s="133"/>
      <c r="W7" s="131"/>
      <c r="X7" s="134"/>
      <c r="Y7" s="133"/>
      <c r="Z7" s="131"/>
      <c r="AA7" s="134"/>
      <c r="AB7" s="133"/>
      <c r="AC7" s="131"/>
      <c r="AD7" s="134"/>
      <c r="AE7" s="133"/>
      <c r="AF7" s="131"/>
      <c r="AG7" s="134"/>
      <c r="AH7" s="133"/>
      <c r="AI7" s="145"/>
      <c r="AJ7" s="134"/>
      <c r="AK7" s="133"/>
      <c r="AL7" s="107"/>
      <c r="AM7" s="134"/>
      <c r="AN7" s="133"/>
      <c r="AO7" s="131"/>
      <c r="AP7" s="134"/>
      <c r="AQ7" s="133"/>
      <c r="AR7" s="131"/>
      <c r="AS7" s="134"/>
      <c r="AT7" s="180"/>
      <c r="AU7" s="131"/>
      <c r="AV7" s="185"/>
      <c r="AW7" s="131"/>
      <c r="AX7" s="185"/>
      <c r="AY7" s="131"/>
      <c r="AZ7" s="185"/>
      <c r="BA7" s="131"/>
      <c r="BB7" s="185"/>
      <c r="BC7" s="131"/>
      <c r="BD7" s="185"/>
      <c r="BE7" s="131"/>
      <c r="BF7" s="185"/>
      <c r="BG7" s="131"/>
      <c r="BH7" s="185"/>
      <c r="BI7" s="131"/>
      <c r="BJ7" s="185"/>
      <c r="BK7" s="131"/>
      <c r="BL7" s="185"/>
      <c r="BM7" s="131"/>
      <c r="BN7" s="185"/>
      <c r="BO7" s="131"/>
      <c r="BP7" s="134"/>
      <c r="BQ7" s="131">
        <f>+'1858 Hacienda'!B285</f>
        <v>1385</v>
      </c>
      <c r="BR7" s="134">
        <f>+'1858 Hacienda'!C285</f>
        <v>75</v>
      </c>
      <c r="BS7" s="133">
        <f>+'1858 Hacienda'!D285</f>
        <v>0.5</v>
      </c>
      <c r="BT7" s="131"/>
      <c r="BU7" s="134"/>
      <c r="BV7" s="131"/>
      <c r="BW7" s="134"/>
      <c r="BX7" s="131"/>
      <c r="BY7" s="134"/>
      <c r="BZ7" s="131"/>
      <c r="CA7" s="134"/>
      <c r="CB7" s="133"/>
      <c r="CC7" s="131"/>
      <c r="CD7" s="134"/>
      <c r="CE7" s="133"/>
      <c r="CF7" s="131"/>
      <c r="CG7" s="134"/>
      <c r="CH7" s="133"/>
      <c r="CI7" s="131">
        <f>+'1869 Hacienda'!B51</f>
        <v>0</v>
      </c>
      <c r="CK7" s="133"/>
      <c r="CL7" s="131">
        <f>+'1869 Hacienda'!C51</f>
        <v>0</v>
      </c>
      <c r="CN7" s="133"/>
      <c r="CO7" s="131">
        <f>+'1869 Hacienda'!D51</f>
        <v>0</v>
      </c>
      <c r="CQ7" s="133"/>
      <c r="CR7" s="131">
        <f>+'1869 Hacienda'!E51</f>
        <v>9499</v>
      </c>
      <c r="CT7" s="133"/>
      <c r="CU7" s="107">
        <f>+'1869 Hacienda'!F51</f>
        <v>167361</v>
      </c>
      <c r="CV7" s="134"/>
      <c r="CW7" s="133"/>
      <c r="CX7" s="131">
        <f>+'1869 Hacienda'!B12</f>
        <v>185613</v>
      </c>
      <c r="CY7" s="134"/>
      <c r="CZ7" s="133"/>
      <c r="DA7" s="140">
        <f>+'1872 Hacienda'!B15</f>
        <v>151169</v>
      </c>
      <c r="DB7" s="141">
        <f>+'1872 Hacienda'!C15</f>
        <v>17</v>
      </c>
      <c r="DC7" s="142">
        <f>+'1872 Hacienda'!D15</f>
        <v>0.5</v>
      </c>
      <c r="DD7" s="140"/>
      <c r="DE7" s="141"/>
      <c r="DF7" s="142"/>
      <c r="DG7" s="140"/>
      <c r="DH7" s="141"/>
      <c r="DI7" s="142"/>
      <c r="DJ7" s="140">
        <f>+'1875 Hacienda'!B16</f>
        <v>14000</v>
      </c>
      <c r="DK7" s="141"/>
      <c r="DL7" s="142"/>
      <c r="DM7" s="140"/>
      <c r="DN7" s="141"/>
      <c r="DO7" s="142"/>
      <c r="DP7" s="140"/>
      <c r="DQ7" s="141"/>
      <c r="DR7" s="142"/>
      <c r="DS7" s="140"/>
      <c r="DT7" s="141"/>
      <c r="DU7" s="142"/>
      <c r="DV7" s="140"/>
      <c r="DW7" s="141"/>
      <c r="DX7" s="142"/>
      <c r="DY7" s="140"/>
      <c r="DZ7" s="141"/>
      <c r="EA7" s="142"/>
      <c r="EB7" s="140"/>
      <c r="EC7" s="141"/>
      <c r="ED7" s="142"/>
      <c r="EE7" s="140"/>
      <c r="EF7" s="141"/>
      <c r="EG7" s="142"/>
      <c r="EH7" s="140"/>
      <c r="EI7" s="141"/>
      <c r="EJ7" s="142"/>
      <c r="EK7" s="140"/>
      <c r="EL7" s="141"/>
      <c r="EM7" s="142"/>
      <c r="EN7" s="140"/>
      <c r="EO7" s="141"/>
      <c r="EP7" s="142"/>
      <c r="EQ7" s="140"/>
      <c r="ER7" s="141"/>
      <c r="ES7" s="142"/>
      <c r="ET7" s="140"/>
      <c r="EU7" s="141"/>
      <c r="EV7" s="142"/>
      <c r="EW7" s="140"/>
      <c r="EX7" s="141"/>
      <c r="EY7" s="142"/>
      <c r="EZ7" s="140"/>
      <c r="FA7" s="141"/>
      <c r="FB7" s="142"/>
      <c r="FC7" s="140"/>
      <c r="FD7" s="141"/>
      <c r="FE7" s="142"/>
      <c r="FF7" s="140"/>
      <c r="FG7" s="141"/>
      <c r="FH7" s="142"/>
      <c r="FI7" s="140"/>
      <c r="FJ7" s="141"/>
      <c r="FK7" s="142"/>
      <c r="FL7" s="140"/>
      <c r="FM7" s="141"/>
      <c r="FN7" s="142"/>
      <c r="FO7" s="140"/>
      <c r="FP7" s="141"/>
      <c r="FQ7" s="142"/>
      <c r="FR7" s="140"/>
      <c r="FS7" s="141"/>
      <c r="FT7" s="142"/>
      <c r="FU7" s="140"/>
      <c r="FV7" s="141"/>
      <c r="FW7" s="142"/>
      <c r="FX7" s="140"/>
      <c r="FY7" s="141"/>
      <c r="FZ7" s="142"/>
      <c r="GA7" s="140"/>
      <c r="GB7" s="141"/>
      <c r="GC7" s="142"/>
      <c r="GD7" s="140"/>
      <c r="GE7" s="141"/>
      <c r="GF7" s="142"/>
      <c r="GG7" s="140"/>
      <c r="GH7" s="141"/>
      <c r="GI7" s="142"/>
      <c r="GJ7" s="140"/>
      <c r="GK7" s="141"/>
      <c r="GL7" s="142"/>
      <c r="GM7" s="140"/>
      <c r="GN7" s="141"/>
      <c r="GO7" s="142"/>
      <c r="GP7" s="140"/>
      <c r="GQ7" s="141"/>
      <c r="GR7" s="142"/>
      <c r="GS7" s="140"/>
      <c r="GT7" s="141"/>
      <c r="GU7" s="142"/>
      <c r="GV7" s="140"/>
      <c r="GW7" s="141"/>
      <c r="GX7" s="142"/>
      <c r="GY7" s="164"/>
      <c r="GZ7" s="134"/>
      <c r="HA7" s="185"/>
      <c r="HB7" s="131"/>
      <c r="HC7" s="307"/>
      <c r="HD7" s="131"/>
      <c r="HE7" s="307"/>
      <c r="HF7" s="131"/>
      <c r="HG7" s="307"/>
      <c r="HH7" s="131"/>
      <c r="HI7" s="307"/>
      <c r="HJ7" s="131"/>
      <c r="HK7" s="307"/>
      <c r="HL7" s="131">
        <f>+'1911 Hacienda'!B28</f>
        <v>25410</v>
      </c>
      <c r="HM7" s="307">
        <f>+'1911 Hacienda'!C28</f>
        <v>28</v>
      </c>
      <c r="HN7" s="131"/>
      <c r="HO7" s="307"/>
      <c r="HP7" s="131"/>
      <c r="HQ7" s="307"/>
      <c r="HR7" s="131"/>
      <c r="HS7" s="307"/>
      <c r="HT7" s="131">
        <f>+'1915 Hacienda'!D9</f>
        <v>338</v>
      </c>
      <c r="HU7" s="307">
        <f>+'1915 Hacienda'!E9</f>
        <v>50</v>
      </c>
    </row>
    <row r="8" spans="1:229" ht="31.75" customHeight="1" x14ac:dyDescent="0.2">
      <c r="A8" s="178" t="s">
        <v>5551</v>
      </c>
      <c r="B8" s="131"/>
      <c r="C8" s="134"/>
      <c r="D8" s="133"/>
      <c r="E8" s="131"/>
      <c r="F8" s="134"/>
      <c r="G8" s="133"/>
      <c r="H8" s="131"/>
      <c r="I8" s="134"/>
      <c r="J8" s="133"/>
      <c r="K8" s="131"/>
      <c r="L8" s="134"/>
      <c r="M8" s="133"/>
      <c r="N8" s="131"/>
      <c r="O8" s="134"/>
      <c r="P8" s="133"/>
      <c r="Q8" s="131"/>
      <c r="R8" s="134"/>
      <c r="S8" s="133"/>
      <c r="T8" s="131"/>
      <c r="U8" s="134"/>
      <c r="V8" s="133"/>
      <c r="W8" s="131"/>
      <c r="X8" s="134"/>
      <c r="Y8" s="133"/>
      <c r="Z8" s="131"/>
      <c r="AA8" s="134"/>
      <c r="AB8" s="133"/>
      <c r="AC8" s="131"/>
      <c r="AD8" s="134"/>
      <c r="AE8" s="133"/>
      <c r="AF8" s="131"/>
      <c r="AG8" s="134"/>
      <c r="AH8" s="133"/>
      <c r="AI8" s="145"/>
      <c r="AJ8" s="134"/>
      <c r="AK8" s="133"/>
      <c r="AL8" s="131"/>
      <c r="AM8" s="134"/>
      <c r="AN8" s="133"/>
      <c r="AO8" s="131"/>
      <c r="AP8" s="134"/>
      <c r="AQ8" s="133"/>
      <c r="AR8" s="131"/>
      <c r="AS8" s="134"/>
      <c r="AT8" s="180"/>
      <c r="AU8" s="131"/>
      <c r="AV8" s="185"/>
      <c r="AW8" s="131"/>
      <c r="AX8" s="185"/>
      <c r="AY8" s="131"/>
      <c r="AZ8" s="185"/>
      <c r="BA8" s="131"/>
      <c r="BB8" s="185"/>
      <c r="BC8" s="131"/>
      <c r="BD8" s="185"/>
      <c r="BE8" s="131"/>
      <c r="BF8" s="185"/>
      <c r="BG8" s="131"/>
      <c r="BH8" s="185"/>
      <c r="BI8" s="131"/>
      <c r="BJ8" s="185"/>
      <c r="BK8" s="131"/>
      <c r="BL8" s="185"/>
      <c r="BM8" s="131"/>
      <c r="BN8" s="185"/>
      <c r="BO8" s="131"/>
      <c r="BP8" s="134"/>
      <c r="BQ8" s="131"/>
      <c r="BR8" s="134"/>
      <c r="BS8" s="133"/>
      <c r="BT8" s="131"/>
      <c r="BU8" s="134"/>
      <c r="BV8" s="131"/>
      <c r="BW8" s="134"/>
      <c r="BX8" s="131"/>
      <c r="BY8" s="134"/>
      <c r="BZ8" s="131"/>
      <c r="CA8" s="134"/>
      <c r="CB8" s="133"/>
      <c r="CC8" s="131"/>
      <c r="CD8" s="134"/>
      <c r="CE8" s="133"/>
      <c r="CF8" s="131"/>
      <c r="CG8" s="134"/>
      <c r="CH8" s="133"/>
      <c r="CI8" s="131"/>
      <c r="CJ8" s="134"/>
      <c r="CK8" s="133"/>
      <c r="CL8" s="131"/>
      <c r="CM8" s="134"/>
      <c r="CN8" s="133"/>
      <c r="CO8" s="131"/>
      <c r="CP8" s="134"/>
      <c r="CQ8" s="133"/>
      <c r="CR8" s="131"/>
      <c r="CS8" s="134"/>
      <c r="CT8" s="133"/>
      <c r="CU8" s="131"/>
      <c r="CV8" s="134"/>
      <c r="CW8" s="133"/>
      <c r="CX8" s="131"/>
      <c r="CY8" s="134"/>
      <c r="CZ8" s="133"/>
      <c r="DA8" s="140"/>
      <c r="DB8" s="141"/>
      <c r="DC8" s="142"/>
      <c r="DD8" s="140"/>
      <c r="DE8" s="141"/>
      <c r="DF8" s="142"/>
      <c r="DG8" s="140"/>
      <c r="DH8" s="141"/>
      <c r="DI8" s="142"/>
      <c r="DJ8" s="140"/>
      <c r="DK8" s="141"/>
      <c r="DL8" s="142"/>
      <c r="DM8" s="140"/>
      <c r="DN8" s="141"/>
      <c r="DO8" s="142"/>
      <c r="DP8" s="140"/>
      <c r="DQ8" s="141"/>
      <c r="DR8" s="142"/>
      <c r="DS8" s="140"/>
      <c r="DT8" s="141"/>
      <c r="DU8" s="142"/>
      <c r="DV8" s="140"/>
      <c r="DW8" s="141"/>
      <c r="DX8" s="142"/>
      <c r="DY8" s="140"/>
      <c r="DZ8" s="141"/>
      <c r="EA8" s="142"/>
      <c r="EB8" s="140"/>
      <c r="EC8" s="141"/>
      <c r="ED8" s="142"/>
      <c r="EE8" s="140"/>
      <c r="EF8" s="141"/>
      <c r="EG8" s="142"/>
      <c r="EH8" s="140"/>
      <c r="EI8" s="141"/>
      <c r="EJ8" s="142"/>
      <c r="EK8" s="140"/>
      <c r="EL8" s="141"/>
      <c r="EM8" s="142"/>
      <c r="EN8" s="140"/>
      <c r="EO8" s="141"/>
      <c r="EP8" s="142"/>
      <c r="EQ8" s="140"/>
      <c r="ER8" s="141"/>
      <c r="ES8" s="142"/>
      <c r="ET8" s="140"/>
      <c r="EU8" s="141"/>
      <c r="EV8" s="142"/>
      <c r="EW8" s="140"/>
      <c r="EX8" s="141"/>
      <c r="EY8" s="142"/>
      <c r="EZ8" s="140"/>
      <c r="FA8" s="141"/>
      <c r="FB8" s="142"/>
      <c r="FC8" s="140"/>
      <c r="FD8" s="141"/>
      <c r="FE8" s="142"/>
      <c r="FF8" s="140"/>
      <c r="FG8" s="141"/>
      <c r="FH8" s="142"/>
      <c r="FI8" s="140"/>
      <c r="FJ8" s="141"/>
      <c r="FK8" s="142"/>
      <c r="FL8" s="140"/>
      <c r="FM8" s="141"/>
      <c r="FN8" s="142"/>
      <c r="FO8" s="140"/>
      <c r="FP8" s="141"/>
      <c r="FQ8" s="142"/>
      <c r="FR8" s="140"/>
      <c r="FS8" s="141"/>
      <c r="FT8" s="142"/>
      <c r="FU8" s="140"/>
      <c r="FV8" s="141"/>
      <c r="FW8" s="142"/>
      <c r="FX8" s="140"/>
      <c r="FY8" s="141"/>
      <c r="FZ8" s="142"/>
      <c r="GA8" s="140"/>
      <c r="GB8" s="141"/>
      <c r="GC8" s="142"/>
      <c r="GD8" s="140"/>
      <c r="GE8" s="141"/>
      <c r="GF8" s="142"/>
      <c r="GG8" s="140"/>
      <c r="GH8" s="141"/>
      <c r="GI8" s="142"/>
      <c r="GJ8" s="140"/>
      <c r="GK8" s="141"/>
      <c r="GL8" s="142"/>
      <c r="GM8" s="140"/>
      <c r="GN8" s="141"/>
      <c r="GO8" s="142"/>
      <c r="GP8" s="140"/>
      <c r="GQ8" s="141"/>
      <c r="GR8" s="142"/>
      <c r="GS8" s="140"/>
      <c r="GT8" s="141"/>
      <c r="GU8" s="142"/>
      <c r="GV8" s="140"/>
      <c r="GW8" s="141"/>
      <c r="GX8" s="142"/>
      <c r="GY8" s="164"/>
      <c r="GZ8" s="134"/>
      <c r="HA8" s="185"/>
      <c r="HB8" s="131"/>
      <c r="HC8" s="307"/>
      <c r="HD8" s="131"/>
      <c r="HE8" s="307"/>
      <c r="HF8" s="131"/>
      <c r="HG8" s="307"/>
      <c r="HH8" s="131"/>
      <c r="HI8" s="307"/>
      <c r="HJ8" s="131"/>
      <c r="HK8" s="307"/>
      <c r="HL8" s="131">
        <f>+'1911 Hacienda'!B25</f>
        <v>165156</v>
      </c>
      <c r="HM8" s="307">
        <f>+'1911 Hacienda'!C25</f>
        <v>84</v>
      </c>
      <c r="HN8" s="131"/>
      <c r="HO8" s="307"/>
      <c r="HP8" s="131"/>
      <c r="HQ8" s="307"/>
      <c r="HR8" s="131"/>
      <c r="HS8" s="307"/>
      <c r="HT8" s="131"/>
      <c r="HU8" s="307"/>
    </row>
    <row r="9" spans="1:229" x14ac:dyDescent="0.2">
      <c r="A9" s="106" t="s">
        <v>1175</v>
      </c>
      <c r="B9" s="131"/>
      <c r="C9" s="134"/>
      <c r="D9" s="133"/>
      <c r="E9" s="131"/>
      <c r="F9" s="134"/>
      <c r="G9" s="133"/>
      <c r="H9" s="131"/>
      <c r="I9" s="134"/>
      <c r="J9" s="133"/>
      <c r="K9" s="131"/>
      <c r="L9" s="134"/>
      <c r="M9" s="133"/>
      <c r="N9" s="131">
        <v>90374</v>
      </c>
      <c r="O9" s="134">
        <v>7</v>
      </c>
      <c r="P9" s="133">
        <f>1/4</f>
        <v>0.25</v>
      </c>
      <c r="Q9" s="131"/>
      <c r="R9" s="134"/>
      <c r="S9" s="133"/>
      <c r="T9" s="131"/>
      <c r="U9" s="134"/>
      <c r="V9" s="133"/>
      <c r="W9" s="131"/>
      <c r="X9" s="134"/>
      <c r="Y9" s="133"/>
      <c r="Z9" s="131"/>
      <c r="AA9" s="134"/>
      <c r="AB9" s="133"/>
      <c r="AC9" s="131"/>
      <c r="AD9" s="134"/>
      <c r="AE9" s="133"/>
      <c r="AF9" s="131"/>
      <c r="AG9" s="134"/>
      <c r="AH9" s="133"/>
      <c r="AI9" s="145">
        <v>80681</v>
      </c>
      <c r="AJ9" s="134">
        <v>1</v>
      </c>
      <c r="AK9" s="133"/>
      <c r="AL9" s="131">
        <v>80462</v>
      </c>
      <c r="AM9" s="134">
        <v>3</v>
      </c>
      <c r="AN9" s="133">
        <v>0.75</v>
      </c>
      <c r="AO9" s="131">
        <f>'1846 Hacienda'!E64</f>
        <v>76418</v>
      </c>
      <c r="AP9" s="134">
        <f>'1846 Hacienda'!F64</f>
        <v>2</v>
      </c>
      <c r="AQ9" s="133">
        <f>'1846 Hacienda'!G64</f>
        <v>0.75</v>
      </c>
      <c r="AR9" s="131"/>
      <c r="AS9" s="134"/>
      <c r="AT9" s="180"/>
      <c r="AU9" s="131"/>
      <c r="AV9" s="185"/>
      <c r="AW9" s="131">
        <f>+'1858 Hacienda'!D549</f>
        <v>64986</v>
      </c>
      <c r="AX9" s="185">
        <f>+'1858 Hacienda'!E549</f>
        <v>551</v>
      </c>
      <c r="AY9" s="131">
        <f>+'1858 Hacienda'!D608</f>
        <v>70346</v>
      </c>
      <c r="AZ9" s="185">
        <f>+'1858 Hacienda'!E608</f>
        <v>587</v>
      </c>
      <c r="BA9" s="131">
        <f>+'1858 Hacienda'!B493</f>
        <v>124082</v>
      </c>
      <c r="BB9" s="185">
        <f>+'1858 Hacienda'!C493</f>
        <v>659</v>
      </c>
      <c r="BC9" s="131">
        <f>+'1858 Hacienda'!B1021</f>
        <v>127767</v>
      </c>
      <c r="BD9" s="185">
        <f>+'1858 Hacienda'!C1021</f>
        <v>302</v>
      </c>
      <c r="BE9" s="131">
        <f>+'1858 Hacienda'!B1045</f>
        <v>66126</v>
      </c>
      <c r="BF9" s="185">
        <f>+'1858 Hacienda'!C1045</f>
        <v>89</v>
      </c>
      <c r="BG9" s="131">
        <f>+'1858 Hacienda'!B1066</f>
        <v>63670</v>
      </c>
      <c r="BH9" s="185">
        <f>+'1858 Hacienda'!C1066</f>
        <v>609</v>
      </c>
      <c r="BI9" s="131">
        <f>+'1858 Hacienda'!B1085</f>
        <v>53714</v>
      </c>
      <c r="BJ9" s="185">
        <f>+'1858 Hacienda'!C1085</f>
        <v>38</v>
      </c>
      <c r="BK9" s="131">
        <f>+'1858 Hacienda'!B1108</f>
        <v>49957</v>
      </c>
      <c r="BL9" s="185">
        <f>+'1858 Hacienda'!C1108</f>
        <v>590</v>
      </c>
      <c r="BM9" s="131">
        <f>+'1858 Hacienda'!D1125</f>
        <v>60639</v>
      </c>
      <c r="BN9" s="185">
        <f>+'1858 Hacienda'!E1125</f>
        <v>1040</v>
      </c>
      <c r="BO9" s="131"/>
      <c r="BP9" s="134"/>
      <c r="BQ9" s="131">
        <f>+'1858 Hacienda'!B280</f>
        <v>62149</v>
      </c>
      <c r="BR9" s="134">
        <f>+'1858 Hacienda'!C280</f>
        <v>60</v>
      </c>
      <c r="BS9" s="133">
        <f>+'1858 Hacienda'!D280</f>
        <v>0.5</v>
      </c>
      <c r="BT9" s="131"/>
      <c r="BU9" s="134"/>
      <c r="BV9" s="131"/>
      <c r="BW9" s="134"/>
      <c r="BX9" s="131"/>
      <c r="BY9" s="134"/>
      <c r="BZ9" s="131"/>
      <c r="CA9" s="134"/>
      <c r="CB9" s="133"/>
      <c r="CC9" s="131"/>
      <c r="CD9" s="134"/>
      <c r="CE9" s="133"/>
      <c r="CF9" s="131"/>
      <c r="CG9" s="134"/>
      <c r="CH9" s="133"/>
      <c r="CI9" s="131">
        <f>+'1869 Hacienda'!B48</f>
        <v>0</v>
      </c>
      <c r="CK9" s="133"/>
      <c r="CL9" s="131">
        <f>+'1869 Hacienda'!C48</f>
        <v>49632</v>
      </c>
      <c r="CN9" s="133"/>
      <c r="CO9" s="131">
        <f>+'1869 Hacienda'!D48</f>
        <v>39510</v>
      </c>
      <c r="CQ9" s="133"/>
      <c r="CR9" s="131">
        <f>+'1869 Hacienda'!E48</f>
        <v>45819</v>
      </c>
      <c r="CT9" s="133"/>
      <c r="CU9" s="107">
        <f>+'1869 Hacienda'!F48</f>
        <v>48995</v>
      </c>
      <c r="CV9" s="134"/>
      <c r="CW9" s="133"/>
      <c r="CX9" s="131">
        <f>+'1869 Hacienda'!B9</f>
        <v>51282</v>
      </c>
      <c r="CY9" s="134"/>
      <c r="CZ9" s="133"/>
      <c r="DA9" s="140">
        <f>+'1872 Hacienda'!B9</f>
        <v>52941</v>
      </c>
      <c r="DB9" s="141">
        <f>+'1872 Hacienda'!C9</f>
        <v>85</v>
      </c>
      <c r="DC9" s="142">
        <f>+'1872 Hacienda'!D9</f>
        <v>0</v>
      </c>
      <c r="DD9" s="140"/>
      <c r="DE9" s="141"/>
      <c r="DF9" s="142"/>
      <c r="DG9" s="140"/>
      <c r="DH9" s="141"/>
      <c r="DI9" s="142"/>
      <c r="DJ9" s="140">
        <f>+'1875 Hacienda'!B12</f>
        <v>63000</v>
      </c>
      <c r="DK9" s="141"/>
      <c r="DL9" s="142"/>
      <c r="DM9" s="140"/>
      <c r="DN9" s="141"/>
      <c r="DO9" s="142"/>
      <c r="DP9" s="140"/>
      <c r="DQ9" s="141"/>
      <c r="DR9" s="142"/>
      <c r="DS9" s="140"/>
      <c r="DT9" s="141"/>
      <c r="DU9" s="142"/>
      <c r="DV9" s="140"/>
      <c r="DW9" s="141"/>
      <c r="DX9" s="142"/>
      <c r="DY9" s="140">
        <f>+'1880 Hacienda'!B13</f>
        <v>79773</v>
      </c>
      <c r="DZ9" s="141">
        <f>+'1880 Hacienda'!C13</f>
        <v>28</v>
      </c>
      <c r="EA9" s="142">
        <f>+'1880 Hacienda'!D13</f>
        <v>0.5</v>
      </c>
      <c r="EB9" s="140">
        <f>+'1881 Hacienda'!B12</f>
        <v>97205</v>
      </c>
      <c r="EC9" s="141">
        <f>+'1881 Hacienda'!C12</f>
        <v>470</v>
      </c>
      <c r="ED9" s="142"/>
      <c r="EE9" s="140">
        <f>+'1882 Hacienda'!B10</f>
        <v>45196</v>
      </c>
      <c r="EF9" s="141">
        <f>+'1882 Hacienda'!C10</f>
        <v>11</v>
      </c>
      <c r="EG9" s="142"/>
      <c r="EH9" s="140">
        <f>+'1883 Hacienda'!B8</f>
        <v>110000</v>
      </c>
      <c r="EI9" s="141"/>
      <c r="EJ9" s="142"/>
      <c r="EK9" s="140"/>
      <c r="EL9" s="141"/>
      <c r="EM9" s="142"/>
      <c r="EN9" s="140"/>
      <c r="EO9" s="141"/>
      <c r="EP9" s="142"/>
      <c r="EQ9" s="140"/>
      <c r="ER9" s="141"/>
      <c r="ES9" s="142"/>
      <c r="ET9" s="140"/>
      <c r="EU9" s="141"/>
      <c r="EV9" s="142"/>
      <c r="EW9" s="140"/>
      <c r="EX9" s="141"/>
      <c r="EY9" s="142"/>
      <c r="EZ9" s="140"/>
      <c r="FA9" s="141"/>
      <c r="FB9" s="142"/>
      <c r="FC9" s="140">
        <f>+'1890 Hacienda'!B215</f>
        <v>391790</v>
      </c>
      <c r="FD9" s="141"/>
      <c r="FE9" s="142"/>
      <c r="FF9" s="140">
        <f>+'1890 Hacienda'!E215</f>
        <v>225500</v>
      </c>
      <c r="FG9" s="141"/>
      <c r="FH9" s="142"/>
      <c r="FI9" s="140"/>
      <c r="FJ9" s="141"/>
      <c r="FK9" s="142"/>
      <c r="FL9" s="140">
        <f>+'1894 Hacienda'!C12</f>
        <v>146734</v>
      </c>
      <c r="FM9" s="141">
        <f>+'1894 Hacienda'!D12</f>
        <v>88</v>
      </c>
      <c r="FN9" s="142"/>
      <c r="FO9" s="140">
        <f>+'1894 Hacienda'!F12</f>
        <v>146824</v>
      </c>
      <c r="FP9" s="141">
        <f>+'1894 Hacienda'!G12</f>
        <v>23</v>
      </c>
      <c r="FQ9" s="142">
        <f>+'1894 Hacienda'!H12</f>
        <v>0.5</v>
      </c>
      <c r="FR9" s="140">
        <f>+'1896 Hacienda'!C13</f>
        <v>140130</v>
      </c>
      <c r="FS9" s="141">
        <f>+'1896 Hacienda'!D13</f>
        <v>50</v>
      </c>
      <c r="FT9" s="142">
        <f>+'1896 Hacienda'!E13</f>
        <v>0.5</v>
      </c>
      <c r="FU9" s="140">
        <f>+'1896 Hacienda'!F13</f>
        <v>142015</v>
      </c>
      <c r="FV9" s="141">
        <f>+'1896 Hacienda'!G13</f>
        <v>54</v>
      </c>
      <c r="FW9" s="142"/>
      <c r="FX9" s="140">
        <f>+'1896 Hacienda'!L13</f>
        <v>120430</v>
      </c>
      <c r="FY9" s="141">
        <f>+'1896 Hacienda'!M13</f>
        <v>36</v>
      </c>
      <c r="FZ9" s="142"/>
      <c r="GA9" s="140">
        <f>+'1898 Hacienda'!E13</f>
        <v>242945</v>
      </c>
      <c r="GB9" s="141">
        <f>+'1898 Hacienda'!F13</f>
        <v>90</v>
      </c>
      <c r="GC9" s="142">
        <f>+'1898 Hacienda'!G13</f>
        <v>0.5</v>
      </c>
      <c r="GD9" s="140">
        <f>+'1898 Hacienda'!K13</f>
        <v>230698</v>
      </c>
      <c r="GE9" s="141">
        <f>+'1898 Hacienda'!L13</f>
        <v>69</v>
      </c>
      <c r="GF9" s="142"/>
      <c r="GG9" s="140"/>
      <c r="GH9" s="141"/>
      <c r="GI9" s="142"/>
      <c r="GJ9" s="140"/>
      <c r="GK9" s="141"/>
      <c r="GL9" s="142"/>
      <c r="GM9" s="140"/>
      <c r="GN9" s="141"/>
      <c r="GO9" s="142"/>
      <c r="GP9" s="140"/>
      <c r="GQ9" s="141"/>
      <c r="GR9" s="142"/>
      <c r="GS9" s="140"/>
      <c r="GT9" s="141"/>
      <c r="GU9" s="142"/>
      <c r="GV9" s="140"/>
      <c r="GW9" s="141"/>
      <c r="GX9" s="142"/>
      <c r="GY9" s="164"/>
      <c r="GZ9" s="134"/>
      <c r="HA9" s="185"/>
      <c r="HB9" s="131">
        <f>'1910 Hacienda'!C7</f>
        <v>48148</v>
      </c>
      <c r="HC9" s="307">
        <f>'1910 Hacienda'!D7</f>
        <v>76</v>
      </c>
      <c r="HD9" s="131">
        <f>'1910 Hacienda'!C32</f>
        <v>79150</v>
      </c>
      <c r="HE9" s="307">
        <f>'1910 Hacienda'!D32</f>
        <v>20</v>
      </c>
      <c r="HF9" s="131">
        <f>'1910 Hacienda'!C61</f>
        <v>86269</v>
      </c>
      <c r="HG9" s="307">
        <f>'1910 Hacienda'!D61</f>
        <v>93</v>
      </c>
      <c r="HH9" s="131">
        <f>'1910 Hacienda'!C91</f>
        <v>83909</v>
      </c>
      <c r="HI9" s="307">
        <f>'1910 Hacienda'!D91</f>
        <v>92</v>
      </c>
      <c r="HJ9" s="131">
        <f>'1910 Hacienda'!C134</f>
        <v>94609</v>
      </c>
      <c r="HK9" s="307">
        <f>'1910 Hacienda'!D134</f>
        <v>69</v>
      </c>
      <c r="HL9" s="131">
        <f>+'1911 Hacienda'!B30</f>
        <v>110068</v>
      </c>
      <c r="HM9" s="307">
        <f>+'1911 Hacienda'!C30</f>
        <v>94</v>
      </c>
      <c r="HN9" s="131">
        <f>+'1912A Hacienda'!B11</f>
        <v>119799</v>
      </c>
      <c r="HO9" s="307">
        <f>+'1912A Hacienda'!C11</f>
        <v>92</v>
      </c>
      <c r="HP9" s="131">
        <f>+'1912 Hacienda'!B15</f>
        <v>168680</v>
      </c>
      <c r="HQ9" s="307">
        <f>+'1912 Hacienda'!C15</f>
        <v>93</v>
      </c>
      <c r="HR9" s="131"/>
      <c r="HS9" s="307"/>
      <c r="HT9" s="131">
        <f>+'1915 Hacienda'!D11</f>
        <v>194809</v>
      </c>
      <c r="HU9" s="307">
        <f>+'1915 Hacienda'!E11</f>
        <v>69</v>
      </c>
    </row>
    <row r="10" spans="1:229" x14ac:dyDescent="0.2">
      <c r="A10" s="106" t="s">
        <v>1176</v>
      </c>
      <c r="B10" s="131"/>
      <c r="C10" s="134"/>
      <c r="D10" s="133"/>
      <c r="E10" s="131"/>
      <c r="F10" s="134"/>
      <c r="G10" s="133"/>
      <c r="H10" s="131"/>
      <c r="I10" s="134"/>
      <c r="J10" s="133"/>
      <c r="K10" s="131"/>
      <c r="L10" s="134"/>
      <c r="M10" s="133"/>
      <c r="N10" s="131"/>
      <c r="O10" s="134"/>
      <c r="P10" s="133"/>
      <c r="Q10" s="131"/>
      <c r="R10" s="134"/>
      <c r="S10" s="133"/>
      <c r="T10" s="131"/>
      <c r="U10" s="134"/>
      <c r="V10" s="133"/>
      <c r="W10" s="131"/>
      <c r="X10" s="134"/>
      <c r="Y10" s="133"/>
      <c r="Z10" s="131"/>
      <c r="AA10" s="134"/>
      <c r="AB10" s="133"/>
      <c r="AC10" s="131">
        <v>176361</v>
      </c>
      <c r="AD10" s="134">
        <v>1</v>
      </c>
      <c r="AE10" s="133">
        <f>1/4</f>
        <v>0.25</v>
      </c>
      <c r="AF10" s="131"/>
      <c r="AG10" s="134"/>
      <c r="AH10" s="133"/>
      <c r="AI10" s="145">
        <v>166842</v>
      </c>
      <c r="AJ10" s="134">
        <v>1</v>
      </c>
      <c r="AK10" s="133">
        <f>3/4</f>
        <v>0.75</v>
      </c>
      <c r="AL10" s="131">
        <v>173883</v>
      </c>
      <c r="AM10" s="134">
        <v>6</v>
      </c>
      <c r="AN10" s="133">
        <v>0.5</v>
      </c>
      <c r="AO10" s="131">
        <f>'1846 Hacienda'!E63</f>
        <v>1926698</v>
      </c>
      <c r="AP10" s="134">
        <f>'1846 Hacienda'!F63</f>
        <v>3</v>
      </c>
      <c r="AQ10" s="133">
        <f>'1846 Hacienda'!G63</f>
        <v>0.75</v>
      </c>
      <c r="AR10" s="131"/>
      <c r="AS10" s="134"/>
      <c r="AT10" s="180"/>
      <c r="AU10" s="131"/>
      <c r="AV10" s="185"/>
      <c r="AW10" s="131">
        <f>+'1858 Hacienda'!D550</f>
        <v>37539</v>
      </c>
      <c r="AX10" s="185">
        <f>+'1858 Hacienda'!E550</f>
        <v>909</v>
      </c>
      <c r="AY10" s="131">
        <f>+'1858 Hacienda'!D607</f>
        <v>20269</v>
      </c>
      <c r="AZ10" s="185">
        <f>+'1858 Hacienda'!E607</f>
        <v>568</v>
      </c>
      <c r="BA10" s="131">
        <f>+'1858 Hacienda'!B510</f>
        <v>27831</v>
      </c>
      <c r="BB10" s="185">
        <f>+'1858 Hacienda'!C510</f>
        <v>885</v>
      </c>
      <c r="BC10" s="131">
        <f>+'1858 Hacienda'!B1024</f>
        <v>26062</v>
      </c>
      <c r="BD10" s="185">
        <f>+'1858 Hacienda'!C1024</f>
        <v>813</v>
      </c>
      <c r="BE10" s="131">
        <f>+'1858 Hacienda'!B1047</f>
        <v>26734</v>
      </c>
      <c r="BF10" s="185">
        <f>+'1858 Hacienda'!C1047</f>
        <v>289</v>
      </c>
      <c r="BG10" s="131">
        <f>+'1858 Hacienda'!B1067</f>
        <v>18131</v>
      </c>
      <c r="BH10" s="185">
        <f>+'1858 Hacienda'!C1067</f>
        <v>504</v>
      </c>
      <c r="BI10" s="131">
        <f>+'1858 Hacienda'!B1087</f>
        <v>6484</v>
      </c>
      <c r="BJ10" s="185">
        <f>+'1858 Hacienda'!C1087</f>
        <v>157</v>
      </c>
      <c r="BK10" s="131">
        <f>+'1858 Hacienda'!B1109</f>
        <v>14412</v>
      </c>
      <c r="BL10" s="185">
        <f>+'1858 Hacienda'!C1109</f>
        <v>58</v>
      </c>
      <c r="BM10" s="131">
        <f>+'1858 Hacienda'!B1122</f>
        <v>14825</v>
      </c>
      <c r="BN10" s="185">
        <f>+'1858 Hacienda'!C1122</f>
        <v>401</v>
      </c>
      <c r="BO10" s="131"/>
      <c r="BP10" s="134"/>
      <c r="BQ10" s="131">
        <f>+'1858 Hacienda'!B282</f>
        <v>31408</v>
      </c>
      <c r="BR10" s="134">
        <f>+'1858 Hacienda'!C282</f>
        <v>28</v>
      </c>
      <c r="BS10" s="133">
        <f>+'1858 Hacienda'!D282</f>
        <v>0</v>
      </c>
      <c r="BT10" s="131"/>
      <c r="BU10" s="134"/>
      <c r="BV10" s="131"/>
      <c r="BW10" s="134"/>
      <c r="BX10" s="131"/>
      <c r="BY10" s="134"/>
      <c r="BZ10" s="131"/>
      <c r="CA10" s="134"/>
      <c r="CB10" s="133"/>
      <c r="CC10" s="131"/>
      <c r="CD10" s="134"/>
      <c r="CE10" s="133"/>
      <c r="CF10" s="131"/>
      <c r="CG10" s="134"/>
      <c r="CH10" s="133"/>
      <c r="CI10" s="131">
        <f>+'1869 Hacienda'!B47</f>
        <v>13300</v>
      </c>
      <c r="CK10" s="133"/>
      <c r="CL10" s="131">
        <f>+'1869 Hacienda'!C47</f>
        <v>13033</v>
      </c>
      <c r="CN10" s="133"/>
      <c r="CO10" s="131">
        <f>+'1869 Hacienda'!D47</f>
        <v>17705</v>
      </c>
      <c r="CQ10" s="133"/>
      <c r="CR10" s="131">
        <f>+'1869 Hacienda'!E47</f>
        <v>21867</v>
      </c>
      <c r="CT10" s="133"/>
      <c r="CU10" s="107">
        <f>+'1869 Hacienda'!F47</f>
        <v>20512</v>
      </c>
      <c r="CV10" s="134"/>
      <c r="CW10" s="133"/>
      <c r="CX10" s="131">
        <f>+'1869 Hacienda'!B7</f>
        <v>29213</v>
      </c>
      <c r="CY10" s="134"/>
      <c r="CZ10" s="133"/>
      <c r="DA10" s="140">
        <f>+'1872 Hacienda'!B10</f>
        <v>24759</v>
      </c>
      <c r="DB10" s="141">
        <f>+'1872 Hacienda'!C10</f>
        <v>15</v>
      </c>
      <c r="DC10" s="142">
        <f>+'1872 Hacienda'!D10</f>
        <v>0</v>
      </c>
      <c r="DD10" s="140"/>
      <c r="DE10" s="141"/>
      <c r="DF10" s="142"/>
      <c r="DG10" s="140"/>
      <c r="DH10" s="141"/>
      <c r="DI10" s="142"/>
      <c r="DJ10" s="140">
        <f>+'1875 Hacienda'!B14</f>
        <v>19000</v>
      </c>
      <c r="DK10" s="141"/>
      <c r="DL10" s="142"/>
      <c r="DM10" s="140"/>
      <c r="DN10" s="141"/>
      <c r="DO10" s="142"/>
      <c r="DP10" s="140"/>
      <c r="DQ10" s="141"/>
      <c r="DR10" s="142"/>
      <c r="DS10" s="140"/>
      <c r="DT10" s="141"/>
      <c r="DU10" s="142"/>
      <c r="DV10" s="140"/>
      <c r="DW10" s="141"/>
      <c r="DX10" s="142"/>
      <c r="DY10" s="140">
        <f>+'1880 Hacienda'!B12</f>
        <v>14965</v>
      </c>
      <c r="DZ10" s="141">
        <f>+'1880 Hacienda'!C12</f>
        <v>60</v>
      </c>
      <c r="EA10" s="142"/>
      <c r="EB10" s="140">
        <f>+'1881 Hacienda'!B11</f>
        <v>20861</v>
      </c>
      <c r="EC10" s="141">
        <f>+'1881 Hacienda'!C11</f>
        <v>631</v>
      </c>
      <c r="ED10" s="142"/>
      <c r="EE10" s="140">
        <f>+'1882 Hacienda'!B16</f>
        <v>28146</v>
      </c>
      <c r="EF10" s="141">
        <f>+'1882 Hacienda'!C16</f>
        <v>55</v>
      </c>
      <c r="EG10" s="142"/>
      <c r="EH10" s="140">
        <f>+'1883 Hacienda'!B9</f>
        <v>11529</v>
      </c>
      <c r="EI10" s="141">
        <f>+'1883 Hacienda'!C9</f>
        <v>85</v>
      </c>
      <c r="EJ10" s="142"/>
      <c r="EK10" s="140"/>
      <c r="EL10" s="141"/>
      <c r="EM10" s="142"/>
      <c r="EN10" s="140"/>
      <c r="EO10" s="141"/>
      <c r="EP10" s="142"/>
      <c r="EQ10" s="140"/>
      <c r="ER10" s="141"/>
      <c r="ES10" s="142"/>
      <c r="ET10" s="140"/>
      <c r="EU10" s="141"/>
      <c r="EV10" s="142"/>
      <c r="EW10" s="140"/>
      <c r="EX10" s="141"/>
      <c r="EY10" s="142"/>
      <c r="EZ10" s="140"/>
      <c r="FA10" s="141"/>
      <c r="FB10" s="142"/>
      <c r="FC10" s="140">
        <f>+'1890 Hacienda'!B227</f>
        <v>219739</v>
      </c>
      <c r="FD10" s="141">
        <f>+'1890 Hacienda'!C227</f>
        <v>67</v>
      </c>
      <c r="FE10" s="142">
        <f>+'1890 Hacienda'!D227</f>
        <v>0.5</v>
      </c>
      <c r="FF10" s="140">
        <f>+'1890 Hacienda'!E227</f>
        <v>429</v>
      </c>
      <c r="FG10" s="141">
        <f>+'1890 Hacienda'!F227</f>
        <v>65</v>
      </c>
      <c r="FH10" s="142"/>
      <c r="FI10" s="140"/>
      <c r="FJ10" s="141"/>
      <c r="FK10" s="142"/>
      <c r="FL10" s="140"/>
      <c r="FM10" s="141"/>
      <c r="FN10" s="142"/>
      <c r="FO10" s="140"/>
      <c r="FP10" s="141"/>
      <c r="FQ10" s="142"/>
      <c r="FR10" s="140"/>
      <c r="FS10" s="141"/>
      <c r="FT10" s="142"/>
      <c r="FU10" s="140"/>
      <c r="FV10" s="141"/>
      <c r="FW10" s="142"/>
      <c r="FX10" s="140"/>
      <c r="FY10" s="141"/>
      <c r="FZ10" s="142"/>
      <c r="GA10" s="140"/>
      <c r="GB10" s="141"/>
      <c r="GC10" s="142"/>
      <c r="GD10" s="140"/>
      <c r="GE10" s="141"/>
      <c r="GF10" s="142"/>
      <c r="GG10" s="140"/>
      <c r="GH10" s="141"/>
      <c r="GI10" s="142"/>
      <c r="GJ10" s="140"/>
      <c r="GK10" s="141"/>
      <c r="GL10" s="142"/>
      <c r="GM10" s="140"/>
      <c r="GN10" s="141"/>
      <c r="GO10" s="142"/>
      <c r="GP10" s="140"/>
      <c r="GQ10" s="141"/>
      <c r="GR10" s="142"/>
      <c r="GS10" s="140"/>
      <c r="GT10" s="141"/>
      <c r="GU10" s="142"/>
      <c r="GV10" s="140"/>
      <c r="GW10" s="141"/>
      <c r="GX10" s="142"/>
      <c r="GY10" s="164"/>
      <c r="GZ10" s="134"/>
      <c r="HA10" s="185"/>
      <c r="HB10" s="164"/>
      <c r="HC10" s="185"/>
      <c r="HD10" s="164"/>
      <c r="HE10" s="185"/>
      <c r="HF10" s="164"/>
      <c r="HG10" s="185"/>
      <c r="HH10" s="164">
        <f>'1910 Hacienda'!C98</f>
        <v>262685</v>
      </c>
      <c r="HI10" s="185">
        <f>'1910 Hacienda'!D98</f>
        <v>79</v>
      </c>
      <c r="HJ10" s="164">
        <f>'1910 Hacienda'!C140</f>
        <v>142648</v>
      </c>
      <c r="HK10" s="185">
        <f>'1910 Hacienda'!D140</f>
        <v>50</v>
      </c>
      <c r="HL10" s="164"/>
      <c r="HM10" s="185"/>
      <c r="HN10" s="164"/>
      <c r="HO10" s="185"/>
      <c r="HP10" s="164"/>
      <c r="HQ10" s="185"/>
      <c r="HR10" s="164"/>
      <c r="HS10" s="185"/>
      <c r="HT10" s="164"/>
      <c r="HU10" s="185"/>
    </row>
    <row r="11" spans="1:229" x14ac:dyDescent="0.2">
      <c r="A11" s="106" t="s">
        <v>6042</v>
      </c>
      <c r="B11" s="131"/>
      <c r="C11" s="134"/>
      <c r="D11" s="133"/>
      <c r="E11" s="131"/>
      <c r="F11" s="134"/>
      <c r="G11" s="133"/>
      <c r="H11" s="131"/>
      <c r="I11" s="134"/>
      <c r="J11" s="133"/>
      <c r="K11" s="131"/>
      <c r="L11" s="134"/>
      <c r="M11" s="133"/>
      <c r="N11" s="131"/>
      <c r="O11" s="134"/>
      <c r="P11" s="133"/>
      <c r="Q11" s="131"/>
      <c r="R11" s="134"/>
      <c r="S11" s="133"/>
      <c r="T11" s="131"/>
      <c r="U11" s="134"/>
      <c r="V11" s="133"/>
      <c r="W11" s="131"/>
      <c r="X11" s="134"/>
      <c r="Y11" s="133"/>
      <c r="Z11" s="131"/>
      <c r="AA11" s="134"/>
      <c r="AB11" s="133"/>
      <c r="AC11" s="131"/>
      <c r="AD11" s="134"/>
      <c r="AE11" s="133"/>
      <c r="AF11" s="131"/>
      <c r="AG11" s="134"/>
      <c r="AH11" s="133"/>
      <c r="AI11" s="145"/>
      <c r="AJ11" s="134"/>
      <c r="AK11" s="133"/>
      <c r="AL11" s="131"/>
      <c r="AM11" s="134"/>
      <c r="AN11" s="133"/>
      <c r="AO11" s="131"/>
      <c r="AP11" s="134"/>
      <c r="AQ11" s="133"/>
      <c r="AR11" s="131"/>
      <c r="AS11" s="134"/>
      <c r="AT11" s="180"/>
      <c r="AU11" s="131"/>
      <c r="AV11" s="185"/>
      <c r="AW11" s="131"/>
      <c r="AX11" s="185"/>
      <c r="AY11" s="131"/>
      <c r="AZ11" s="185"/>
      <c r="BA11" s="131"/>
      <c r="BB11" s="185"/>
      <c r="BC11" s="131"/>
      <c r="BD11" s="185"/>
      <c r="BE11" s="131"/>
      <c r="BF11" s="185"/>
      <c r="BG11" s="131"/>
      <c r="BH11" s="185"/>
      <c r="BI11" s="131"/>
      <c r="BJ11" s="185"/>
      <c r="BK11" s="131"/>
      <c r="BL11" s="185"/>
      <c r="BM11" s="131"/>
      <c r="BN11" s="185"/>
      <c r="BO11" s="131"/>
      <c r="BP11" s="134"/>
      <c r="BQ11" s="131"/>
      <c r="BR11" s="134"/>
      <c r="BS11" s="133"/>
      <c r="BT11" s="131"/>
      <c r="BU11" s="134"/>
      <c r="BV11" s="131"/>
      <c r="BW11" s="134"/>
      <c r="BX11" s="131"/>
      <c r="BY11" s="134"/>
      <c r="BZ11" s="131"/>
      <c r="CA11" s="134"/>
      <c r="CB11" s="133"/>
      <c r="CC11" s="131"/>
      <c r="CD11" s="134"/>
      <c r="CE11" s="133"/>
      <c r="CF11" s="131"/>
      <c r="CG11" s="134"/>
      <c r="CH11" s="133"/>
      <c r="CI11" s="131"/>
      <c r="CK11" s="133"/>
      <c r="CL11" s="131"/>
      <c r="CN11" s="133"/>
      <c r="CO11" s="131"/>
      <c r="CQ11" s="133"/>
      <c r="CR11" s="131"/>
      <c r="CT11" s="133"/>
      <c r="CU11" s="107"/>
      <c r="CV11" s="134"/>
      <c r="CW11" s="133"/>
      <c r="CX11" s="131"/>
      <c r="CY11" s="134"/>
      <c r="CZ11" s="133"/>
      <c r="DA11" s="140"/>
      <c r="DB11" s="141"/>
      <c r="DC11" s="142"/>
      <c r="DD11" s="140"/>
      <c r="DE11" s="141"/>
      <c r="DF11" s="142"/>
      <c r="DG11" s="140"/>
      <c r="DH11" s="141"/>
      <c r="DI11" s="142"/>
      <c r="DJ11" s="140"/>
      <c r="DK11" s="141"/>
      <c r="DL11" s="142"/>
      <c r="DM11" s="140"/>
      <c r="DN11" s="141"/>
      <c r="DO11" s="142"/>
      <c r="DP11" s="140"/>
      <c r="DQ11" s="141"/>
      <c r="DR11" s="142"/>
      <c r="DS11" s="140"/>
      <c r="DT11" s="141"/>
      <c r="DU11" s="142"/>
      <c r="DV11" s="140"/>
      <c r="DW11" s="141"/>
      <c r="DX11" s="142"/>
      <c r="DY11" s="140"/>
      <c r="DZ11" s="141"/>
      <c r="EA11" s="142"/>
      <c r="EB11" s="140"/>
      <c r="EC11" s="141"/>
      <c r="ED11" s="142"/>
      <c r="EE11" s="140"/>
      <c r="EF11" s="141"/>
      <c r="EG11" s="142"/>
      <c r="EH11" s="140"/>
      <c r="EI11" s="141"/>
      <c r="EJ11" s="142"/>
      <c r="EK11" s="140"/>
      <c r="EL11" s="141"/>
      <c r="EM11" s="142"/>
      <c r="EN11" s="140"/>
      <c r="EO11" s="141"/>
      <c r="EP11" s="142"/>
      <c r="EQ11" s="140"/>
      <c r="ER11" s="141"/>
      <c r="ES11" s="142"/>
      <c r="ET11" s="140"/>
      <c r="EU11" s="141"/>
      <c r="EV11" s="142"/>
      <c r="EW11" s="140"/>
      <c r="EX11" s="141"/>
      <c r="EY11" s="142"/>
      <c r="EZ11" s="140"/>
      <c r="FA11" s="141"/>
      <c r="FB11" s="142"/>
      <c r="FC11" s="140">
        <f>+'1890 Hacienda'!B231</f>
        <v>2575750</v>
      </c>
      <c r="FD11" s="141"/>
      <c r="FE11" s="142"/>
      <c r="FF11" s="140">
        <f>+'1890 Hacienda'!E231</f>
        <v>1536450</v>
      </c>
      <c r="FG11" s="141"/>
      <c r="FH11" s="142"/>
      <c r="FI11" s="140"/>
      <c r="FJ11" s="141"/>
      <c r="FK11" s="142"/>
      <c r="FL11" s="140"/>
      <c r="FM11" s="141"/>
      <c r="FN11" s="142"/>
      <c r="FO11" s="140"/>
      <c r="FP11" s="141"/>
      <c r="FQ11" s="142"/>
      <c r="FR11" s="140"/>
      <c r="FS11" s="141"/>
      <c r="FT11" s="142"/>
      <c r="FU11" s="140"/>
      <c r="FV11" s="141"/>
      <c r="FW11" s="142"/>
      <c r="FX11" s="140"/>
      <c r="FY11" s="141"/>
      <c r="FZ11" s="142"/>
      <c r="GA11" s="140"/>
      <c r="GB11" s="141"/>
      <c r="GC11" s="142"/>
      <c r="GD11" s="140"/>
      <c r="GE11" s="141"/>
      <c r="GF11" s="142"/>
      <c r="GG11" s="140"/>
      <c r="GH11" s="141"/>
      <c r="GI11" s="142"/>
      <c r="GJ11" s="140"/>
      <c r="GK11" s="141"/>
      <c r="GL11" s="142"/>
      <c r="GM11" s="140"/>
      <c r="GN11" s="141"/>
      <c r="GO11" s="142"/>
      <c r="GP11" s="140"/>
      <c r="GQ11" s="141"/>
      <c r="GR11" s="142"/>
      <c r="GS11" s="140"/>
      <c r="GT11" s="141"/>
      <c r="GU11" s="142"/>
      <c r="GV11" s="140"/>
      <c r="GW11" s="141"/>
      <c r="GX11" s="142"/>
      <c r="GY11" s="164"/>
      <c r="GZ11" s="134"/>
      <c r="HA11" s="185"/>
      <c r="HB11" s="164"/>
      <c r="HC11" s="185"/>
      <c r="HD11" s="164"/>
      <c r="HE11" s="185"/>
      <c r="HF11" s="164"/>
      <c r="HG11" s="185"/>
      <c r="HH11" s="164"/>
      <c r="HI11" s="185"/>
      <c r="HJ11" s="164"/>
      <c r="HK11" s="185"/>
      <c r="HL11" s="164"/>
      <c r="HM11" s="185"/>
      <c r="HN11" s="164"/>
      <c r="HO11" s="185"/>
      <c r="HP11" s="164"/>
      <c r="HQ11" s="185"/>
      <c r="HR11" s="164"/>
      <c r="HS11" s="185"/>
      <c r="HT11" s="164"/>
      <c r="HU11" s="185"/>
    </row>
    <row r="12" spans="1:229" x14ac:dyDescent="0.2">
      <c r="A12" s="106" t="s">
        <v>1177</v>
      </c>
      <c r="B12" s="131"/>
      <c r="C12" s="134"/>
      <c r="D12" s="133"/>
      <c r="E12" s="131"/>
      <c r="F12" s="134"/>
      <c r="G12" s="133"/>
      <c r="H12" s="131"/>
      <c r="I12" s="134"/>
      <c r="J12" s="133"/>
      <c r="K12" s="131"/>
      <c r="L12" s="134"/>
      <c r="M12" s="133"/>
      <c r="N12" s="131"/>
      <c r="O12" s="134"/>
      <c r="P12" s="133"/>
      <c r="Q12" s="131"/>
      <c r="R12" s="134"/>
      <c r="S12" s="133"/>
      <c r="T12" s="131"/>
      <c r="U12" s="134"/>
      <c r="V12" s="133"/>
      <c r="W12" s="131"/>
      <c r="X12" s="134"/>
      <c r="Y12" s="133"/>
      <c r="Z12" s="131">
        <v>756070</v>
      </c>
      <c r="AA12" s="134">
        <v>4</v>
      </c>
      <c r="AB12" s="133"/>
      <c r="AC12" s="131"/>
      <c r="AD12" s="134"/>
      <c r="AE12" s="133"/>
      <c r="AF12" s="131"/>
      <c r="AG12" s="134"/>
      <c r="AH12" s="133"/>
      <c r="AI12" s="145">
        <v>784694</v>
      </c>
      <c r="AJ12" s="134">
        <v>5</v>
      </c>
      <c r="AK12" s="133">
        <f>1/2</f>
        <v>0.5</v>
      </c>
      <c r="AL12" s="131">
        <v>820438</v>
      </c>
      <c r="AM12" s="134">
        <v>4</v>
      </c>
      <c r="AN12" s="133">
        <v>0.5</v>
      </c>
      <c r="AO12" s="131">
        <f>'1846 Hacienda'!E56</f>
        <v>890264</v>
      </c>
      <c r="AP12" s="134">
        <f>'1846 Hacienda'!F56</f>
        <v>3</v>
      </c>
      <c r="AQ12" s="133">
        <f>'1846 Hacienda'!G56</f>
        <v>0.75</v>
      </c>
      <c r="AR12" s="131"/>
      <c r="AS12" s="134"/>
      <c r="AT12" s="180"/>
      <c r="AU12" s="131"/>
      <c r="AV12" s="185"/>
      <c r="AW12" s="131">
        <f>+'1858 Hacienda'!D546</f>
        <v>884639</v>
      </c>
      <c r="AX12" s="185">
        <f>+'1858 Hacienda'!E546</f>
        <v>637</v>
      </c>
      <c r="AY12" s="131">
        <f>+'1858 Hacienda'!D606</f>
        <v>873704</v>
      </c>
      <c r="AZ12" s="185">
        <f>+'1858 Hacienda'!E606</f>
        <v>205</v>
      </c>
      <c r="BA12" s="131">
        <f>+'1858 Hacienda'!B491</f>
        <v>1221079</v>
      </c>
      <c r="BB12" s="185">
        <f>+'1858 Hacienda'!C491</f>
        <v>549</v>
      </c>
      <c r="BC12" s="131">
        <f>+'1858 Hacienda'!B1027</f>
        <v>83008</v>
      </c>
      <c r="BD12" s="185">
        <f>+'1858 Hacienda'!C1027</f>
        <v>386</v>
      </c>
      <c r="BE12" s="131"/>
      <c r="BF12" s="185"/>
      <c r="BG12" s="131"/>
      <c r="BH12" s="185"/>
      <c r="BI12" s="131"/>
      <c r="BJ12" s="185"/>
      <c r="BK12" s="131"/>
      <c r="BL12" s="185"/>
      <c r="BM12" s="131"/>
      <c r="BN12" s="185"/>
      <c r="BO12" s="131"/>
      <c r="BP12" s="134"/>
      <c r="BQ12" s="131"/>
      <c r="BR12" s="134"/>
      <c r="BS12" s="133"/>
      <c r="BT12" s="131"/>
      <c r="BU12" s="134"/>
      <c r="BV12" s="131"/>
      <c r="BW12" s="134"/>
      <c r="BX12" s="131"/>
      <c r="BY12" s="134"/>
      <c r="BZ12" s="131"/>
      <c r="CA12" s="134"/>
      <c r="CB12" s="133"/>
      <c r="CC12" s="131"/>
      <c r="CD12" s="134"/>
      <c r="CE12" s="133"/>
      <c r="CF12" s="131"/>
      <c r="CG12" s="134"/>
      <c r="CH12" s="133"/>
      <c r="CI12" s="131"/>
      <c r="CJ12" s="134"/>
      <c r="CK12" s="133"/>
      <c r="CL12" s="131"/>
      <c r="CM12" s="134"/>
      <c r="CN12" s="133"/>
      <c r="CO12" s="131"/>
      <c r="CP12" s="134"/>
      <c r="CQ12" s="133"/>
      <c r="CR12" s="131"/>
      <c r="CS12" s="134"/>
      <c r="CT12" s="133"/>
      <c r="CU12" s="131"/>
      <c r="CV12" s="134"/>
      <c r="CW12" s="133"/>
      <c r="CX12" s="131"/>
      <c r="CY12" s="134"/>
      <c r="CZ12" s="133"/>
      <c r="DA12" s="140"/>
      <c r="DB12" s="141"/>
      <c r="DC12" s="142"/>
      <c r="DD12" s="140"/>
      <c r="DE12" s="141"/>
      <c r="DF12" s="142"/>
      <c r="DG12" s="140"/>
      <c r="DH12" s="141"/>
      <c r="DI12" s="142"/>
      <c r="DJ12" s="140"/>
      <c r="DK12" s="141"/>
      <c r="DL12" s="142"/>
      <c r="DM12" s="140"/>
      <c r="DN12" s="141"/>
      <c r="DO12" s="142"/>
      <c r="DP12" s="140"/>
      <c r="DQ12" s="141"/>
      <c r="DR12" s="142"/>
      <c r="DS12" s="140"/>
      <c r="DT12" s="141"/>
      <c r="DU12" s="142"/>
      <c r="DV12" s="140"/>
      <c r="DW12" s="141"/>
      <c r="DX12" s="142"/>
      <c r="DY12" s="140"/>
      <c r="DZ12" s="141"/>
      <c r="EA12" s="142"/>
      <c r="EB12" s="140"/>
      <c r="EC12" s="141"/>
      <c r="ED12" s="142"/>
      <c r="EE12" s="140"/>
      <c r="EF12" s="141"/>
      <c r="EG12" s="142"/>
      <c r="EH12" s="140"/>
      <c r="EI12" s="141"/>
      <c r="EJ12" s="142"/>
      <c r="EK12" s="140"/>
      <c r="EL12" s="141"/>
      <c r="EM12" s="142"/>
      <c r="EN12" s="140"/>
      <c r="EO12" s="141"/>
      <c r="EP12" s="142"/>
      <c r="EQ12" s="140"/>
      <c r="ER12" s="141"/>
      <c r="ES12" s="142"/>
      <c r="ET12" s="140"/>
      <c r="EU12" s="141"/>
      <c r="EV12" s="142"/>
      <c r="EW12" s="140"/>
      <c r="EX12" s="141"/>
      <c r="EY12" s="142"/>
      <c r="EZ12" s="140"/>
      <c r="FA12" s="141"/>
      <c r="FB12" s="142"/>
      <c r="FC12" s="140"/>
      <c r="FD12" s="141"/>
      <c r="FE12" s="142"/>
      <c r="FF12" s="140"/>
      <c r="FG12" s="141"/>
      <c r="FH12" s="142"/>
      <c r="FI12" s="140"/>
      <c r="FJ12" s="141"/>
      <c r="FK12" s="142"/>
      <c r="FL12" s="140"/>
      <c r="FM12" s="141"/>
      <c r="FN12" s="142"/>
      <c r="FO12" s="140"/>
      <c r="FP12" s="141"/>
      <c r="FQ12" s="142"/>
      <c r="FR12" s="140"/>
      <c r="FS12" s="141"/>
      <c r="FT12" s="142"/>
      <c r="FU12" s="140"/>
      <c r="FV12" s="141"/>
      <c r="FW12" s="142"/>
      <c r="FX12" s="140"/>
      <c r="FY12" s="141"/>
      <c r="FZ12" s="142"/>
      <c r="GA12" s="140"/>
      <c r="GB12" s="141"/>
      <c r="GC12" s="142"/>
      <c r="GD12" s="140"/>
      <c r="GE12" s="141"/>
      <c r="GF12" s="142"/>
      <c r="GG12" s="140"/>
      <c r="GH12" s="141"/>
      <c r="GI12" s="142"/>
      <c r="GJ12" s="140"/>
      <c r="GK12" s="141"/>
      <c r="GL12" s="142"/>
      <c r="GM12" s="140"/>
      <c r="GN12" s="141"/>
      <c r="GO12" s="142"/>
      <c r="GP12" s="140"/>
      <c r="GQ12" s="141"/>
      <c r="GR12" s="142"/>
      <c r="GS12" s="140"/>
      <c r="GT12" s="141"/>
      <c r="GU12" s="142"/>
      <c r="GV12" s="140"/>
      <c r="GW12" s="141"/>
      <c r="GX12" s="142"/>
      <c r="GY12" s="164"/>
      <c r="GZ12" s="134"/>
      <c r="HA12" s="185"/>
      <c r="HB12" s="164"/>
      <c r="HC12" s="185"/>
      <c r="HD12" s="164"/>
      <c r="HE12" s="185"/>
      <c r="HF12" s="164"/>
      <c r="HG12" s="185"/>
      <c r="HH12" s="164"/>
      <c r="HI12" s="185"/>
      <c r="HJ12" s="164">
        <f>'1910 Hacienda'!C150</f>
        <v>519995</v>
      </c>
      <c r="HK12" s="185">
        <f>'1910 Hacienda'!D150</f>
        <v>35</v>
      </c>
      <c r="HL12" s="164"/>
      <c r="HM12" s="185"/>
      <c r="HN12" s="164"/>
      <c r="HO12" s="185"/>
      <c r="HP12" s="164"/>
      <c r="HQ12" s="185"/>
      <c r="HR12" s="164"/>
      <c r="HS12" s="185"/>
      <c r="HT12" s="164"/>
      <c r="HU12" s="185"/>
    </row>
    <row r="13" spans="1:229" x14ac:dyDescent="0.2">
      <c r="A13" s="106" t="str">
        <f>+'1858 Hacienda'!A278</f>
        <v>Esportacion de quina i tabaco</v>
      </c>
      <c r="B13" s="131"/>
      <c r="C13" s="134"/>
      <c r="D13" s="133"/>
      <c r="E13" s="131"/>
      <c r="F13" s="134"/>
      <c r="G13" s="133"/>
      <c r="H13" s="131"/>
      <c r="I13" s="134"/>
      <c r="J13" s="133"/>
      <c r="K13" s="131"/>
      <c r="L13" s="134"/>
      <c r="M13" s="133"/>
      <c r="N13" s="131"/>
      <c r="O13" s="134"/>
      <c r="P13" s="133"/>
      <c r="Q13" s="131"/>
      <c r="R13" s="134"/>
      <c r="S13" s="133"/>
      <c r="T13" s="131"/>
      <c r="U13" s="134"/>
      <c r="V13" s="133"/>
      <c r="W13" s="131"/>
      <c r="X13" s="134"/>
      <c r="Y13" s="133"/>
      <c r="Z13" s="131"/>
      <c r="AA13" s="134"/>
      <c r="AB13" s="133"/>
      <c r="AC13" s="131"/>
      <c r="AD13" s="134"/>
      <c r="AE13" s="133"/>
      <c r="AF13" s="131"/>
      <c r="AG13" s="134"/>
      <c r="AH13" s="133"/>
      <c r="AI13" s="145"/>
      <c r="AJ13" s="134"/>
      <c r="AK13" s="133"/>
      <c r="AL13" s="131"/>
      <c r="AM13" s="134"/>
      <c r="AN13" s="133"/>
      <c r="AO13" s="131"/>
      <c r="AP13" s="134"/>
      <c r="AQ13" s="133"/>
      <c r="AR13" s="131"/>
      <c r="AS13" s="134"/>
      <c r="AT13" s="180"/>
      <c r="AU13" s="131"/>
      <c r="AV13" s="185"/>
      <c r="AW13" s="131"/>
      <c r="AX13" s="185"/>
      <c r="AY13" s="131"/>
      <c r="AZ13" s="185"/>
      <c r="BA13" s="131"/>
      <c r="BB13" s="185"/>
      <c r="BC13" s="131"/>
      <c r="BD13" s="185"/>
      <c r="BE13" s="131"/>
      <c r="BF13" s="185"/>
      <c r="BG13" s="131"/>
      <c r="BH13" s="185"/>
      <c r="BI13" s="131"/>
      <c r="BJ13" s="185"/>
      <c r="BK13" s="131"/>
      <c r="BL13" s="185"/>
      <c r="BM13" s="131"/>
      <c r="BN13" s="185"/>
      <c r="BO13" s="131"/>
      <c r="BP13" s="134"/>
      <c r="BQ13" s="131">
        <f>+'1858 Hacienda'!B278</f>
        <v>77010</v>
      </c>
      <c r="BR13" s="134">
        <f>+'1858 Hacienda'!C278</f>
        <v>80</v>
      </c>
      <c r="BS13" s="133">
        <f>+'1858 Hacienda'!D278</f>
        <v>0.5</v>
      </c>
      <c r="BT13" s="145"/>
      <c r="BU13" s="134"/>
      <c r="BV13" s="131"/>
      <c r="BW13" s="134"/>
      <c r="BX13" s="131"/>
      <c r="BY13" s="134"/>
      <c r="BZ13" s="131"/>
      <c r="CA13" s="134"/>
      <c r="CB13" s="133"/>
      <c r="CC13" s="131"/>
      <c r="CD13" s="134"/>
      <c r="CE13" s="133"/>
      <c r="CF13" s="131"/>
      <c r="CG13" s="134"/>
      <c r="CH13" s="133"/>
      <c r="CI13" s="131"/>
      <c r="CJ13" s="134"/>
      <c r="CK13" s="133"/>
      <c r="CL13" s="131"/>
      <c r="CM13" s="134"/>
      <c r="CN13" s="133"/>
      <c r="CO13" s="131"/>
      <c r="CP13" s="134"/>
      <c r="CQ13" s="133"/>
      <c r="CR13" s="131"/>
      <c r="CS13" s="134"/>
      <c r="CT13" s="133"/>
      <c r="CU13" s="131"/>
      <c r="CV13" s="134"/>
      <c r="CW13" s="133"/>
      <c r="CX13" s="131"/>
      <c r="CY13" s="134"/>
      <c r="CZ13" s="133"/>
      <c r="DA13" s="140"/>
      <c r="DB13" s="141"/>
      <c r="DC13" s="142"/>
      <c r="DD13" s="140"/>
      <c r="DE13" s="141"/>
      <c r="DF13" s="142"/>
      <c r="DG13" s="140"/>
      <c r="DH13" s="141"/>
      <c r="DI13" s="142"/>
      <c r="DJ13" s="140"/>
      <c r="DK13" s="141"/>
      <c r="DL13" s="142"/>
      <c r="DM13" s="140"/>
      <c r="DN13" s="141"/>
      <c r="DO13" s="142"/>
      <c r="DP13" s="140"/>
      <c r="DQ13" s="141"/>
      <c r="DR13" s="142"/>
      <c r="DS13" s="140"/>
      <c r="DT13" s="141"/>
      <c r="DU13" s="142"/>
      <c r="DV13" s="140"/>
      <c r="DW13" s="141"/>
      <c r="DX13" s="142"/>
      <c r="DY13" s="140"/>
      <c r="DZ13" s="141"/>
      <c r="EA13" s="142"/>
      <c r="EB13" s="140"/>
      <c r="EC13" s="141"/>
      <c r="ED13" s="142"/>
      <c r="EE13" s="140"/>
      <c r="EF13" s="141"/>
      <c r="EG13" s="142"/>
      <c r="EH13" s="140"/>
      <c r="EI13" s="141"/>
      <c r="EJ13" s="142"/>
      <c r="EK13" s="140"/>
      <c r="EL13" s="141"/>
      <c r="EM13" s="142"/>
      <c r="EN13" s="140"/>
      <c r="EO13" s="141"/>
      <c r="EP13" s="142"/>
      <c r="EQ13" s="140"/>
      <c r="ER13" s="141"/>
      <c r="ES13" s="142"/>
      <c r="ET13" s="140"/>
      <c r="EU13" s="141"/>
      <c r="EV13" s="142"/>
      <c r="EW13" s="140"/>
      <c r="EX13" s="141"/>
      <c r="EY13" s="142"/>
      <c r="EZ13" s="140"/>
      <c r="FA13" s="141"/>
      <c r="FB13" s="142"/>
      <c r="FC13" s="140"/>
      <c r="FD13" s="141"/>
      <c r="FE13" s="142"/>
      <c r="FF13" s="140"/>
      <c r="FG13" s="141"/>
      <c r="FH13" s="142"/>
      <c r="FI13" s="140"/>
      <c r="FJ13" s="141"/>
      <c r="FK13" s="142"/>
      <c r="FL13" s="140"/>
      <c r="FM13" s="141"/>
      <c r="FN13" s="142"/>
      <c r="FO13" s="140"/>
      <c r="FP13" s="141"/>
      <c r="FQ13" s="142"/>
      <c r="FR13" s="140"/>
      <c r="FS13" s="141"/>
      <c r="FT13" s="142"/>
      <c r="FU13" s="140"/>
      <c r="FV13" s="141"/>
      <c r="FW13" s="142"/>
      <c r="FX13" s="140"/>
      <c r="FY13" s="141"/>
      <c r="FZ13" s="142"/>
      <c r="GA13" s="140"/>
      <c r="GB13" s="141"/>
      <c r="GC13" s="142"/>
      <c r="GD13" s="140"/>
      <c r="GE13" s="141"/>
      <c r="GF13" s="142"/>
      <c r="GG13" s="140"/>
      <c r="GH13" s="141"/>
      <c r="GI13" s="142"/>
      <c r="GJ13" s="140"/>
      <c r="GK13" s="141"/>
      <c r="GL13" s="142"/>
      <c r="GM13" s="140"/>
      <c r="GN13" s="141"/>
      <c r="GO13" s="142"/>
      <c r="GP13" s="140"/>
      <c r="GQ13" s="141"/>
      <c r="GR13" s="142"/>
      <c r="GS13" s="140"/>
      <c r="GT13" s="141"/>
      <c r="GU13" s="142"/>
      <c r="GV13" s="140"/>
      <c r="GW13" s="141"/>
      <c r="GX13" s="142"/>
      <c r="GY13" s="164"/>
      <c r="GZ13" s="134"/>
      <c r="HA13" s="185"/>
      <c r="HB13" s="164"/>
      <c r="HC13" s="185"/>
      <c r="HD13" s="164"/>
      <c r="HE13" s="185"/>
      <c r="HF13" s="164"/>
      <c r="HG13" s="185"/>
      <c r="HH13" s="164"/>
      <c r="HI13" s="185"/>
      <c r="HJ13" s="164"/>
      <c r="HK13" s="185"/>
      <c r="HL13" s="164"/>
      <c r="HM13" s="185"/>
      <c r="HN13" s="164"/>
      <c r="HO13" s="185"/>
      <c r="HP13" s="164"/>
      <c r="HQ13" s="185"/>
      <c r="HR13" s="164"/>
      <c r="HS13" s="185"/>
      <c r="HT13" s="164"/>
      <c r="HU13" s="185"/>
    </row>
    <row r="14" spans="1:229" x14ac:dyDescent="0.2">
      <c r="A14" s="106" t="s">
        <v>6043</v>
      </c>
      <c r="B14" s="131"/>
      <c r="C14" s="134"/>
      <c r="D14" s="133"/>
      <c r="E14" s="131"/>
      <c r="F14" s="134"/>
      <c r="G14" s="133"/>
      <c r="H14" s="131"/>
      <c r="I14" s="134"/>
      <c r="J14" s="133"/>
      <c r="K14" s="131"/>
      <c r="L14" s="134"/>
      <c r="M14" s="133"/>
      <c r="N14" s="131"/>
      <c r="O14" s="134"/>
      <c r="P14" s="133"/>
      <c r="Q14" s="131"/>
      <c r="R14" s="134"/>
      <c r="S14" s="133"/>
      <c r="T14" s="131"/>
      <c r="U14" s="134"/>
      <c r="V14" s="133"/>
      <c r="W14" s="131"/>
      <c r="X14" s="134"/>
      <c r="Y14" s="133"/>
      <c r="Z14" s="131"/>
      <c r="AA14" s="134"/>
      <c r="AB14" s="133"/>
      <c r="AC14" s="131"/>
      <c r="AD14" s="134"/>
      <c r="AE14" s="133"/>
      <c r="AF14" s="131"/>
      <c r="AG14" s="134"/>
      <c r="AH14" s="133"/>
      <c r="AI14" s="145">
        <v>737265</v>
      </c>
      <c r="AJ14" s="134">
        <v>2</v>
      </c>
      <c r="AK14" s="133"/>
      <c r="AL14" s="131"/>
      <c r="AM14" s="134"/>
      <c r="AN14" s="133"/>
      <c r="AO14" s="131"/>
      <c r="AP14" s="134"/>
      <c r="AQ14" s="133"/>
      <c r="AR14" s="131"/>
      <c r="AS14" s="134"/>
      <c r="AT14" s="180"/>
      <c r="AU14" s="131"/>
      <c r="AV14" s="185"/>
      <c r="AW14" s="131"/>
      <c r="AX14" s="185"/>
      <c r="AY14" s="131"/>
      <c r="AZ14" s="185"/>
      <c r="BA14" s="131"/>
      <c r="BB14" s="185"/>
      <c r="BC14" s="131"/>
      <c r="BD14" s="185"/>
      <c r="BE14" s="131"/>
      <c r="BF14" s="185"/>
      <c r="BG14" s="131"/>
      <c r="BH14" s="185"/>
      <c r="BI14" s="131"/>
      <c r="BJ14" s="185"/>
      <c r="BK14" s="131"/>
      <c r="BL14" s="185"/>
      <c r="BM14" s="131"/>
      <c r="BN14" s="185"/>
      <c r="BO14" s="131"/>
      <c r="BP14" s="134"/>
      <c r="BQ14" s="131"/>
      <c r="BR14" s="134"/>
      <c r="BS14" s="133"/>
      <c r="BT14" s="131"/>
      <c r="BU14" s="134"/>
      <c r="BV14" s="131"/>
      <c r="BW14" s="134"/>
      <c r="BX14" s="131"/>
      <c r="BY14" s="134"/>
      <c r="BZ14" s="131"/>
      <c r="CA14" s="134"/>
      <c r="CB14" s="133"/>
      <c r="CC14" s="131"/>
      <c r="CD14" s="134"/>
      <c r="CE14" s="133"/>
      <c r="CF14" s="131"/>
      <c r="CG14" s="134"/>
      <c r="CH14" s="133"/>
      <c r="CI14" s="131"/>
      <c r="CJ14" s="134"/>
      <c r="CK14" s="133"/>
      <c r="CL14" s="131"/>
      <c r="CM14" s="134"/>
      <c r="CN14" s="133"/>
      <c r="CO14" s="131"/>
      <c r="CP14" s="134"/>
      <c r="CQ14" s="133"/>
      <c r="CR14" s="131"/>
      <c r="CS14" s="134"/>
      <c r="CT14" s="133"/>
      <c r="CU14" s="131"/>
      <c r="CV14" s="134"/>
      <c r="CW14" s="133"/>
      <c r="CX14" s="131"/>
      <c r="CY14" s="134"/>
      <c r="CZ14" s="133"/>
      <c r="DA14" s="140"/>
      <c r="DB14" s="141"/>
      <c r="DC14" s="142"/>
      <c r="DD14" s="140"/>
      <c r="DE14" s="141"/>
      <c r="DF14" s="142"/>
      <c r="DG14" s="140"/>
      <c r="DH14" s="141"/>
      <c r="DI14" s="142"/>
      <c r="DJ14" s="140"/>
      <c r="DK14" s="141"/>
      <c r="DL14" s="142"/>
      <c r="DM14" s="140"/>
      <c r="DN14" s="141"/>
      <c r="DO14" s="142"/>
      <c r="DP14" s="140"/>
      <c r="DQ14" s="141"/>
      <c r="DR14" s="142"/>
      <c r="DS14" s="140"/>
      <c r="DT14" s="141"/>
      <c r="DU14" s="142"/>
      <c r="DV14" s="140"/>
      <c r="DW14" s="141"/>
      <c r="DX14" s="142"/>
      <c r="DY14" s="140"/>
      <c r="DZ14" s="141"/>
      <c r="EA14" s="142"/>
      <c r="EB14" s="140"/>
      <c r="EC14" s="141"/>
      <c r="ED14" s="142"/>
      <c r="EE14" s="140"/>
      <c r="EF14" s="141"/>
      <c r="EG14" s="142"/>
      <c r="EH14" s="140"/>
      <c r="EI14" s="141"/>
      <c r="EJ14" s="142"/>
      <c r="EK14" s="140"/>
      <c r="EL14" s="141"/>
      <c r="EM14" s="142"/>
      <c r="EN14" s="140"/>
      <c r="EO14" s="141"/>
      <c r="EP14" s="142"/>
      <c r="EQ14" s="140"/>
      <c r="ER14" s="141"/>
      <c r="ES14" s="142"/>
      <c r="ET14" s="140"/>
      <c r="EU14" s="141"/>
      <c r="EV14" s="142"/>
      <c r="EW14" s="140"/>
      <c r="EX14" s="141"/>
      <c r="EY14" s="142"/>
      <c r="EZ14" s="140"/>
      <c r="FA14" s="141"/>
      <c r="FB14" s="142"/>
      <c r="FC14" s="140"/>
      <c r="FD14" s="141"/>
      <c r="FE14" s="142"/>
      <c r="FF14" s="140"/>
      <c r="FG14" s="141"/>
      <c r="FH14" s="142"/>
      <c r="FI14" s="140"/>
      <c r="FJ14" s="141"/>
      <c r="FK14" s="142"/>
      <c r="FL14" s="140"/>
      <c r="FM14" s="141"/>
      <c r="FN14" s="142"/>
      <c r="FO14" s="140"/>
      <c r="FP14" s="141"/>
      <c r="FQ14" s="142"/>
      <c r="FR14" s="140"/>
      <c r="FS14" s="141"/>
      <c r="FT14" s="142"/>
      <c r="FU14" s="140"/>
      <c r="FV14" s="141"/>
      <c r="FW14" s="142"/>
      <c r="FX14" s="140"/>
      <c r="FY14" s="141"/>
      <c r="FZ14" s="142"/>
      <c r="GA14" s="140"/>
      <c r="GB14" s="141"/>
      <c r="GC14" s="142"/>
      <c r="GD14" s="140"/>
      <c r="GE14" s="141"/>
      <c r="GF14" s="142"/>
      <c r="GG14" s="140"/>
      <c r="GH14" s="141"/>
      <c r="GI14" s="142"/>
      <c r="GJ14" s="140"/>
      <c r="GK14" s="141"/>
      <c r="GL14" s="142"/>
      <c r="GM14" s="140"/>
      <c r="GN14" s="141"/>
      <c r="GO14" s="142"/>
      <c r="GP14" s="140"/>
      <c r="GQ14" s="141"/>
      <c r="GR14" s="142"/>
      <c r="GS14" s="140"/>
      <c r="GT14" s="141"/>
      <c r="GU14" s="142"/>
      <c r="GV14" s="140"/>
      <c r="GW14" s="141"/>
      <c r="GX14" s="142"/>
      <c r="GY14" s="164"/>
      <c r="GZ14" s="134"/>
      <c r="HA14" s="185"/>
      <c r="HB14" s="164"/>
      <c r="HC14" s="185"/>
      <c r="HD14" s="164"/>
      <c r="HE14" s="185"/>
      <c r="HF14" s="164"/>
      <c r="HG14" s="185"/>
      <c r="HH14" s="164"/>
      <c r="HI14" s="185"/>
      <c r="HJ14" s="164"/>
      <c r="HK14" s="185"/>
      <c r="HL14" s="164"/>
      <c r="HM14" s="185"/>
      <c r="HN14" s="164"/>
      <c r="HO14" s="185"/>
      <c r="HP14" s="164"/>
      <c r="HQ14" s="185"/>
      <c r="HR14" s="164"/>
      <c r="HS14" s="185"/>
      <c r="HT14" s="164"/>
      <c r="HU14" s="185"/>
    </row>
    <row r="15" spans="1:229" x14ac:dyDescent="0.2">
      <c r="A15" s="1753" t="s">
        <v>6044</v>
      </c>
      <c r="B15" s="131"/>
      <c r="C15" s="134"/>
      <c r="D15" s="133"/>
      <c r="E15" s="131"/>
      <c r="F15" s="134"/>
      <c r="G15" s="133"/>
      <c r="H15" s="131">
        <v>120348</v>
      </c>
      <c r="I15" s="134">
        <v>7</v>
      </c>
      <c r="J15" s="133"/>
      <c r="K15" s="131"/>
      <c r="L15" s="134"/>
      <c r="M15" s="133"/>
      <c r="N15" s="131"/>
      <c r="O15" s="134"/>
      <c r="P15" s="133"/>
      <c r="Q15" s="131"/>
      <c r="R15" s="134"/>
      <c r="S15" s="133"/>
      <c r="T15" s="131"/>
      <c r="U15" s="134"/>
      <c r="V15" s="133"/>
      <c r="W15" s="131"/>
      <c r="X15" s="134"/>
      <c r="Y15" s="133"/>
      <c r="Z15" s="131"/>
      <c r="AA15" s="134"/>
      <c r="AB15" s="133"/>
      <c r="AC15" s="131"/>
      <c r="AD15" s="134"/>
      <c r="AE15" s="133"/>
      <c r="AF15" s="131"/>
      <c r="AG15" s="134"/>
      <c r="AH15" s="133"/>
      <c r="AI15" s="145">
        <v>172840</v>
      </c>
      <c r="AJ15" s="134"/>
      <c r="AK15" s="133">
        <f>1/4</f>
        <v>0.25</v>
      </c>
      <c r="AL15" s="131">
        <v>180359</v>
      </c>
      <c r="AM15" s="134">
        <v>1</v>
      </c>
      <c r="AN15" s="133">
        <v>0.25</v>
      </c>
      <c r="AO15" s="131">
        <f>'1846 Hacienda'!E62</f>
        <v>174323</v>
      </c>
      <c r="AP15" s="134">
        <f>'1846 Hacienda'!F62</f>
        <v>6</v>
      </c>
      <c r="AQ15" s="133">
        <f>'1846 Hacienda'!G62</f>
        <v>0.5</v>
      </c>
      <c r="AR15" s="131"/>
      <c r="AS15" s="134"/>
      <c r="AT15" s="180"/>
      <c r="AU15" s="131"/>
      <c r="AV15" s="185"/>
      <c r="AW15" s="131">
        <f>+'1858 Hacienda'!D548</f>
        <v>149659</v>
      </c>
      <c r="AX15" s="185">
        <f>+'1858 Hacienda'!E548</f>
        <v>211</v>
      </c>
      <c r="AY15" s="131">
        <f>+'1858 Hacienda'!D618</f>
        <v>167591</v>
      </c>
      <c r="AZ15" s="185">
        <f>+'1858 Hacienda'!E618</f>
        <v>569</v>
      </c>
      <c r="BA15" s="131">
        <f>+'1858 Hacienda'!B501</f>
        <v>170141</v>
      </c>
      <c r="BB15" s="185">
        <f>+'1858 Hacienda'!C501</f>
        <v>86</v>
      </c>
      <c r="BC15" s="131">
        <f>+'1858 Hacienda'!B1031</f>
        <v>52716</v>
      </c>
      <c r="BD15" s="185">
        <f>+'1858 Hacienda'!C1031</f>
        <v>469</v>
      </c>
      <c r="BE15" s="131"/>
      <c r="BF15" s="185"/>
      <c r="BG15" s="131"/>
      <c r="BH15" s="185"/>
      <c r="BI15" s="131"/>
      <c r="BJ15" s="185"/>
      <c r="BK15" s="131"/>
      <c r="BL15" s="185"/>
      <c r="BM15" s="131"/>
      <c r="BN15" s="185"/>
      <c r="BO15" s="131"/>
      <c r="BP15" s="134"/>
      <c r="BQ15" s="131"/>
      <c r="BR15" s="134"/>
      <c r="BS15" s="133"/>
      <c r="BT15" s="131"/>
      <c r="BU15" s="134"/>
      <c r="BV15" s="131"/>
      <c r="BW15" s="134"/>
      <c r="BX15" s="131"/>
      <c r="BY15" s="134"/>
      <c r="BZ15" s="131"/>
      <c r="CA15" s="134"/>
      <c r="CB15" s="133"/>
      <c r="CC15" s="131"/>
      <c r="CD15" s="134"/>
      <c r="CE15" s="133"/>
      <c r="CF15" s="131"/>
      <c r="CG15" s="134"/>
      <c r="CH15" s="133"/>
      <c r="CI15" s="131"/>
      <c r="CJ15" s="134"/>
      <c r="CK15" s="133"/>
      <c r="CL15" s="131"/>
      <c r="CM15" s="134"/>
      <c r="CN15" s="133"/>
      <c r="CO15" s="131"/>
      <c r="CP15" s="134"/>
      <c r="CQ15" s="133"/>
      <c r="CR15" s="131"/>
      <c r="CS15" s="134"/>
      <c r="CT15" s="133"/>
      <c r="CU15" s="131"/>
      <c r="CV15" s="134"/>
      <c r="CW15" s="133"/>
      <c r="CX15" s="131"/>
      <c r="CY15" s="134"/>
      <c r="CZ15" s="133"/>
      <c r="DA15" s="140"/>
      <c r="DB15" s="141"/>
      <c r="DC15" s="142"/>
      <c r="DD15" s="140"/>
      <c r="DE15" s="141"/>
      <c r="DF15" s="142"/>
      <c r="DG15" s="140"/>
      <c r="DH15" s="141"/>
      <c r="DI15" s="142"/>
      <c r="DJ15" s="140"/>
      <c r="DK15" s="141"/>
      <c r="DL15" s="142"/>
      <c r="DM15" s="140"/>
      <c r="DN15" s="141"/>
      <c r="DO15" s="142"/>
      <c r="DP15" s="140"/>
      <c r="DQ15" s="141"/>
      <c r="DR15" s="142"/>
      <c r="DS15" s="140"/>
      <c r="DT15" s="141"/>
      <c r="DU15" s="142"/>
      <c r="DV15" s="140"/>
      <c r="DW15" s="141"/>
      <c r="DX15" s="142"/>
      <c r="DY15" s="140"/>
      <c r="DZ15" s="141"/>
      <c r="EA15" s="142"/>
      <c r="EB15" s="140"/>
      <c r="EC15" s="141"/>
      <c r="ED15" s="142"/>
      <c r="EE15" s="140"/>
      <c r="EF15" s="141"/>
      <c r="EG15" s="142"/>
      <c r="EH15" s="140"/>
      <c r="EI15" s="141"/>
      <c r="EJ15" s="142"/>
      <c r="EK15" s="140"/>
      <c r="EL15" s="141"/>
      <c r="EM15" s="142"/>
      <c r="EN15" s="140"/>
      <c r="EO15" s="141"/>
      <c r="EP15" s="142"/>
      <c r="EQ15" s="140"/>
      <c r="ER15" s="141"/>
      <c r="ES15" s="142"/>
      <c r="ET15" s="140"/>
      <c r="EU15" s="141"/>
      <c r="EV15" s="142"/>
      <c r="EW15" s="140"/>
      <c r="EX15" s="141"/>
      <c r="EY15" s="142"/>
      <c r="EZ15" s="140"/>
      <c r="FA15" s="141"/>
      <c r="FB15" s="142"/>
      <c r="FC15" s="140"/>
      <c r="FD15" s="141"/>
      <c r="FE15" s="142"/>
      <c r="FF15" s="140"/>
      <c r="FG15" s="141"/>
      <c r="FH15" s="142"/>
      <c r="FI15" s="140"/>
      <c r="FJ15" s="141"/>
      <c r="FK15" s="142"/>
      <c r="FL15" s="140"/>
      <c r="FM15" s="141"/>
      <c r="FN15" s="142"/>
      <c r="FO15" s="140"/>
      <c r="FP15" s="141"/>
      <c r="FQ15" s="142"/>
      <c r="FR15" s="140"/>
      <c r="FS15" s="141"/>
      <c r="FT15" s="142"/>
      <c r="FU15" s="140"/>
      <c r="FV15" s="141"/>
      <c r="FW15" s="142"/>
      <c r="FX15" s="140"/>
      <c r="FY15" s="141"/>
      <c r="FZ15" s="142"/>
      <c r="GA15" s="140"/>
      <c r="GB15" s="141"/>
      <c r="GC15" s="142"/>
      <c r="GD15" s="140"/>
      <c r="GE15" s="141"/>
      <c r="GF15" s="142"/>
      <c r="GG15" s="140"/>
      <c r="GH15" s="141"/>
      <c r="GI15" s="142"/>
      <c r="GJ15" s="140"/>
      <c r="GK15" s="141"/>
      <c r="GL15" s="142"/>
      <c r="GM15" s="140"/>
      <c r="GN15" s="141"/>
      <c r="GO15" s="142"/>
      <c r="GP15" s="140"/>
      <c r="GQ15" s="141"/>
      <c r="GR15" s="142"/>
      <c r="GS15" s="140"/>
      <c r="GT15" s="141"/>
      <c r="GU15" s="142"/>
      <c r="GV15" s="140"/>
      <c r="GW15" s="141"/>
      <c r="GX15" s="142"/>
      <c r="GY15" s="164"/>
      <c r="GZ15" s="134"/>
      <c r="HA15" s="185"/>
      <c r="HB15" s="164"/>
      <c r="HC15" s="185"/>
      <c r="HD15" s="164"/>
      <c r="HE15" s="185"/>
      <c r="HF15" s="164"/>
      <c r="HG15" s="185"/>
      <c r="HH15" s="164"/>
      <c r="HI15" s="185"/>
      <c r="HJ15" s="164"/>
      <c r="HK15" s="185"/>
      <c r="HL15" s="164"/>
      <c r="HM15" s="185"/>
      <c r="HN15" s="164"/>
      <c r="HO15" s="185"/>
      <c r="HP15" s="164"/>
      <c r="HQ15" s="185"/>
      <c r="HR15" s="164"/>
      <c r="HS15" s="185"/>
      <c r="HT15" s="164"/>
      <c r="HU15" s="185"/>
    </row>
    <row r="16" spans="1:229" x14ac:dyDescent="0.2">
      <c r="A16" s="1753" t="s">
        <v>6045</v>
      </c>
      <c r="B16" s="131">
        <f>+'1879 Hacienda'!B41</f>
        <v>289515</v>
      </c>
      <c r="C16" s="134"/>
      <c r="D16" s="133"/>
      <c r="E16" s="131">
        <f>+'1879 Hacienda'!B42</f>
        <v>203202</v>
      </c>
      <c r="F16" s="134"/>
      <c r="G16" s="133"/>
      <c r="H16" s="131"/>
      <c r="I16" s="134"/>
      <c r="J16" s="133"/>
      <c r="K16" s="131"/>
      <c r="L16" s="134"/>
      <c r="M16" s="133"/>
      <c r="N16" s="131"/>
      <c r="O16" s="134"/>
      <c r="P16" s="133"/>
      <c r="Q16" s="131"/>
      <c r="R16" s="134"/>
      <c r="S16" s="133"/>
      <c r="T16" s="131"/>
      <c r="U16" s="134"/>
      <c r="V16" s="133"/>
      <c r="W16" s="131">
        <v>282097</v>
      </c>
      <c r="X16" s="134">
        <v>4</v>
      </c>
      <c r="Y16" s="133">
        <f>1/2</f>
        <v>0.5</v>
      </c>
      <c r="Z16" s="131"/>
      <c r="AA16" s="134"/>
      <c r="AB16" s="133"/>
      <c r="AC16" s="131"/>
      <c r="AD16" s="134"/>
      <c r="AE16" s="133"/>
      <c r="AF16" s="131"/>
      <c r="AG16" s="134"/>
      <c r="AH16" s="133"/>
      <c r="AI16" s="145">
        <v>288562</v>
      </c>
      <c r="AJ16" s="134">
        <v>4</v>
      </c>
      <c r="AK16" s="133">
        <f>1/4</f>
        <v>0.25</v>
      </c>
      <c r="AL16" s="131">
        <v>321986</v>
      </c>
      <c r="AM16" s="134">
        <v>1</v>
      </c>
      <c r="AN16" s="133">
        <v>0.75</v>
      </c>
      <c r="AO16" s="131">
        <f>'1846 Hacienda'!E55</f>
        <v>548036</v>
      </c>
      <c r="AP16" s="134">
        <f>'1846 Hacienda'!F55</f>
        <v>5</v>
      </c>
      <c r="AQ16" s="133">
        <f>'1846 Hacienda'!G55</f>
        <v>0.75</v>
      </c>
      <c r="AR16" s="131"/>
      <c r="AS16" s="134"/>
      <c r="AT16" s="180"/>
      <c r="AU16" s="131"/>
      <c r="AV16" s="185"/>
      <c r="AW16" s="131">
        <f>+'1858 Hacienda'!D547</f>
        <v>471597</v>
      </c>
      <c r="AX16" s="185">
        <f>+'1858 Hacienda'!E547</f>
        <v>406</v>
      </c>
      <c r="AY16" s="131">
        <f>+'1858 Hacienda'!D605</f>
        <v>496361</v>
      </c>
      <c r="AZ16" s="185">
        <f>+'1858 Hacienda'!E605</f>
        <v>81</v>
      </c>
      <c r="BA16" s="131">
        <f>+'1858 Hacienda'!B492</f>
        <v>482993</v>
      </c>
      <c r="BB16" s="185">
        <f>+'1858 Hacienda'!C492</f>
        <v>307</v>
      </c>
      <c r="BC16" s="131">
        <f>+'1858 Hacienda'!B1022</f>
        <v>456998</v>
      </c>
      <c r="BD16" s="185">
        <f>+'1858 Hacienda'!C1022</f>
        <v>380</v>
      </c>
      <c r="BE16" s="131">
        <f>+'1858 Hacienda'!B1046</f>
        <v>400457</v>
      </c>
      <c r="BF16" s="185">
        <f>+'1858 Hacienda'!C1046</f>
        <v>500</v>
      </c>
      <c r="BG16" s="131">
        <f>+'1858 Hacienda'!B1065</f>
        <v>386890</v>
      </c>
      <c r="BH16" s="185">
        <f>+'1858 Hacienda'!C1065</f>
        <v>400</v>
      </c>
      <c r="BI16" s="131">
        <f>+'1858 Hacienda'!B1086</f>
        <v>253584</v>
      </c>
      <c r="BJ16" s="185">
        <f>+'1858 Hacienda'!C1086</f>
        <v>315</v>
      </c>
      <c r="BK16" s="131">
        <f>+'1858 Hacienda'!B1106</f>
        <v>436185</v>
      </c>
      <c r="BL16" s="185">
        <f>+'1858 Hacienda'!C1106</f>
        <v>300</v>
      </c>
      <c r="BM16" s="131">
        <f>+'1858 Hacienda'!B1127</f>
        <v>538235</v>
      </c>
      <c r="BN16" s="185">
        <f>+'1858 Hacienda'!C1127</f>
        <v>475</v>
      </c>
      <c r="BO16" s="131"/>
      <c r="BP16" s="134"/>
      <c r="BQ16" s="131">
        <f>+'1858 Hacienda'!B279</f>
        <v>597849</v>
      </c>
      <c r="BR16" s="134">
        <f>+'1858 Hacienda'!C279</f>
        <v>43</v>
      </c>
      <c r="BS16" s="133">
        <f>+'1858 Hacienda'!D279</f>
        <v>0.5</v>
      </c>
      <c r="BT16" s="131"/>
      <c r="BU16" s="134"/>
      <c r="BV16" s="131"/>
      <c r="BW16" s="134"/>
      <c r="BX16" s="131"/>
      <c r="BY16" s="134"/>
      <c r="BZ16" s="131"/>
      <c r="CA16" s="134"/>
      <c r="CB16" s="133"/>
      <c r="CC16" s="131"/>
      <c r="CD16" s="134"/>
      <c r="CE16" s="133"/>
      <c r="CF16" s="131">
        <f>+'1879 Hacienda'!B45</f>
        <v>852764</v>
      </c>
      <c r="CG16" s="134"/>
      <c r="CH16" s="133"/>
      <c r="CI16" s="131">
        <f>+'1869 Hacienda'!B45</f>
        <v>621007</v>
      </c>
      <c r="CK16" s="133"/>
      <c r="CL16" s="131">
        <f>+'1869 Hacienda'!C45</f>
        <v>657391</v>
      </c>
      <c r="CN16" s="133"/>
      <c r="CO16" s="131">
        <f>+'1869 Hacienda'!D45</f>
        <v>1066615</v>
      </c>
      <c r="CQ16" s="133"/>
      <c r="CR16" s="131">
        <f>+'1869 Hacienda'!E45</f>
        <v>728183</v>
      </c>
      <c r="CT16" s="133"/>
      <c r="CU16" s="107">
        <f>+'1869 Hacienda'!F45</f>
        <v>686935</v>
      </c>
      <c r="CV16" s="134"/>
      <c r="CW16" s="133"/>
      <c r="CX16" s="131">
        <f>+'1869 Hacienda'!B6</f>
        <v>758329</v>
      </c>
      <c r="CY16" s="134"/>
      <c r="CZ16" s="133"/>
      <c r="DA16" s="140">
        <f>+'1872 Hacienda'!B6</f>
        <v>770143</v>
      </c>
      <c r="DB16" s="141">
        <f>+'1872 Hacienda'!C6</f>
        <v>48</v>
      </c>
      <c r="DC16" s="142">
        <f>+'1872 Hacienda'!D6</f>
        <v>0.5</v>
      </c>
      <c r="DD16" s="140"/>
      <c r="DE16" s="141"/>
      <c r="DF16" s="142"/>
      <c r="DG16" s="140"/>
      <c r="DH16" s="141"/>
      <c r="DI16" s="142"/>
      <c r="DJ16" s="140">
        <f>+'1875 Hacienda'!B10</f>
        <v>656000</v>
      </c>
      <c r="DK16" s="141"/>
      <c r="DL16" s="142"/>
      <c r="DM16" s="140"/>
      <c r="DN16" s="141"/>
      <c r="DO16" s="142"/>
      <c r="DP16" s="140">
        <f>+'1877 Hacienda'!B64</f>
        <v>846445</v>
      </c>
      <c r="DQ16" s="141">
        <f>+'1877 Hacienda'!C64</f>
        <v>35</v>
      </c>
      <c r="DR16" s="142"/>
      <c r="DS16" s="140"/>
      <c r="DT16" s="141"/>
      <c r="DU16" s="142"/>
      <c r="DV16" s="140">
        <f>+'1880 Hacienda'!B24</f>
        <v>1451529</v>
      </c>
      <c r="DW16" s="141"/>
      <c r="DX16" s="142"/>
      <c r="DY16" s="140">
        <f>+'1880 Hacienda'!B6</f>
        <v>1349349</v>
      </c>
      <c r="DZ16" s="141">
        <f>+'1880 Hacienda'!C6</f>
        <v>45</v>
      </c>
      <c r="EA16" s="142">
        <f>+'1880 Hacienda'!D6</f>
        <v>0</v>
      </c>
      <c r="EB16" s="140">
        <f>+'1881 Hacienda'!B6</f>
        <v>1500428</v>
      </c>
      <c r="EC16" s="141">
        <f>+'1881 Hacienda'!C6</f>
        <v>300</v>
      </c>
      <c r="ED16" s="142"/>
      <c r="EE16" s="140">
        <f>+'1882 Hacienda'!B6</f>
        <v>950284</v>
      </c>
      <c r="EF16" s="141">
        <f>+'1882 Hacienda'!C6</f>
        <v>65</v>
      </c>
      <c r="EG16" s="142"/>
      <c r="EH16" s="140">
        <f>+'1883 Hacienda'!B6</f>
        <v>1063473</v>
      </c>
      <c r="EI16" s="141">
        <f>+'1883 Hacienda'!C6</f>
        <v>37</v>
      </c>
      <c r="EJ16" s="142">
        <f>+'1883 Hacienda'!D6</f>
        <v>0.5</v>
      </c>
      <c r="EK16" s="140"/>
      <c r="EL16" s="141"/>
      <c r="EM16" s="142"/>
      <c r="EN16" s="140"/>
      <c r="EO16" s="141"/>
      <c r="EP16" s="142"/>
      <c r="EQ16" s="140">
        <f>+'1888 Hacienda'!B102</f>
        <v>1267869</v>
      </c>
      <c r="ER16" s="141">
        <f>+'1888 Hacienda'!C102</f>
        <v>2</v>
      </c>
      <c r="ES16" s="142">
        <f>+'1888 Hacienda'!D102</f>
        <v>0.5</v>
      </c>
      <c r="ET16" s="140">
        <f>+'1888 Hacienda'!K102</f>
        <v>1767219</v>
      </c>
      <c r="EU16" s="141">
        <f>+'1888 Hacienda'!L102</f>
        <v>2</v>
      </c>
      <c r="EV16" s="142">
        <f>+'1888 Hacienda'!M102</f>
        <v>0.5</v>
      </c>
      <c r="EW16" s="140"/>
      <c r="EX16" s="141"/>
      <c r="EY16" s="142"/>
      <c r="EZ16" s="140"/>
      <c r="FA16" s="141"/>
      <c r="FB16" s="142"/>
      <c r="FC16" s="140">
        <f>+'1890 Hacienda'!B212</f>
        <v>3327392</v>
      </c>
      <c r="FD16" s="141">
        <f>+'1890 Hacienda'!C212</f>
        <v>70</v>
      </c>
      <c r="FE16" s="142">
        <f>+'1890 Hacienda'!D212</f>
        <v>0</v>
      </c>
      <c r="FF16" s="140">
        <f>+'1890 Hacienda'!E212</f>
        <v>1727621</v>
      </c>
      <c r="FG16" s="141">
        <f>+'1890 Hacienda'!F212</f>
        <v>40</v>
      </c>
      <c r="FH16" s="142"/>
      <c r="FI16" s="140">
        <f>+'1892 Hacienda'!B80</f>
        <v>1482524</v>
      </c>
      <c r="FJ16" s="141">
        <f>+'1892 Hacienda'!C80</f>
        <v>92</v>
      </c>
      <c r="FK16" s="142">
        <f>+'1892 Hacienda'!D80</f>
        <v>0.5</v>
      </c>
      <c r="FL16" s="140">
        <f>+'1894 Hacienda'!C8</f>
        <v>1244884</v>
      </c>
      <c r="FM16" s="141">
        <f>+'1894 Hacienda'!D8</f>
        <v>47</v>
      </c>
      <c r="FN16" s="142">
        <f>+'1894 Hacienda'!E8</f>
        <v>0.5</v>
      </c>
      <c r="FO16" s="140">
        <f>+'1894 Hacienda'!F8</f>
        <v>1159753</v>
      </c>
      <c r="FP16" s="141">
        <f>+'1894 Hacienda'!G8</f>
        <v>15</v>
      </c>
      <c r="FQ16" s="142"/>
      <c r="FR16" s="140">
        <f>+'1896 Hacienda'!C8</f>
        <v>1831159</v>
      </c>
      <c r="FS16" s="141">
        <f>+'1896 Hacienda'!D8</f>
        <v>5</v>
      </c>
      <c r="FT16" s="142"/>
      <c r="FU16" s="140">
        <f>+'1896 Hacienda'!F8</f>
        <v>1605162</v>
      </c>
      <c r="FV16" s="141">
        <f>+'1896 Hacienda'!G8</f>
        <v>40</v>
      </c>
      <c r="FW16" s="142"/>
      <c r="FX16" s="140">
        <f>+'1896 Hacienda'!L8</f>
        <v>1656263</v>
      </c>
      <c r="FY16" s="141">
        <f>+'1896 Hacienda'!M8</f>
        <v>75</v>
      </c>
      <c r="FZ16" s="142"/>
      <c r="GA16" s="140">
        <f>+'1898 Hacienda'!E7</f>
        <v>1702061</v>
      </c>
      <c r="GB16" s="141">
        <f>+'1898 Hacienda'!F7</f>
        <v>95</v>
      </c>
      <c r="GC16" s="142"/>
      <c r="GD16" s="140">
        <f>+'1898 Hacienda'!K7</f>
        <v>1767607</v>
      </c>
      <c r="GE16" s="141">
        <f>+'1898 Hacienda'!L7</f>
        <v>35</v>
      </c>
      <c r="GF16" s="142"/>
      <c r="GG16" s="140">
        <f>+'1904 Hacienda'!B27</f>
        <v>1405988</v>
      </c>
      <c r="GH16" s="141">
        <f>+'1904 Hacienda'!C27</f>
        <v>35</v>
      </c>
      <c r="GI16" s="142"/>
      <c r="GJ16" s="140">
        <f>+'1904 Hacienda'!B28</f>
        <v>1407940</v>
      </c>
      <c r="GK16" s="141">
        <f>+'1904 Hacienda'!C28</f>
        <v>15</v>
      </c>
      <c r="GL16" s="142"/>
      <c r="GM16" s="140">
        <f>+'1904 Hacienda'!B29</f>
        <v>1947859</v>
      </c>
      <c r="GN16" s="141">
        <f>+'1904 Hacienda'!C29</f>
        <v>90</v>
      </c>
      <c r="GO16" s="142"/>
      <c r="GP16" s="140">
        <f>+'1904 Hacienda'!B30</f>
        <v>2111523</v>
      </c>
      <c r="GQ16" s="141">
        <f>+'1904 Hacienda'!C30</f>
        <v>50</v>
      </c>
      <c r="GR16" s="142"/>
      <c r="GS16" s="140">
        <f>+'1904 Hacienda'!B31</f>
        <v>9747298</v>
      </c>
      <c r="GT16" s="141">
        <f>+'1904 Hacienda'!C31</f>
        <v>40</v>
      </c>
      <c r="GU16" s="142"/>
      <c r="GV16" s="140">
        <f>+'1904 Hacienda'!B32</f>
        <v>20694175</v>
      </c>
      <c r="GW16" s="141">
        <f>+'1904 Hacienda'!C32</f>
        <v>40</v>
      </c>
      <c r="GX16" s="142"/>
      <c r="GY16" s="164"/>
      <c r="GZ16" s="134"/>
      <c r="HA16" s="185"/>
      <c r="HB16" s="131">
        <f>'1910 Hacienda'!C5</f>
        <v>350330</v>
      </c>
      <c r="HC16" s="307">
        <f>'1910 Hacienda'!D5</f>
        <v>70</v>
      </c>
      <c r="HD16" s="131">
        <f>'1910 Hacienda'!C30</f>
        <v>811723</v>
      </c>
      <c r="HE16" s="307">
        <f>'1910 Hacienda'!D30</f>
        <v>9</v>
      </c>
      <c r="HF16" s="131">
        <f>'1910 Hacienda'!C59</f>
        <v>1155983</v>
      </c>
      <c r="HG16" s="307">
        <f>'1910 Hacienda'!D59</f>
        <v>21</v>
      </c>
      <c r="HH16" s="131">
        <f>'1910 Hacienda'!C99</f>
        <v>1147008</v>
      </c>
      <c r="HI16" s="307">
        <f>'1910 Hacienda'!D99</f>
        <v>11</v>
      </c>
      <c r="HJ16" s="131"/>
      <c r="HK16" s="307"/>
      <c r="HL16" s="131"/>
      <c r="HM16" s="307"/>
      <c r="HN16" s="131"/>
      <c r="HO16" s="307"/>
      <c r="HP16" s="131"/>
      <c r="HQ16" s="307"/>
      <c r="HR16" s="131"/>
      <c r="HS16" s="307"/>
      <c r="HT16" s="131"/>
      <c r="HU16" s="307"/>
    </row>
    <row r="17" spans="1:229" x14ac:dyDescent="0.2">
      <c r="A17" s="184" t="s">
        <v>5471</v>
      </c>
      <c r="B17" s="131"/>
      <c r="C17" s="134"/>
      <c r="D17" s="133"/>
      <c r="E17" s="131"/>
      <c r="F17" s="134"/>
      <c r="G17" s="133"/>
      <c r="H17" s="131"/>
      <c r="I17" s="134"/>
      <c r="J17" s="133"/>
      <c r="K17" s="131"/>
      <c r="L17" s="134"/>
      <c r="M17" s="133"/>
      <c r="N17" s="131"/>
      <c r="O17" s="134"/>
      <c r="P17" s="133"/>
      <c r="Q17" s="131"/>
      <c r="R17" s="134"/>
      <c r="S17" s="133"/>
      <c r="T17" s="131"/>
      <c r="U17" s="134"/>
      <c r="V17" s="133"/>
      <c r="W17" s="131"/>
      <c r="X17" s="134"/>
      <c r="Y17" s="133"/>
      <c r="Z17" s="131"/>
      <c r="AA17" s="134"/>
      <c r="AB17" s="133"/>
      <c r="AC17" s="131"/>
      <c r="AD17" s="134"/>
      <c r="AE17" s="133"/>
      <c r="AF17" s="131"/>
      <c r="AG17" s="134"/>
      <c r="AH17" s="133"/>
      <c r="AI17" s="145"/>
      <c r="AJ17" s="134"/>
      <c r="AK17" s="133"/>
      <c r="AL17" s="131"/>
      <c r="AM17" s="134"/>
      <c r="AN17" s="133"/>
      <c r="AO17" s="131"/>
      <c r="AP17" s="134"/>
      <c r="AQ17" s="133"/>
      <c r="AR17" s="131"/>
      <c r="AS17" s="134"/>
      <c r="AT17" s="180"/>
      <c r="AU17" s="131"/>
      <c r="AV17" s="185"/>
      <c r="AW17" s="131"/>
      <c r="AX17" s="185"/>
      <c r="AY17" s="131"/>
      <c r="AZ17" s="185"/>
      <c r="BA17" s="131"/>
      <c r="BB17" s="185"/>
      <c r="BC17" s="131"/>
      <c r="BD17" s="185"/>
      <c r="BE17" s="131"/>
      <c r="BF17" s="185"/>
      <c r="BG17" s="131"/>
      <c r="BH17" s="185"/>
      <c r="BI17" s="131"/>
      <c r="BJ17" s="185"/>
      <c r="BK17" s="131"/>
      <c r="BL17" s="185"/>
      <c r="BM17" s="131"/>
      <c r="BN17" s="185"/>
      <c r="BO17" s="131"/>
      <c r="BP17" s="134"/>
      <c r="BQ17" s="131"/>
      <c r="BR17" s="134"/>
      <c r="BS17" s="133"/>
      <c r="BT17" s="131"/>
      <c r="BU17" s="134"/>
      <c r="BV17" s="131"/>
      <c r="BW17" s="134"/>
      <c r="BX17" s="131"/>
      <c r="BY17" s="134"/>
      <c r="BZ17" s="131"/>
      <c r="CA17" s="134"/>
      <c r="CB17" s="133"/>
      <c r="CC17" s="131"/>
      <c r="CD17" s="134"/>
      <c r="CE17" s="133"/>
      <c r="CF17" s="107"/>
      <c r="CG17" s="134"/>
      <c r="CH17" s="133"/>
      <c r="CI17" s="131"/>
      <c r="CJ17" s="134"/>
      <c r="CK17" s="133"/>
      <c r="CL17" s="131"/>
      <c r="CM17" s="134"/>
      <c r="CN17" s="133"/>
      <c r="CO17" s="131"/>
      <c r="CP17" s="134"/>
      <c r="CQ17" s="133"/>
      <c r="CR17" s="131"/>
      <c r="CS17" s="134"/>
      <c r="CT17" s="133"/>
      <c r="CU17" s="131"/>
      <c r="CV17" s="134"/>
      <c r="CW17" s="133"/>
      <c r="CX17" s="131"/>
      <c r="CY17" s="134"/>
      <c r="CZ17" s="133"/>
      <c r="DA17" s="140"/>
      <c r="DB17" s="141"/>
      <c r="DC17" s="142"/>
      <c r="DD17" s="140"/>
      <c r="DE17" s="141"/>
      <c r="DF17" s="142"/>
      <c r="DG17" s="140"/>
      <c r="DH17" s="141"/>
      <c r="DI17" s="142"/>
      <c r="DJ17" s="140"/>
      <c r="DK17" s="141"/>
      <c r="DL17" s="142"/>
      <c r="DM17" s="140"/>
      <c r="DN17" s="141"/>
      <c r="DO17" s="142"/>
      <c r="DP17" s="140"/>
      <c r="DQ17" s="141"/>
      <c r="DR17" s="142"/>
      <c r="DS17" s="140"/>
      <c r="DT17" s="141"/>
      <c r="DU17" s="142"/>
      <c r="DV17" s="140"/>
      <c r="DW17" s="141"/>
      <c r="DX17" s="142"/>
      <c r="DY17" s="140"/>
      <c r="DZ17" s="141"/>
      <c r="EA17" s="142"/>
      <c r="EB17" s="140"/>
      <c r="EC17" s="141"/>
      <c r="ED17" s="142"/>
      <c r="EE17" s="140"/>
      <c r="EF17" s="141"/>
      <c r="EG17" s="142"/>
      <c r="EH17" s="140"/>
      <c r="EI17" s="141"/>
      <c r="EJ17" s="142"/>
      <c r="EK17" s="140"/>
      <c r="EL17" s="141"/>
      <c r="EM17" s="142"/>
      <c r="EN17" s="140"/>
      <c r="EO17" s="141"/>
      <c r="EP17" s="142"/>
      <c r="EQ17" s="140"/>
      <c r="ER17" s="141"/>
      <c r="ES17" s="142"/>
      <c r="ET17" s="140"/>
      <c r="EU17" s="141"/>
      <c r="EV17" s="142"/>
      <c r="EW17" s="140">
        <f>+'1890 Hacienda'!B149</f>
        <v>1241543</v>
      </c>
      <c r="EX17" s="141">
        <f>+'1890 Hacienda'!C149</f>
        <v>40</v>
      </c>
      <c r="EY17" s="142"/>
      <c r="EZ17" s="140">
        <f>+'1890 Hacienda'!B150</f>
        <v>1164673</v>
      </c>
      <c r="FA17" s="141">
        <f>+'1890 Hacienda'!C150</f>
        <v>40</v>
      </c>
      <c r="FB17" s="142"/>
      <c r="FC17" s="140"/>
      <c r="FD17" s="141"/>
      <c r="FE17" s="142"/>
      <c r="FF17" s="140">
        <f>+'1890 Hacienda'!B151</f>
        <v>1336103</v>
      </c>
      <c r="FG17" s="141">
        <f>+'1890 Hacienda'!C151</f>
        <v>40</v>
      </c>
      <c r="FH17" s="142"/>
      <c r="FI17" s="140"/>
      <c r="FJ17" s="141"/>
      <c r="FK17" s="142"/>
      <c r="FL17" s="140"/>
      <c r="FM17" s="141"/>
      <c r="FN17" s="142"/>
      <c r="FO17" s="140"/>
      <c r="FP17" s="141"/>
      <c r="FQ17" s="142"/>
      <c r="FR17" s="140"/>
      <c r="FS17" s="141"/>
      <c r="FT17" s="142"/>
      <c r="FU17" s="140"/>
      <c r="FV17" s="141"/>
      <c r="FW17" s="142"/>
      <c r="FX17" s="140"/>
      <c r="FY17" s="141"/>
      <c r="FZ17" s="142"/>
      <c r="GA17" s="140"/>
      <c r="GB17" s="141"/>
      <c r="GC17" s="142"/>
      <c r="GD17" s="140"/>
      <c r="GE17" s="141"/>
      <c r="GF17" s="142"/>
      <c r="GG17" s="140"/>
      <c r="GH17" s="141"/>
      <c r="GI17" s="142"/>
      <c r="GJ17" s="140"/>
      <c r="GK17" s="141"/>
      <c r="GL17" s="142"/>
      <c r="GM17" s="140"/>
      <c r="GN17" s="141"/>
      <c r="GO17" s="142"/>
      <c r="GP17" s="140"/>
      <c r="GQ17" s="141"/>
      <c r="GR17" s="142"/>
      <c r="GS17" s="140"/>
      <c r="GT17" s="141"/>
      <c r="GU17" s="142"/>
      <c r="GV17" s="140"/>
      <c r="GW17" s="141"/>
      <c r="GX17" s="142"/>
      <c r="GY17" s="164"/>
      <c r="GZ17" s="134"/>
      <c r="HA17" s="185"/>
      <c r="HB17" s="131"/>
      <c r="HC17" s="307"/>
      <c r="HD17" s="131"/>
      <c r="HE17" s="307"/>
      <c r="HF17" s="131"/>
      <c r="HG17" s="307"/>
      <c r="HH17" s="131"/>
      <c r="HI17" s="307"/>
      <c r="HJ17" s="131">
        <f>'1910 Hacienda'!C141</f>
        <v>699776</v>
      </c>
      <c r="HK17" s="307">
        <f>'1910 Hacienda'!D141</f>
        <v>66</v>
      </c>
      <c r="HL17" s="131">
        <f>'1911 Hacienda'!B37</f>
        <v>736266</v>
      </c>
      <c r="HM17" s="307">
        <f>'1911 Hacienda'!C37</f>
        <v>16</v>
      </c>
      <c r="HN17" s="131"/>
      <c r="HO17" s="307"/>
      <c r="HP17" s="131">
        <f>+'1912 Hacienda'!B21</f>
        <v>870906</v>
      </c>
      <c r="HQ17" s="307">
        <f>+'1912 Hacienda'!C21</f>
        <v>11</v>
      </c>
      <c r="HR17" s="131"/>
      <c r="HS17" s="307"/>
      <c r="HT17" s="131">
        <f>+'1915 Hacienda'!D7</f>
        <v>886831</v>
      </c>
      <c r="HU17" s="307">
        <f>+'1915 Hacienda'!E7</f>
        <v>8</v>
      </c>
    </row>
    <row r="18" spans="1:229" x14ac:dyDescent="0.2">
      <c r="A18" s="184" t="s">
        <v>5472</v>
      </c>
      <c r="B18" s="131"/>
      <c r="C18" s="134"/>
      <c r="D18" s="133"/>
      <c r="E18" s="131"/>
      <c r="F18" s="134"/>
      <c r="G18" s="133"/>
      <c r="H18" s="131"/>
      <c r="I18" s="134"/>
      <c r="J18" s="133"/>
      <c r="K18" s="131"/>
      <c r="L18" s="134"/>
      <c r="M18" s="133"/>
      <c r="N18" s="131"/>
      <c r="O18" s="134"/>
      <c r="P18" s="133"/>
      <c r="Q18" s="131"/>
      <c r="R18" s="134"/>
      <c r="S18" s="133"/>
      <c r="T18" s="131"/>
      <c r="U18" s="134"/>
      <c r="V18" s="133"/>
      <c r="W18" s="131"/>
      <c r="X18" s="134"/>
      <c r="Y18" s="133"/>
      <c r="Z18" s="131"/>
      <c r="AA18" s="134"/>
      <c r="AB18" s="133"/>
      <c r="AC18" s="131"/>
      <c r="AD18" s="134"/>
      <c r="AE18" s="133"/>
      <c r="AF18" s="131"/>
      <c r="AG18" s="134"/>
      <c r="AH18" s="133"/>
      <c r="AI18" s="145"/>
      <c r="AJ18" s="134"/>
      <c r="AK18" s="133"/>
      <c r="AL18" s="131"/>
      <c r="AM18" s="134"/>
      <c r="AN18" s="133"/>
      <c r="AO18" s="131"/>
      <c r="AP18" s="134"/>
      <c r="AQ18" s="133"/>
      <c r="AR18" s="131"/>
      <c r="AS18" s="134"/>
      <c r="AT18" s="180"/>
      <c r="AU18" s="131"/>
      <c r="AV18" s="185"/>
      <c r="AW18" s="131"/>
      <c r="AX18" s="185"/>
      <c r="AY18" s="131"/>
      <c r="AZ18" s="185"/>
      <c r="BA18" s="131"/>
      <c r="BB18" s="185"/>
      <c r="BC18" s="131"/>
      <c r="BD18" s="185"/>
      <c r="BE18" s="131"/>
      <c r="BF18" s="185"/>
      <c r="BG18" s="131"/>
      <c r="BH18" s="185"/>
      <c r="BI18" s="131"/>
      <c r="BJ18" s="185"/>
      <c r="BK18" s="131"/>
      <c r="BL18" s="185"/>
      <c r="BM18" s="131"/>
      <c r="BN18" s="185"/>
      <c r="BO18" s="131"/>
      <c r="BP18" s="134"/>
      <c r="BQ18" s="131"/>
      <c r="BR18" s="134"/>
      <c r="BS18" s="133"/>
      <c r="BT18" s="131"/>
      <c r="BU18" s="134"/>
      <c r="BV18" s="131"/>
      <c r="BW18" s="134"/>
      <c r="BX18" s="131"/>
      <c r="BY18" s="134"/>
      <c r="BZ18" s="131"/>
      <c r="CA18" s="134"/>
      <c r="CB18" s="133"/>
      <c r="CC18" s="131"/>
      <c r="CD18" s="134"/>
      <c r="CE18" s="133"/>
      <c r="CF18" s="131"/>
      <c r="CG18" s="134"/>
      <c r="CH18" s="133"/>
      <c r="CI18" s="131"/>
      <c r="CJ18" s="134"/>
      <c r="CK18" s="133"/>
      <c r="CL18" s="131"/>
      <c r="CM18" s="134"/>
      <c r="CN18" s="133"/>
      <c r="CO18" s="131"/>
      <c r="CP18" s="134"/>
      <c r="CQ18" s="133"/>
      <c r="CR18" s="131"/>
      <c r="CS18" s="134"/>
      <c r="CT18" s="133"/>
      <c r="CU18" s="131"/>
      <c r="CV18" s="134"/>
      <c r="CW18" s="133"/>
      <c r="CX18" s="131"/>
      <c r="CY18" s="134"/>
      <c r="CZ18" s="133"/>
      <c r="DA18" s="140"/>
      <c r="DB18" s="141"/>
      <c r="DC18" s="142"/>
      <c r="DD18" s="140"/>
      <c r="DE18" s="141"/>
      <c r="DF18" s="142"/>
      <c r="DG18" s="140"/>
      <c r="DH18" s="141"/>
      <c r="DI18" s="142"/>
      <c r="DJ18" s="140"/>
      <c r="DK18" s="141"/>
      <c r="DL18" s="142"/>
      <c r="DM18" s="140"/>
      <c r="DN18" s="141"/>
      <c r="DO18" s="142"/>
      <c r="DP18" s="140"/>
      <c r="DQ18" s="141"/>
      <c r="DR18" s="142"/>
      <c r="DS18" s="140"/>
      <c r="DT18" s="141"/>
      <c r="DU18" s="142"/>
      <c r="DV18" s="140"/>
      <c r="DW18" s="141"/>
      <c r="DX18" s="142"/>
      <c r="DY18" s="140"/>
      <c r="DZ18" s="141"/>
      <c r="EA18" s="142"/>
      <c r="EB18" s="140"/>
      <c r="EC18" s="141"/>
      <c r="ED18" s="142"/>
      <c r="EE18" s="140"/>
      <c r="EF18" s="141"/>
      <c r="EG18" s="142"/>
      <c r="EH18" s="140"/>
      <c r="EI18" s="141"/>
      <c r="EJ18" s="142"/>
      <c r="EK18" s="140"/>
      <c r="EL18" s="141"/>
      <c r="EM18" s="142"/>
      <c r="EN18" s="140"/>
      <c r="EO18" s="141"/>
      <c r="EP18" s="142"/>
      <c r="EQ18" s="140"/>
      <c r="ER18" s="141"/>
      <c r="ES18" s="142"/>
      <c r="ET18" s="140"/>
      <c r="EU18" s="141"/>
      <c r="EV18" s="142"/>
      <c r="EW18" s="140">
        <f>+'1890 Hacienda'!B154</f>
        <v>374331</v>
      </c>
      <c r="EX18" s="141">
        <f>+'1890 Hacienda'!C154</f>
        <v>35</v>
      </c>
      <c r="EY18" s="142"/>
      <c r="EZ18" s="140">
        <f>+'1890 Hacienda'!B155</f>
        <v>367485</v>
      </c>
      <c r="FA18" s="141"/>
      <c r="FB18" s="142"/>
      <c r="FC18" s="140"/>
      <c r="FD18" s="141"/>
      <c r="FE18" s="142"/>
      <c r="FF18" s="140">
        <f>+'1890 Hacienda'!B156</f>
        <v>391518</v>
      </c>
      <c r="FG18" s="141"/>
      <c r="FH18" s="142"/>
      <c r="FI18" s="140"/>
      <c r="FJ18" s="141"/>
      <c r="FK18" s="142"/>
      <c r="FL18" s="140"/>
      <c r="FM18" s="141"/>
      <c r="FN18" s="142"/>
      <c r="FO18" s="140"/>
      <c r="FP18" s="141"/>
      <c r="FQ18" s="142"/>
      <c r="FR18" s="140"/>
      <c r="FS18" s="141"/>
      <c r="FT18" s="142"/>
      <c r="FU18" s="140"/>
      <c r="FV18" s="141"/>
      <c r="FW18" s="142"/>
      <c r="FX18" s="140"/>
      <c r="FY18" s="141"/>
      <c r="FZ18" s="142"/>
      <c r="GA18" s="140"/>
      <c r="GB18" s="141"/>
      <c r="GC18" s="142"/>
      <c r="GD18" s="140"/>
      <c r="GE18" s="141"/>
      <c r="GF18" s="142"/>
      <c r="GG18" s="140"/>
      <c r="GH18" s="141"/>
      <c r="GI18" s="142"/>
      <c r="GJ18" s="140"/>
      <c r="GK18" s="141"/>
      <c r="GL18" s="142"/>
      <c r="GM18" s="140"/>
      <c r="GN18" s="141"/>
      <c r="GO18" s="142"/>
      <c r="GP18" s="140"/>
      <c r="GQ18" s="141"/>
      <c r="GR18" s="142"/>
      <c r="GS18" s="140"/>
      <c r="GT18" s="141"/>
      <c r="GU18" s="142"/>
      <c r="GV18" s="140"/>
      <c r="GW18" s="141"/>
      <c r="GX18" s="142"/>
      <c r="GY18" s="164"/>
      <c r="GZ18" s="134"/>
      <c r="HA18" s="185"/>
      <c r="HB18" s="131"/>
      <c r="HC18" s="307"/>
      <c r="HD18" s="131"/>
      <c r="HE18" s="307"/>
      <c r="HF18" s="131"/>
      <c r="HG18" s="307"/>
      <c r="HH18" s="131"/>
      <c r="HI18" s="307"/>
      <c r="HJ18" s="131">
        <f>'1910 Hacienda'!C142</f>
        <v>703871</v>
      </c>
      <c r="HK18" s="307">
        <f>'1910 Hacienda'!D142</f>
        <v>16</v>
      </c>
      <c r="HL18" s="131">
        <f>'1911 Hacienda'!B36</f>
        <v>534779</v>
      </c>
      <c r="HM18" s="307">
        <f>'1911 Hacienda'!C36</f>
        <v>7</v>
      </c>
      <c r="HN18" s="131"/>
      <c r="HO18" s="307"/>
      <c r="HP18" s="131">
        <f>+'1912 Hacienda'!B22</f>
        <v>160735</v>
      </c>
      <c r="HQ18" s="307">
        <f>+'1912 Hacienda'!C22</f>
        <v>45</v>
      </c>
      <c r="HR18" s="131"/>
      <c r="HS18" s="307"/>
      <c r="HT18" s="131">
        <f>+'1915 Hacienda'!D8</f>
        <v>315524</v>
      </c>
      <c r="HU18" s="307">
        <f>+'1915 Hacienda'!E8</f>
        <v>62</v>
      </c>
    </row>
    <row r="19" spans="1:229" x14ac:dyDescent="0.2">
      <c r="A19" s="1753" t="s">
        <v>6046</v>
      </c>
      <c r="B19" s="131"/>
      <c r="C19" s="134"/>
      <c r="D19" s="133"/>
      <c r="E19" s="131"/>
      <c r="F19" s="134"/>
      <c r="G19" s="133"/>
      <c r="H19" s="131"/>
      <c r="I19" s="134"/>
      <c r="J19" s="133"/>
      <c r="K19" s="131"/>
      <c r="L19" s="134"/>
      <c r="M19" s="133"/>
      <c r="N19" s="131"/>
      <c r="O19" s="134"/>
      <c r="P19" s="133"/>
      <c r="Q19" s="131"/>
      <c r="R19" s="134"/>
      <c r="S19" s="133"/>
      <c r="T19" s="131"/>
      <c r="U19" s="134"/>
      <c r="V19" s="133"/>
      <c r="W19" s="131"/>
      <c r="X19" s="134"/>
      <c r="Y19" s="133"/>
      <c r="Z19" s="131"/>
      <c r="AA19" s="134"/>
      <c r="AB19" s="133"/>
      <c r="AC19" s="131"/>
      <c r="AD19" s="134"/>
      <c r="AE19" s="133"/>
      <c r="AF19" s="131">
        <v>60373</v>
      </c>
      <c r="AG19" s="134">
        <v>6</v>
      </c>
      <c r="AH19" s="133">
        <f>1/4</f>
        <v>0.25</v>
      </c>
      <c r="AI19" s="145">
        <v>79539</v>
      </c>
      <c r="AJ19" s="134">
        <v>2</v>
      </c>
      <c r="AK19" s="133">
        <f>1/2</f>
        <v>0.5</v>
      </c>
      <c r="AL19" s="131">
        <v>74480</v>
      </c>
      <c r="AM19" s="134">
        <v>6</v>
      </c>
      <c r="AN19" s="133">
        <v>0.25</v>
      </c>
      <c r="AO19" s="131">
        <f>'1846 Hacienda'!E54</f>
        <v>79813</v>
      </c>
      <c r="AP19" s="134">
        <f>'1846 Hacienda'!F54</f>
        <v>4</v>
      </c>
      <c r="AQ19" s="133">
        <f>'1846 Hacienda'!G54</f>
        <v>0.75</v>
      </c>
      <c r="AR19" s="131"/>
      <c r="AS19" s="134"/>
      <c r="AT19" s="180"/>
      <c r="AU19" s="131"/>
      <c r="AV19" s="185"/>
      <c r="AW19" s="131">
        <f>+'1858 Hacienda'!D552</f>
        <v>79260</v>
      </c>
      <c r="AX19" s="185">
        <f>+'1858 Hacienda'!E552</f>
        <v>597</v>
      </c>
      <c r="AY19" s="131">
        <f>+'1858 Hacienda'!D609</f>
        <v>75422</v>
      </c>
      <c r="AZ19" s="185">
        <f>+'1858 Hacienda'!E609</f>
        <v>880</v>
      </c>
      <c r="BA19" s="131">
        <f>+'1858 Hacienda'!B494</f>
        <v>80252</v>
      </c>
      <c r="BB19" s="185">
        <f>+'1858 Hacienda'!C494</f>
        <v>461</v>
      </c>
      <c r="BC19" s="131">
        <f>+'1858 Hacienda'!B1023</f>
        <v>69942</v>
      </c>
      <c r="BD19" s="185">
        <f>+'1858 Hacienda'!C1023</f>
        <v>689</v>
      </c>
      <c r="BE19" s="131">
        <f>+'1858 Hacienda'!B1048</f>
        <v>75001</v>
      </c>
      <c r="BF19" s="185"/>
      <c r="BG19" s="131">
        <f>+'1858 Hacienda'!B1068</f>
        <v>79548</v>
      </c>
      <c r="BH19" s="185">
        <f>+'1858 Hacienda'!C1068</f>
        <v>328</v>
      </c>
      <c r="BI19" s="131">
        <f>+'1858 Hacienda'!B1088</f>
        <v>65350</v>
      </c>
      <c r="BJ19" s="185">
        <f>+'1858 Hacienda'!C1088</f>
        <v>660</v>
      </c>
      <c r="BK19" s="131">
        <f>+'1858 Hacienda'!B1107</f>
        <v>66872</v>
      </c>
      <c r="BL19" s="185">
        <f>+'1858 Hacienda'!C1107</f>
        <v>795</v>
      </c>
      <c r="BM19" s="131">
        <f>+'1858 Hacienda'!D1126</f>
        <v>66088</v>
      </c>
      <c r="BN19" s="185">
        <f>+'1858 Hacienda'!E1126</f>
        <v>790</v>
      </c>
      <c r="BO19" s="131"/>
      <c r="BP19" s="134"/>
      <c r="BQ19" s="131">
        <f>+'1858 Hacienda'!B281</f>
        <v>21663</v>
      </c>
      <c r="BR19" s="134">
        <f>+'1858 Hacienda'!C281</f>
        <v>20</v>
      </c>
      <c r="BS19" s="133">
        <f>+'1858 Hacienda'!D281</f>
        <v>0</v>
      </c>
      <c r="BT19" s="131"/>
      <c r="BU19" s="134"/>
      <c r="BV19" s="131"/>
      <c r="BW19" s="134"/>
      <c r="BX19" s="131"/>
      <c r="BY19" s="134"/>
      <c r="BZ19" s="131"/>
      <c r="CA19" s="134"/>
      <c r="CB19" s="133"/>
      <c r="CC19" s="131"/>
      <c r="CD19" s="134"/>
      <c r="CE19" s="133"/>
      <c r="CF19" s="131"/>
      <c r="CG19" s="134"/>
      <c r="CH19" s="133"/>
      <c r="CI19" s="131"/>
      <c r="CJ19" s="134"/>
      <c r="CK19" s="133"/>
      <c r="CL19" s="131"/>
      <c r="CM19" s="134"/>
      <c r="CN19" s="133"/>
      <c r="CO19" s="131"/>
      <c r="CP19" s="134"/>
      <c r="CQ19" s="133"/>
      <c r="CR19" s="131"/>
      <c r="CS19" s="134"/>
      <c r="CT19" s="133"/>
      <c r="CU19" s="131"/>
      <c r="CV19" s="134"/>
      <c r="CW19" s="133"/>
      <c r="CX19" s="131"/>
      <c r="CY19" s="134"/>
      <c r="CZ19" s="133"/>
      <c r="DA19" s="140"/>
      <c r="DB19" s="141"/>
      <c r="DC19" s="142"/>
      <c r="DD19" s="140"/>
      <c r="DE19" s="141"/>
      <c r="DF19" s="142"/>
      <c r="DG19" s="140"/>
      <c r="DH19" s="141"/>
      <c r="DI19" s="142"/>
      <c r="DJ19" s="140"/>
      <c r="DK19" s="141"/>
      <c r="DL19" s="142"/>
      <c r="DM19" s="140"/>
      <c r="DN19" s="141"/>
      <c r="DO19" s="142"/>
      <c r="DP19" s="140"/>
      <c r="DQ19" s="141"/>
      <c r="DR19" s="142"/>
      <c r="DS19" s="140"/>
      <c r="DT19" s="141"/>
      <c r="DU19" s="142"/>
      <c r="DV19" s="140"/>
      <c r="DW19" s="141"/>
      <c r="DX19" s="142"/>
      <c r="DY19" s="140"/>
      <c r="DZ19" s="141"/>
      <c r="EA19" s="142"/>
      <c r="EB19" s="140"/>
      <c r="EC19" s="141"/>
      <c r="ED19" s="142"/>
      <c r="EE19" s="140"/>
      <c r="EF19" s="141"/>
      <c r="EG19" s="142"/>
      <c r="EH19" s="140"/>
      <c r="EI19" s="141"/>
      <c r="EJ19" s="142"/>
      <c r="EK19" s="140"/>
      <c r="EL19" s="141"/>
      <c r="EM19" s="142"/>
      <c r="EN19" s="140"/>
      <c r="EO19" s="141"/>
      <c r="EP19" s="142"/>
      <c r="EQ19" s="140"/>
      <c r="ER19" s="141"/>
      <c r="ES19" s="142"/>
      <c r="ET19" s="140"/>
      <c r="EU19" s="141"/>
      <c r="EV19" s="142"/>
      <c r="EW19" s="140"/>
      <c r="EX19" s="141"/>
      <c r="EY19" s="142"/>
      <c r="EZ19" s="140"/>
      <c r="FA19" s="141"/>
      <c r="FB19" s="142"/>
      <c r="FC19" s="140">
        <f>+'1890 Hacienda'!B214</f>
        <v>737519</v>
      </c>
      <c r="FD19" s="141">
        <f>+'1890 Hacienda'!C214</f>
        <v>10</v>
      </c>
      <c r="FE19" s="142"/>
      <c r="FF19" s="140">
        <f>+'1890 Hacienda'!E214</f>
        <v>328376</v>
      </c>
      <c r="FG19" s="141">
        <f>+'1890 Hacienda'!F214</f>
        <v>45</v>
      </c>
      <c r="FH19" s="142"/>
      <c r="FI19" s="140"/>
      <c r="FJ19" s="141"/>
      <c r="FK19" s="142"/>
      <c r="FL19" s="140">
        <f>+'1894 Hacienda'!C10</f>
        <v>408311</v>
      </c>
      <c r="FM19" s="141"/>
      <c r="FN19" s="142"/>
      <c r="FO19" s="140">
        <f>+'1894 Hacienda'!F10</f>
        <v>453107</v>
      </c>
      <c r="FP19" s="141">
        <f>+'1894 Hacienda'!G10</f>
        <v>30</v>
      </c>
      <c r="FQ19" s="142"/>
      <c r="FR19" s="140">
        <f>+'1896 Hacienda'!C10</f>
        <v>437757</v>
      </c>
      <c r="FS19" s="141">
        <f>+'1896 Hacienda'!D10</f>
        <v>60</v>
      </c>
      <c r="FT19" s="142"/>
      <c r="FU19" s="140">
        <f>+'1896 Hacienda'!F10</f>
        <v>476498</v>
      </c>
      <c r="FV19" s="141">
        <f>+'1896 Hacienda'!G10</f>
        <v>70</v>
      </c>
      <c r="FW19" s="142"/>
      <c r="FX19" s="140">
        <f>+'1896 Hacienda'!L10</f>
        <v>488161</v>
      </c>
      <c r="FY19" s="141"/>
      <c r="FZ19" s="142"/>
      <c r="GA19" s="140">
        <f>+'1898 Hacienda'!E9</f>
        <v>557038</v>
      </c>
      <c r="GB19" s="141">
        <f>+'1898 Hacienda'!F9</f>
        <v>35</v>
      </c>
      <c r="GC19" s="142"/>
      <c r="GD19" s="140">
        <f>+'1898 Hacienda'!K9</f>
        <v>733762</v>
      </c>
      <c r="GE19" s="141">
        <f>+'1898 Hacienda'!L9</f>
        <v>90</v>
      </c>
      <c r="GF19" s="142"/>
      <c r="GG19" s="140"/>
      <c r="GH19" s="141"/>
      <c r="GI19" s="142"/>
      <c r="GJ19" s="140"/>
      <c r="GK19" s="141"/>
      <c r="GL19" s="142"/>
      <c r="GM19" s="140"/>
      <c r="GN19" s="141"/>
      <c r="GO19" s="142"/>
      <c r="GP19" s="140"/>
      <c r="GQ19" s="141"/>
      <c r="GR19" s="142"/>
      <c r="GS19" s="140"/>
      <c r="GT19" s="141"/>
      <c r="GU19" s="142"/>
      <c r="GV19" s="140"/>
      <c r="GW19" s="141"/>
      <c r="GX19" s="142"/>
      <c r="GY19" s="164"/>
      <c r="GZ19" s="134"/>
      <c r="HA19" s="185"/>
      <c r="HB19" s="131">
        <f>'1910 Hacienda'!C6</f>
        <v>88906</v>
      </c>
      <c r="HC19" s="307">
        <f>'1910 Hacienda'!D6</f>
        <v>31</v>
      </c>
      <c r="HD19" s="131">
        <f>'1910 Hacienda'!C31</f>
        <v>215423</v>
      </c>
      <c r="HE19" s="307">
        <f>'1910 Hacienda'!D31</f>
        <v>37</v>
      </c>
      <c r="HF19" s="131">
        <f>'1910 Hacienda'!C60</f>
        <v>409564</v>
      </c>
      <c r="HG19" s="307">
        <f>'1910 Hacienda'!D60</f>
        <v>13</v>
      </c>
      <c r="HH19" s="131">
        <f>'1910 Hacienda'!C104</f>
        <v>472697</v>
      </c>
      <c r="HI19" s="307">
        <f>'1910 Hacienda'!D104</f>
        <v>41</v>
      </c>
      <c r="HJ19" s="131">
        <f>'1910 Hacienda'!C149</f>
        <v>484808</v>
      </c>
      <c r="HK19" s="307">
        <f>'1910 Hacienda'!D149</f>
        <v>10</v>
      </c>
      <c r="HL19" s="131">
        <f>+'1911 Hacienda'!B42</f>
        <v>364180</v>
      </c>
      <c r="HM19" s="307">
        <f>+'1911 Hacienda'!C42</f>
        <v>27</v>
      </c>
      <c r="HN19" s="131"/>
      <c r="HO19" s="307"/>
      <c r="HP19" s="131">
        <f>+'1912 Hacienda'!B27</f>
        <v>445513</v>
      </c>
      <c r="HQ19" s="307">
        <f>+'1912 Hacienda'!C27</f>
        <v>64</v>
      </c>
      <c r="HR19" s="131"/>
      <c r="HS19" s="307"/>
      <c r="HT19" s="131">
        <f>+'1915 Hacienda'!D27</f>
        <v>486305</v>
      </c>
      <c r="HU19" s="307">
        <f>+'1915 Hacienda'!E27</f>
        <v>6</v>
      </c>
    </row>
    <row r="20" spans="1:229" x14ac:dyDescent="0.2">
      <c r="A20" s="1753" t="s">
        <v>6047</v>
      </c>
      <c r="B20" s="131"/>
      <c r="C20" s="134"/>
      <c r="D20" s="133"/>
      <c r="E20" s="131"/>
      <c r="F20" s="134"/>
      <c r="G20" s="133"/>
      <c r="H20" s="131"/>
      <c r="I20" s="134"/>
      <c r="J20" s="133"/>
      <c r="K20" s="131"/>
      <c r="L20" s="134"/>
      <c r="M20" s="133"/>
      <c r="N20" s="131"/>
      <c r="O20" s="134"/>
      <c r="P20" s="133"/>
      <c r="Q20" s="131"/>
      <c r="R20" s="134"/>
      <c r="S20" s="133"/>
      <c r="T20" s="131"/>
      <c r="U20" s="134"/>
      <c r="V20" s="133"/>
      <c r="W20" s="131"/>
      <c r="X20" s="134"/>
      <c r="Y20" s="133"/>
      <c r="Z20" s="131"/>
      <c r="AA20" s="134"/>
      <c r="AB20" s="133"/>
      <c r="AC20" s="131"/>
      <c r="AD20" s="134"/>
      <c r="AE20" s="133"/>
      <c r="AF20" s="131">
        <v>17130</v>
      </c>
      <c r="AG20" s="134">
        <v>7</v>
      </c>
      <c r="AH20" s="133"/>
      <c r="AI20" s="145">
        <v>14076</v>
      </c>
      <c r="AJ20" s="134">
        <v>3</v>
      </c>
      <c r="AK20" s="133"/>
      <c r="AL20" s="131">
        <f>'1846 Hacienda'!B52</f>
        <v>14661</v>
      </c>
      <c r="AM20" s="134">
        <f>'1846 Hacienda'!C52</f>
        <v>4</v>
      </c>
      <c r="AN20" s="133">
        <f>'1846 Hacienda'!D52</f>
        <v>0.5</v>
      </c>
      <c r="AO20" s="131">
        <f>'1846 Hacienda'!E52</f>
        <v>18746</v>
      </c>
      <c r="AP20" s="134">
        <f>'1846 Hacienda'!F52</f>
        <v>7</v>
      </c>
      <c r="AQ20" s="133">
        <f>'1846 Hacienda'!G52</f>
        <v>0.5</v>
      </c>
      <c r="AR20" s="131"/>
      <c r="AS20" s="134"/>
      <c r="AT20" s="180"/>
      <c r="AU20" s="131"/>
      <c r="AV20" s="185"/>
      <c r="AW20" s="131">
        <f>+'1858 Hacienda'!D554</f>
        <v>18223</v>
      </c>
      <c r="AX20" s="185">
        <f>+'1858 Hacienda'!E554</f>
        <v>327</v>
      </c>
      <c r="AY20" s="131">
        <f>+'1858 Hacienda'!D623</f>
        <v>18767</v>
      </c>
      <c r="AZ20" s="185">
        <f>+'1858 Hacienda'!E623</f>
        <v>499</v>
      </c>
      <c r="BA20" s="131">
        <f>+'1858 Hacienda'!B506</f>
        <v>18868</v>
      </c>
      <c r="BB20" s="185">
        <f>+'1858 Hacienda'!C506</f>
        <v>240</v>
      </c>
      <c r="BC20" s="131">
        <f>+'1858 Hacienda'!B1036</f>
        <v>6577</v>
      </c>
      <c r="BD20" s="185">
        <f>+'1858 Hacienda'!C1036</f>
        <v>604</v>
      </c>
      <c r="BE20" s="131"/>
      <c r="BF20" s="185"/>
      <c r="BG20" s="131"/>
      <c r="BH20" s="185"/>
      <c r="BI20" s="131"/>
      <c r="BJ20" s="185"/>
      <c r="BK20" s="131"/>
      <c r="BL20" s="185"/>
      <c r="BM20" s="131"/>
      <c r="BN20" s="185"/>
      <c r="BO20" s="131"/>
      <c r="BP20" s="134"/>
      <c r="BQ20" s="131"/>
      <c r="BR20" s="134"/>
      <c r="BS20" s="133"/>
      <c r="BT20" s="131"/>
      <c r="BU20" s="134"/>
      <c r="BV20" s="131"/>
      <c r="BW20" s="134"/>
      <c r="BX20" s="131"/>
      <c r="BY20" s="134"/>
      <c r="BZ20" s="131"/>
      <c r="CA20" s="134"/>
      <c r="CB20" s="133"/>
      <c r="CC20" s="131"/>
      <c r="CD20" s="134"/>
      <c r="CE20" s="133"/>
      <c r="CF20" s="131"/>
      <c r="CG20" s="134"/>
      <c r="CH20" s="133"/>
      <c r="CI20" s="131"/>
      <c r="CJ20" s="134"/>
      <c r="CK20" s="133"/>
      <c r="CL20" s="131"/>
      <c r="CM20" s="134"/>
      <c r="CN20" s="133"/>
      <c r="CO20" s="131"/>
      <c r="CP20" s="134"/>
      <c r="CQ20" s="133"/>
      <c r="CR20" s="131"/>
      <c r="CS20" s="134"/>
      <c r="CT20" s="133"/>
      <c r="CU20" s="131"/>
      <c r="CV20" s="134"/>
      <c r="CW20" s="133"/>
      <c r="CX20" s="131"/>
      <c r="CY20" s="134"/>
      <c r="CZ20" s="133"/>
      <c r="DA20" s="140"/>
      <c r="DB20" s="141"/>
      <c r="DC20" s="142"/>
      <c r="DD20" s="140"/>
      <c r="DE20" s="141"/>
      <c r="DF20" s="142"/>
      <c r="DG20" s="140"/>
      <c r="DH20" s="141"/>
      <c r="DI20" s="142"/>
      <c r="DJ20" s="140"/>
      <c r="DK20" s="141"/>
      <c r="DL20" s="142"/>
      <c r="DM20" s="140"/>
      <c r="DN20" s="141"/>
      <c r="DO20" s="142"/>
      <c r="DP20" s="140"/>
      <c r="DQ20" s="141"/>
      <c r="DR20" s="142"/>
      <c r="DS20" s="140"/>
      <c r="DT20" s="141"/>
      <c r="DU20" s="142"/>
      <c r="DV20" s="140"/>
      <c r="DW20" s="141"/>
      <c r="DX20" s="142"/>
      <c r="DY20" s="140"/>
      <c r="DZ20" s="141"/>
      <c r="EA20" s="142"/>
      <c r="EB20" s="140"/>
      <c r="EC20" s="141"/>
      <c r="ED20" s="142"/>
      <c r="EE20" s="140"/>
      <c r="EF20" s="141"/>
      <c r="EG20" s="142"/>
      <c r="EH20" s="140"/>
      <c r="EI20" s="141"/>
      <c r="EJ20" s="142"/>
      <c r="EK20" s="140"/>
      <c r="EL20" s="141"/>
      <c r="EM20" s="142"/>
      <c r="EN20" s="140"/>
      <c r="EO20" s="141"/>
      <c r="EP20" s="142"/>
      <c r="EQ20" s="140"/>
      <c r="ER20" s="141"/>
      <c r="ES20" s="142"/>
      <c r="ET20" s="140"/>
      <c r="EU20" s="141"/>
      <c r="EV20" s="142"/>
      <c r="EW20" s="140"/>
      <c r="EX20" s="141"/>
      <c r="EY20" s="142"/>
      <c r="EZ20" s="140"/>
      <c r="FA20" s="141"/>
      <c r="FB20" s="142"/>
      <c r="FC20" s="140"/>
      <c r="FD20" s="141"/>
      <c r="FE20" s="142"/>
      <c r="FF20" s="140"/>
      <c r="FG20" s="141"/>
      <c r="FH20" s="142"/>
      <c r="FI20" s="140"/>
      <c r="FJ20" s="141"/>
      <c r="FK20" s="142"/>
      <c r="FL20" s="140"/>
      <c r="FM20" s="141"/>
      <c r="FN20" s="142"/>
      <c r="FO20" s="140"/>
      <c r="FP20" s="141"/>
      <c r="FQ20" s="142"/>
      <c r="FR20" s="140"/>
      <c r="FS20" s="141"/>
      <c r="FT20" s="142"/>
      <c r="FU20" s="140"/>
      <c r="FV20" s="141"/>
      <c r="FW20" s="142"/>
      <c r="FX20" s="140"/>
      <c r="FY20" s="141"/>
      <c r="FZ20" s="142"/>
      <c r="GA20" s="140"/>
      <c r="GB20" s="141"/>
      <c r="GC20" s="142"/>
      <c r="GD20" s="140"/>
      <c r="GE20" s="141"/>
      <c r="GF20" s="142"/>
      <c r="GG20" s="140"/>
      <c r="GH20" s="141"/>
      <c r="GI20" s="142"/>
      <c r="GJ20" s="140"/>
      <c r="GK20" s="141"/>
      <c r="GL20" s="142"/>
      <c r="GM20" s="140"/>
      <c r="GN20" s="141"/>
      <c r="GO20" s="142"/>
      <c r="GP20" s="140"/>
      <c r="GQ20" s="141"/>
      <c r="GR20" s="142"/>
      <c r="GS20" s="140"/>
      <c r="GT20" s="141"/>
      <c r="GU20" s="142"/>
      <c r="GV20" s="140"/>
      <c r="GW20" s="141"/>
      <c r="GX20" s="142"/>
      <c r="GY20" s="164"/>
      <c r="GZ20" s="134"/>
      <c r="HA20" s="185"/>
      <c r="HB20" s="164"/>
      <c r="HC20" s="185"/>
      <c r="HD20" s="164"/>
      <c r="HE20" s="185"/>
      <c r="HF20" s="164"/>
      <c r="HG20" s="185"/>
      <c r="HH20" s="164"/>
      <c r="HI20" s="185"/>
      <c r="HJ20" s="164"/>
      <c r="HK20" s="185"/>
      <c r="HL20" s="164"/>
      <c r="HM20" s="185"/>
      <c r="HN20" s="164"/>
      <c r="HO20" s="185"/>
      <c r="HP20" s="164"/>
      <c r="HQ20" s="185"/>
      <c r="HR20" s="164"/>
      <c r="HS20" s="185"/>
      <c r="HT20" s="164"/>
      <c r="HU20" s="185"/>
    </row>
    <row r="21" spans="1:229" x14ac:dyDescent="0.2">
      <c r="A21" s="1753" t="s">
        <v>6048</v>
      </c>
      <c r="B21" s="131"/>
      <c r="C21" s="134"/>
      <c r="D21" s="133"/>
      <c r="E21" s="131"/>
      <c r="F21" s="134"/>
      <c r="G21" s="133"/>
      <c r="H21" s="131"/>
      <c r="I21" s="134"/>
      <c r="J21" s="133"/>
      <c r="K21" s="131"/>
      <c r="L21" s="134"/>
      <c r="M21" s="133"/>
      <c r="N21" s="131"/>
      <c r="O21" s="134"/>
      <c r="P21" s="133"/>
      <c r="Q21" s="131"/>
      <c r="R21" s="134"/>
      <c r="S21" s="133"/>
      <c r="T21" s="131"/>
      <c r="U21" s="134"/>
      <c r="V21" s="133"/>
      <c r="W21" s="131"/>
      <c r="X21" s="134"/>
      <c r="Y21" s="133"/>
      <c r="Z21" s="131"/>
      <c r="AA21" s="134"/>
      <c r="AB21" s="133"/>
      <c r="AC21" s="131"/>
      <c r="AD21" s="134"/>
      <c r="AE21" s="133"/>
      <c r="AF21" s="131">
        <v>64194</v>
      </c>
      <c r="AG21" s="134">
        <v>1</v>
      </c>
      <c r="AH21" s="133">
        <f>1/4</f>
        <v>0.25</v>
      </c>
      <c r="AI21" s="145">
        <v>59508</v>
      </c>
      <c r="AJ21" s="134">
        <v>4</v>
      </c>
      <c r="AK21" s="133"/>
      <c r="AL21" s="131">
        <v>51008</v>
      </c>
      <c r="AM21" s="134">
        <v>7</v>
      </c>
      <c r="AN21" s="133">
        <v>0.75</v>
      </c>
      <c r="AO21" s="131">
        <f>'1846 Hacienda'!E67</f>
        <v>48308</v>
      </c>
      <c r="AP21" s="134">
        <f>'1846 Hacienda'!F67</f>
        <v>1</v>
      </c>
      <c r="AQ21" s="133">
        <f>'1846 Hacienda'!G67</f>
        <v>0.5</v>
      </c>
      <c r="AR21" s="131"/>
      <c r="AS21" s="134"/>
      <c r="AT21" s="180"/>
      <c r="AU21" s="131"/>
      <c r="AV21" s="185"/>
      <c r="AW21" s="131">
        <f>+'1858 Hacienda'!D551</f>
        <v>100154</v>
      </c>
      <c r="AX21" s="185">
        <f>+'1858 Hacienda'!E551</f>
        <v>690</v>
      </c>
      <c r="AY21" s="131">
        <f>+'1858 Hacienda'!D615</f>
        <v>94888</v>
      </c>
      <c r="AZ21" s="185">
        <f>+'1858 Hacienda'!E615</f>
        <v>992</v>
      </c>
      <c r="BA21" s="131">
        <f>+'1858 Hacienda'!B498</f>
        <v>74920</v>
      </c>
      <c r="BB21" s="185">
        <f>+'1858 Hacienda'!C498</f>
        <v>511</v>
      </c>
      <c r="BC21" s="131">
        <f>+'1858 Hacienda'!B1030</f>
        <v>18498</v>
      </c>
      <c r="BD21" s="185">
        <f>+'1858 Hacienda'!C1030</f>
        <v>595</v>
      </c>
      <c r="BE21" s="131"/>
      <c r="BF21" s="185"/>
      <c r="BG21" s="131"/>
      <c r="BH21" s="185"/>
      <c r="BI21" s="131"/>
      <c r="BJ21" s="185"/>
      <c r="BK21" s="131"/>
      <c r="BL21" s="185"/>
      <c r="BM21" s="131"/>
      <c r="BN21" s="185"/>
      <c r="BO21" s="131"/>
      <c r="BP21" s="134"/>
      <c r="BQ21" s="131"/>
      <c r="BR21" s="134"/>
      <c r="BS21" s="133"/>
      <c r="BT21" s="131"/>
      <c r="BU21" s="134"/>
      <c r="BV21" s="131"/>
      <c r="BW21" s="134"/>
      <c r="BX21" s="131"/>
      <c r="BY21" s="134"/>
      <c r="BZ21" s="131"/>
      <c r="CA21" s="134"/>
      <c r="CB21" s="133"/>
      <c r="CC21" s="131"/>
      <c r="CD21" s="134"/>
      <c r="CE21" s="133"/>
      <c r="CF21" s="131"/>
      <c r="CG21" s="134"/>
      <c r="CH21" s="133"/>
      <c r="CI21" s="131"/>
      <c r="CJ21" s="134"/>
      <c r="CK21" s="133"/>
      <c r="CL21" s="131"/>
      <c r="CM21" s="134"/>
      <c r="CN21" s="133"/>
      <c r="CO21" s="131"/>
      <c r="CP21" s="134"/>
      <c r="CQ21" s="133"/>
      <c r="CR21" s="131"/>
      <c r="CS21" s="134"/>
      <c r="CT21" s="133"/>
      <c r="CU21" s="131"/>
      <c r="CV21" s="134"/>
      <c r="CW21" s="133"/>
      <c r="CX21" s="131"/>
      <c r="CY21" s="134"/>
      <c r="CZ21" s="133"/>
      <c r="DA21" s="140"/>
      <c r="DB21" s="141"/>
      <c r="DC21" s="142"/>
      <c r="DD21" s="140"/>
      <c r="DE21" s="141"/>
      <c r="DF21" s="142"/>
      <c r="DG21" s="140"/>
      <c r="DH21" s="141"/>
      <c r="DI21" s="142"/>
      <c r="DJ21" s="140"/>
      <c r="DK21" s="141"/>
      <c r="DL21" s="142"/>
      <c r="DM21" s="140"/>
      <c r="DN21" s="141"/>
      <c r="DO21" s="142"/>
      <c r="DP21" s="140"/>
      <c r="DQ21" s="141"/>
      <c r="DR21" s="142"/>
      <c r="DS21" s="140"/>
      <c r="DT21" s="141"/>
      <c r="DU21" s="142"/>
      <c r="DV21" s="140"/>
      <c r="DW21" s="141"/>
      <c r="DX21" s="142"/>
      <c r="DY21" s="140"/>
      <c r="DZ21" s="141"/>
      <c r="EA21" s="142"/>
      <c r="EB21" s="140"/>
      <c r="EC21" s="141"/>
      <c r="ED21" s="142"/>
      <c r="EE21" s="140"/>
      <c r="EF21" s="141"/>
      <c r="EG21" s="142"/>
      <c r="EH21" s="140"/>
      <c r="EI21" s="141"/>
      <c r="EJ21" s="142"/>
      <c r="EK21" s="140"/>
      <c r="EL21" s="141"/>
      <c r="EM21" s="142"/>
      <c r="EN21" s="140"/>
      <c r="EO21" s="141"/>
      <c r="EP21" s="142"/>
      <c r="EQ21" s="140"/>
      <c r="ER21" s="141"/>
      <c r="ES21" s="142"/>
      <c r="ET21" s="140"/>
      <c r="EU21" s="141"/>
      <c r="EV21" s="142"/>
      <c r="EW21" s="140"/>
      <c r="EX21" s="141"/>
      <c r="EY21" s="142"/>
      <c r="EZ21" s="140"/>
      <c r="FA21" s="141"/>
      <c r="FB21" s="142"/>
      <c r="FC21" s="140"/>
      <c r="FD21" s="141"/>
      <c r="FE21" s="142"/>
      <c r="FF21" s="140"/>
      <c r="FG21" s="141"/>
      <c r="FH21" s="142"/>
      <c r="FI21" s="140"/>
      <c r="FJ21" s="141"/>
      <c r="FK21" s="142"/>
      <c r="FL21" s="140"/>
      <c r="FM21" s="141"/>
      <c r="FN21" s="142"/>
      <c r="FO21" s="140"/>
      <c r="FP21" s="141"/>
      <c r="FQ21" s="142"/>
      <c r="FR21" s="140"/>
      <c r="FS21" s="141"/>
      <c r="FT21" s="142"/>
      <c r="FU21" s="140"/>
      <c r="FV21" s="141"/>
      <c r="FW21" s="142"/>
      <c r="FX21" s="140"/>
      <c r="FY21" s="141"/>
      <c r="FZ21" s="142"/>
      <c r="GA21" s="140"/>
      <c r="GB21" s="141"/>
      <c r="GC21" s="142"/>
      <c r="GD21" s="140"/>
      <c r="GE21" s="141"/>
      <c r="GF21" s="142"/>
      <c r="GG21" s="140"/>
      <c r="GH21" s="141"/>
      <c r="GI21" s="142"/>
      <c r="GJ21" s="140"/>
      <c r="GK21" s="141"/>
      <c r="GL21" s="142"/>
      <c r="GM21" s="140"/>
      <c r="GN21" s="141"/>
      <c r="GO21" s="142"/>
      <c r="GP21" s="140"/>
      <c r="GQ21" s="141"/>
      <c r="GR21" s="142"/>
      <c r="GS21" s="140"/>
      <c r="GT21" s="141"/>
      <c r="GU21" s="142"/>
      <c r="GV21" s="140"/>
      <c r="GW21" s="141"/>
      <c r="GX21" s="142"/>
      <c r="GY21" s="164"/>
      <c r="GZ21" s="134"/>
      <c r="HA21" s="185"/>
      <c r="HB21" s="164"/>
      <c r="HC21" s="185"/>
      <c r="HD21" s="164"/>
      <c r="HE21" s="185"/>
      <c r="HF21" s="164"/>
      <c r="HG21" s="185"/>
      <c r="HH21" s="164"/>
      <c r="HI21" s="185"/>
      <c r="HJ21" s="164"/>
      <c r="HK21" s="185"/>
      <c r="HL21" s="164"/>
      <c r="HM21" s="185"/>
      <c r="HN21" s="164"/>
      <c r="HO21" s="185"/>
      <c r="HP21" s="164"/>
      <c r="HQ21" s="185"/>
      <c r="HR21" s="164"/>
      <c r="HS21" s="185"/>
      <c r="HT21" s="164"/>
      <c r="HU21" s="185"/>
    </row>
    <row r="22" spans="1:229" x14ac:dyDescent="0.2">
      <c r="A22" s="1753" t="s">
        <v>6049</v>
      </c>
      <c r="B22" s="131"/>
      <c r="C22" s="134"/>
      <c r="D22" s="133"/>
      <c r="E22" s="131"/>
      <c r="F22" s="134"/>
      <c r="G22" s="133"/>
      <c r="H22" s="131"/>
      <c r="I22" s="134"/>
      <c r="J22" s="133"/>
      <c r="K22" s="131"/>
      <c r="L22" s="134"/>
      <c r="M22" s="133"/>
      <c r="N22" s="131"/>
      <c r="O22" s="134"/>
      <c r="P22" s="133"/>
      <c r="Q22" s="131"/>
      <c r="R22" s="134"/>
      <c r="S22" s="133"/>
      <c r="T22" s="131"/>
      <c r="U22" s="134"/>
      <c r="V22" s="133"/>
      <c r="W22" s="131"/>
      <c r="X22" s="134"/>
      <c r="Y22" s="133"/>
      <c r="Z22" s="131"/>
      <c r="AA22" s="134"/>
      <c r="AB22" s="133"/>
      <c r="AC22" s="131"/>
      <c r="AD22" s="134"/>
      <c r="AE22" s="133"/>
      <c r="AF22" s="131"/>
      <c r="AG22" s="134"/>
      <c r="AH22" s="133"/>
      <c r="AI22" s="145">
        <v>41184</v>
      </c>
      <c r="AJ22" s="134">
        <v>5</v>
      </c>
      <c r="AK22" s="133"/>
      <c r="AL22" s="131">
        <v>36978</v>
      </c>
      <c r="AM22" s="134">
        <v>6</v>
      </c>
      <c r="AN22" s="133">
        <v>0.5</v>
      </c>
      <c r="AO22" s="131">
        <f>'1846 Hacienda'!E65</f>
        <v>23592</v>
      </c>
      <c r="AP22" s="134">
        <f>'1846 Hacienda'!F65</f>
        <v>5</v>
      </c>
      <c r="AQ22" s="133">
        <f>'1846 Hacienda'!G65</f>
        <v>0.25</v>
      </c>
      <c r="AR22" s="131"/>
      <c r="AS22" s="134"/>
      <c r="AT22" s="180"/>
      <c r="AU22" s="131"/>
      <c r="AV22" s="185"/>
      <c r="AW22" s="131">
        <f>+'1858 Hacienda'!D555</f>
        <v>195149</v>
      </c>
      <c r="AX22" s="185">
        <f>+'1858 Hacienda'!E555</f>
        <v>222</v>
      </c>
      <c r="AY22" s="131">
        <f>+'1858 Hacienda'!D617</f>
        <v>215502</v>
      </c>
      <c r="AZ22" s="185">
        <f>+'1858 Hacienda'!E617</f>
        <v>183</v>
      </c>
      <c r="BA22" s="131">
        <f>+'1858 Hacienda'!B500</f>
        <v>236427</v>
      </c>
      <c r="BB22" s="185">
        <f>+'1858 Hacienda'!C500</f>
        <v>477</v>
      </c>
      <c r="BC22" s="131">
        <f>+'1858 Hacienda'!B1033</f>
        <v>102962</v>
      </c>
      <c r="BD22" s="185">
        <f>+'1858 Hacienda'!C1033</f>
        <v>829</v>
      </c>
      <c r="BE22" s="131"/>
      <c r="BF22" s="185"/>
      <c r="BG22" s="131"/>
      <c r="BH22" s="185"/>
      <c r="BI22" s="131"/>
      <c r="BJ22" s="185"/>
      <c r="BK22" s="131"/>
      <c r="BL22" s="185"/>
      <c r="BM22" s="131"/>
      <c r="BN22" s="185"/>
      <c r="BO22" s="131"/>
      <c r="BP22" s="134"/>
      <c r="BQ22" s="131"/>
      <c r="BR22" s="134"/>
      <c r="BS22" s="133"/>
      <c r="BT22" s="131"/>
      <c r="BU22" s="134"/>
      <c r="BV22" s="131"/>
      <c r="BW22" s="134"/>
      <c r="BX22" s="131"/>
      <c r="BY22" s="134"/>
      <c r="BZ22" s="131"/>
      <c r="CA22" s="134"/>
      <c r="CB22" s="133"/>
      <c r="CC22" s="131"/>
      <c r="CD22" s="134"/>
      <c r="CE22" s="133"/>
      <c r="CF22" s="131"/>
      <c r="CG22" s="134"/>
      <c r="CH22" s="133"/>
      <c r="CI22" s="131"/>
      <c r="CJ22" s="134"/>
      <c r="CK22" s="133"/>
      <c r="CL22" s="131"/>
      <c r="CM22" s="134"/>
      <c r="CN22" s="133"/>
      <c r="CO22" s="131"/>
      <c r="CP22" s="134"/>
      <c r="CQ22" s="133"/>
      <c r="CR22" s="131"/>
      <c r="CS22" s="134"/>
      <c r="CT22" s="133"/>
      <c r="CU22" s="131"/>
      <c r="CV22" s="134"/>
      <c r="CW22" s="133"/>
      <c r="CX22" s="131"/>
      <c r="CY22" s="134"/>
      <c r="CZ22" s="133"/>
      <c r="DA22" s="140"/>
      <c r="DB22" s="141"/>
      <c r="DC22" s="142"/>
      <c r="DD22" s="140"/>
      <c r="DE22" s="141"/>
      <c r="DF22" s="142"/>
      <c r="DG22" s="140"/>
      <c r="DH22" s="141"/>
      <c r="DI22" s="142"/>
      <c r="DJ22" s="140"/>
      <c r="DK22" s="141"/>
      <c r="DL22" s="142"/>
      <c r="DM22" s="140"/>
      <c r="DN22" s="141"/>
      <c r="DO22" s="142"/>
      <c r="DP22" s="140"/>
      <c r="DQ22" s="141"/>
      <c r="DR22" s="142"/>
      <c r="DS22" s="140"/>
      <c r="DT22" s="141"/>
      <c r="DU22" s="142"/>
      <c r="DV22" s="140"/>
      <c r="DW22" s="141"/>
      <c r="DX22" s="142"/>
      <c r="DY22" s="140"/>
      <c r="DZ22" s="141"/>
      <c r="EA22" s="142"/>
      <c r="EB22" s="140"/>
      <c r="EC22" s="141"/>
      <c r="ED22" s="142"/>
      <c r="EE22" s="140"/>
      <c r="EF22" s="141"/>
      <c r="EG22" s="142"/>
      <c r="EH22" s="140"/>
      <c r="EI22" s="141"/>
      <c r="EJ22" s="142"/>
      <c r="EK22" s="140"/>
      <c r="EL22" s="141"/>
      <c r="EM22" s="142"/>
      <c r="EN22" s="140"/>
      <c r="EO22" s="141"/>
      <c r="EP22" s="142"/>
      <c r="EQ22" s="140"/>
      <c r="ER22" s="141"/>
      <c r="ES22" s="142"/>
      <c r="ET22" s="140"/>
      <c r="EU22" s="141"/>
      <c r="EV22" s="142"/>
      <c r="EW22" s="140"/>
      <c r="EX22" s="141"/>
      <c r="EY22" s="142"/>
      <c r="EZ22" s="140"/>
      <c r="FA22" s="141"/>
      <c r="FB22" s="142"/>
      <c r="FC22" s="140"/>
      <c r="FD22" s="141"/>
      <c r="FE22" s="142"/>
      <c r="FF22" s="140"/>
      <c r="FG22" s="141"/>
      <c r="FH22" s="142"/>
      <c r="FI22" s="140"/>
      <c r="FJ22" s="141"/>
      <c r="FK22" s="142"/>
      <c r="FL22" s="140"/>
      <c r="FM22" s="141"/>
      <c r="FN22" s="142"/>
      <c r="FO22" s="140"/>
      <c r="FP22" s="141"/>
      <c r="FQ22" s="142"/>
      <c r="FR22" s="140"/>
      <c r="FS22" s="141"/>
      <c r="FT22" s="142"/>
      <c r="FU22" s="140"/>
      <c r="FV22" s="141"/>
      <c r="FW22" s="142"/>
      <c r="FX22" s="140"/>
      <c r="FY22" s="141"/>
      <c r="FZ22" s="142"/>
      <c r="GA22" s="140"/>
      <c r="GB22" s="141"/>
      <c r="GC22" s="142"/>
      <c r="GD22" s="140"/>
      <c r="GE22" s="141"/>
      <c r="GF22" s="142"/>
      <c r="GG22" s="140"/>
      <c r="GH22" s="141"/>
      <c r="GI22" s="142"/>
      <c r="GJ22" s="140"/>
      <c r="GK22" s="141"/>
      <c r="GL22" s="142"/>
      <c r="GM22" s="140"/>
      <c r="GN22" s="141"/>
      <c r="GO22" s="142"/>
      <c r="GP22" s="140"/>
      <c r="GQ22" s="141"/>
      <c r="GR22" s="142"/>
      <c r="GS22" s="140"/>
      <c r="GT22" s="141"/>
      <c r="GU22" s="142"/>
      <c r="GV22" s="140"/>
      <c r="GW22" s="141"/>
      <c r="GX22" s="142"/>
      <c r="GY22" s="164"/>
      <c r="GZ22" s="134"/>
      <c r="HA22" s="185"/>
      <c r="HB22" s="164"/>
      <c r="HC22" s="185"/>
      <c r="HD22" s="164"/>
      <c r="HE22" s="185"/>
      <c r="HF22" s="164"/>
      <c r="HG22" s="185"/>
      <c r="HH22" s="164"/>
      <c r="HI22" s="185"/>
      <c r="HJ22" s="164"/>
      <c r="HK22" s="185"/>
      <c r="HL22" s="164"/>
      <c r="HM22" s="185"/>
      <c r="HN22" s="164"/>
      <c r="HO22" s="185"/>
      <c r="HP22" s="164"/>
      <c r="HQ22" s="185"/>
      <c r="HR22" s="164"/>
      <c r="HS22" s="185"/>
      <c r="HT22" s="164"/>
      <c r="HU22" s="185"/>
    </row>
    <row r="23" spans="1:229" x14ac:dyDescent="0.2">
      <c r="A23" s="1753" t="s">
        <v>6050</v>
      </c>
      <c r="B23" s="131"/>
      <c r="C23" s="134"/>
      <c r="D23" s="133"/>
      <c r="E23" s="131"/>
      <c r="F23" s="134"/>
      <c r="G23" s="133"/>
      <c r="H23" s="131"/>
      <c r="I23" s="134"/>
      <c r="J23" s="133"/>
      <c r="K23" s="131"/>
      <c r="L23" s="134"/>
      <c r="M23" s="133"/>
      <c r="N23" s="131"/>
      <c r="O23" s="134"/>
      <c r="P23" s="133"/>
      <c r="Q23" s="131"/>
      <c r="R23" s="134"/>
      <c r="S23" s="133"/>
      <c r="T23" s="131"/>
      <c r="U23" s="134"/>
      <c r="V23" s="133"/>
      <c r="W23" s="131"/>
      <c r="X23" s="134"/>
      <c r="Y23" s="133"/>
      <c r="Z23" s="131"/>
      <c r="AA23" s="134"/>
      <c r="AB23" s="133"/>
      <c r="AC23" s="131"/>
      <c r="AD23" s="134"/>
      <c r="AE23" s="133"/>
      <c r="AF23" s="131"/>
      <c r="AG23" s="134"/>
      <c r="AH23" s="133"/>
      <c r="AI23" s="145">
        <v>578</v>
      </c>
      <c r="AJ23" s="134">
        <v>5</v>
      </c>
      <c r="AK23" s="133">
        <v>0.25</v>
      </c>
      <c r="AL23" s="131">
        <v>640</v>
      </c>
      <c r="AM23" s="134">
        <v>4</v>
      </c>
      <c r="AN23" s="133">
        <v>0.5</v>
      </c>
      <c r="AO23" s="131">
        <f>'1846 Hacienda'!E51</f>
        <v>712</v>
      </c>
      <c r="AP23" s="134">
        <f>'1846 Hacienda'!F51</f>
        <v>6</v>
      </c>
      <c r="AQ23" s="133">
        <f>'1846 Hacienda'!G51</f>
        <v>0</v>
      </c>
      <c r="AR23" s="131"/>
      <c r="AS23" s="134"/>
      <c r="AT23" s="180"/>
      <c r="AU23" s="131"/>
      <c r="AV23" s="185"/>
      <c r="AW23" s="131">
        <f>+'1858 Hacienda'!D564</f>
        <v>2235</v>
      </c>
      <c r="AX23" s="185">
        <f>+'1858 Hacienda'!E564</f>
        <v>687</v>
      </c>
      <c r="AY23" s="131"/>
      <c r="AZ23" s="185"/>
      <c r="BA23" s="131">
        <f>+'1858 Hacienda'!B499</f>
        <v>458</v>
      </c>
      <c r="BB23" s="185">
        <f>+'1858 Hacienda'!C499</f>
        <v>270</v>
      </c>
      <c r="BC23" s="131"/>
      <c r="BD23" s="185"/>
      <c r="BE23" s="131"/>
      <c r="BF23" s="185"/>
      <c r="BG23" s="131"/>
      <c r="BH23" s="185"/>
      <c r="BI23" s="131"/>
      <c r="BJ23" s="185"/>
      <c r="BK23" s="131"/>
      <c r="BL23" s="185"/>
      <c r="BM23" s="131"/>
      <c r="BN23" s="185"/>
      <c r="BO23" s="131"/>
      <c r="BP23" s="134"/>
      <c r="BQ23" s="131"/>
      <c r="BR23" s="134"/>
      <c r="BS23" s="133"/>
      <c r="BT23" s="131"/>
      <c r="BU23" s="134"/>
      <c r="BV23" s="131"/>
      <c r="BW23" s="134"/>
      <c r="BX23" s="131"/>
      <c r="BY23" s="134"/>
      <c r="BZ23" s="131"/>
      <c r="CA23" s="134"/>
      <c r="CB23" s="133"/>
      <c r="CC23" s="131"/>
      <c r="CD23" s="134"/>
      <c r="CE23" s="133"/>
      <c r="CF23" s="131"/>
      <c r="CG23" s="134"/>
      <c r="CH23" s="133"/>
      <c r="CI23" s="131"/>
      <c r="CJ23" s="134"/>
      <c r="CK23" s="133"/>
      <c r="CL23" s="131"/>
      <c r="CM23" s="134"/>
      <c r="CN23" s="133"/>
      <c r="CO23" s="131"/>
      <c r="CP23" s="134"/>
      <c r="CQ23" s="133"/>
      <c r="CR23" s="131"/>
      <c r="CS23" s="134"/>
      <c r="CT23" s="133"/>
      <c r="CU23" s="131"/>
      <c r="CV23" s="134"/>
      <c r="CW23" s="133"/>
      <c r="CX23" s="131"/>
      <c r="CY23" s="134"/>
      <c r="CZ23" s="133"/>
      <c r="DA23" s="140"/>
      <c r="DB23" s="141"/>
      <c r="DC23" s="142"/>
      <c r="DD23" s="140"/>
      <c r="DE23" s="141"/>
      <c r="DF23" s="142"/>
      <c r="DG23" s="140"/>
      <c r="DH23" s="141"/>
      <c r="DI23" s="142"/>
      <c r="DJ23" s="140"/>
      <c r="DK23" s="141"/>
      <c r="DL23" s="142"/>
      <c r="DM23" s="140"/>
      <c r="DN23" s="141"/>
      <c r="DO23" s="142"/>
      <c r="DP23" s="140"/>
      <c r="DQ23" s="141"/>
      <c r="DR23" s="142"/>
      <c r="DS23" s="140"/>
      <c r="DT23" s="141"/>
      <c r="DU23" s="142"/>
      <c r="DV23" s="140"/>
      <c r="DW23" s="141"/>
      <c r="DX23" s="142"/>
      <c r="DY23" s="140"/>
      <c r="DZ23" s="141"/>
      <c r="EA23" s="142"/>
      <c r="EB23" s="140"/>
      <c r="EC23" s="141"/>
      <c r="ED23" s="142"/>
      <c r="EE23" s="140"/>
      <c r="EF23" s="141"/>
      <c r="EG23" s="142"/>
      <c r="EH23" s="140"/>
      <c r="EI23" s="141"/>
      <c r="EJ23" s="142"/>
      <c r="EK23" s="140"/>
      <c r="EL23" s="141"/>
      <c r="EM23" s="142"/>
      <c r="EN23" s="140"/>
      <c r="EO23" s="141"/>
      <c r="EP23" s="142"/>
      <c r="EQ23" s="140"/>
      <c r="ER23" s="141"/>
      <c r="ES23" s="142"/>
      <c r="ET23" s="140"/>
      <c r="EU23" s="141"/>
      <c r="EV23" s="142"/>
      <c r="EW23" s="140"/>
      <c r="EX23" s="141"/>
      <c r="EY23" s="142"/>
      <c r="EZ23" s="140"/>
      <c r="FA23" s="141"/>
      <c r="FB23" s="142"/>
      <c r="FC23" s="140"/>
      <c r="FD23" s="141"/>
      <c r="FE23" s="142"/>
      <c r="FF23" s="140"/>
      <c r="FG23" s="141"/>
      <c r="FH23" s="142"/>
      <c r="FI23" s="140"/>
      <c r="FJ23" s="141"/>
      <c r="FK23" s="142"/>
      <c r="FL23" s="140"/>
      <c r="FM23" s="141"/>
      <c r="FN23" s="142"/>
      <c r="FO23" s="140"/>
      <c r="FP23" s="141"/>
      <c r="FQ23" s="142"/>
      <c r="FR23" s="140"/>
      <c r="FS23" s="141"/>
      <c r="FT23" s="142"/>
      <c r="FU23" s="140"/>
      <c r="FV23" s="141"/>
      <c r="FW23" s="142"/>
      <c r="FX23" s="140"/>
      <c r="FY23" s="141"/>
      <c r="FZ23" s="142"/>
      <c r="GA23" s="140"/>
      <c r="GB23" s="141"/>
      <c r="GC23" s="142"/>
      <c r="GD23" s="140"/>
      <c r="GE23" s="141"/>
      <c r="GF23" s="142"/>
      <c r="GG23" s="140"/>
      <c r="GH23" s="141"/>
      <c r="GI23" s="142"/>
      <c r="GJ23" s="140"/>
      <c r="GK23" s="141"/>
      <c r="GL23" s="142"/>
      <c r="GM23" s="140"/>
      <c r="GN23" s="141"/>
      <c r="GO23" s="142"/>
      <c r="GP23" s="140"/>
      <c r="GQ23" s="141"/>
      <c r="GR23" s="142"/>
      <c r="GS23" s="140"/>
      <c r="GT23" s="141"/>
      <c r="GU23" s="142"/>
      <c r="GV23" s="140"/>
      <c r="GW23" s="141"/>
      <c r="GX23" s="142"/>
      <c r="GY23" s="164"/>
      <c r="GZ23" s="134"/>
      <c r="HA23" s="185"/>
      <c r="HB23" s="164"/>
      <c r="HC23" s="185"/>
      <c r="HD23" s="164"/>
      <c r="HE23" s="185"/>
      <c r="HF23" s="164"/>
      <c r="HG23" s="185"/>
      <c r="HH23" s="164"/>
      <c r="HI23" s="185"/>
      <c r="HJ23" s="164"/>
      <c r="HK23" s="185"/>
      <c r="HL23" s="164"/>
      <c r="HM23" s="185"/>
      <c r="HN23" s="164"/>
      <c r="HO23" s="185"/>
      <c r="HP23" s="164"/>
      <c r="HQ23" s="185"/>
      <c r="HR23" s="164"/>
      <c r="HS23" s="185"/>
      <c r="HT23" s="164"/>
      <c r="HU23" s="185"/>
    </row>
    <row r="24" spans="1:229" x14ac:dyDescent="0.2">
      <c r="A24" s="1753" t="s">
        <v>6051</v>
      </c>
      <c r="B24" s="131"/>
      <c r="C24" s="134"/>
      <c r="D24" s="133"/>
      <c r="E24" s="131"/>
      <c r="F24" s="134"/>
      <c r="G24" s="133"/>
      <c r="H24" s="131"/>
      <c r="I24" s="134"/>
      <c r="J24" s="133"/>
      <c r="K24" s="131"/>
      <c r="L24" s="134"/>
      <c r="M24" s="133"/>
      <c r="N24" s="131"/>
      <c r="O24" s="134"/>
      <c r="P24" s="133"/>
      <c r="Q24" s="131"/>
      <c r="R24" s="134"/>
      <c r="S24" s="133"/>
      <c r="T24" s="131"/>
      <c r="U24" s="134"/>
      <c r="V24" s="133"/>
      <c r="W24" s="131"/>
      <c r="X24" s="134"/>
      <c r="Y24" s="133"/>
      <c r="Z24" s="131"/>
      <c r="AA24" s="134"/>
      <c r="AB24" s="133"/>
      <c r="AC24" s="131"/>
      <c r="AD24" s="134"/>
      <c r="AE24" s="133"/>
      <c r="AF24" s="131"/>
      <c r="AG24" s="134"/>
      <c r="AH24" s="133"/>
      <c r="AI24" s="145">
        <v>5599</v>
      </c>
      <c r="AJ24" s="134">
        <v>3</v>
      </c>
      <c r="AK24" s="133"/>
      <c r="AL24" s="131">
        <f>'1846 Hacienda'!B66</f>
        <v>6651</v>
      </c>
      <c r="AM24" s="134">
        <f>'1846 Hacienda'!C66</f>
        <v>6</v>
      </c>
      <c r="AN24" s="133">
        <f>'1846 Hacienda'!D66</f>
        <v>0.5</v>
      </c>
      <c r="AO24" s="131">
        <f>'1846 Hacienda'!E66</f>
        <v>5121</v>
      </c>
      <c r="AP24" s="134">
        <f>'1846 Hacienda'!F66</f>
        <v>3</v>
      </c>
      <c r="AQ24" s="133">
        <f>'1846 Hacienda'!G66</f>
        <v>0.25</v>
      </c>
      <c r="AR24" s="131"/>
      <c r="AS24" s="134"/>
      <c r="AT24" s="180"/>
      <c r="AU24" s="131"/>
      <c r="AV24" s="185"/>
      <c r="AW24" s="131"/>
      <c r="AX24" s="185"/>
      <c r="AY24" s="131"/>
      <c r="AZ24" s="185"/>
      <c r="BA24" s="131"/>
      <c r="BB24" s="185"/>
      <c r="BC24" s="131"/>
      <c r="BD24" s="185"/>
      <c r="BE24" s="131"/>
      <c r="BF24" s="185"/>
      <c r="BG24" s="131"/>
      <c r="BH24" s="185"/>
      <c r="BI24" s="131"/>
      <c r="BJ24" s="185"/>
      <c r="BK24" s="131"/>
      <c r="BL24" s="185"/>
      <c r="BM24" s="131"/>
      <c r="BN24" s="185"/>
      <c r="BO24" s="131"/>
      <c r="BP24" s="134"/>
      <c r="BQ24" s="131"/>
      <c r="BR24" s="134"/>
      <c r="BS24" s="133"/>
      <c r="BT24" s="131"/>
      <c r="BU24" s="134"/>
      <c r="BV24" s="131"/>
      <c r="BW24" s="134"/>
      <c r="BX24" s="131"/>
      <c r="BY24" s="134"/>
      <c r="BZ24" s="131"/>
      <c r="CA24" s="134"/>
      <c r="CB24" s="133"/>
      <c r="CC24" s="131"/>
      <c r="CD24" s="134"/>
      <c r="CE24" s="133"/>
      <c r="CF24" s="131"/>
      <c r="CG24" s="134"/>
      <c r="CH24" s="133"/>
      <c r="CI24" s="131"/>
      <c r="CJ24" s="134"/>
      <c r="CK24" s="133"/>
      <c r="CL24" s="131"/>
      <c r="CM24" s="134"/>
      <c r="CN24" s="133"/>
      <c r="CO24" s="131"/>
      <c r="CP24" s="134"/>
      <c r="CQ24" s="133"/>
      <c r="CR24" s="131"/>
      <c r="CS24" s="134"/>
      <c r="CT24" s="133"/>
      <c r="CU24" s="131"/>
      <c r="CV24" s="134"/>
      <c r="CW24" s="133"/>
      <c r="CX24" s="131"/>
      <c r="CY24" s="134"/>
      <c r="CZ24" s="133"/>
      <c r="DA24" s="140"/>
      <c r="DB24" s="141"/>
      <c r="DC24" s="142"/>
      <c r="DD24" s="140"/>
      <c r="DE24" s="141"/>
      <c r="DF24" s="142"/>
      <c r="DG24" s="140"/>
      <c r="DH24" s="141"/>
      <c r="DI24" s="142"/>
      <c r="DJ24" s="140"/>
      <c r="DK24" s="141"/>
      <c r="DL24" s="142"/>
      <c r="DM24" s="140"/>
      <c r="DN24" s="141"/>
      <c r="DO24" s="142"/>
      <c r="DP24" s="140"/>
      <c r="DQ24" s="141"/>
      <c r="DR24" s="142"/>
      <c r="DS24" s="140"/>
      <c r="DT24" s="141"/>
      <c r="DU24" s="142"/>
      <c r="DV24" s="140"/>
      <c r="DW24" s="141"/>
      <c r="DX24" s="142"/>
      <c r="DY24" s="140"/>
      <c r="DZ24" s="141"/>
      <c r="EA24" s="142"/>
      <c r="EB24" s="140"/>
      <c r="EC24" s="141"/>
      <c r="ED24" s="142"/>
      <c r="EE24" s="140"/>
      <c r="EF24" s="141"/>
      <c r="EG24" s="142"/>
      <c r="EH24" s="140"/>
      <c r="EI24" s="141"/>
      <c r="EJ24" s="142"/>
      <c r="EK24" s="140"/>
      <c r="EL24" s="141"/>
      <c r="EM24" s="142"/>
      <c r="EN24" s="140"/>
      <c r="EO24" s="141"/>
      <c r="EP24" s="142"/>
      <c r="EQ24" s="140"/>
      <c r="ER24" s="141"/>
      <c r="ES24" s="142"/>
      <c r="ET24" s="140"/>
      <c r="EU24" s="141"/>
      <c r="EV24" s="142"/>
      <c r="EW24" s="140"/>
      <c r="EX24" s="141"/>
      <c r="EY24" s="142"/>
      <c r="EZ24" s="140"/>
      <c r="FA24" s="141"/>
      <c r="FB24" s="142"/>
      <c r="FC24" s="140"/>
      <c r="FD24" s="141"/>
      <c r="FE24" s="142"/>
      <c r="FF24" s="140"/>
      <c r="FG24" s="141"/>
      <c r="FH24" s="142"/>
      <c r="FI24" s="140"/>
      <c r="FJ24" s="141"/>
      <c r="FK24" s="142"/>
      <c r="FL24" s="140"/>
      <c r="FM24" s="141"/>
      <c r="FN24" s="142"/>
      <c r="FO24" s="140"/>
      <c r="FP24" s="141"/>
      <c r="FQ24" s="142"/>
      <c r="FR24" s="140"/>
      <c r="FS24" s="141"/>
      <c r="FT24" s="142"/>
      <c r="FU24" s="140"/>
      <c r="FV24" s="141"/>
      <c r="FW24" s="142"/>
      <c r="FX24" s="140"/>
      <c r="FY24" s="141"/>
      <c r="FZ24" s="142"/>
      <c r="GA24" s="140"/>
      <c r="GB24" s="141"/>
      <c r="GC24" s="142"/>
      <c r="GD24" s="140"/>
      <c r="GE24" s="141"/>
      <c r="GF24" s="142"/>
      <c r="GG24" s="140"/>
      <c r="GH24" s="141"/>
      <c r="GI24" s="142"/>
      <c r="GJ24" s="140"/>
      <c r="GK24" s="141"/>
      <c r="GL24" s="142"/>
      <c r="GM24" s="140"/>
      <c r="GN24" s="141"/>
      <c r="GO24" s="142"/>
      <c r="GP24" s="140"/>
      <c r="GQ24" s="141"/>
      <c r="GR24" s="142"/>
      <c r="GS24" s="140"/>
      <c r="GT24" s="141"/>
      <c r="GU24" s="142"/>
      <c r="GV24" s="140"/>
      <c r="GW24" s="141"/>
      <c r="GX24" s="142"/>
      <c r="GY24" s="164"/>
      <c r="GZ24" s="134"/>
      <c r="HA24" s="185"/>
      <c r="HB24" s="164"/>
      <c r="HC24" s="185"/>
      <c r="HD24" s="164"/>
      <c r="HE24" s="185"/>
      <c r="HF24" s="164"/>
      <c r="HG24" s="185"/>
      <c r="HH24" s="164"/>
      <c r="HI24" s="185"/>
      <c r="HJ24" s="164"/>
      <c r="HK24" s="185"/>
      <c r="HL24" s="164"/>
      <c r="HM24" s="185"/>
      <c r="HN24" s="164"/>
      <c r="HO24" s="185"/>
      <c r="HP24" s="164"/>
      <c r="HQ24" s="185"/>
      <c r="HR24" s="164"/>
      <c r="HS24" s="185"/>
      <c r="HT24" s="164"/>
      <c r="HU24" s="185"/>
    </row>
    <row r="25" spans="1:229" x14ac:dyDescent="0.2">
      <c r="A25" s="1754" t="str">
        <f>+'1858 Hacienda'!A503</f>
        <v>Internacion de mercancías</v>
      </c>
      <c r="B25" s="131"/>
      <c r="C25" s="134"/>
      <c r="D25" s="133"/>
      <c r="E25" s="131"/>
      <c r="F25" s="134"/>
      <c r="G25" s="133"/>
      <c r="H25" s="131"/>
      <c r="I25" s="134"/>
      <c r="J25" s="133"/>
      <c r="K25" s="131"/>
      <c r="L25" s="134"/>
      <c r="M25" s="133"/>
      <c r="N25" s="131"/>
      <c r="O25" s="134"/>
      <c r="P25" s="133"/>
      <c r="Q25" s="131"/>
      <c r="R25" s="134"/>
      <c r="S25" s="133"/>
      <c r="T25" s="131"/>
      <c r="U25" s="134"/>
      <c r="V25" s="133"/>
      <c r="W25" s="131"/>
      <c r="X25" s="134"/>
      <c r="Y25" s="133"/>
      <c r="Z25" s="131"/>
      <c r="AA25" s="134"/>
      <c r="AB25" s="133"/>
      <c r="AC25" s="131"/>
      <c r="AD25" s="134"/>
      <c r="AE25" s="133"/>
      <c r="AF25" s="131"/>
      <c r="AG25" s="134"/>
      <c r="AH25" s="133"/>
      <c r="AI25" s="145"/>
      <c r="AJ25" s="134"/>
      <c r="AK25" s="133"/>
      <c r="AL25" s="131"/>
      <c r="AM25" s="134"/>
      <c r="AN25" s="133"/>
      <c r="AO25" s="131"/>
      <c r="AP25" s="134"/>
      <c r="AQ25" s="133"/>
      <c r="AR25" s="131"/>
      <c r="AS25" s="134"/>
      <c r="AT25" s="180"/>
      <c r="AU25" s="131"/>
      <c r="AV25" s="185"/>
      <c r="AW25" s="131">
        <f>+'1858 Hacienda'!D560</f>
        <v>2650</v>
      </c>
      <c r="AX25" s="185">
        <f>+'1858 Hacienda'!E560</f>
        <v>350</v>
      </c>
      <c r="AY25" s="131">
        <f>+'1858 Hacienda'!D620</f>
        <v>3382</v>
      </c>
      <c r="AZ25" s="185">
        <f>+'1858 Hacienda'!E620</f>
        <v>708</v>
      </c>
      <c r="BA25" s="131">
        <f>+'1858 Hacienda'!B503</f>
        <v>3582</v>
      </c>
      <c r="BB25" s="185">
        <f>+'1858 Hacienda'!C503</f>
        <v>15</v>
      </c>
      <c r="BC25" s="131"/>
      <c r="BD25" s="185"/>
      <c r="BE25" s="131"/>
      <c r="BF25" s="185"/>
      <c r="BG25" s="131"/>
      <c r="BH25" s="185"/>
      <c r="BI25" s="131"/>
      <c r="BJ25" s="185"/>
      <c r="BK25" s="131"/>
      <c r="BL25" s="185"/>
      <c r="BM25" s="131"/>
      <c r="BN25" s="185"/>
      <c r="BO25" s="131"/>
      <c r="BP25" s="134"/>
      <c r="BQ25" s="131"/>
      <c r="BR25" s="134"/>
      <c r="BS25" s="133"/>
      <c r="BT25" s="131"/>
      <c r="BU25" s="134"/>
      <c r="BV25" s="131"/>
      <c r="BW25" s="134"/>
      <c r="BX25" s="131"/>
      <c r="BY25" s="134"/>
      <c r="BZ25" s="131"/>
      <c r="CA25" s="134"/>
      <c r="CB25" s="133"/>
      <c r="CC25" s="131"/>
      <c r="CD25" s="134"/>
      <c r="CE25" s="133"/>
      <c r="CF25" s="131"/>
      <c r="CG25" s="134"/>
      <c r="CH25" s="133"/>
      <c r="CI25" s="131"/>
      <c r="CJ25" s="134"/>
      <c r="CK25" s="133"/>
      <c r="CL25" s="131"/>
      <c r="CM25" s="134"/>
      <c r="CN25" s="133"/>
      <c r="CO25" s="131"/>
      <c r="CP25" s="134"/>
      <c r="CQ25" s="133"/>
      <c r="CR25" s="131"/>
      <c r="CS25" s="134"/>
      <c r="CT25" s="133"/>
      <c r="CU25" s="131"/>
      <c r="CV25" s="134"/>
      <c r="CW25" s="133"/>
      <c r="CX25" s="131"/>
      <c r="CY25" s="134"/>
      <c r="CZ25" s="133"/>
      <c r="DA25" s="140"/>
      <c r="DB25" s="141"/>
      <c r="DC25" s="142"/>
      <c r="DD25" s="140"/>
      <c r="DE25" s="141"/>
      <c r="DF25" s="142"/>
      <c r="DG25" s="140"/>
      <c r="DH25" s="141"/>
      <c r="DI25" s="142"/>
      <c r="DJ25" s="140"/>
      <c r="DK25" s="141"/>
      <c r="DL25" s="142"/>
      <c r="DM25" s="140"/>
      <c r="DN25" s="141"/>
      <c r="DO25" s="142"/>
      <c r="DP25" s="140"/>
      <c r="DQ25" s="141"/>
      <c r="DR25" s="142"/>
      <c r="DS25" s="140"/>
      <c r="DT25" s="141"/>
      <c r="DU25" s="142"/>
      <c r="DV25" s="140"/>
      <c r="DW25" s="141"/>
      <c r="DX25" s="142"/>
      <c r="DY25" s="140"/>
      <c r="DZ25" s="141"/>
      <c r="EA25" s="142"/>
      <c r="EB25" s="140"/>
      <c r="EC25" s="141"/>
      <c r="ED25" s="142"/>
      <c r="EE25" s="140"/>
      <c r="EF25" s="141"/>
      <c r="EG25" s="142"/>
      <c r="EH25" s="140"/>
      <c r="EI25" s="141"/>
      <c r="EJ25" s="142"/>
      <c r="EK25" s="140"/>
      <c r="EL25" s="141"/>
      <c r="EM25" s="142"/>
      <c r="EN25" s="140"/>
      <c r="EO25" s="141"/>
      <c r="EP25" s="142"/>
      <c r="EQ25" s="140"/>
      <c r="ER25" s="141"/>
      <c r="ES25" s="142"/>
      <c r="ET25" s="140"/>
      <c r="EU25" s="141"/>
      <c r="EV25" s="142"/>
      <c r="EW25" s="140"/>
      <c r="EX25" s="141"/>
      <c r="EY25" s="142"/>
      <c r="EZ25" s="140"/>
      <c r="FA25" s="141"/>
      <c r="FB25" s="142"/>
      <c r="FC25" s="140"/>
      <c r="FD25" s="141"/>
      <c r="FE25" s="142"/>
      <c r="FF25" s="140"/>
      <c r="FG25" s="141"/>
      <c r="FH25" s="142"/>
      <c r="FI25" s="140"/>
      <c r="FJ25" s="141"/>
      <c r="FK25" s="142"/>
      <c r="FL25" s="140"/>
      <c r="FM25" s="141"/>
      <c r="FN25" s="142"/>
      <c r="FO25" s="140"/>
      <c r="FP25" s="141"/>
      <c r="FQ25" s="142"/>
      <c r="FR25" s="140"/>
      <c r="FS25" s="141"/>
      <c r="FT25" s="142"/>
      <c r="FU25" s="140"/>
      <c r="FV25" s="141"/>
      <c r="FW25" s="142"/>
      <c r="FX25" s="140"/>
      <c r="FY25" s="141"/>
      <c r="FZ25" s="142"/>
      <c r="GA25" s="140"/>
      <c r="GB25" s="141"/>
      <c r="GC25" s="142"/>
      <c r="GD25" s="140"/>
      <c r="GE25" s="141"/>
      <c r="GF25" s="142"/>
      <c r="GG25" s="140"/>
      <c r="GH25" s="141"/>
      <c r="GI25" s="142"/>
      <c r="GJ25" s="140"/>
      <c r="GK25" s="141"/>
      <c r="GL25" s="142"/>
      <c r="GM25" s="140"/>
      <c r="GN25" s="141"/>
      <c r="GO25" s="142"/>
      <c r="GP25" s="140"/>
      <c r="GQ25" s="141"/>
      <c r="GR25" s="142"/>
      <c r="GS25" s="140"/>
      <c r="GT25" s="141"/>
      <c r="GU25" s="142"/>
      <c r="GV25" s="140"/>
      <c r="GW25" s="141"/>
      <c r="GX25" s="142"/>
      <c r="GY25" s="164"/>
      <c r="GZ25" s="134"/>
      <c r="HA25" s="185"/>
      <c r="HB25" s="164"/>
      <c r="HC25" s="185"/>
      <c r="HD25" s="164"/>
      <c r="HE25" s="185"/>
      <c r="HF25" s="164"/>
      <c r="HG25" s="185"/>
      <c r="HH25" s="164"/>
      <c r="HI25" s="185"/>
      <c r="HJ25" s="164"/>
      <c r="HK25" s="185"/>
      <c r="HL25" s="164"/>
      <c r="HM25" s="185"/>
      <c r="HN25" s="164"/>
      <c r="HO25" s="185"/>
      <c r="HP25" s="164"/>
      <c r="HQ25" s="185"/>
      <c r="HR25" s="164"/>
      <c r="HS25" s="185"/>
      <c r="HT25" s="164"/>
      <c r="HU25" s="185"/>
    </row>
    <row r="26" spans="1:229" x14ac:dyDescent="0.2">
      <c r="A26" s="1754" t="str">
        <f>+'1858 Hacienda'!A504</f>
        <v>Internacion de sales</v>
      </c>
      <c r="B26" s="131"/>
      <c r="C26" s="134"/>
      <c r="D26" s="133"/>
      <c r="E26" s="131"/>
      <c r="F26" s="134"/>
      <c r="G26" s="133"/>
      <c r="H26" s="131"/>
      <c r="I26" s="134"/>
      <c r="J26" s="133"/>
      <c r="K26" s="131"/>
      <c r="L26" s="134"/>
      <c r="M26" s="133"/>
      <c r="N26" s="131"/>
      <c r="O26" s="134"/>
      <c r="P26" s="133"/>
      <c r="Q26" s="131"/>
      <c r="R26" s="134"/>
      <c r="S26" s="133"/>
      <c r="T26" s="131"/>
      <c r="U26" s="134"/>
      <c r="V26" s="133"/>
      <c r="W26" s="131"/>
      <c r="X26" s="134"/>
      <c r="Y26" s="133"/>
      <c r="Z26" s="131"/>
      <c r="AA26" s="134"/>
      <c r="AB26" s="133"/>
      <c r="AC26" s="131"/>
      <c r="AD26" s="134"/>
      <c r="AE26" s="133"/>
      <c r="AF26" s="131"/>
      <c r="AG26" s="134"/>
      <c r="AH26" s="133"/>
      <c r="AI26" s="145"/>
      <c r="AJ26" s="134"/>
      <c r="AK26" s="133"/>
      <c r="AL26" s="131"/>
      <c r="AM26" s="134"/>
      <c r="AN26" s="133"/>
      <c r="AO26" s="131"/>
      <c r="AP26" s="134"/>
      <c r="AQ26" s="133"/>
      <c r="AR26" s="131"/>
      <c r="AS26" s="134"/>
      <c r="AT26" s="180"/>
      <c r="AU26" s="131"/>
      <c r="AV26" s="185"/>
      <c r="AW26" s="131">
        <f>+'1858 Hacienda'!D561</f>
        <v>518</v>
      </c>
      <c r="AX26" s="185">
        <f>+'1858 Hacienda'!E561</f>
        <v>725</v>
      </c>
      <c r="AY26" s="131">
        <f>+'1858 Hacienda'!D621</f>
        <v>858</v>
      </c>
      <c r="AZ26" s="185">
        <f>+'1858 Hacienda'!E621</f>
        <v>375</v>
      </c>
      <c r="BA26" s="131">
        <f>+'1858 Hacienda'!B504</f>
        <v>617</v>
      </c>
      <c r="BB26" s="185">
        <f>+'1858 Hacienda'!C504</f>
        <v>940</v>
      </c>
      <c r="BC26" s="131">
        <f>+'1858 Hacienda'!B1034</f>
        <v>1302</v>
      </c>
      <c r="BD26" s="185">
        <f>+'1858 Hacienda'!C1034</f>
        <v>800</v>
      </c>
      <c r="BE26" s="131"/>
      <c r="BF26" s="185"/>
      <c r="BG26" s="131">
        <f>+'1858 Hacienda'!B1074</f>
        <v>242</v>
      </c>
      <c r="BH26" s="185"/>
      <c r="BI26" s="131">
        <f>+'1858 Hacienda'!B1093</f>
        <v>123</v>
      </c>
      <c r="BJ26" s="185">
        <f>+'1858 Hacienda'!C1093</f>
        <v>220</v>
      </c>
      <c r="BK26" s="131"/>
      <c r="BL26" s="185"/>
      <c r="BM26" s="131"/>
      <c r="BN26" s="185"/>
      <c r="BO26" s="131"/>
      <c r="BP26" s="134"/>
      <c r="BQ26" s="131"/>
      <c r="BR26" s="134"/>
      <c r="BS26" s="133"/>
      <c r="BT26" s="131"/>
      <c r="BU26" s="134"/>
      <c r="BV26" s="131"/>
      <c r="BW26" s="134"/>
      <c r="BX26" s="131"/>
      <c r="BY26" s="134"/>
      <c r="BZ26" s="131"/>
      <c r="CA26" s="134"/>
      <c r="CB26" s="133"/>
      <c r="CC26" s="131"/>
      <c r="CD26" s="134"/>
      <c r="CE26" s="133"/>
      <c r="CF26" s="131"/>
      <c r="CG26" s="134"/>
      <c r="CH26" s="133"/>
      <c r="CI26" s="131"/>
      <c r="CJ26" s="134"/>
      <c r="CK26" s="133"/>
      <c r="CL26" s="131"/>
      <c r="CM26" s="134"/>
      <c r="CN26" s="133"/>
      <c r="CO26" s="131"/>
      <c r="CP26" s="134"/>
      <c r="CQ26" s="133"/>
      <c r="CR26" s="131"/>
      <c r="CS26" s="134"/>
      <c r="CT26" s="133"/>
      <c r="CU26" s="131"/>
      <c r="CV26" s="134"/>
      <c r="CW26" s="133"/>
      <c r="CX26" s="131"/>
      <c r="CY26" s="134"/>
      <c r="CZ26" s="133"/>
      <c r="DA26" s="140">
        <f>+'1872 Hacienda'!B7</f>
        <v>19865</v>
      </c>
      <c r="DB26" s="141">
        <f>+'1872 Hacienda'!C7</f>
        <v>30</v>
      </c>
      <c r="DC26" s="142"/>
      <c r="DD26" s="140"/>
      <c r="DE26" s="141"/>
      <c r="DF26" s="142"/>
      <c r="DG26" s="140"/>
      <c r="DH26" s="141"/>
      <c r="DI26" s="142"/>
      <c r="DJ26" s="140"/>
      <c r="DK26" s="141"/>
      <c r="DL26" s="142"/>
      <c r="DM26" s="140"/>
      <c r="DN26" s="141"/>
      <c r="DO26" s="142"/>
      <c r="DP26" s="140"/>
      <c r="DQ26" s="141"/>
      <c r="DR26" s="142"/>
      <c r="DS26" s="140"/>
      <c r="DT26" s="141"/>
      <c r="DU26" s="142"/>
      <c r="DV26" s="140"/>
      <c r="DW26" s="141"/>
      <c r="DX26" s="142"/>
      <c r="DY26" s="140"/>
      <c r="DZ26" s="141"/>
      <c r="EA26" s="142"/>
      <c r="EB26" s="140">
        <f>+'1881 Hacienda'!B16</f>
        <v>159049</v>
      </c>
      <c r="EC26" s="141">
        <f>+'1881 Hacienda'!C16</f>
        <v>550</v>
      </c>
      <c r="ED26" s="142">
        <f>+'1881 Hacienda'!D16</f>
        <v>0</v>
      </c>
      <c r="EE26" s="140">
        <f>+'1882 Hacienda'!B12</f>
        <v>434206</v>
      </c>
      <c r="EF26" s="141"/>
      <c r="EG26" s="142"/>
      <c r="EH26" s="140"/>
      <c r="EI26" s="141"/>
      <c r="EJ26" s="142"/>
      <c r="EK26" s="140"/>
      <c r="EL26" s="141"/>
      <c r="EM26" s="142"/>
      <c r="EN26" s="140"/>
      <c r="EO26" s="141"/>
      <c r="EP26" s="142"/>
      <c r="EQ26" s="140"/>
      <c r="ER26" s="141"/>
      <c r="ES26" s="142"/>
      <c r="ET26" s="140"/>
      <c r="EU26" s="141"/>
      <c r="EV26" s="142"/>
      <c r="EW26" s="140"/>
      <c r="EX26" s="141"/>
      <c r="EY26" s="142"/>
      <c r="EZ26" s="140"/>
      <c r="FA26" s="141"/>
      <c r="FB26" s="142"/>
      <c r="FC26" s="140"/>
      <c r="FD26" s="141"/>
      <c r="FE26" s="142"/>
      <c r="FF26" s="140"/>
      <c r="FG26" s="141"/>
      <c r="FH26" s="142"/>
      <c r="FI26" s="140"/>
      <c r="FJ26" s="141"/>
      <c r="FK26" s="142"/>
      <c r="FL26" s="140"/>
      <c r="FM26" s="141"/>
      <c r="FN26" s="142"/>
      <c r="FO26" s="140"/>
      <c r="FP26" s="141"/>
      <c r="FQ26" s="142"/>
      <c r="FR26" s="140"/>
      <c r="FS26" s="141"/>
      <c r="FT26" s="142"/>
      <c r="FU26" s="140"/>
      <c r="FV26" s="141"/>
      <c r="FW26" s="142"/>
      <c r="FX26" s="140"/>
      <c r="FY26" s="141"/>
      <c r="FZ26" s="142"/>
      <c r="GA26" s="140"/>
      <c r="GB26" s="141"/>
      <c r="GC26" s="142"/>
      <c r="GD26" s="140"/>
      <c r="GE26" s="141"/>
      <c r="GF26" s="142"/>
      <c r="GG26" s="140"/>
      <c r="GH26" s="141"/>
      <c r="GI26" s="142"/>
      <c r="GJ26" s="140"/>
      <c r="GK26" s="141"/>
      <c r="GL26" s="142"/>
      <c r="GM26" s="140"/>
      <c r="GN26" s="141"/>
      <c r="GO26" s="142"/>
      <c r="GP26" s="140"/>
      <c r="GQ26" s="141"/>
      <c r="GR26" s="142"/>
      <c r="GS26" s="140"/>
      <c r="GT26" s="141"/>
      <c r="GU26" s="142"/>
      <c r="GV26" s="140"/>
      <c r="GW26" s="141"/>
      <c r="GX26" s="142"/>
      <c r="GY26" s="164"/>
      <c r="GZ26" s="134"/>
      <c r="HA26" s="185"/>
      <c r="HB26" s="164"/>
      <c r="HC26" s="185"/>
      <c r="HD26" s="164"/>
      <c r="HE26" s="185"/>
      <c r="HF26" s="164"/>
      <c r="HG26" s="185"/>
      <c r="HH26" s="164"/>
      <c r="HI26" s="185"/>
      <c r="HJ26" s="164"/>
      <c r="HK26" s="185"/>
      <c r="HL26" s="164"/>
      <c r="HM26" s="185"/>
      <c r="HN26" s="164"/>
      <c r="HO26" s="185"/>
      <c r="HP26" s="164"/>
      <c r="HQ26" s="185"/>
      <c r="HR26" s="164"/>
      <c r="HS26" s="185"/>
      <c r="HT26" s="164"/>
      <c r="HU26" s="185"/>
    </row>
    <row r="27" spans="1:229" x14ac:dyDescent="0.2">
      <c r="A27" s="1753" t="s">
        <v>6052</v>
      </c>
      <c r="B27" s="131"/>
      <c r="C27" s="134"/>
      <c r="D27" s="133"/>
      <c r="E27" s="131"/>
      <c r="F27" s="134"/>
      <c r="G27" s="133"/>
      <c r="H27" s="131"/>
      <c r="I27" s="134"/>
      <c r="J27" s="133"/>
      <c r="K27" s="131"/>
      <c r="L27" s="134"/>
      <c r="M27" s="133"/>
      <c r="N27" s="131"/>
      <c r="O27" s="134"/>
      <c r="P27" s="133"/>
      <c r="Q27" s="131"/>
      <c r="R27" s="134"/>
      <c r="S27" s="133"/>
      <c r="T27" s="131"/>
      <c r="U27" s="134"/>
      <c r="V27" s="133"/>
      <c r="W27" s="131"/>
      <c r="X27" s="134"/>
      <c r="Y27" s="133"/>
      <c r="Z27" s="131"/>
      <c r="AA27" s="134"/>
      <c r="AB27" s="133"/>
      <c r="AC27" s="131"/>
      <c r="AD27" s="134"/>
      <c r="AE27" s="133"/>
      <c r="AF27" s="131"/>
      <c r="AG27" s="134"/>
      <c r="AH27" s="133"/>
      <c r="AI27" s="145">
        <v>312</v>
      </c>
      <c r="AJ27" s="134">
        <v>3</v>
      </c>
      <c r="AK27" s="133"/>
      <c r="AL27" s="131">
        <v>842</v>
      </c>
      <c r="AM27" s="134">
        <v>4</v>
      </c>
      <c r="AN27" s="133">
        <v>0.25</v>
      </c>
      <c r="AO27" s="131">
        <f>'1846 Hacienda'!E50</f>
        <v>3058</v>
      </c>
      <c r="AP27" s="134">
        <f>'1846 Hacienda'!F50</f>
        <v>0</v>
      </c>
      <c r="AQ27" s="133">
        <f>'1846 Hacienda'!G50</f>
        <v>0</v>
      </c>
      <c r="AR27" s="131"/>
      <c r="AS27" s="134"/>
      <c r="AT27" s="180"/>
      <c r="AU27" s="131"/>
      <c r="AV27" s="185"/>
      <c r="AW27" s="131">
        <f>+'1858 Hacienda'!D553</f>
        <v>4853</v>
      </c>
      <c r="AX27" s="185">
        <f>+'1858 Hacienda'!E553</f>
        <v>424</v>
      </c>
      <c r="AY27" s="131">
        <f>+'1858 Hacienda'!D625</f>
        <v>2215</v>
      </c>
      <c r="AZ27" s="185">
        <f>+'1858 Hacienda'!E625</f>
        <v>300</v>
      </c>
      <c r="BA27" s="131">
        <f>+'1858 Hacienda'!B508</f>
        <v>4922</v>
      </c>
      <c r="BB27" s="185">
        <f>+'1858 Hacienda'!C508</f>
        <v>365</v>
      </c>
      <c r="BC27" s="131">
        <f>+'1858 Hacienda'!B1037</f>
        <v>3955</v>
      </c>
      <c r="BD27" s="185">
        <f>+'1858 Hacienda'!C1037</f>
        <v>201</v>
      </c>
      <c r="BE27" s="131">
        <f>+'1858 Hacienda'!B1054</f>
        <v>3352</v>
      </c>
      <c r="BF27" s="185">
        <f>+'1858 Hacienda'!C1054</f>
        <v>179</v>
      </c>
      <c r="BG27" s="131">
        <f>+'1858 Hacienda'!B1076</f>
        <v>3459</v>
      </c>
      <c r="BH27" s="185">
        <f>+'1858 Hacienda'!C1076</f>
        <v>898</v>
      </c>
      <c r="BI27" s="131">
        <f>+'1858 Hacienda'!B1095</f>
        <v>2541</v>
      </c>
      <c r="BJ27" s="185">
        <f>+'1858 Hacienda'!C1095</f>
        <v>600</v>
      </c>
      <c r="BK27" s="131"/>
      <c r="BL27" s="185"/>
      <c r="BM27" s="131"/>
      <c r="BN27" s="185"/>
      <c r="BO27" s="131"/>
      <c r="BP27" s="134"/>
      <c r="BQ27" s="131"/>
      <c r="BR27" s="134"/>
      <c r="BS27" s="133"/>
      <c r="BT27" s="131"/>
      <c r="BU27" s="134"/>
      <c r="BV27" s="131"/>
      <c r="BW27" s="134"/>
      <c r="BX27" s="131"/>
      <c r="BY27" s="134"/>
      <c r="BZ27" s="131"/>
      <c r="CA27" s="134"/>
      <c r="CB27" s="133"/>
      <c r="CC27" s="131"/>
      <c r="CD27" s="134"/>
      <c r="CE27" s="133"/>
      <c r="CF27" s="131"/>
      <c r="CG27" s="134"/>
      <c r="CH27" s="133"/>
      <c r="CI27" s="131"/>
      <c r="CJ27" s="134"/>
      <c r="CK27" s="133"/>
      <c r="CL27" s="131"/>
      <c r="CM27" s="134"/>
      <c r="CN27" s="133"/>
      <c r="CO27" s="131"/>
      <c r="CP27" s="134"/>
      <c r="CQ27" s="133"/>
      <c r="CR27" s="131"/>
      <c r="CS27" s="134"/>
      <c r="CT27" s="133"/>
      <c r="CU27" s="131"/>
      <c r="CV27" s="134"/>
      <c r="CW27" s="133"/>
      <c r="CX27" s="131"/>
      <c r="CY27" s="134"/>
      <c r="CZ27" s="133"/>
      <c r="DA27" s="140"/>
      <c r="DB27" s="141"/>
      <c r="DC27" s="142"/>
      <c r="DD27" s="140"/>
      <c r="DE27" s="141"/>
      <c r="DF27" s="142"/>
      <c r="DG27" s="140"/>
      <c r="DH27" s="141"/>
      <c r="DI27" s="142"/>
      <c r="DJ27" s="140"/>
      <c r="DK27" s="141"/>
      <c r="DL27" s="142"/>
      <c r="DM27" s="140"/>
      <c r="DN27" s="141"/>
      <c r="DO27" s="142"/>
      <c r="DP27" s="140"/>
      <c r="DQ27" s="141"/>
      <c r="DR27" s="142"/>
      <c r="DS27" s="140"/>
      <c r="DT27" s="141"/>
      <c r="DU27" s="142"/>
      <c r="DV27" s="140"/>
      <c r="DW27" s="141"/>
      <c r="DX27" s="142"/>
      <c r="DY27" s="140"/>
      <c r="DZ27" s="141"/>
      <c r="EA27" s="142"/>
      <c r="EB27" s="140"/>
      <c r="EC27" s="141"/>
      <c r="ED27" s="142"/>
      <c r="EE27" s="140"/>
      <c r="EF27" s="141"/>
      <c r="EG27" s="142"/>
      <c r="EH27" s="140"/>
      <c r="EI27" s="141"/>
      <c r="EJ27" s="142"/>
      <c r="EK27" s="140"/>
      <c r="EL27" s="141"/>
      <c r="EM27" s="142"/>
      <c r="EN27" s="140"/>
      <c r="EO27" s="141"/>
      <c r="EP27" s="142"/>
      <c r="EQ27" s="140"/>
      <c r="ER27" s="141"/>
      <c r="ES27" s="142"/>
      <c r="ET27" s="140"/>
      <c r="EU27" s="141"/>
      <c r="EV27" s="142"/>
      <c r="EW27" s="140"/>
      <c r="EX27" s="141"/>
      <c r="EY27" s="142"/>
      <c r="EZ27" s="140"/>
      <c r="FA27" s="141"/>
      <c r="FB27" s="142"/>
      <c r="FC27" s="140"/>
      <c r="FD27" s="141"/>
      <c r="FE27" s="142"/>
      <c r="FF27" s="140"/>
      <c r="FG27" s="141"/>
      <c r="FH27" s="142"/>
      <c r="FI27" s="140"/>
      <c r="FJ27" s="141"/>
      <c r="FK27" s="142"/>
      <c r="FL27" s="140"/>
      <c r="FM27" s="141"/>
      <c r="FN27" s="142"/>
      <c r="FO27" s="140"/>
      <c r="FP27" s="141"/>
      <c r="FQ27" s="142"/>
      <c r="FR27" s="140"/>
      <c r="FS27" s="141"/>
      <c r="FT27" s="142"/>
      <c r="FU27" s="140"/>
      <c r="FV27" s="141"/>
      <c r="FW27" s="142"/>
      <c r="FX27" s="140"/>
      <c r="FY27" s="141"/>
      <c r="FZ27" s="142"/>
      <c r="GA27" s="140"/>
      <c r="GB27" s="141"/>
      <c r="GC27" s="142"/>
      <c r="GD27" s="140"/>
      <c r="GE27" s="141"/>
      <c r="GF27" s="142"/>
      <c r="GG27" s="140"/>
      <c r="GH27" s="141"/>
      <c r="GI27" s="142"/>
      <c r="GJ27" s="140"/>
      <c r="GK27" s="141"/>
      <c r="GL27" s="142"/>
      <c r="GM27" s="140"/>
      <c r="GN27" s="141"/>
      <c r="GO27" s="142"/>
      <c r="GP27" s="140"/>
      <c r="GQ27" s="141"/>
      <c r="GR27" s="142"/>
      <c r="GS27" s="140"/>
      <c r="GT27" s="141"/>
      <c r="GU27" s="142"/>
      <c r="GV27" s="140"/>
      <c r="GW27" s="141"/>
      <c r="GX27" s="142"/>
      <c r="GY27" s="164"/>
      <c r="GZ27" s="134"/>
      <c r="HA27" s="185"/>
      <c r="HB27" s="164"/>
      <c r="HC27" s="185"/>
      <c r="HD27" s="164"/>
      <c r="HE27" s="185"/>
      <c r="HF27" s="164"/>
      <c r="HG27" s="185"/>
      <c r="HH27" s="164"/>
      <c r="HI27" s="185"/>
      <c r="HJ27" s="164"/>
      <c r="HK27" s="185"/>
      <c r="HL27" s="164"/>
      <c r="HM27" s="185"/>
      <c r="HN27" s="164"/>
      <c r="HO27" s="185"/>
      <c r="HP27" s="164"/>
      <c r="HQ27" s="185"/>
      <c r="HR27" s="164"/>
      <c r="HS27" s="185"/>
      <c r="HT27" s="164"/>
      <c r="HU27" s="185"/>
    </row>
    <row r="28" spans="1:229" x14ac:dyDescent="0.2">
      <c r="A28" s="1753" t="s">
        <v>6053</v>
      </c>
      <c r="B28" s="131"/>
      <c r="C28" s="134"/>
      <c r="D28" s="133"/>
      <c r="E28" s="131"/>
      <c r="F28" s="134"/>
      <c r="G28" s="133"/>
      <c r="H28" s="131"/>
      <c r="I28" s="134"/>
      <c r="J28" s="133"/>
      <c r="K28" s="131"/>
      <c r="L28" s="134"/>
      <c r="M28" s="133"/>
      <c r="N28" s="131"/>
      <c r="O28" s="134"/>
      <c r="P28" s="133"/>
      <c r="Q28" s="131"/>
      <c r="R28" s="134"/>
      <c r="S28" s="133"/>
      <c r="T28" s="131"/>
      <c r="U28" s="134"/>
      <c r="V28" s="133"/>
      <c r="W28" s="131"/>
      <c r="X28" s="134"/>
      <c r="Y28" s="133"/>
      <c r="Z28" s="131"/>
      <c r="AA28" s="134"/>
      <c r="AB28" s="133"/>
      <c r="AC28" s="131"/>
      <c r="AD28" s="134"/>
      <c r="AE28" s="133"/>
      <c r="AF28" s="131"/>
      <c r="AG28" s="134"/>
      <c r="AH28" s="133"/>
      <c r="AI28" s="145">
        <v>6789</v>
      </c>
      <c r="AJ28" s="134">
        <v>3</v>
      </c>
      <c r="AK28" s="133">
        <v>0.25</v>
      </c>
      <c r="AL28" s="131">
        <v>280</v>
      </c>
      <c r="AM28" s="134">
        <v>2</v>
      </c>
      <c r="AN28" s="133">
        <v>0.75</v>
      </c>
      <c r="AO28" s="131">
        <f>'1846 Hacienda'!E53</f>
        <v>1031</v>
      </c>
      <c r="AP28" s="134">
        <f>'1846 Hacienda'!F53</f>
        <v>2</v>
      </c>
      <c r="AQ28" s="133">
        <f>'1846 Hacienda'!G53</f>
        <v>0.5</v>
      </c>
      <c r="AR28" s="131"/>
      <c r="AS28" s="134"/>
      <c r="AT28" s="180"/>
      <c r="AU28" s="131"/>
      <c r="AV28" s="185"/>
      <c r="AW28" s="131"/>
      <c r="AX28" s="185"/>
      <c r="AY28" s="131"/>
      <c r="AZ28" s="185"/>
      <c r="BA28" s="131"/>
      <c r="BB28" s="185"/>
      <c r="BC28" s="131">
        <f>+'1858 Hacienda'!B1038</f>
        <v>494</v>
      </c>
      <c r="BD28" s="185">
        <f>+'1858 Hacienda'!C1038</f>
        <v>175</v>
      </c>
      <c r="BE28" s="131">
        <f>+'1858 Hacienda'!B1057</f>
        <v>565</v>
      </c>
      <c r="BF28" s="185">
        <f>+'1858 Hacienda'!C1057</f>
        <v>347</v>
      </c>
      <c r="BG28" s="131">
        <f>+'1858 Hacienda'!B1077</f>
        <v>395</v>
      </c>
      <c r="BH28" s="185">
        <f>+'1858 Hacienda'!C1077</f>
        <v>390</v>
      </c>
      <c r="BI28" s="131">
        <f>+'1858 Hacienda'!B1096</f>
        <v>63</v>
      </c>
      <c r="BJ28" s="185">
        <f>+'1858 Hacienda'!C1096</f>
        <v>800</v>
      </c>
      <c r="BK28" s="131"/>
      <c r="BL28" s="185"/>
      <c r="BM28" s="131"/>
      <c r="BN28" s="185"/>
      <c r="BO28" s="131"/>
      <c r="BP28" s="134"/>
      <c r="BQ28" s="131"/>
      <c r="BR28" s="134"/>
      <c r="BS28" s="133"/>
      <c r="BT28" s="131"/>
      <c r="BU28" s="134"/>
      <c r="BV28" s="131"/>
      <c r="BW28" s="134"/>
      <c r="BX28" s="131"/>
      <c r="BY28" s="134"/>
      <c r="BZ28" s="131"/>
      <c r="CA28" s="134"/>
      <c r="CB28" s="133"/>
      <c r="CC28" s="131"/>
      <c r="CD28" s="134"/>
      <c r="CE28" s="133"/>
      <c r="CF28" s="131"/>
      <c r="CG28" s="134"/>
      <c r="CH28" s="133"/>
      <c r="CI28" s="131"/>
      <c r="CJ28" s="134"/>
      <c r="CK28" s="133"/>
      <c r="CL28" s="131"/>
      <c r="CM28" s="134"/>
      <c r="CN28" s="133"/>
      <c r="CO28" s="131"/>
      <c r="CP28" s="134"/>
      <c r="CQ28" s="133"/>
      <c r="CR28" s="131"/>
      <c r="CS28" s="134"/>
      <c r="CT28" s="133"/>
      <c r="CU28" s="131"/>
      <c r="CV28" s="134"/>
      <c r="CW28" s="133"/>
      <c r="CX28" s="131"/>
      <c r="CY28" s="134"/>
      <c r="CZ28" s="133"/>
      <c r="DA28" s="140"/>
      <c r="DB28" s="141"/>
      <c r="DC28" s="142"/>
      <c r="DD28" s="140"/>
      <c r="DE28" s="141"/>
      <c r="DF28" s="142"/>
      <c r="DG28" s="140"/>
      <c r="DH28" s="141"/>
      <c r="DI28" s="142"/>
      <c r="DJ28" s="140"/>
      <c r="DK28" s="141"/>
      <c r="DL28" s="142"/>
      <c r="DM28" s="140"/>
      <c r="DN28" s="141"/>
      <c r="DO28" s="142"/>
      <c r="DP28" s="140"/>
      <c r="DQ28" s="141"/>
      <c r="DR28" s="142"/>
      <c r="DS28" s="140"/>
      <c r="DT28" s="141"/>
      <c r="DU28" s="142"/>
      <c r="DV28" s="140"/>
      <c r="DW28" s="141"/>
      <c r="DX28" s="142"/>
      <c r="DY28" s="140"/>
      <c r="DZ28" s="141"/>
      <c r="EA28" s="142"/>
      <c r="EB28" s="140"/>
      <c r="EC28" s="141"/>
      <c r="ED28" s="142"/>
      <c r="EE28" s="140"/>
      <c r="EF28" s="141"/>
      <c r="EG28" s="142"/>
      <c r="EH28" s="140"/>
      <c r="EI28" s="141"/>
      <c r="EJ28" s="142"/>
      <c r="EK28" s="140"/>
      <c r="EL28" s="141"/>
      <c r="EM28" s="142"/>
      <c r="EN28" s="140"/>
      <c r="EO28" s="141"/>
      <c r="EP28" s="142"/>
      <c r="EQ28" s="140"/>
      <c r="ER28" s="141"/>
      <c r="ES28" s="142"/>
      <c r="ET28" s="140"/>
      <c r="EU28" s="141"/>
      <c r="EV28" s="142"/>
      <c r="EW28" s="140"/>
      <c r="EX28" s="141"/>
      <c r="EY28" s="142"/>
      <c r="EZ28" s="140"/>
      <c r="FA28" s="141"/>
      <c r="FB28" s="142"/>
      <c r="FC28" s="140"/>
      <c r="FD28" s="141"/>
      <c r="FE28" s="142"/>
      <c r="FF28" s="140"/>
      <c r="FG28" s="141"/>
      <c r="FH28" s="142"/>
      <c r="FI28" s="140"/>
      <c r="FJ28" s="141"/>
      <c r="FK28" s="142"/>
      <c r="FL28" s="140"/>
      <c r="FM28" s="141"/>
      <c r="FN28" s="142"/>
      <c r="FO28" s="140"/>
      <c r="FP28" s="141"/>
      <c r="FQ28" s="142"/>
      <c r="FR28" s="140"/>
      <c r="FS28" s="141"/>
      <c r="FT28" s="142"/>
      <c r="FU28" s="140"/>
      <c r="FV28" s="141"/>
      <c r="FW28" s="142"/>
      <c r="FX28" s="140"/>
      <c r="FY28" s="141"/>
      <c r="FZ28" s="142"/>
      <c r="GA28" s="140"/>
      <c r="GB28" s="141"/>
      <c r="GC28" s="142"/>
      <c r="GD28" s="140"/>
      <c r="GE28" s="141"/>
      <c r="GF28" s="142"/>
      <c r="GG28" s="140"/>
      <c r="GH28" s="141"/>
      <c r="GI28" s="142"/>
      <c r="GJ28" s="140"/>
      <c r="GK28" s="141"/>
      <c r="GL28" s="142"/>
      <c r="GM28" s="140"/>
      <c r="GN28" s="141"/>
      <c r="GO28" s="142"/>
      <c r="GP28" s="140"/>
      <c r="GQ28" s="141"/>
      <c r="GR28" s="142"/>
      <c r="GS28" s="140"/>
      <c r="GT28" s="141"/>
      <c r="GU28" s="142"/>
      <c r="GV28" s="140"/>
      <c r="GW28" s="141"/>
      <c r="GX28" s="142"/>
      <c r="GY28" s="164"/>
      <c r="GZ28" s="134"/>
      <c r="HA28" s="185"/>
      <c r="HB28" s="164"/>
      <c r="HC28" s="185"/>
      <c r="HD28" s="164"/>
      <c r="HE28" s="185"/>
      <c r="HF28" s="164"/>
      <c r="HG28" s="185"/>
      <c r="HH28" s="164"/>
      <c r="HI28" s="185"/>
      <c r="HJ28" s="164"/>
      <c r="HK28" s="185"/>
      <c r="HL28" s="164"/>
      <c r="HM28" s="185"/>
      <c r="HN28" s="164"/>
      <c r="HO28" s="185"/>
      <c r="HP28" s="164"/>
      <c r="HQ28" s="185"/>
      <c r="HR28" s="164"/>
      <c r="HS28" s="185"/>
      <c r="HT28" s="164"/>
      <c r="HU28" s="185"/>
    </row>
    <row r="29" spans="1:229" x14ac:dyDescent="0.2">
      <c r="A29" s="1753" t="s">
        <v>6054</v>
      </c>
      <c r="B29" s="131"/>
      <c r="C29" s="134"/>
      <c r="D29" s="133"/>
      <c r="E29" s="131"/>
      <c r="F29" s="134"/>
      <c r="G29" s="133"/>
      <c r="H29" s="131"/>
      <c r="I29" s="134"/>
      <c r="J29" s="133"/>
      <c r="K29" s="131"/>
      <c r="L29" s="134"/>
      <c r="M29" s="133"/>
      <c r="N29" s="131"/>
      <c r="O29" s="134"/>
      <c r="P29" s="133"/>
      <c r="Q29" s="131"/>
      <c r="R29" s="134"/>
      <c r="S29" s="133"/>
      <c r="T29" s="131"/>
      <c r="U29" s="134"/>
      <c r="V29" s="133"/>
      <c r="W29" s="131"/>
      <c r="X29" s="134"/>
      <c r="Y29" s="133"/>
      <c r="Z29" s="131"/>
      <c r="AA29" s="134"/>
      <c r="AB29" s="133"/>
      <c r="AC29" s="131"/>
      <c r="AD29" s="134"/>
      <c r="AE29" s="133"/>
      <c r="AF29" s="131"/>
      <c r="AG29" s="134"/>
      <c r="AH29" s="133"/>
      <c r="AI29" s="145">
        <v>25679</v>
      </c>
      <c r="AJ29" s="134">
        <v>3</v>
      </c>
      <c r="AK29" s="133">
        <v>0.25</v>
      </c>
      <c r="AL29" s="131">
        <v>10285</v>
      </c>
      <c r="AM29" s="134">
        <v>6</v>
      </c>
      <c r="AN29" s="133">
        <v>0.75</v>
      </c>
      <c r="AO29" s="131"/>
      <c r="AP29" s="134"/>
      <c r="AQ29" s="133"/>
      <c r="AR29" s="131"/>
      <c r="AS29" s="134"/>
      <c r="AT29" s="180"/>
      <c r="AU29" s="131"/>
      <c r="AV29" s="185"/>
      <c r="AW29" s="131"/>
      <c r="AX29" s="185"/>
      <c r="AY29" s="131"/>
      <c r="AZ29" s="185"/>
      <c r="BA29" s="131"/>
      <c r="BB29" s="185"/>
      <c r="BC29" s="131"/>
      <c r="BD29" s="185"/>
      <c r="BE29" s="131"/>
      <c r="BF29" s="185"/>
      <c r="BG29" s="131"/>
      <c r="BH29" s="185"/>
      <c r="BI29" s="131"/>
      <c r="BJ29" s="185"/>
      <c r="BK29" s="131"/>
      <c r="BL29" s="185"/>
      <c r="BM29" s="131"/>
      <c r="BN29" s="185"/>
      <c r="BO29" s="131"/>
      <c r="BP29" s="134"/>
      <c r="BQ29" s="131"/>
      <c r="BR29" s="134"/>
      <c r="BS29" s="133"/>
      <c r="BT29" s="131"/>
      <c r="BU29" s="134"/>
      <c r="BV29" s="131"/>
      <c r="BW29" s="134"/>
      <c r="BX29" s="131"/>
      <c r="BY29" s="134"/>
      <c r="BZ29" s="131"/>
      <c r="CA29" s="134"/>
      <c r="CB29" s="133"/>
      <c r="CC29" s="131"/>
      <c r="CD29" s="134"/>
      <c r="CE29" s="133"/>
      <c r="CF29" s="131"/>
      <c r="CG29" s="134"/>
      <c r="CH29" s="133"/>
      <c r="CI29" s="131"/>
      <c r="CJ29" s="134"/>
      <c r="CK29" s="133"/>
      <c r="CL29" s="131"/>
      <c r="CM29" s="134"/>
      <c r="CN29" s="133"/>
      <c r="CO29" s="131"/>
      <c r="CP29" s="134"/>
      <c r="CQ29" s="133"/>
      <c r="CR29" s="131"/>
      <c r="CS29" s="134"/>
      <c r="CT29" s="133"/>
      <c r="CU29" s="131"/>
      <c r="CV29" s="134"/>
      <c r="CW29" s="133"/>
      <c r="CX29" s="131"/>
      <c r="CY29" s="134"/>
      <c r="CZ29" s="133"/>
      <c r="DA29" s="140"/>
      <c r="DB29" s="141"/>
      <c r="DC29" s="142"/>
      <c r="DD29" s="140"/>
      <c r="DE29" s="141"/>
      <c r="DF29" s="142"/>
      <c r="DG29" s="140"/>
      <c r="DH29" s="141"/>
      <c r="DI29" s="142"/>
      <c r="DJ29" s="140"/>
      <c r="DK29" s="141"/>
      <c r="DL29" s="142"/>
      <c r="DM29" s="140"/>
      <c r="DN29" s="141"/>
      <c r="DO29" s="142"/>
      <c r="DP29" s="140"/>
      <c r="DQ29" s="141"/>
      <c r="DR29" s="142"/>
      <c r="DS29" s="140"/>
      <c r="DT29" s="141"/>
      <c r="DU29" s="142"/>
      <c r="DV29" s="140"/>
      <c r="DW29" s="141"/>
      <c r="DX29" s="142"/>
      <c r="DY29" s="140"/>
      <c r="DZ29" s="141"/>
      <c r="EA29" s="142"/>
      <c r="EB29" s="140"/>
      <c r="EC29" s="141"/>
      <c r="ED29" s="142"/>
      <c r="EE29" s="140"/>
      <c r="EF29" s="141"/>
      <c r="EG29" s="142"/>
      <c r="EH29" s="140"/>
      <c r="EI29" s="141"/>
      <c r="EJ29" s="142"/>
      <c r="EK29" s="140"/>
      <c r="EL29" s="141"/>
      <c r="EM29" s="142"/>
      <c r="EN29" s="140"/>
      <c r="EO29" s="141"/>
      <c r="EP29" s="142"/>
      <c r="EQ29" s="140"/>
      <c r="ER29" s="141"/>
      <c r="ES29" s="142"/>
      <c r="ET29" s="140"/>
      <c r="EU29" s="141"/>
      <c r="EV29" s="142"/>
      <c r="EW29" s="140"/>
      <c r="EX29" s="141"/>
      <c r="EY29" s="142"/>
      <c r="EZ29" s="140"/>
      <c r="FA29" s="141"/>
      <c r="FB29" s="142"/>
      <c r="FC29" s="140"/>
      <c r="FD29" s="141"/>
      <c r="FE29" s="142"/>
      <c r="FF29" s="140"/>
      <c r="FG29" s="141"/>
      <c r="FH29" s="142"/>
      <c r="FI29" s="140"/>
      <c r="FJ29" s="141"/>
      <c r="FK29" s="142"/>
      <c r="FL29" s="140"/>
      <c r="FM29" s="141"/>
      <c r="FN29" s="142"/>
      <c r="FO29" s="140"/>
      <c r="FP29" s="141"/>
      <c r="FQ29" s="142"/>
      <c r="FR29" s="140"/>
      <c r="FS29" s="141"/>
      <c r="FT29" s="142"/>
      <c r="FU29" s="140"/>
      <c r="FV29" s="141"/>
      <c r="FW29" s="142"/>
      <c r="FX29" s="140"/>
      <c r="FY29" s="141"/>
      <c r="FZ29" s="142"/>
      <c r="GA29" s="140"/>
      <c r="GB29" s="141"/>
      <c r="GC29" s="142"/>
      <c r="GD29" s="140"/>
      <c r="GE29" s="141"/>
      <c r="GF29" s="142"/>
      <c r="GG29" s="140"/>
      <c r="GH29" s="141"/>
      <c r="GI29" s="142"/>
      <c r="GJ29" s="140"/>
      <c r="GK29" s="141"/>
      <c r="GL29" s="142"/>
      <c r="GM29" s="140"/>
      <c r="GN29" s="141"/>
      <c r="GO29" s="142"/>
      <c r="GP29" s="140"/>
      <c r="GQ29" s="141"/>
      <c r="GR29" s="142"/>
      <c r="GS29" s="140"/>
      <c r="GT29" s="141"/>
      <c r="GU29" s="142"/>
      <c r="GV29" s="140"/>
      <c r="GW29" s="141"/>
      <c r="GX29" s="142"/>
      <c r="GY29" s="164"/>
      <c r="GZ29" s="134"/>
      <c r="HA29" s="185"/>
      <c r="HB29" s="164"/>
      <c r="HC29" s="185"/>
      <c r="HD29" s="164"/>
      <c r="HE29" s="185"/>
      <c r="HF29" s="164"/>
      <c r="HG29" s="185"/>
      <c r="HH29" s="164"/>
      <c r="HI29" s="185"/>
      <c r="HJ29" s="164"/>
      <c r="HK29" s="185"/>
      <c r="HL29" s="164"/>
      <c r="HM29" s="185"/>
      <c r="HN29" s="164"/>
      <c r="HO29" s="185"/>
      <c r="HP29" s="164"/>
      <c r="HQ29" s="185"/>
      <c r="HR29" s="164"/>
      <c r="HS29" s="185"/>
      <c r="HT29" s="164"/>
      <c r="HU29" s="185"/>
    </row>
    <row r="30" spans="1:229" x14ac:dyDescent="0.2">
      <c r="A30" s="1753" t="s">
        <v>6055</v>
      </c>
      <c r="B30" s="131"/>
      <c r="C30" s="134"/>
      <c r="D30" s="133"/>
      <c r="E30" s="131"/>
      <c r="F30" s="134"/>
      <c r="G30" s="133"/>
      <c r="H30" s="131"/>
      <c r="I30" s="134"/>
      <c r="J30" s="133"/>
      <c r="K30" s="131"/>
      <c r="L30" s="134"/>
      <c r="M30" s="133"/>
      <c r="N30" s="131"/>
      <c r="O30" s="134"/>
      <c r="P30" s="133"/>
      <c r="Q30" s="131"/>
      <c r="R30" s="134"/>
      <c r="S30" s="133"/>
      <c r="T30" s="131"/>
      <c r="U30" s="134"/>
      <c r="V30" s="133"/>
      <c r="W30" s="131"/>
      <c r="X30" s="134"/>
      <c r="Y30" s="133"/>
      <c r="Z30" s="131"/>
      <c r="AA30" s="134"/>
      <c r="AB30" s="133"/>
      <c r="AC30" s="131"/>
      <c r="AD30" s="134"/>
      <c r="AE30" s="133"/>
      <c r="AF30" s="131"/>
      <c r="AG30" s="134"/>
      <c r="AH30" s="133"/>
      <c r="AI30" s="145">
        <v>927</v>
      </c>
      <c r="AJ30" s="134">
        <v>5</v>
      </c>
      <c r="AK30" s="133">
        <v>0.5</v>
      </c>
      <c r="AL30" s="131"/>
      <c r="AM30" s="134"/>
      <c r="AN30" s="133"/>
      <c r="AO30" s="131"/>
      <c r="AP30" s="134"/>
      <c r="AQ30" s="133"/>
      <c r="AR30" s="131"/>
      <c r="AS30" s="134"/>
      <c r="AT30" s="180"/>
      <c r="AU30" s="131"/>
      <c r="AV30" s="185"/>
      <c r="AW30" s="131"/>
      <c r="AX30" s="185"/>
      <c r="AY30" s="131"/>
      <c r="AZ30" s="185"/>
      <c r="BA30" s="131"/>
      <c r="BB30" s="185"/>
      <c r="BC30" s="131"/>
      <c r="BD30" s="185"/>
      <c r="BE30" s="131"/>
      <c r="BF30" s="185"/>
      <c r="BG30" s="131"/>
      <c r="BH30" s="185"/>
      <c r="BI30" s="131"/>
      <c r="BJ30" s="185"/>
      <c r="BK30" s="131"/>
      <c r="BL30" s="185"/>
      <c r="BM30" s="131"/>
      <c r="BN30" s="185"/>
      <c r="BO30" s="131"/>
      <c r="BP30" s="134"/>
      <c r="BQ30" s="131"/>
      <c r="BR30" s="134"/>
      <c r="BS30" s="133"/>
      <c r="BT30" s="131"/>
      <c r="BU30" s="134"/>
      <c r="BV30" s="131"/>
      <c r="BW30" s="134"/>
      <c r="BX30" s="131"/>
      <c r="BY30" s="134"/>
      <c r="BZ30" s="131"/>
      <c r="CA30" s="134"/>
      <c r="CB30" s="133"/>
      <c r="CC30" s="131"/>
      <c r="CD30" s="134"/>
      <c r="CE30" s="133"/>
      <c r="CF30" s="131"/>
      <c r="CG30" s="134"/>
      <c r="CH30" s="133"/>
      <c r="CI30" s="131"/>
      <c r="CJ30" s="134"/>
      <c r="CK30" s="133"/>
      <c r="CL30" s="131"/>
      <c r="CM30" s="134"/>
      <c r="CN30" s="133"/>
      <c r="CO30" s="131"/>
      <c r="CP30" s="134"/>
      <c r="CQ30" s="133"/>
      <c r="CR30" s="131"/>
      <c r="CS30" s="134"/>
      <c r="CT30" s="133"/>
      <c r="CU30" s="131"/>
      <c r="CV30" s="134"/>
      <c r="CW30" s="133"/>
      <c r="CX30" s="131"/>
      <c r="CY30" s="134"/>
      <c r="CZ30" s="133"/>
      <c r="DA30" s="140"/>
      <c r="DB30" s="141"/>
      <c r="DC30" s="142"/>
      <c r="DD30" s="140"/>
      <c r="DE30" s="141"/>
      <c r="DF30" s="142"/>
      <c r="DG30" s="140"/>
      <c r="DH30" s="141"/>
      <c r="DI30" s="142"/>
      <c r="DJ30" s="140"/>
      <c r="DK30" s="141"/>
      <c r="DL30" s="142"/>
      <c r="DM30" s="140"/>
      <c r="DN30" s="141"/>
      <c r="DO30" s="142"/>
      <c r="DP30" s="140"/>
      <c r="DQ30" s="141"/>
      <c r="DR30" s="142"/>
      <c r="DS30" s="140"/>
      <c r="DT30" s="141"/>
      <c r="DU30" s="142"/>
      <c r="DV30" s="140"/>
      <c r="DW30" s="141"/>
      <c r="DX30" s="142"/>
      <c r="DY30" s="140"/>
      <c r="DZ30" s="141"/>
      <c r="EA30" s="142"/>
      <c r="EB30" s="140"/>
      <c r="EC30" s="141"/>
      <c r="ED30" s="142"/>
      <c r="EE30" s="140"/>
      <c r="EF30" s="141"/>
      <c r="EG30" s="142"/>
      <c r="EH30" s="140"/>
      <c r="EI30" s="141"/>
      <c r="EJ30" s="142"/>
      <c r="EK30" s="140"/>
      <c r="EL30" s="141"/>
      <c r="EM30" s="142"/>
      <c r="EN30" s="140"/>
      <c r="EO30" s="141"/>
      <c r="EP30" s="142"/>
      <c r="EQ30" s="140"/>
      <c r="ER30" s="141"/>
      <c r="ES30" s="142"/>
      <c r="ET30" s="140"/>
      <c r="EU30" s="141"/>
      <c r="EV30" s="142"/>
      <c r="EW30" s="140"/>
      <c r="EX30" s="141"/>
      <c r="EY30" s="142"/>
      <c r="EZ30" s="140"/>
      <c r="FA30" s="141"/>
      <c r="FB30" s="142"/>
      <c r="FC30" s="140"/>
      <c r="FD30" s="141"/>
      <c r="FE30" s="142"/>
      <c r="FF30" s="140"/>
      <c r="FG30" s="141"/>
      <c r="FH30" s="142"/>
      <c r="FI30" s="140"/>
      <c r="FJ30" s="141"/>
      <c r="FK30" s="142"/>
      <c r="FL30" s="140"/>
      <c r="FM30" s="141"/>
      <c r="FN30" s="142"/>
      <c r="FO30" s="140"/>
      <c r="FP30" s="141"/>
      <c r="FQ30" s="142"/>
      <c r="FR30" s="140"/>
      <c r="FS30" s="141"/>
      <c r="FT30" s="142"/>
      <c r="FU30" s="140"/>
      <c r="FV30" s="141"/>
      <c r="FW30" s="142"/>
      <c r="FX30" s="140"/>
      <c r="FY30" s="141"/>
      <c r="FZ30" s="142"/>
      <c r="GA30" s="140"/>
      <c r="GB30" s="141"/>
      <c r="GC30" s="142"/>
      <c r="GD30" s="140"/>
      <c r="GE30" s="141"/>
      <c r="GF30" s="142"/>
      <c r="GG30" s="140"/>
      <c r="GH30" s="141"/>
      <c r="GI30" s="142"/>
      <c r="GJ30" s="140"/>
      <c r="GK30" s="141"/>
      <c r="GL30" s="142"/>
      <c r="GM30" s="140"/>
      <c r="GN30" s="141"/>
      <c r="GO30" s="142"/>
      <c r="GP30" s="140"/>
      <c r="GQ30" s="141"/>
      <c r="GR30" s="142"/>
      <c r="GS30" s="140"/>
      <c r="GT30" s="141"/>
      <c r="GU30" s="142"/>
      <c r="GV30" s="140"/>
      <c r="GW30" s="141"/>
      <c r="GX30" s="142"/>
      <c r="GY30" s="164"/>
      <c r="GZ30" s="134"/>
      <c r="HA30" s="185"/>
      <c r="HB30" s="164"/>
      <c r="HC30" s="185"/>
      <c r="HD30" s="164"/>
      <c r="HE30" s="185"/>
      <c r="HF30" s="164"/>
      <c r="HG30" s="185"/>
      <c r="HH30" s="164"/>
      <c r="HI30" s="185"/>
      <c r="HJ30" s="164"/>
      <c r="HK30" s="185"/>
      <c r="HL30" s="164"/>
      <c r="HM30" s="185"/>
      <c r="HN30" s="164"/>
      <c r="HO30" s="185"/>
      <c r="HP30" s="164"/>
      <c r="HQ30" s="185"/>
      <c r="HR30" s="164"/>
      <c r="HS30" s="185"/>
      <c r="HT30" s="164"/>
      <c r="HU30" s="185"/>
    </row>
    <row r="31" spans="1:229" x14ac:dyDescent="0.2">
      <c r="A31" s="1753" t="s">
        <v>6056</v>
      </c>
      <c r="B31" s="131"/>
      <c r="C31" s="134"/>
      <c r="D31" s="133"/>
      <c r="E31" s="131"/>
      <c r="F31" s="134"/>
      <c r="G31" s="133"/>
      <c r="H31" s="131"/>
      <c r="I31" s="134"/>
      <c r="J31" s="133"/>
      <c r="K31" s="131"/>
      <c r="L31" s="134"/>
      <c r="M31" s="133"/>
      <c r="N31" s="131"/>
      <c r="O31" s="134"/>
      <c r="P31" s="133"/>
      <c r="Q31" s="131"/>
      <c r="R31" s="134"/>
      <c r="S31" s="133"/>
      <c r="T31" s="131"/>
      <c r="U31" s="134"/>
      <c r="V31" s="133"/>
      <c r="W31" s="131"/>
      <c r="X31" s="134"/>
      <c r="Y31" s="133"/>
      <c r="Z31" s="131"/>
      <c r="AA31" s="134"/>
      <c r="AB31" s="133"/>
      <c r="AC31" s="131"/>
      <c r="AD31" s="134"/>
      <c r="AE31" s="133"/>
      <c r="AF31" s="131"/>
      <c r="AG31" s="134"/>
      <c r="AH31" s="133"/>
      <c r="AI31" s="145">
        <v>887</v>
      </c>
      <c r="AJ31" s="134">
        <v>6</v>
      </c>
      <c r="AK31" s="133"/>
      <c r="AL31" s="131">
        <v>616</v>
      </c>
      <c r="AM31" s="134">
        <v>4</v>
      </c>
      <c r="AN31" s="133">
        <v>0.25</v>
      </c>
      <c r="AO31" s="131">
        <f>'1846 Hacienda'!E57</f>
        <v>623</v>
      </c>
      <c r="AP31" s="134">
        <f>'1846 Hacienda'!F57</f>
        <v>2</v>
      </c>
      <c r="AQ31" s="133">
        <f>'1846 Hacienda'!G57</f>
        <v>0</v>
      </c>
      <c r="AR31" s="131"/>
      <c r="AS31" s="134"/>
      <c r="AT31" s="180"/>
      <c r="AU31" s="131"/>
      <c r="AV31" s="185"/>
      <c r="AW31" s="131"/>
      <c r="AX31" s="185"/>
      <c r="AY31" s="131"/>
      <c r="AZ31" s="185"/>
      <c r="BA31" s="131"/>
      <c r="BB31" s="185"/>
      <c r="BC31" s="131"/>
      <c r="BD31" s="185"/>
      <c r="BE31" s="131"/>
      <c r="BF31" s="185"/>
      <c r="BG31" s="131"/>
      <c r="BH31" s="185"/>
      <c r="BI31" s="131"/>
      <c r="BJ31" s="185"/>
      <c r="BK31" s="131"/>
      <c r="BL31" s="185"/>
      <c r="BM31" s="131"/>
      <c r="BN31" s="185"/>
      <c r="BO31" s="131"/>
      <c r="BP31" s="134"/>
      <c r="BQ31" s="131"/>
      <c r="BR31" s="134"/>
      <c r="BS31" s="133"/>
      <c r="BT31" s="131"/>
      <c r="BU31" s="134"/>
      <c r="BV31" s="131"/>
      <c r="BW31" s="134"/>
      <c r="BX31" s="131"/>
      <c r="BY31" s="134"/>
      <c r="BZ31" s="131"/>
      <c r="CA31" s="134"/>
      <c r="CB31" s="133"/>
      <c r="CC31" s="131"/>
      <c r="CD31" s="134"/>
      <c r="CE31" s="133"/>
      <c r="CF31" s="131"/>
      <c r="CG31" s="134"/>
      <c r="CH31" s="133"/>
      <c r="CI31" s="131"/>
      <c r="CJ31" s="134"/>
      <c r="CK31" s="133"/>
      <c r="CL31" s="131"/>
      <c r="CM31" s="134"/>
      <c r="CN31" s="133"/>
      <c r="CO31" s="131"/>
      <c r="CP31" s="134"/>
      <c r="CQ31" s="133"/>
      <c r="CR31" s="131"/>
      <c r="CS31" s="134"/>
      <c r="CT31" s="133"/>
      <c r="CU31" s="131"/>
      <c r="CV31" s="134"/>
      <c r="CW31" s="133"/>
      <c r="CX31" s="131"/>
      <c r="CY31" s="134"/>
      <c r="CZ31" s="133"/>
      <c r="DA31" s="140"/>
      <c r="DB31" s="141"/>
      <c r="DC31" s="142"/>
      <c r="DD31" s="140"/>
      <c r="DE31" s="141"/>
      <c r="DF31" s="142"/>
      <c r="DG31" s="140"/>
      <c r="DH31" s="141"/>
      <c r="DI31" s="142"/>
      <c r="DJ31" s="140"/>
      <c r="DK31" s="141"/>
      <c r="DL31" s="142"/>
      <c r="DM31" s="140"/>
      <c r="DN31" s="141"/>
      <c r="DO31" s="142"/>
      <c r="DP31" s="140"/>
      <c r="DQ31" s="141"/>
      <c r="DR31" s="142"/>
      <c r="DS31" s="140"/>
      <c r="DT31" s="141"/>
      <c r="DU31" s="142"/>
      <c r="DV31" s="140"/>
      <c r="DW31" s="141"/>
      <c r="DX31" s="142"/>
      <c r="DY31" s="140"/>
      <c r="DZ31" s="141"/>
      <c r="EA31" s="142"/>
      <c r="EB31" s="140"/>
      <c r="EC31" s="141"/>
      <c r="ED31" s="142"/>
      <c r="EE31" s="140"/>
      <c r="EF31" s="141"/>
      <c r="EG31" s="142"/>
      <c r="EH31" s="140"/>
      <c r="EI31" s="141"/>
      <c r="EJ31" s="142"/>
      <c r="EK31" s="140"/>
      <c r="EL31" s="141"/>
      <c r="EM31" s="142"/>
      <c r="EN31" s="140"/>
      <c r="EO31" s="141"/>
      <c r="EP31" s="142"/>
      <c r="EQ31" s="140"/>
      <c r="ER31" s="141"/>
      <c r="ES31" s="142"/>
      <c r="ET31" s="140"/>
      <c r="EU31" s="141"/>
      <c r="EV31" s="142"/>
      <c r="EW31" s="140"/>
      <c r="EX31" s="141"/>
      <c r="EY31" s="142"/>
      <c r="EZ31" s="140"/>
      <c r="FA31" s="141"/>
      <c r="FB31" s="142"/>
      <c r="FC31" s="140"/>
      <c r="FD31" s="141"/>
      <c r="FE31" s="142"/>
      <c r="FF31" s="140"/>
      <c r="FG31" s="141"/>
      <c r="FH31" s="142"/>
      <c r="FI31" s="140"/>
      <c r="FJ31" s="141"/>
      <c r="FK31" s="142"/>
      <c r="FL31" s="140"/>
      <c r="FM31" s="141"/>
      <c r="FN31" s="142"/>
      <c r="FO31" s="140"/>
      <c r="FP31" s="141"/>
      <c r="FQ31" s="142"/>
      <c r="FR31" s="140"/>
      <c r="FS31" s="141"/>
      <c r="FT31" s="142"/>
      <c r="FU31" s="140"/>
      <c r="FV31" s="141"/>
      <c r="FW31" s="142"/>
      <c r="FX31" s="140"/>
      <c r="FY31" s="141"/>
      <c r="FZ31" s="142"/>
      <c r="GA31" s="140"/>
      <c r="GB31" s="141"/>
      <c r="GC31" s="142"/>
      <c r="GD31" s="140"/>
      <c r="GE31" s="141"/>
      <c r="GF31" s="142"/>
      <c r="GG31" s="140"/>
      <c r="GH31" s="141"/>
      <c r="GI31" s="142"/>
      <c r="GJ31" s="140"/>
      <c r="GK31" s="141"/>
      <c r="GL31" s="142"/>
      <c r="GM31" s="140"/>
      <c r="GN31" s="141"/>
      <c r="GO31" s="142"/>
      <c r="GP31" s="140"/>
      <c r="GQ31" s="141"/>
      <c r="GR31" s="142"/>
      <c r="GS31" s="140"/>
      <c r="GT31" s="141"/>
      <c r="GU31" s="142"/>
      <c r="GV31" s="140"/>
      <c r="GW31" s="141"/>
      <c r="GX31" s="142"/>
      <c r="GY31" s="164"/>
      <c r="GZ31" s="134"/>
      <c r="HA31" s="185"/>
      <c r="HB31" s="164"/>
      <c r="HC31" s="185"/>
      <c r="HD31" s="164"/>
      <c r="HE31" s="185"/>
      <c r="HF31" s="164"/>
      <c r="HG31" s="185"/>
      <c r="HH31" s="164"/>
      <c r="HI31" s="185"/>
      <c r="HJ31" s="164"/>
      <c r="HK31" s="185"/>
      <c r="HL31" s="164"/>
      <c r="HM31" s="185"/>
      <c r="HN31" s="164"/>
      <c r="HO31" s="185"/>
      <c r="HP31" s="164"/>
      <c r="HQ31" s="185"/>
      <c r="HR31" s="164"/>
      <c r="HS31" s="185"/>
      <c r="HT31" s="164"/>
      <c r="HU31" s="185"/>
    </row>
    <row r="32" spans="1:229" x14ac:dyDescent="0.2">
      <c r="A32" s="106" t="s">
        <v>6057</v>
      </c>
      <c r="B32" s="131"/>
      <c r="C32" s="134"/>
      <c r="D32" s="133"/>
      <c r="E32" s="131"/>
      <c r="F32" s="134"/>
      <c r="G32" s="133"/>
      <c r="H32" s="131"/>
      <c r="I32" s="134"/>
      <c r="J32" s="133"/>
      <c r="K32" s="131"/>
      <c r="L32" s="134"/>
      <c r="M32" s="133"/>
      <c r="N32" s="131"/>
      <c r="O32" s="134"/>
      <c r="P32" s="133"/>
      <c r="Q32" s="131"/>
      <c r="R32" s="134"/>
      <c r="S32" s="133"/>
      <c r="T32" s="131"/>
      <c r="U32" s="134"/>
      <c r="V32" s="133"/>
      <c r="W32" s="131"/>
      <c r="X32" s="134"/>
      <c r="Y32" s="133"/>
      <c r="Z32" s="131"/>
      <c r="AA32" s="134"/>
      <c r="AB32" s="133"/>
      <c r="AC32" s="131"/>
      <c r="AD32" s="134"/>
      <c r="AE32" s="133"/>
      <c r="AF32" s="131"/>
      <c r="AG32" s="134"/>
      <c r="AH32" s="133"/>
      <c r="AI32" s="145">
        <v>68958</v>
      </c>
      <c r="AJ32" s="134">
        <v>6</v>
      </c>
      <c r="AK32" s="133">
        <f>1/2</f>
        <v>0.5</v>
      </c>
      <c r="AL32" s="131"/>
      <c r="AM32" s="134"/>
      <c r="AN32" s="133"/>
      <c r="AO32" s="131"/>
      <c r="AP32" s="134"/>
      <c r="AQ32" s="133"/>
      <c r="AR32" s="131"/>
      <c r="AS32" s="134"/>
      <c r="AT32" s="180"/>
      <c r="AU32" s="131"/>
      <c r="AV32" s="185"/>
      <c r="AW32" s="131"/>
      <c r="AX32" s="185"/>
      <c r="AY32" s="131"/>
      <c r="AZ32" s="185"/>
      <c r="BA32" s="131"/>
      <c r="BB32" s="185"/>
      <c r="BC32" s="131"/>
      <c r="BD32" s="185"/>
      <c r="BE32" s="131"/>
      <c r="BF32" s="185"/>
      <c r="BG32" s="131"/>
      <c r="BH32" s="185"/>
      <c r="BI32" s="131"/>
      <c r="BJ32" s="185"/>
      <c r="BK32" s="131"/>
      <c r="BL32" s="185"/>
      <c r="BM32" s="131"/>
      <c r="BN32" s="185"/>
      <c r="BO32" s="131"/>
      <c r="BP32" s="134"/>
      <c r="BQ32" s="131"/>
      <c r="BR32" s="134"/>
      <c r="BS32" s="133"/>
      <c r="BT32" s="131"/>
      <c r="BU32" s="134"/>
      <c r="BV32" s="131"/>
      <c r="BW32" s="134"/>
      <c r="BX32" s="131"/>
      <c r="BY32" s="134"/>
      <c r="BZ32" s="131"/>
      <c r="CA32" s="134"/>
      <c r="CB32" s="133"/>
      <c r="CC32" s="131"/>
      <c r="CD32" s="134"/>
      <c r="CE32" s="133"/>
      <c r="CF32" s="131"/>
      <c r="CG32" s="134"/>
      <c r="CH32" s="133"/>
      <c r="CI32" s="131"/>
      <c r="CJ32" s="134"/>
      <c r="CK32" s="133"/>
      <c r="CL32" s="131"/>
      <c r="CM32" s="134"/>
      <c r="CN32" s="133"/>
      <c r="CO32" s="131"/>
      <c r="CP32" s="134"/>
      <c r="CQ32" s="133"/>
      <c r="CR32" s="131"/>
      <c r="CS32" s="134"/>
      <c r="CT32" s="133"/>
      <c r="CU32" s="131"/>
      <c r="CV32" s="134"/>
      <c r="CW32" s="133"/>
      <c r="CX32" s="131"/>
      <c r="CY32" s="134"/>
      <c r="CZ32" s="133"/>
      <c r="DA32" s="140"/>
      <c r="DB32" s="141"/>
      <c r="DC32" s="142"/>
      <c r="DD32" s="140"/>
      <c r="DE32" s="141"/>
      <c r="DF32" s="142"/>
      <c r="DG32" s="140"/>
      <c r="DH32" s="141"/>
      <c r="DI32" s="142"/>
      <c r="DJ32" s="140"/>
      <c r="DK32" s="141"/>
      <c r="DL32" s="142"/>
      <c r="DM32" s="140"/>
      <c r="DN32" s="141"/>
      <c r="DO32" s="142"/>
      <c r="DP32" s="140"/>
      <c r="DQ32" s="141"/>
      <c r="DR32" s="142"/>
      <c r="DS32" s="140"/>
      <c r="DT32" s="141"/>
      <c r="DU32" s="142"/>
      <c r="DV32" s="140"/>
      <c r="DW32" s="141"/>
      <c r="DX32" s="142"/>
      <c r="DY32" s="140"/>
      <c r="DZ32" s="141"/>
      <c r="EA32" s="142"/>
      <c r="EB32" s="140"/>
      <c r="EC32" s="141"/>
      <c r="ED32" s="142"/>
      <c r="EE32" s="140"/>
      <c r="EF32" s="141"/>
      <c r="EG32" s="142"/>
      <c r="EH32" s="140"/>
      <c r="EI32" s="141"/>
      <c r="EJ32" s="142"/>
      <c r="EK32" s="140"/>
      <c r="EL32" s="141"/>
      <c r="EM32" s="142"/>
      <c r="EN32" s="140"/>
      <c r="EO32" s="141"/>
      <c r="EP32" s="142"/>
      <c r="EQ32" s="140"/>
      <c r="ER32" s="141"/>
      <c r="ES32" s="142"/>
      <c r="ET32" s="140"/>
      <c r="EU32" s="141"/>
      <c r="EV32" s="142"/>
      <c r="EW32" s="140"/>
      <c r="EX32" s="141"/>
      <c r="EY32" s="142"/>
      <c r="EZ32" s="140"/>
      <c r="FA32" s="141"/>
      <c r="FB32" s="142"/>
      <c r="FC32" s="140"/>
      <c r="FD32" s="141"/>
      <c r="FE32" s="142"/>
      <c r="FF32" s="140"/>
      <c r="FG32" s="141"/>
      <c r="FH32" s="142"/>
      <c r="FI32" s="140"/>
      <c r="FJ32" s="141"/>
      <c r="FK32" s="142"/>
      <c r="FL32" s="140"/>
      <c r="FM32" s="141"/>
      <c r="FN32" s="142"/>
      <c r="FO32" s="140"/>
      <c r="FP32" s="141"/>
      <c r="FQ32" s="142"/>
      <c r="FR32" s="140"/>
      <c r="FS32" s="141"/>
      <c r="FT32" s="142"/>
      <c r="FU32" s="140"/>
      <c r="FV32" s="141"/>
      <c r="FW32" s="142"/>
      <c r="FX32" s="140"/>
      <c r="FY32" s="141"/>
      <c r="FZ32" s="142"/>
      <c r="GA32" s="140"/>
      <c r="GB32" s="141"/>
      <c r="GC32" s="142"/>
      <c r="GD32" s="140"/>
      <c r="GE32" s="141"/>
      <c r="GF32" s="142"/>
      <c r="GG32" s="140"/>
      <c r="GH32" s="141"/>
      <c r="GI32" s="142"/>
      <c r="GJ32" s="140"/>
      <c r="GK32" s="141"/>
      <c r="GL32" s="142"/>
      <c r="GM32" s="140"/>
      <c r="GN32" s="141"/>
      <c r="GO32" s="142"/>
      <c r="GP32" s="140"/>
      <c r="GQ32" s="141"/>
      <c r="GR32" s="142"/>
      <c r="GS32" s="140"/>
      <c r="GT32" s="141"/>
      <c r="GU32" s="142"/>
      <c r="GV32" s="140"/>
      <c r="GW32" s="141"/>
      <c r="GX32" s="142"/>
      <c r="GY32" s="164"/>
      <c r="GZ32" s="134"/>
      <c r="HA32" s="185"/>
      <c r="HB32" s="164"/>
      <c r="HC32" s="185"/>
      <c r="HD32" s="164"/>
      <c r="HE32" s="185"/>
      <c r="HF32" s="164"/>
      <c r="HG32" s="185"/>
      <c r="HH32" s="164"/>
      <c r="HI32" s="185"/>
      <c r="HJ32" s="164"/>
      <c r="HK32" s="185"/>
      <c r="HL32" s="164"/>
      <c r="HM32" s="185"/>
      <c r="HN32" s="164"/>
      <c r="HO32" s="185"/>
      <c r="HP32" s="164"/>
      <c r="HQ32" s="185"/>
      <c r="HR32" s="164"/>
      <c r="HS32" s="185"/>
      <c r="HT32" s="164"/>
      <c r="HU32" s="185"/>
    </row>
    <row r="33" spans="1:229" x14ac:dyDescent="0.2">
      <c r="A33" s="106" t="s">
        <v>1426</v>
      </c>
      <c r="B33" s="131"/>
      <c r="C33" s="134"/>
      <c r="D33" s="133"/>
      <c r="E33" s="131"/>
      <c r="F33" s="134"/>
      <c r="G33" s="133"/>
      <c r="H33" s="131"/>
      <c r="I33" s="134"/>
      <c r="J33" s="133"/>
      <c r="K33" s="131"/>
      <c r="L33" s="134"/>
      <c r="M33" s="133"/>
      <c r="N33" s="131"/>
      <c r="O33" s="134"/>
      <c r="P33" s="133"/>
      <c r="Q33" s="131"/>
      <c r="R33" s="134"/>
      <c r="S33" s="133"/>
      <c r="T33" s="131"/>
      <c r="U33" s="134"/>
      <c r="V33" s="133"/>
      <c r="W33" s="131"/>
      <c r="X33" s="134"/>
      <c r="Y33" s="133"/>
      <c r="Z33" s="131"/>
      <c r="AA33" s="134"/>
      <c r="AB33" s="133"/>
      <c r="AC33" s="131"/>
      <c r="AD33" s="134"/>
      <c r="AE33" s="133"/>
      <c r="AF33" s="131"/>
      <c r="AG33" s="134"/>
      <c r="AH33" s="133"/>
      <c r="AI33" s="145">
        <v>109738</v>
      </c>
      <c r="AJ33" s="134">
        <v>5</v>
      </c>
      <c r="AK33" s="133">
        <v>0.5</v>
      </c>
      <c r="AL33" s="131">
        <v>74828</v>
      </c>
      <c r="AM33" s="134">
        <v>7</v>
      </c>
      <c r="AN33" s="133">
        <v>0.25</v>
      </c>
      <c r="AO33" s="131">
        <f>'1846 Hacienda'!E68</f>
        <v>68262</v>
      </c>
      <c r="AP33" s="134">
        <f>'1846 Hacienda'!F68</f>
        <v>3</v>
      </c>
      <c r="AQ33" s="133">
        <f>'1846 Hacienda'!G68</f>
        <v>0.5</v>
      </c>
      <c r="AR33" s="131"/>
      <c r="AS33" s="134"/>
      <c r="AT33" s="180"/>
      <c r="AU33" s="131"/>
      <c r="AV33" s="185"/>
      <c r="AW33" s="131"/>
      <c r="AX33" s="185"/>
      <c r="AY33" s="131"/>
      <c r="AZ33" s="185"/>
      <c r="BA33" s="131"/>
      <c r="BB33" s="185"/>
      <c r="BC33" s="131"/>
      <c r="BD33" s="185"/>
      <c r="BE33" s="131"/>
      <c r="BF33" s="185"/>
      <c r="BG33" s="131"/>
      <c r="BH33" s="185"/>
      <c r="BI33" s="131"/>
      <c r="BJ33" s="185"/>
      <c r="BK33" s="131"/>
      <c r="BL33" s="185"/>
      <c r="BM33" s="131"/>
      <c r="BN33" s="185"/>
      <c r="BO33" s="131"/>
      <c r="BP33" s="134"/>
      <c r="BQ33" s="131"/>
      <c r="BR33" s="134"/>
      <c r="BS33" s="133"/>
      <c r="BT33" s="131"/>
      <c r="BU33" s="134"/>
      <c r="BV33" s="131"/>
      <c r="BW33" s="134"/>
      <c r="BX33" s="131"/>
      <c r="BY33" s="134"/>
      <c r="BZ33" s="131"/>
      <c r="CA33" s="134"/>
      <c r="CB33" s="133"/>
      <c r="CC33" s="131"/>
      <c r="CD33" s="134"/>
      <c r="CE33" s="133"/>
      <c r="CF33" s="131"/>
      <c r="CG33" s="134"/>
      <c r="CH33" s="133"/>
      <c r="CI33" s="131"/>
      <c r="CJ33" s="134"/>
      <c r="CK33" s="133"/>
      <c r="CL33" s="131"/>
      <c r="CM33" s="134"/>
      <c r="CN33" s="133"/>
      <c r="CO33" s="131"/>
      <c r="CP33" s="134"/>
      <c r="CQ33" s="133"/>
      <c r="CR33" s="131"/>
      <c r="CS33" s="134"/>
      <c r="CT33" s="133"/>
      <c r="CU33" s="131"/>
      <c r="CV33" s="134"/>
      <c r="CW33" s="133"/>
      <c r="CX33" s="131"/>
      <c r="CY33" s="134"/>
      <c r="CZ33" s="133"/>
      <c r="DA33" s="140"/>
      <c r="DB33" s="141"/>
      <c r="DC33" s="142"/>
      <c r="DD33" s="140"/>
      <c r="DE33" s="141"/>
      <c r="DF33" s="142"/>
      <c r="DG33" s="140"/>
      <c r="DH33" s="141"/>
      <c r="DI33" s="142"/>
      <c r="DJ33" s="140"/>
      <c r="DK33" s="141"/>
      <c r="DL33" s="142"/>
      <c r="DM33" s="140"/>
      <c r="DN33" s="141"/>
      <c r="DO33" s="142"/>
      <c r="DP33" s="140"/>
      <c r="DQ33" s="141"/>
      <c r="DR33" s="142"/>
      <c r="DS33" s="140"/>
      <c r="DT33" s="141"/>
      <c r="DU33" s="142"/>
      <c r="DV33" s="140"/>
      <c r="DW33" s="141"/>
      <c r="DX33" s="142"/>
      <c r="DY33" s="140"/>
      <c r="DZ33" s="141"/>
      <c r="EA33" s="142"/>
      <c r="EB33" s="140"/>
      <c r="EC33" s="141"/>
      <c r="ED33" s="142"/>
      <c r="EE33" s="140"/>
      <c r="EF33" s="141"/>
      <c r="EG33" s="142"/>
      <c r="EH33" s="140"/>
      <c r="EI33" s="141"/>
      <c r="EJ33" s="142"/>
      <c r="EK33" s="140"/>
      <c r="EL33" s="141"/>
      <c r="EM33" s="142"/>
      <c r="EN33" s="140"/>
      <c r="EO33" s="141"/>
      <c r="EP33" s="142"/>
      <c r="EQ33" s="140"/>
      <c r="ER33" s="141"/>
      <c r="ES33" s="142"/>
      <c r="ET33" s="140"/>
      <c r="EU33" s="141"/>
      <c r="EV33" s="142"/>
      <c r="EW33" s="140"/>
      <c r="EX33" s="141"/>
      <c r="EY33" s="142"/>
      <c r="EZ33" s="140"/>
      <c r="FA33" s="141"/>
      <c r="FB33" s="142"/>
      <c r="FC33" s="140"/>
      <c r="FD33" s="141"/>
      <c r="FE33" s="142"/>
      <c r="FF33" s="140"/>
      <c r="FG33" s="141"/>
      <c r="FH33" s="142"/>
      <c r="FI33" s="140"/>
      <c r="FJ33" s="141"/>
      <c r="FK33" s="142"/>
      <c r="FL33" s="140"/>
      <c r="FM33" s="141"/>
      <c r="FN33" s="142"/>
      <c r="FO33" s="140"/>
      <c r="FP33" s="141"/>
      <c r="FQ33" s="142"/>
      <c r="FR33" s="140"/>
      <c r="FS33" s="141"/>
      <c r="FT33" s="142"/>
      <c r="FU33" s="140"/>
      <c r="FV33" s="141"/>
      <c r="FW33" s="142"/>
      <c r="FX33" s="140"/>
      <c r="FY33" s="141"/>
      <c r="FZ33" s="142"/>
      <c r="GA33" s="140"/>
      <c r="GB33" s="141"/>
      <c r="GC33" s="142"/>
      <c r="GD33" s="140"/>
      <c r="GE33" s="141"/>
      <c r="GF33" s="142"/>
      <c r="GG33" s="140"/>
      <c r="GH33" s="141"/>
      <c r="GI33" s="142"/>
      <c r="GJ33" s="140"/>
      <c r="GK33" s="141"/>
      <c r="GL33" s="142"/>
      <c r="GM33" s="140"/>
      <c r="GN33" s="141"/>
      <c r="GO33" s="142"/>
      <c r="GP33" s="140"/>
      <c r="GQ33" s="141"/>
      <c r="GR33" s="142"/>
      <c r="GS33" s="140"/>
      <c r="GT33" s="141"/>
      <c r="GU33" s="142"/>
      <c r="GV33" s="140"/>
      <c r="GW33" s="141"/>
      <c r="GX33" s="142"/>
      <c r="GY33" s="164"/>
      <c r="GZ33" s="134"/>
      <c r="HA33" s="185"/>
      <c r="HB33" s="164"/>
      <c r="HC33" s="185"/>
      <c r="HD33" s="164"/>
      <c r="HE33" s="185"/>
      <c r="HF33" s="164"/>
      <c r="HG33" s="185"/>
      <c r="HH33" s="164"/>
      <c r="HI33" s="185"/>
      <c r="HJ33" s="164"/>
      <c r="HK33" s="185"/>
      <c r="HL33" s="164"/>
      <c r="HM33" s="185"/>
      <c r="HN33" s="164"/>
      <c r="HO33" s="185"/>
      <c r="HP33" s="164"/>
      <c r="HQ33" s="185"/>
      <c r="HR33" s="164"/>
      <c r="HS33" s="185"/>
      <c r="HT33" s="164"/>
      <c r="HU33" s="185"/>
    </row>
    <row r="34" spans="1:229" x14ac:dyDescent="0.2">
      <c r="A34" s="1755" t="s">
        <v>3287</v>
      </c>
      <c r="B34" s="131"/>
      <c r="C34" s="134"/>
      <c r="D34" s="133"/>
      <c r="E34" s="131"/>
      <c r="F34" s="134"/>
      <c r="G34" s="133"/>
      <c r="H34" s="131"/>
      <c r="I34" s="134"/>
      <c r="J34" s="133"/>
      <c r="K34" s="131"/>
      <c r="L34" s="134"/>
      <c r="M34" s="133"/>
      <c r="N34" s="131"/>
      <c r="O34" s="134"/>
      <c r="P34" s="133"/>
      <c r="Q34" s="131"/>
      <c r="R34" s="134"/>
      <c r="S34" s="133"/>
      <c r="T34" s="131"/>
      <c r="U34" s="134"/>
      <c r="V34" s="133"/>
      <c r="W34" s="131"/>
      <c r="X34" s="134"/>
      <c r="Y34" s="133"/>
      <c r="Z34" s="131"/>
      <c r="AA34" s="134"/>
      <c r="AB34" s="133"/>
      <c r="AC34" s="131"/>
      <c r="AD34" s="134"/>
      <c r="AE34" s="133"/>
      <c r="AF34" s="131"/>
      <c r="AG34" s="134"/>
      <c r="AH34" s="133"/>
      <c r="AI34" s="145"/>
      <c r="AJ34" s="134"/>
      <c r="AK34" s="133"/>
      <c r="AL34" s="131"/>
      <c r="AM34" s="134"/>
      <c r="AN34" s="133"/>
      <c r="AO34" s="131"/>
      <c r="AP34" s="134"/>
      <c r="AQ34" s="133"/>
      <c r="AR34" s="131"/>
      <c r="AS34" s="134"/>
      <c r="AT34" s="180"/>
      <c r="AU34" s="131"/>
      <c r="AV34" s="185"/>
      <c r="AW34" s="131"/>
      <c r="AX34" s="185"/>
      <c r="AY34" s="131"/>
      <c r="AZ34" s="185"/>
      <c r="BA34" s="131"/>
      <c r="BB34" s="185"/>
      <c r="BC34" s="131"/>
      <c r="BD34" s="185"/>
      <c r="BE34" s="131"/>
      <c r="BF34" s="185"/>
      <c r="BG34" s="131"/>
      <c r="BH34" s="185"/>
      <c r="BI34" s="131"/>
      <c r="BJ34" s="185"/>
      <c r="BK34" s="131"/>
      <c r="BL34" s="185"/>
      <c r="BM34" s="131"/>
      <c r="BN34" s="185"/>
      <c r="BO34" s="131"/>
      <c r="BP34" s="134"/>
      <c r="BQ34" s="131"/>
      <c r="BR34" s="134"/>
      <c r="BS34" s="133"/>
      <c r="BT34" s="131"/>
      <c r="BU34" s="134"/>
      <c r="BV34" s="131"/>
      <c r="BW34" s="134"/>
      <c r="BX34" s="131"/>
      <c r="BY34" s="134"/>
      <c r="BZ34" s="131"/>
      <c r="CA34" s="134"/>
      <c r="CB34" s="133"/>
      <c r="CC34" s="131"/>
      <c r="CD34" s="134"/>
      <c r="CE34" s="133"/>
      <c r="CF34" s="131"/>
      <c r="CG34" s="134"/>
      <c r="CH34" s="133"/>
      <c r="CI34" s="131"/>
      <c r="CJ34" s="134"/>
      <c r="CK34" s="133"/>
      <c r="CL34" s="131"/>
      <c r="CM34" s="134"/>
      <c r="CN34" s="133"/>
      <c r="CO34" s="131"/>
      <c r="CP34" s="134"/>
      <c r="CQ34" s="133"/>
      <c r="CR34" s="131"/>
      <c r="CS34" s="134"/>
      <c r="CT34" s="133"/>
      <c r="CU34" s="131"/>
      <c r="CV34" s="134"/>
      <c r="CW34" s="133"/>
      <c r="CX34" s="131"/>
      <c r="CY34" s="134"/>
      <c r="CZ34" s="133"/>
      <c r="DA34" s="140">
        <f>+'1872 Hacienda'!B16</f>
        <v>1926</v>
      </c>
      <c r="DB34" s="141">
        <f>+'1872 Hacienda'!C16</f>
        <v>37</v>
      </c>
      <c r="DC34" s="142">
        <f>+'1872 Hacienda'!D16</f>
        <v>0.5</v>
      </c>
      <c r="DD34" s="140"/>
      <c r="DE34" s="141"/>
      <c r="DF34" s="142"/>
      <c r="DG34" s="140"/>
      <c r="DH34" s="141"/>
      <c r="DI34" s="142"/>
      <c r="DJ34" s="140">
        <f>+'1875 Hacienda'!B13</f>
        <v>20000</v>
      </c>
      <c r="DK34" s="141"/>
      <c r="DL34" s="142"/>
      <c r="DM34" s="140"/>
      <c r="DN34" s="141"/>
      <c r="DO34" s="142"/>
      <c r="DP34" s="140"/>
      <c r="DQ34" s="141"/>
      <c r="DR34" s="142"/>
      <c r="DS34" s="140"/>
      <c r="DT34" s="141"/>
      <c r="DU34" s="142"/>
      <c r="DV34" s="140">
        <f>+'1880 Hacienda'!B20</f>
        <v>29059</v>
      </c>
      <c r="DW34" s="141">
        <f>+'1880 Hacienda'!C20</f>
        <v>60</v>
      </c>
      <c r="DX34" s="142"/>
      <c r="DY34" s="140">
        <f>+'1880 Hacienda'!B14</f>
        <v>29907</v>
      </c>
      <c r="DZ34" s="141">
        <f>+'1880 Hacienda'!C14</f>
        <v>75</v>
      </c>
      <c r="EA34" s="142">
        <f>+'1880 Hacienda'!D14</f>
        <v>0</v>
      </c>
      <c r="EB34" s="140">
        <f>+'1881 Hacienda'!B13</f>
        <v>29996</v>
      </c>
      <c r="EC34" s="141">
        <f>+'1881 Hacienda'!C13</f>
        <v>300</v>
      </c>
      <c r="ED34" s="142"/>
      <c r="EE34" s="140">
        <f>+'1882 Hacienda'!B13</f>
        <v>43841</v>
      </c>
      <c r="EF34" s="141">
        <f>+'1882 Hacienda'!C13</f>
        <v>90</v>
      </c>
      <c r="EG34" s="142"/>
      <c r="EH34" s="140"/>
      <c r="EI34" s="141"/>
      <c r="EJ34" s="142"/>
      <c r="EK34" s="219"/>
      <c r="EL34" s="143"/>
      <c r="EM34" s="143"/>
      <c r="EN34" s="219"/>
      <c r="EO34" s="143"/>
      <c r="EP34" s="143"/>
      <c r="EQ34" s="219"/>
      <c r="ER34" s="143"/>
      <c r="ES34" s="143"/>
      <c r="ET34" s="219"/>
      <c r="EU34" s="143"/>
      <c r="EV34" s="143"/>
      <c r="EW34" s="219"/>
      <c r="EX34" s="143"/>
      <c r="EY34" s="143"/>
      <c r="EZ34" s="219"/>
      <c r="FA34" s="143"/>
      <c r="FB34" s="143"/>
      <c r="FC34" s="219">
        <f>+'1890 Hacienda'!B216</f>
        <v>155000</v>
      </c>
      <c r="FD34" s="143"/>
      <c r="FE34" s="143"/>
      <c r="FF34" s="219">
        <f>+'1890 Hacienda'!E216</f>
        <v>155000</v>
      </c>
      <c r="FG34" s="143"/>
      <c r="FH34" s="143"/>
      <c r="FI34" s="219"/>
      <c r="FJ34" s="143"/>
      <c r="FK34" s="143"/>
      <c r="FL34" s="219">
        <f>+'1894 Hacienda'!C11</f>
        <v>259168</v>
      </c>
      <c r="FM34" s="143">
        <f>+'1894 Hacienda'!D11</f>
        <v>75</v>
      </c>
      <c r="FN34" s="143"/>
      <c r="FO34" s="219">
        <f>+'1894 Hacienda'!F11</f>
        <v>247980</v>
      </c>
      <c r="FP34" s="143">
        <f>+'1894 Hacienda'!G11</f>
        <v>70</v>
      </c>
      <c r="FQ34" s="143"/>
      <c r="FR34" s="219">
        <f>+'1896 Hacienda'!C12</f>
        <v>243779</v>
      </c>
      <c r="FS34" s="143">
        <f>+'1896 Hacienda'!D12</f>
        <v>25</v>
      </c>
      <c r="FT34" s="143"/>
      <c r="FU34" s="219">
        <f>+'1896 Hacienda'!F12</f>
        <v>288794</v>
      </c>
      <c r="FV34" s="143">
        <f>+'1896 Hacienda'!G12</f>
        <v>80</v>
      </c>
      <c r="FW34" s="143"/>
      <c r="FX34" s="219">
        <f>+'1896 Hacienda'!L12</f>
        <v>275771</v>
      </c>
      <c r="FY34" s="143">
        <f>+'1896 Hacienda'!M12</f>
        <v>20</v>
      </c>
      <c r="FZ34" s="143"/>
      <c r="GA34" s="219">
        <f>+'1898 Hacienda'!E12</f>
        <v>389519</v>
      </c>
      <c r="GB34" s="143">
        <f>+'1898 Hacienda'!F12</f>
        <v>37</v>
      </c>
      <c r="GC34" s="143">
        <f>+'1898 Hacienda'!G12</f>
        <v>0.5</v>
      </c>
      <c r="GD34" s="219">
        <f>+'1898 Hacienda'!K12</f>
        <v>310864</v>
      </c>
      <c r="GE34" s="143">
        <f>+'1898 Hacienda'!L12</f>
        <v>57</v>
      </c>
      <c r="GF34" s="143"/>
      <c r="GG34" s="219"/>
      <c r="GH34" s="143"/>
      <c r="GI34" s="143"/>
      <c r="GJ34" s="219"/>
      <c r="GK34" s="143"/>
      <c r="GL34" s="143"/>
      <c r="GM34" s="219"/>
      <c r="GN34" s="143"/>
      <c r="GO34" s="143"/>
      <c r="GP34" s="219"/>
      <c r="GQ34" s="143"/>
      <c r="GR34" s="143"/>
      <c r="GS34" s="219"/>
      <c r="GT34" s="143"/>
      <c r="GU34" s="143"/>
      <c r="GV34" s="219"/>
      <c r="GW34" s="143"/>
      <c r="GX34" s="143"/>
      <c r="GY34" s="164"/>
      <c r="GZ34" s="134"/>
      <c r="HA34" s="185"/>
      <c r="HB34" s="131">
        <f>'1910 Hacienda'!C8</f>
        <v>100100</v>
      </c>
      <c r="HC34" s="307">
        <f>'1910 Hacienda'!D8</f>
        <v>89</v>
      </c>
      <c r="HD34" s="131">
        <f>'1910 Hacienda'!C33</f>
        <v>217363</v>
      </c>
      <c r="HE34" s="307">
        <f>'1910 Hacienda'!D33</f>
        <v>72</v>
      </c>
      <c r="HF34" s="131">
        <f>'1910 Hacienda'!C62</f>
        <v>245798</v>
      </c>
      <c r="HG34" s="307">
        <f>'1910 Hacienda'!D62</f>
        <v>16</v>
      </c>
      <c r="HH34" s="131">
        <f>'1910 Hacienda'!C92</f>
        <v>271985</v>
      </c>
      <c r="HI34" s="307">
        <f>'1910 Hacienda'!D92</f>
        <v>78</v>
      </c>
      <c r="HJ34" s="131">
        <f>'1910 Hacienda'!C135</f>
        <v>289160</v>
      </c>
      <c r="HK34" s="307">
        <f>'1910 Hacienda'!D135</f>
        <v>80</v>
      </c>
      <c r="HL34" s="131">
        <f>+'1912A Hacienda'!B13</f>
        <v>308799</v>
      </c>
      <c r="HM34" s="307">
        <f>+'1912A Hacienda'!C13</f>
        <v>45</v>
      </c>
      <c r="HN34" s="131">
        <f>+'1912A Hacienda'!B14</f>
        <v>336031</v>
      </c>
      <c r="HO34" s="307">
        <f>+'1912A Hacienda'!C14</f>
        <v>44</v>
      </c>
      <c r="HP34" s="131">
        <f>+'1912 Hacienda'!B16</f>
        <v>381730</v>
      </c>
      <c r="HQ34" s="307">
        <f>+'1912 Hacienda'!C16</f>
        <v>53</v>
      </c>
      <c r="HR34" s="131"/>
      <c r="HS34" s="307"/>
      <c r="HT34" s="131">
        <f>+'1915 Hacienda'!D12</f>
        <v>529052</v>
      </c>
      <c r="HU34" s="307">
        <f>+'1915 Hacienda'!E12</f>
        <v>43</v>
      </c>
    </row>
    <row r="35" spans="1:229" x14ac:dyDescent="0.2">
      <c r="A35" s="134" t="s">
        <v>5052</v>
      </c>
      <c r="B35" s="131"/>
      <c r="C35" s="134"/>
      <c r="D35" s="133"/>
      <c r="E35" s="131"/>
      <c r="F35" s="134"/>
      <c r="G35" s="133"/>
      <c r="H35" s="131"/>
      <c r="I35" s="134"/>
      <c r="J35" s="133"/>
      <c r="K35" s="131"/>
      <c r="L35" s="134"/>
      <c r="M35" s="133"/>
      <c r="N35" s="131"/>
      <c r="O35" s="134"/>
      <c r="P35" s="133"/>
      <c r="Q35" s="131"/>
      <c r="R35" s="134"/>
      <c r="S35" s="133"/>
      <c r="T35" s="131"/>
      <c r="U35" s="134"/>
      <c r="V35" s="133"/>
      <c r="W35" s="131"/>
      <c r="X35" s="134"/>
      <c r="Y35" s="133"/>
      <c r="Z35" s="131"/>
      <c r="AA35" s="134"/>
      <c r="AB35" s="133"/>
      <c r="AC35" s="131"/>
      <c r="AD35" s="134"/>
      <c r="AE35" s="133"/>
      <c r="AF35" s="131"/>
      <c r="AG35" s="134"/>
      <c r="AH35" s="133"/>
      <c r="AI35" s="145"/>
      <c r="AJ35" s="134"/>
      <c r="AK35" s="133"/>
      <c r="AL35" s="131"/>
      <c r="AM35" s="134"/>
      <c r="AN35" s="133"/>
      <c r="AO35" s="131"/>
      <c r="AP35" s="134"/>
      <c r="AQ35" s="133"/>
      <c r="AR35" s="131"/>
      <c r="AS35" s="134"/>
      <c r="AT35" s="180"/>
      <c r="AU35" s="131"/>
      <c r="AV35" s="185"/>
      <c r="AW35" s="131"/>
      <c r="AX35" s="185"/>
      <c r="AY35" s="131"/>
      <c r="AZ35" s="185"/>
      <c r="BA35" s="131"/>
      <c r="BB35" s="185"/>
      <c r="BC35" s="131"/>
      <c r="BD35" s="185"/>
      <c r="BE35" s="131"/>
      <c r="BF35" s="185"/>
      <c r="BG35" s="131"/>
      <c r="BH35" s="185"/>
      <c r="BI35" s="131"/>
      <c r="BJ35" s="185"/>
      <c r="BK35" s="131"/>
      <c r="BL35" s="185"/>
      <c r="BM35" s="131"/>
      <c r="BN35" s="185"/>
      <c r="BO35" s="131"/>
      <c r="BP35" s="134"/>
      <c r="BQ35" s="131"/>
      <c r="BR35" s="134"/>
      <c r="BS35" s="133"/>
      <c r="BT35" s="131"/>
      <c r="BU35" s="134"/>
      <c r="BV35" s="131"/>
      <c r="BW35" s="134"/>
      <c r="BX35" s="131"/>
      <c r="BY35" s="134"/>
      <c r="BZ35" s="131"/>
      <c r="CA35" s="134"/>
      <c r="CB35" s="133"/>
      <c r="CC35" s="131"/>
      <c r="CD35" s="134"/>
      <c r="CE35" s="133"/>
      <c r="CF35" s="131"/>
      <c r="CG35" s="134"/>
      <c r="CH35" s="133"/>
      <c r="CI35" s="131"/>
      <c r="CJ35" s="134"/>
      <c r="CK35" s="133"/>
      <c r="CL35" s="131"/>
      <c r="CM35" s="134"/>
      <c r="CN35" s="133"/>
      <c r="CO35" s="131"/>
      <c r="CP35" s="134"/>
      <c r="CQ35" s="133"/>
      <c r="CR35" s="131"/>
      <c r="CS35" s="134"/>
      <c r="CT35" s="133"/>
      <c r="CU35" s="131"/>
      <c r="CV35" s="134"/>
      <c r="CW35" s="133"/>
      <c r="CX35" s="131"/>
      <c r="CY35" s="134"/>
      <c r="CZ35" s="133"/>
      <c r="DA35" s="140"/>
      <c r="DB35" s="141"/>
      <c r="DC35" s="142"/>
      <c r="DD35" s="140"/>
      <c r="DE35" s="141"/>
      <c r="DF35" s="142"/>
      <c r="DG35" s="140"/>
      <c r="DH35" s="141"/>
      <c r="DI35" s="142"/>
      <c r="DJ35" s="140"/>
      <c r="DK35" s="141"/>
      <c r="DL35" s="142"/>
      <c r="DM35" s="140"/>
      <c r="DN35" s="141"/>
      <c r="DO35" s="142"/>
      <c r="DP35" s="140"/>
      <c r="DQ35" s="141"/>
      <c r="DR35" s="142"/>
      <c r="DS35" s="140"/>
      <c r="DT35" s="141"/>
      <c r="DU35" s="142"/>
      <c r="DV35" s="140"/>
      <c r="DW35" s="141"/>
      <c r="DX35" s="142"/>
      <c r="DY35" s="140"/>
      <c r="DZ35" s="141"/>
      <c r="EA35" s="142"/>
      <c r="EB35" s="140"/>
      <c r="EC35" s="141"/>
      <c r="ED35" s="142"/>
      <c r="EE35" s="140"/>
      <c r="EF35" s="141"/>
      <c r="EG35" s="142"/>
      <c r="EH35" s="140"/>
      <c r="EI35" s="141"/>
      <c r="EJ35" s="142"/>
      <c r="EK35" s="140"/>
      <c r="EL35" s="141"/>
      <c r="EM35" s="142"/>
      <c r="EN35" s="140"/>
      <c r="EO35" s="141"/>
      <c r="EP35" s="142"/>
      <c r="EQ35" s="140"/>
      <c r="ER35" s="141"/>
      <c r="ES35" s="142"/>
      <c r="ET35" s="140"/>
      <c r="EU35" s="141"/>
      <c r="EV35" s="142"/>
      <c r="EW35" s="140"/>
      <c r="EX35" s="141"/>
      <c r="EY35" s="142"/>
      <c r="EZ35" s="140"/>
      <c r="FA35" s="141"/>
      <c r="FB35" s="142"/>
      <c r="FC35" s="140">
        <f>+'1890 Hacienda'!B218</f>
        <v>151832</v>
      </c>
      <c r="FD35" s="141"/>
      <c r="FE35" s="142"/>
      <c r="FF35" s="140">
        <f>+'1890 Hacienda'!E218</f>
        <v>138383</v>
      </c>
      <c r="FG35" s="141"/>
      <c r="FH35" s="142"/>
      <c r="FI35" s="140"/>
      <c r="FJ35" s="141"/>
      <c r="FK35" s="142"/>
      <c r="FL35" s="140">
        <f>+'1894 Hacienda'!C13</f>
        <v>147412</v>
      </c>
      <c r="FM35" s="141">
        <f>+'1894 Hacienda'!D13</f>
        <v>20</v>
      </c>
      <c r="FN35" s="142"/>
      <c r="FO35" s="140">
        <f>+'1894 Hacienda'!F13</f>
        <v>117847</v>
      </c>
      <c r="FP35" s="141"/>
      <c r="FQ35" s="142"/>
      <c r="FR35" s="140">
        <f>+'1896 Hacienda'!C14</f>
        <v>86928</v>
      </c>
      <c r="FS35" s="141"/>
      <c r="FT35" s="142"/>
      <c r="FU35" s="140">
        <f>+'1896 Hacienda'!F14</f>
        <v>127516</v>
      </c>
      <c r="FV35" s="141"/>
      <c r="FW35" s="142"/>
      <c r="FX35" s="140">
        <f>+'1896 Hacienda'!L14</f>
        <v>132513</v>
      </c>
      <c r="FY35" s="141"/>
      <c r="FZ35" s="142"/>
      <c r="GA35" s="140">
        <f>+'1898 Hacienda'!E14</f>
        <v>175558</v>
      </c>
      <c r="GB35" s="141"/>
      <c r="GC35" s="142"/>
      <c r="GD35" s="140">
        <f>+'1898 Hacienda'!K14</f>
        <v>177957</v>
      </c>
      <c r="GE35" s="141"/>
      <c r="GF35" s="142"/>
      <c r="GG35" s="140"/>
      <c r="GH35" s="141"/>
      <c r="GI35" s="142"/>
      <c r="GJ35" s="140"/>
      <c r="GK35" s="141"/>
      <c r="GL35" s="142"/>
      <c r="GM35" s="140"/>
      <c r="GN35" s="141"/>
      <c r="GO35" s="142"/>
      <c r="GP35" s="140"/>
      <c r="GQ35" s="141"/>
      <c r="GR35" s="142"/>
      <c r="GS35" s="140"/>
      <c r="GT35" s="141"/>
      <c r="GU35" s="142"/>
      <c r="GV35" s="140"/>
      <c r="GW35" s="141"/>
      <c r="GX35" s="142"/>
      <c r="GY35" s="164"/>
      <c r="GZ35" s="134"/>
      <c r="HA35" s="185"/>
      <c r="HB35" s="131">
        <f>'1910 Hacienda'!C9</f>
        <v>423145</v>
      </c>
      <c r="HC35" s="307">
        <f>'1910 Hacienda'!D9</f>
        <v>52</v>
      </c>
      <c r="HD35" s="131">
        <f>+'1910 Hacienda'!C34</f>
        <v>450693</v>
      </c>
      <c r="HE35" s="307">
        <f>+'1910 Hacienda'!D34</f>
        <v>54</v>
      </c>
      <c r="HF35" s="131">
        <f>'1910 Hacienda'!C63</f>
        <v>466741</v>
      </c>
      <c r="HG35" s="307">
        <f>'1910 Hacienda'!D63</f>
        <v>50</v>
      </c>
      <c r="HH35" s="131">
        <f>'1910 Hacienda'!C90</f>
        <v>457196</v>
      </c>
      <c r="HI35" s="307">
        <f>'1910 Hacienda'!D90</f>
        <v>89</v>
      </c>
      <c r="HJ35" s="131">
        <f>'1910 Hacienda'!C133</f>
        <v>429128</v>
      </c>
      <c r="HK35" s="307">
        <f>'1910 Hacienda'!D133</f>
        <v>89</v>
      </c>
      <c r="HL35" s="131">
        <f>+'1911 Hacienda'!B29</f>
        <v>474953</v>
      </c>
      <c r="HM35" s="307">
        <f>+'1911 Hacienda'!C29</f>
        <v>88</v>
      </c>
      <c r="HN35" s="131">
        <v>451273</v>
      </c>
      <c r="HO35" s="307">
        <v>70</v>
      </c>
      <c r="HP35" s="131">
        <f>+'1912 Hacienda'!B14</f>
        <v>612211</v>
      </c>
      <c r="HQ35" s="307">
        <f>+'1912 Hacienda'!C14</f>
        <v>70</v>
      </c>
      <c r="HR35" s="131"/>
      <c r="HS35" s="307"/>
      <c r="HT35" s="131">
        <f>+'1915 Hacienda'!D23</f>
        <v>461084</v>
      </c>
      <c r="HU35" s="307">
        <f>+'1915 Hacienda'!E23</f>
        <v>55</v>
      </c>
    </row>
    <row r="36" spans="1:229" x14ac:dyDescent="0.2">
      <c r="A36" s="134" t="s">
        <v>5061</v>
      </c>
      <c r="B36" s="131"/>
      <c r="C36" s="134"/>
      <c r="D36" s="133"/>
      <c r="E36" s="131"/>
      <c r="F36" s="134"/>
      <c r="G36" s="133"/>
      <c r="H36" s="131"/>
      <c r="I36" s="134"/>
      <c r="J36" s="133"/>
      <c r="K36" s="131"/>
      <c r="L36" s="134"/>
      <c r="M36" s="133"/>
      <c r="N36" s="131"/>
      <c r="O36" s="134"/>
      <c r="P36" s="133"/>
      <c r="Q36" s="131"/>
      <c r="R36" s="134"/>
      <c r="S36" s="133"/>
      <c r="T36" s="131"/>
      <c r="U36" s="134"/>
      <c r="V36" s="133"/>
      <c r="W36" s="131"/>
      <c r="X36" s="134"/>
      <c r="Y36" s="133"/>
      <c r="Z36" s="131"/>
      <c r="AA36" s="134"/>
      <c r="AB36" s="133"/>
      <c r="AC36" s="131"/>
      <c r="AD36" s="134"/>
      <c r="AE36" s="133"/>
      <c r="AF36" s="131"/>
      <c r="AG36" s="134"/>
      <c r="AH36" s="133"/>
      <c r="AI36" s="145"/>
      <c r="AJ36" s="134"/>
      <c r="AK36" s="133"/>
      <c r="AL36" s="131"/>
      <c r="AM36" s="134"/>
      <c r="AN36" s="133"/>
      <c r="AO36" s="131"/>
      <c r="AP36" s="134"/>
      <c r="AQ36" s="133"/>
      <c r="AR36" s="131"/>
      <c r="AS36" s="134"/>
      <c r="AT36" s="180"/>
      <c r="AU36" s="131"/>
      <c r="AV36" s="185"/>
      <c r="AW36" s="131"/>
      <c r="AX36" s="185"/>
      <c r="AY36" s="131"/>
      <c r="AZ36" s="185"/>
      <c r="BA36" s="131"/>
      <c r="BB36" s="185"/>
      <c r="BC36" s="131"/>
      <c r="BD36" s="185"/>
      <c r="BE36" s="131"/>
      <c r="BF36" s="185"/>
      <c r="BG36" s="131"/>
      <c r="BH36" s="185"/>
      <c r="BI36" s="131"/>
      <c r="BJ36" s="185"/>
      <c r="BK36" s="131"/>
      <c r="BL36" s="185"/>
      <c r="BM36" s="131"/>
      <c r="BN36" s="185"/>
      <c r="BO36" s="131"/>
      <c r="BP36" s="134"/>
      <c r="BQ36" s="131"/>
      <c r="BR36" s="134"/>
      <c r="BS36" s="133"/>
      <c r="BT36" s="131"/>
      <c r="BU36" s="134"/>
      <c r="BV36" s="131"/>
      <c r="BW36" s="134"/>
      <c r="BX36" s="131"/>
      <c r="BY36" s="134"/>
      <c r="BZ36" s="131"/>
      <c r="CA36" s="134"/>
      <c r="CB36" s="133"/>
      <c r="CC36" s="131"/>
      <c r="CD36" s="134"/>
      <c r="CE36" s="133"/>
      <c r="CF36" s="131"/>
      <c r="CG36" s="134"/>
      <c r="CH36" s="133"/>
      <c r="CI36" s="131"/>
      <c r="CJ36" s="134"/>
      <c r="CK36" s="133"/>
      <c r="CL36" s="131"/>
      <c r="CM36" s="134"/>
      <c r="CN36" s="133"/>
      <c r="CO36" s="131"/>
      <c r="CP36" s="134"/>
      <c r="CQ36" s="133"/>
      <c r="CR36" s="131"/>
      <c r="CS36" s="134"/>
      <c r="CT36" s="133"/>
      <c r="CU36" s="131"/>
      <c r="CV36" s="134"/>
      <c r="CW36" s="133"/>
      <c r="CX36" s="131"/>
      <c r="CY36" s="134"/>
      <c r="CZ36" s="133"/>
      <c r="DA36" s="140"/>
      <c r="DB36" s="141"/>
      <c r="DC36" s="142"/>
      <c r="DD36" s="140"/>
      <c r="DE36" s="141"/>
      <c r="DF36" s="142"/>
      <c r="DG36" s="140"/>
      <c r="DH36" s="141"/>
      <c r="DI36" s="142"/>
      <c r="DJ36" s="140"/>
      <c r="DK36" s="141"/>
      <c r="DL36" s="142"/>
      <c r="DM36" s="140"/>
      <c r="DN36" s="141"/>
      <c r="DO36" s="142"/>
      <c r="DP36" s="140"/>
      <c r="DQ36" s="141"/>
      <c r="DR36" s="142"/>
      <c r="DS36" s="140"/>
      <c r="DT36" s="141"/>
      <c r="DU36" s="142"/>
      <c r="DV36" s="140"/>
      <c r="DW36" s="141"/>
      <c r="DX36" s="142"/>
      <c r="DY36" s="140"/>
      <c r="DZ36" s="141"/>
      <c r="EA36" s="142"/>
      <c r="EB36" s="140"/>
      <c r="EC36" s="141"/>
      <c r="ED36" s="142"/>
      <c r="EE36" s="140"/>
      <c r="EF36" s="141"/>
      <c r="EG36" s="142"/>
      <c r="EH36" s="140"/>
      <c r="EI36" s="141"/>
      <c r="EJ36" s="142"/>
      <c r="EK36" s="140"/>
      <c r="EL36" s="141"/>
      <c r="EM36" s="142"/>
      <c r="EN36" s="140"/>
      <c r="EO36" s="141"/>
      <c r="EP36" s="142"/>
      <c r="EQ36" s="140"/>
      <c r="ER36" s="141"/>
      <c r="ES36" s="142"/>
      <c r="ET36" s="140"/>
      <c r="EU36" s="141"/>
      <c r="EV36" s="142"/>
      <c r="EW36" s="140"/>
      <c r="EX36" s="141"/>
      <c r="EY36" s="142"/>
      <c r="EZ36" s="140"/>
      <c r="FA36" s="141"/>
      <c r="FB36" s="142"/>
      <c r="FC36" s="140">
        <f>+'1890 Hacienda'!B220</f>
        <v>52706</v>
      </c>
      <c r="FD36" s="141">
        <f>+'1890 Hacienda'!C220</f>
        <v>50</v>
      </c>
      <c r="FE36" s="142"/>
      <c r="FF36" s="140">
        <f>+'1890 Hacienda'!E220</f>
        <v>37673</v>
      </c>
      <c r="FG36" s="141">
        <f>+'1890 Hacienda'!F220</f>
        <v>60</v>
      </c>
      <c r="FH36" s="142"/>
      <c r="FI36" s="140"/>
      <c r="FJ36" s="141"/>
      <c r="FK36" s="142"/>
      <c r="FL36" s="140">
        <f>+'1894 Hacienda'!C20</f>
        <v>41785</v>
      </c>
      <c r="FM36" s="141">
        <f>+'1894 Hacienda'!D20</f>
        <v>71</v>
      </c>
      <c r="FN36" s="142"/>
      <c r="FO36" s="140">
        <f>+'1894 Hacienda'!F20</f>
        <v>33028</v>
      </c>
      <c r="FP36" s="141">
        <f>+'1894 Hacienda'!G20</f>
        <v>70</v>
      </c>
      <c r="FQ36" s="142"/>
      <c r="FR36" s="140">
        <f>+'1896 Hacienda'!C21</f>
        <v>25857</v>
      </c>
      <c r="FS36" s="141">
        <f>+'1896 Hacienda'!D21</f>
        <v>50</v>
      </c>
      <c r="FT36" s="142"/>
      <c r="FU36" s="140">
        <f>+'1896 Hacienda'!F21</f>
        <v>26863</v>
      </c>
      <c r="FV36" s="141">
        <f>+'1896 Hacienda'!G21</f>
        <v>45</v>
      </c>
      <c r="FW36" s="142"/>
      <c r="FX36" s="140">
        <f>+'1896 Hacienda'!L21</f>
        <v>21731</v>
      </c>
      <c r="FY36" s="141">
        <f>+'1896 Hacienda'!M21</f>
        <v>40</v>
      </c>
      <c r="FZ36" s="142"/>
      <c r="GA36" s="140">
        <f>+'1898 Hacienda'!E19</f>
        <v>31585</v>
      </c>
      <c r="GB36" s="141">
        <f>+'1898 Hacienda'!F19</f>
        <v>55</v>
      </c>
      <c r="GC36" s="142"/>
      <c r="GD36" s="140">
        <f>+'1898 Hacienda'!K19</f>
        <v>29349</v>
      </c>
      <c r="GE36" s="141">
        <f>+'1898 Hacienda'!L19</f>
        <v>45</v>
      </c>
      <c r="GF36" s="142"/>
      <c r="GG36" s="140"/>
      <c r="GH36" s="141"/>
      <c r="GI36" s="142"/>
      <c r="GJ36" s="140"/>
      <c r="GK36" s="141"/>
      <c r="GL36" s="142"/>
      <c r="GM36" s="140"/>
      <c r="GN36" s="141"/>
      <c r="GO36" s="142"/>
      <c r="GP36" s="140"/>
      <c r="GQ36" s="141"/>
      <c r="GR36" s="142"/>
      <c r="GS36" s="140"/>
      <c r="GT36" s="141"/>
      <c r="GU36" s="142"/>
      <c r="GV36" s="140"/>
      <c r="GW36" s="141"/>
      <c r="GX36" s="142"/>
      <c r="GY36" s="164"/>
      <c r="GZ36" s="134"/>
      <c r="HA36" s="185"/>
      <c r="HB36" s="131">
        <f>'1910 Hacienda'!C10</f>
        <v>13149</v>
      </c>
      <c r="HC36" s="307">
        <f>'1910 Hacienda'!D10</f>
        <v>81</v>
      </c>
      <c r="HD36" s="131">
        <f>'1910 Hacienda'!C35</f>
        <v>573890</v>
      </c>
      <c r="HE36" s="307">
        <f>'1910 Hacienda'!D35</f>
        <v>78</v>
      </c>
      <c r="HF36" s="131">
        <f>'1910 Hacienda'!C64</f>
        <v>338121</v>
      </c>
      <c r="HG36" s="307">
        <f>'1910 Hacienda'!D64</f>
        <v>50</v>
      </c>
      <c r="HH36" s="131">
        <f>'1910 Hacienda'!C97</f>
        <v>61811</v>
      </c>
      <c r="HI36" s="307">
        <f>'1910 Hacienda'!D97</f>
        <v>55</v>
      </c>
      <c r="HJ36" s="131">
        <f>'1910 Hacienda'!C145</f>
        <v>21658</v>
      </c>
      <c r="HK36" s="307">
        <f>'1910 Hacienda'!D145</f>
        <v>63</v>
      </c>
      <c r="HL36" s="131">
        <f>+'1911 Hacienda'!B41</f>
        <v>24800</v>
      </c>
      <c r="HM36" s="307">
        <f>+'1911 Hacienda'!C41</f>
        <v>48</v>
      </c>
      <c r="HN36" s="131"/>
      <c r="HO36" s="307"/>
      <c r="HP36" s="131">
        <f>+'1912 Hacienda'!B26</f>
        <v>23392</v>
      </c>
      <c r="HQ36" s="307">
        <f>+'1912 Hacienda'!C26</f>
        <v>69</v>
      </c>
      <c r="HR36" s="131"/>
      <c r="HS36" s="307"/>
      <c r="HT36" s="131">
        <f>+'1915 Hacienda'!D24</f>
        <v>17848</v>
      </c>
      <c r="HU36" s="307">
        <f>+'1915 Hacienda'!E24</f>
        <v>41</v>
      </c>
    </row>
    <row r="37" spans="1:229" x14ac:dyDescent="0.2">
      <c r="A37" s="134" t="s">
        <v>2340</v>
      </c>
      <c r="B37" s="131"/>
      <c r="C37" s="134"/>
      <c r="D37" s="133"/>
      <c r="E37" s="131"/>
      <c r="F37" s="134"/>
      <c r="G37" s="133"/>
      <c r="H37" s="131"/>
      <c r="I37" s="134"/>
      <c r="J37" s="133"/>
      <c r="K37" s="131"/>
      <c r="L37" s="134"/>
      <c r="M37" s="133"/>
      <c r="N37" s="131"/>
      <c r="O37" s="134"/>
      <c r="P37" s="133"/>
      <c r="Q37" s="131"/>
      <c r="R37" s="134"/>
      <c r="S37" s="133"/>
      <c r="T37" s="131"/>
      <c r="U37" s="134"/>
      <c r="V37" s="133"/>
      <c r="W37" s="131"/>
      <c r="X37" s="134"/>
      <c r="Y37" s="133"/>
      <c r="Z37" s="131"/>
      <c r="AA37" s="134"/>
      <c r="AB37" s="133"/>
      <c r="AC37" s="131"/>
      <c r="AD37" s="134"/>
      <c r="AE37" s="133"/>
      <c r="AF37" s="131"/>
      <c r="AG37" s="134"/>
      <c r="AH37" s="133"/>
      <c r="AI37" s="145"/>
      <c r="AJ37" s="134"/>
      <c r="AK37" s="133"/>
      <c r="AL37" s="131"/>
      <c r="AM37" s="134"/>
      <c r="AN37" s="133"/>
      <c r="AO37" s="131"/>
      <c r="AP37" s="134"/>
      <c r="AQ37" s="133"/>
      <c r="AR37" s="131"/>
      <c r="AS37" s="134"/>
      <c r="AT37" s="180"/>
      <c r="AU37" s="131"/>
      <c r="AV37" s="185"/>
      <c r="AW37" s="131"/>
      <c r="AX37" s="185"/>
      <c r="AY37" s="131"/>
      <c r="AZ37" s="185"/>
      <c r="BA37" s="131"/>
      <c r="BB37" s="185"/>
      <c r="BC37" s="131"/>
      <c r="BD37" s="185"/>
      <c r="BE37" s="131">
        <f>+'1858 Hacienda'!B1050</f>
        <v>14200</v>
      </c>
      <c r="BF37" s="185"/>
      <c r="BG37" s="131"/>
      <c r="BH37" s="185"/>
      <c r="BI37" s="131"/>
      <c r="BJ37" s="185"/>
      <c r="BK37" s="131"/>
      <c r="BL37" s="185"/>
      <c r="BM37" s="131"/>
      <c r="BN37" s="185"/>
      <c r="BO37" s="131"/>
      <c r="BP37" s="134"/>
      <c r="BQ37" s="131"/>
      <c r="BR37" s="134"/>
      <c r="BS37" s="133"/>
      <c r="BT37" s="131"/>
      <c r="BU37" s="134"/>
      <c r="BV37" s="131"/>
      <c r="BW37" s="134"/>
      <c r="BX37" s="131"/>
      <c r="BY37" s="134"/>
      <c r="BZ37" s="131"/>
      <c r="CA37" s="134"/>
      <c r="CB37" s="133"/>
      <c r="CC37" s="131"/>
      <c r="CD37" s="134"/>
      <c r="CE37" s="133"/>
      <c r="CF37" s="131"/>
      <c r="CG37" s="134"/>
      <c r="CH37" s="133"/>
      <c r="CI37" s="131"/>
      <c r="CJ37" s="134"/>
      <c r="CK37" s="133"/>
      <c r="CL37" s="131"/>
      <c r="CM37" s="134"/>
      <c r="CN37" s="133"/>
      <c r="CO37" s="131"/>
      <c r="CP37" s="134"/>
      <c r="CQ37" s="133"/>
      <c r="CR37" s="131"/>
      <c r="CS37" s="134"/>
      <c r="CT37" s="133"/>
      <c r="CU37" s="131"/>
      <c r="CV37" s="134"/>
      <c r="CW37" s="133"/>
      <c r="CX37" s="131"/>
      <c r="CY37" s="134"/>
      <c r="CZ37" s="133"/>
      <c r="DA37" s="140"/>
      <c r="DB37" s="141"/>
      <c r="DC37" s="142"/>
      <c r="DD37" s="140"/>
      <c r="DE37" s="141"/>
      <c r="DF37" s="142"/>
      <c r="DG37" s="140"/>
      <c r="DH37" s="141"/>
      <c r="DI37" s="142"/>
      <c r="DJ37" s="140"/>
      <c r="DK37" s="141"/>
      <c r="DL37" s="142"/>
      <c r="DM37" s="140"/>
      <c r="DN37" s="141"/>
      <c r="DO37" s="142"/>
      <c r="DP37" s="140"/>
      <c r="DQ37" s="141"/>
      <c r="DR37" s="142"/>
      <c r="DS37" s="140"/>
      <c r="DT37" s="141"/>
      <c r="DU37" s="142"/>
      <c r="DV37" s="140"/>
      <c r="DW37" s="141"/>
      <c r="DX37" s="142"/>
      <c r="DY37" s="140"/>
      <c r="DZ37" s="141"/>
      <c r="EA37" s="142"/>
      <c r="EB37" s="140"/>
      <c r="EC37" s="141"/>
      <c r="ED37" s="142"/>
      <c r="EE37" s="140"/>
      <c r="EF37" s="141"/>
      <c r="EG37" s="142"/>
      <c r="EH37" s="140"/>
      <c r="EI37" s="141"/>
      <c r="EJ37" s="142"/>
      <c r="EK37" s="140"/>
      <c r="EL37" s="141"/>
      <c r="EM37" s="142"/>
      <c r="EN37" s="140"/>
      <c r="EO37" s="141"/>
      <c r="EP37" s="142"/>
      <c r="EQ37" s="140"/>
      <c r="ER37" s="141"/>
      <c r="ES37" s="142"/>
      <c r="ET37" s="140"/>
      <c r="EU37" s="141"/>
      <c r="EV37" s="142"/>
      <c r="EW37" s="140"/>
      <c r="EX37" s="141"/>
      <c r="EY37" s="142"/>
      <c r="EZ37" s="140"/>
      <c r="FA37" s="141"/>
      <c r="FB37" s="142"/>
      <c r="FC37" s="140"/>
      <c r="FD37" s="141"/>
      <c r="FE37" s="142"/>
      <c r="FF37" s="140"/>
      <c r="FG37" s="141"/>
      <c r="FH37" s="142"/>
      <c r="FI37" s="140"/>
      <c r="FJ37" s="141"/>
      <c r="FK37" s="142"/>
      <c r="FL37" s="140"/>
      <c r="FM37" s="141"/>
      <c r="FN37" s="142"/>
      <c r="FO37" s="140"/>
      <c r="FP37" s="141"/>
      <c r="FQ37" s="142"/>
      <c r="FR37" s="140"/>
      <c r="FS37" s="141"/>
      <c r="FT37" s="142"/>
      <c r="FU37" s="140"/>
      <c r="FV37" s="141"/>
      <c r="FW37" s="142"/>
      <c r="FX37" s="140"/>
      <c r="FY37" s="141"/>
      <c r="FZ37" s="142"/>
      <c r="GA37" s="140"/>
      <c r="GB37" s="141"/>
      <c r="GC37" s="142"/>
      <c r="GD37" s="140"/>
      <c r="GE37" s="141"/>
      <c r="GF37" s="142"/>
      <c r="GG37" s="140"/>
      <c r="GH37" s="141"/>
      <c r="GI37" s="142"/>
      <c r="GJ37" s="140"/>
      <c r="GK37" s="141"/>
      <c r="GL37" s="142"/>
      <c r="GM37" s="140"/>
      <c r="GN37" s="141"/>
      <c r="GO37" s="142"/>
      <c r="GP37" s="140"/>
      <c r="GQ37" s="141"/>
      <c r="GR37" s="142"/>
      <c r="GS37" s="140"/>
      <c r="GT37" s="141"/>
      <c r="GU37" s="142"/>
      <c r="GV37" s="140"/>
      <c r="GW37" s="141"/>
      <c r="GX37" s="142"/>
      <c r="GY37" s="164"/>
      <c r="GZ37" s="134"/>
      <c r="HA37" s="185"/>
      <c r="HB37" s="131">
        <f>'1910 Hacienda'!C14</f>
        <v>147260</v>
      </c>
      <c r="HC37" s="307">
        <f>'1910 Hacienda'!D14</f>
        <v>0</v>
      </c>
      <c r="HD37" s="131"/>
      <c r="HE37" s="307"/>
      <c r="HF37" s="131"/>
      <c r="HG37" s="307"/>
      <c r="HH37" s="131">
        <f>+'1910 Hacienda'!C103</f>
        <v>80</v>
      </c>
      <c r="HI37" s="307">
        <f>+'1910 Hacienda'!D103</f>
        <v>92</v>
      </c>
      <c r="HJ37" s="131"/>
      <c r="HK37" s="307"/>
      <c r="HL37" s="131"/>
      <c r="HM37" s="307"/>
      <c r="HN37" s="131"/>
      <c r="HO37" s="307"/>
      <c r="HP37" s="131"/>
      <c r="HQ37" s="307"/>
      <c r="HR37" s="131"/>
      <c r="HS37" s="307"/>
      <c r="HT37" s="131"/>
      <c r="HU37" s="307"/>
    </row>
    <row r="38" spans="1:229" x14ac:dyDescent="0.2">
      <c r="A38" s="134" t="s">
        <v>5429</v>
      </c>
      <c r="B38" s="131"/>
      <c r="C38" s="134"/>
      <c r="D38" s="133"/>
      <c r="E38" s="131"/>
      <c r="F38" s="134"/>
      <c r="G38" s="133"/>
      <c r="H38" s="131"/>
      <c r="I38" s="134"/>
      <c r="J38" s="133"/>
      <c r="K38" s="131"/>
      <c r="L38" s="134"/>
      <c r="M38" s="133"/>
      <c r="N38" s="131"/>
      <c r="O38" s="134"/>
      <c r="P38" s="133"/>
      <c r="Q38" s="131"/>
      <c r="R38" s="134"/>
      <c r="S38" s="133"/>
      <c r="T38" s="131"/>
      <c r="U38" s="134"/>
      <c r="V38" s="133"/>
      <c r="W38" s="131"/>
      <c r="X38" s="134"/>
      <c r="Y38" s="133"/>
      <c r="Z38" s="131"/>
      <c r="AA38" s="134"/>
      <c r="AB38" s="133"/>
      <c r="AC38" s="131"/>
      <c r="AD38" s="134"/>
      <c r="AE38" s="133"/>
      <c r="AF38" s="131"/>
      <c r="AG38" s="134"/>
      <c r="AH38" s="133"/>
      <c r="AI38" s="145"/>
      <c r="AJ38" s="134"/>
      <c r="AK38" s="133"/>
      <c r="AL38" s="131"/>
      <c r="AM38" s="134"/>
      <c r="AN38" s="133"/>
      <c r="AO38" s="131"/>
      <c r="AP38" s="134"/>
      <c r="AQ38" s="133"/>
      <c r="AR38" s="131"/>
      <c r="AS38" s="134"/>
      <c r="AT38" s="180"/>
      <c r="AU38" s="131"/>
      <c r="AV38" s="185"/>
      <c r="AW38" s="131"/>
      <c r="AX38" s="185"/>
      <c r="AY38" s="131"/>
      <c r="AZ38" s="185"/>
      <c r="BA38" s="131"/>
      <c r="BB38" s="185"/>
      <c r="BC38" s="131"/>
      <c r="BD38" s="185"/>
      <c r="BE38" s="131"/>
      <c r="BF38" s="185"/>
      <c r="BG38" s="131"/>
      <c r="BH38" s="185"/>
      <c r="BI38" s="131"/>
      <c r="BJ38" s="185"/>
      <c r="BK38" s="131"/>
      <c r="BL38" s="185"/>
      <c r="BM38" s="131"/>
      <c r="BN38" s="185"/>
      <c r="BO38" s="131"/>
      <c r="BP38" s="134"/>
      <c r="BQ38" s="131"/>
      <c r="BR38" s="134"/>
      <c r="BS38" s="133"/>
      <c r="BT38" s="131"/>
      <c r="BU38" s="134"/>
      <c r="BV38" s="131"/>
      <c r="BW38" s="134"/>
      <c r="BX38" s="131"/>
      <c r="BY38" s="134"/>
      <c r="BZ38" s="131"/>
      <c r="CA38" s="134"/>
      <c r="CB38" s="133"/>
      <c r="CC38" s="131"/>
      <c r="CD38" s="134"/>
      <c r="CE38" s="133"/>
      <c r="CF38" s="131"/>
      <c r="CG38" s="134"/>
      <c r="CH38" s="133"/>
      <c r="CI38" s="131"/>
      <c r="CJ38" s="134"/>
      <c r="CK38" s="133"/>
      <c r="CL38" s="131"/>
      <c r="CM38" s="134"/>
      <c r="CN38" s="133"/>
      <c r="CO38" s="131"/>
      <c r="CP38" s="134"/>
      <c r="CQ38" s="133"/>
      <c r="CR38" s="131"/>
      <c r="CS38" s="134"/>
      <c r="CT38" s="133"/>
      <c r="CU38" s="131"/>
      <c r="CV38" s="134"/>
      <c r="CW38" s="133"/>
      <c r="CX38" s="131"/>
      <c r="CY38" s="134"/>
      <c r="CZ38" s="133"/>
      <c r="DA38" s="140"/>
      <c r="DB38" s="141"/>
      <c r="DC38" s="142"/>
      <c r="DD38" s="140"/>
      <c r="DE38" s="141"/>
      <c r="DF38" s="142"/>
      <c r="DG38" s="140"/>
      <c r="DH38" s="141"/>
      <c r="DI38" s="142"/>
      <c r="DJ38" s="140"/>
      <c r="DK38" s="141"/>
      <c r="DL38" s="142"/>
      <c r="DM38" s="140"/>
      <c r="DN38" s="141"/>
      <c r="DO38" s="142"/>
      <c r="DP38" s="140"/>
      <c r="DQ38" s="141"/>
      <c r="DR38" s="142"/>
      <c r="DS38" s="140"/>
      <c r="DT38" s="141"/>
      <c r="DU38" s="142"/>
      <c r="DV38" s="140"/>
      <c r="DW38" s="141"/>
      <c r="DX38" s="142"/>
      <c r="DY38" s="140"/>
      <c r="DZ38" s="141"/>
      <c r="EA38" s="142"/>
      <c r="EB38" s="140"/>
      <c r="EC38" s="141"/>
      <c r="ED38" s="142"/>
      <c r="EE38" s="140"/>
      <c r="EF38" s="141"/>
      <c r="EG38" s="142"/>
      <c r="EH38" s="140"/>
      <c r="EI38" s="141"/>
      <c r="EJ38" s="142"/>
      <c r="EK38" s="140"/>
      <c r="EL38" s="141"/>
      <c r="EM38" s="142"/>
      <c r="EN38" s="140"/>
      <c r="EO38" s="141"/>
      <c r="EP38" s="142"/>
      <c r="EQ38" s="140"/>
      <c r="ER38" s="141"/>
      <c r="ES38" s="142"/>
      <c r="ET38" s="140"/>
      <c r="EU38" s="141"/>
      <c r="EV38" s="142"/>
      <c r="EW38" s="140"/>
      <c r="EX38" s="141"/>
      <c r="EY38" s="142"/>
      <c r="EZ38" s="140"/>
      <c r="FA38" s="141"/>
      <c r="FB38" s="142"/>
      <c r="FC38" s="140"/>
      <c r="FD38" s="141"/>
      <c r="FE38" s="142"/>
      <c r="FF38" s="140"/>
      <c r="FG38" s="141"/>
      <c r="FH38" s="142"/>
      <c r="FI38" s="140"/>
      <c r="FJ38" s="141"/>
      <c r="FK38" s="142"/>
      <c r="FL38" s="140"/>
      <c r="FM38" s="141"/>
      <c r="FN38" s="142"/>
      <c r="FO38" s="140"/>
      <c r="FP38" s="141"/>
      <c r="FQ38" s="142"/>
      <c r="FR38" s="140"/>
      <c r="FS38" s="141"/>
      <c r="FT38" s="142"/>
      <c r="FU38" s="140"/>
      <c r="FV38" s="141"/>
      <c r="FW38" s="142"/>
      <c r="FX38" s="140"/>
      <c r="FY38" s="141"/>
      <c r="FZ38" s="142"/>
      <c r="GA38" s="140"/>
      <c r="GB38" s="141"/>
      <c r="GC38" s="142"/>
      <c r="GD38" s="140"/>
      <c r="GE38" s="141"/>
      <c r="GF38" s="142"/>
      <c r="GG38" s="140"/>
      <c r="GH38" s="141"/>
      <c r="GI38" s="142"/>
      <c r="GJ38" s="140"/>
      <c r="GK38" s="141"/>
      <c r="GL38" s="142"/>
      <c r="GM38" s="140"/>
      <c r="GN38" s="141"/>
      <c r="GO38" s="142"/>
      <c r="GP38" s="140"/>
      <c r="GQ38" s="141"/>
      <c r="GR38" s="142"/>
      <c r="GS38" s="140"/>
      <c r="GT38" s="141"/>
      <c r="GU38" s="142"/>
      <c r="GV38" s="140"/>
      <c r="GW38" s="141"/>
      <c r="GX38" s="142"/>
      <c r="GY38" s="164"/>
      <c r="GZ38" s="134"/>
      <c r="HA38" s="185"/>
      <c r="HB38" s="131">
        <f>'1910 Hacienda'!C15</f>
        <v>10000</v>
      </c>
      <c r="HC38" s="307">
        <f>'1910 Hacienda'!D15</f>
        <v>0</v>
      </c>
      <c r="HD38" s="131"/>
      <c r="HE38" s="307"/>
      <c r="HF38" s="131"/>
      <c r="HG38" s="307"/>
      <c r="HH38" s="131"/>
      <c r="HI38" s="307"/>
      <c r="HJ38" s="131">
        <f>'1910 Hacienda'!C144</f>
        <v>39364</v>
      </c>
      <c r="HK38" s="307">
        <f>'1910 Hacienda'!D144</f>
        <v>37</v>
      </c>
      <c r="HL38" s="131">
        <f>+'1911 Hacienda'!B38</f>
        <v>10000</v>
      </c>
      <c r="HM38" s="307">
        <f>+'1911 Hacienda'!C38</f>
        <v>0</v>
      </c>
      <c r="HN38" s="131"/>
      <c r="HO38" s="307"/>
      <c r="HP38" s="131"/>
      <c r="HQ38" s="307"/>
      <c r="HR38" s="131"/>
      <c r="HS38" s="307"/>
      <c r="HT38" s="131"/>
      <c r="HU38" s="307"/>
    </row>
    <row r="39" spans="1:229" x14ac:dyDescent="0.2">
      <c r="A39" s="178" t="s">
        <v>5562</v>
      </c>
      <c r="B39" s="131"/>
      <c r="C39" s="134"/>
      <c r="D39" s="133"/>
      <c r="E39" s="131"/>
      <c r="F39" s="134"/>
      <c r="G39" s="133"/>
      <c r="H39" s="131"/>
      <c r="I39" s="134"/>
      <c r="J39" s="133"/>
      <c r="K39" s="131"/>
      <c r="L39" s="134"/>
      <c r="M39" s="133"/>
      <c r="N39" s="131"/>
      <c r="O39" s="134"/>
      <c r="P39" s="133"/>
      <c r="Q39" s="131"/>
      <c r="R39" s="134"/>
      <c r="S39" s="133"/>
      <c r="T39" s="131"/>
      <c r="U39" s="134"/>
      <c r="V39" s="133"/>
      <c r="W39" s="131"/>
      <c r="X39" s="134"/>
      <c r="Y39" s="133"/>
      <c r="Z39" s="131"/>
      <c r="AA39" s="134"/>
      <c r="AB39" s="133"/>
      <c r="AC39" s="131"/>
      <c r="AD39" s="134"/>
      <c r="AE39" s="133"/>
      <c r="AF39" s="131"/>
      <c r="AG39" s="134"/>
      <c r="AH39" s="133"/>
      <c r="AI39" s="145"/>
      <c r="AJ39" s="134"/>
      <c r="AK39" s="133"/>
      <c r="AL39" s="131"/>
      <c r="AM39" s="134"/>
      <c r="AN39" s="133"/>
      <c r="AO39" s="131"/>
      <c r="AP39" s="134"/>
      <c r="AQ39" s="133"/>
      <c r="AR39" s="131"/>
      <c r="AS39" s="134"/>
      <c r="AT39" s="180"/>
      <c r="AU39" s="131"/>
      <c r="AV39" s="185"/>
      <c r="AW39" s="131"/>
      <c r="AX39" s="185"/>
      <c r="AY39" s="131"/>
      <c r="AZ39" s="185"/>
      <c r="BA39" s="131"/>
      <c r="BB39" s="185"/>
      <c r="BC39" s="131"/>
      <c r="BD39" s="185"/>
      <c r="BE39" s="131"/>
      <c r="BF39" s="185"/>
      <c r="BG39" s="131"/>
      <c r="BH39" s="185"/>
      <c r="BI39" s="131"/>
      <c r="BJ39" s="185"/>
      <c r="BK39" s="131"/>
      <c r="BL39" s="185"/>
      <c r="BM39" s="131"/>
      <c r="BN39" s="185"/>
      <c r="BO39" s="131"/>
      <c r="BP39" s="134"/>
      <c r="BQ39" s="131"/>
      <c r="BR39" s="134"/>
      <c r="BS39" s="133"/>
      <c r="BT39" s="131"/>
      <c r="BU39" s="134"/>
      <c r="BV39" s="131"/>
      <c r="BW39" s="134"/>
      <c r="BX39" s="131"/>
      <c r="BY39" s="134"/>
      <c r="BZ39" s="131"/>
      <c r="CA39" s="134"/>
      <c r="CB39" s="133"/>
      <c r="CC39" s="131"/>
      <c r="CD39" s="134"/>
      <c r="CE39" s="133"/>
      <c r="CF39" s="131"/>
      <c r="CG39" s="134"/>
      <c r="CH39" s="133"/>
      <c r="CI39" s="131"/>
      <c r="CJ39" s="134"/>
      <c r="CK39" s="133"/>
      <c r="CL39" s="131"/>
      <c r="CM39" s="134"/>
      <c r="CN39" s="133"/>
      <c r="CO39" s="131"/>
      <c r="CP39" s="134"/>
      <c r="CQ39" s="133"/>
      <c r="CR39" s="131"/>
      <c r="CS39" s="134"/>
      <c r="CT39" s="133"/>
      <c r="CU39" s="131"/>
      <c r="CV39" s="134"/>
      <c r="CW39" s="133"/>
      <c r="CX39" s="131"/>
      <c r="CY39" s="134"/>
      <c r="CZ39" s="133"/>
      <c r="DA39" s="140"/>
      <c r="DB39" s="141"/>
      <c r="DC39" s="142"/>
      <c r="DD39" s="140"/>
      <c r="DE39" s="141"/>
      <c r="DF39" s="142"/>
      <c r="DG39" s="140"/>
      <c r="DH39" s="141"/>
      <c r="DI39" s="142"/>
      <c r="DJ39" s="140"/>
      <c r="DK39" s="141"/>
      <c r="DL39" s="142"/>
      <c r="DM39" s="140"/>
      <c r="DN39" s="141"/>
      <c r="DO39" s="142"/>
      <c r="DP39" s="140"/>
      <c r="DQ39" s="141"/>
      <c r="DR39" s="142"/>
      <c r="DS39" s="140"/>
      <c r="DT39" s="141"/>
      <c r="DU39" s="142"/>
      <c r="DV39" s="140"/>
      <c r="DW39" s="141"/>
      <c r="DX39" s="142"/>
      <c r="DY39" s="140"/>
      <c r="DZ39" s="141"/>
      <c r="EA39" s="142"/>
      <c r="EB39" s="140"/>
      <c r="EC39" s="141"/>
      <c r="ED39" s="142"/>
      <c r="EE39" s="140"/>
      <c r="EF39" s="141"/>
      <c r="EG39" s="142"/>
      <c r="EH39" s="140"/>
      <c r="EI39" s="141"/>
      <c r="EJ39" s="142"/>
      <c r="EK39" s="140"/>
      <c r="EL39" s="141"/>
      <c r="EM39" s="142"/>
      <c r="EN39" s="140"/>
      <c r="EO39" s="141"/>
      <c r="EP39" s="142"/>
      <c r="EQ39" s="140"/>
      <c r="ER39" s="141"/>
      <c r="ES39" s="142"/>
      <c r="ET39" s="140"/>
      <c r="EU39" s="141"/>
      <c r="EV39" s="142"/>
      <c r="EW39" s="140"/>
      <c r="EX39" s="141"/>
      <c r="EY39" s="142"/>
      <c r="EZ39" s="140"/>
      <c r="FA39" s="141"/>
      <c r="FB39" s="142"/>
      <c r="FC39" s="140"/>
      <c r="FD39" s="141"/>
      <c r="FE39" s="142"/>
      <c r="FF39" s="140"/>
      <c r="FG39" s="141"/>
      <c r="FH39" s="142"/>
      <c r="FI39" s="140"/>
      <c r="FJ39" s="141"/>
      <c r="FK39" s="142"/>
      <c r="FL39" s="140"/>
      <c r="FM39" s="141"/>
      <c r="FN39" s="142"/>
      <c r="FO39" s="140"/>
      <c r="FP39" s="141"/>
      <c r="FQ39" s="142"/>
      <c r="FR39" s="140"/>
      <c r="FS39" s="141"/>
      <c r="FT39" s="142"/>
      <c r="FU39" s="140"/>
      <c r="FV39" s="141"/>
      <c r="FW39" s="142"/>
      <c r="FX39" s="140"/>
      <c r="FY39" s="141"/>
      <c r="FZ39" s="142"/>
      <c r="GA39" s="140"/>
      <c r="GB39" s="141"/>
      <c r="GC39" s="142"/>
      <c r="GD39" s="140"/>
      <c r="GE39" s="141"/>
      <c r="GF39" s="142"/>
      <c r="GG39" s="140"/>
      <c r="GH39" s="141"/>
      <c r="GI39" s="142"/>
      <c r="GJ39" s="140"/>
      <c r="GK39" s="141"/>
      <c r="GL39" s="142"/>
      <c r="GM39" s="140"/>
      <c r="GN39" s="141"/>
      <c r="GO39" s="142"/>
      <c r="GP39" s="140"/>
      <c r="GQ39" s="141"/>
      <c r="GR39" s="142"/>
      <c r="GS39" s="140"/>
      <c r="GT39" s="141"/>
      <c r="GU39" s="142"/>
      <c r="GV39" s="140"/>
      <c r="GW39" s="141"/>
      <c r="GX39" s="142"/>
      <c r="GY39" s="164"/>
      <c r="GZ39" s="134"/>
      <c r="HA39" s="185"/>
      <c r="HB39" s="131"/>
      <c r="HC39" s="307"/>
      <c r="HD39" s="131"/>
      <c r="HE39" s="307"/>
      <c r="HF39" s="131"/>
      <c r="HG39" s="307"/>
      <c r="HH39" s="131"/>
      <c r="HI39" s="307"/>
      <c r="HJ39" s="131"/>
      <c r="HK39" s="307"/>
      <c r="HL39" s="131">
        <f>+'1911 Hacienda'!B39</f>
        <v>16000</v>
      </c>
      <c r="HM39" s="307">
        <f>+'1911 Hacienda'!C39</f>
        <v>0</v>
      </c>
      <c r="HN39" s="131"/>
      <c r="HO39" s="307"/>
      <c r="HP39" s="131">
        <f>+'1912 Hacienda'!B24</f>
        <v>16000</v>
      </c>
      <c r="HQ39" s="307"/>
      <c r="HR39" s="131"/>
      <c r="HS39" s="307"/>
      <c r="HT39" s="131">
        <f>+'1915 Hacienda'!D5</f>
        <v>16000</v>
      </c>
      <c r="HU39" s="307">
        <f>+'1915 Hacienda'!E5</f>
        <v>0</v>
      </c>
    </row>
    <row r="40" spans="1:229" x14ac:dyDescent="0.2">
      <c r="A40" s="1608" t="s">
        <v>5062</v>
      </c>
      <c r="B40" s="131"/>
      <c r="C40" s="134"/>
      <c r="D40" s="133"/>
      <c r="E40" s="131"/>
      <c r="F40" s="134"/>
      <c r="G40" s="133"/>
      <c r="H40" s="131"/>
      <c r="I40" s="134"/>
      <c r="J40" s="133"/>
      <c r="K40" s="131"/>
      <c r="L40" s="134"/>
      <c r="M40" s="133"/>
      <c r="N40" s="131"/>
      <c r="O40" s="134"/>
      <c r="P40" s="133"/>
      <c r="Q40" s="131"/>
      <c r="R40" s="134"/>
      <c r="S40" s="133"/>
      <c r="T40" s="131"/>
      <c r="U40" s="134"/>
      <c r="V40" s="133"/>
      <c r="W40" s="131"/>
      <c r="X40" s="134"/>
      <c r="Y40" s="133"/>
      <c r="Z40" s="131"/>
      <c r="AA40" s="134"/>
      <c r="AB40" s="133"/>
      <c r="AC40" s="131"/>
      <c r="AD40" s="134"/>
      <c r="AE40" s="133"/>
      <c r="AF40" s="131"/>
      <c r="AG40" s="134"/>
      <c r="AH40" s="133"/>
      <c r="AI40" s="145"/>
      <c r="AJ40" s="134"/>
      <c r="AK40" s="133"/>
      <c r="AL40" s="131"/>
      <c r="AM40" s="134"/>
      <c r="AN40" s="133"/>
      <c r="AO40" s="131"/>
      <c r="AP40" s="134"/>
      <c r="AQ40" s="133"/>
      <c r="AR40" s="131"/>
      <c r="AS40" s="134"/>
      <c r="AT40" s="180"/>
      <c r="AU40" s="131"/>
      <c r="AV40" s="185"/>
      <c r="AW40" s="131"/>
      <c r="AX40" s="185"/>
      <c r="AY40" s="131"/>
      <c r="AZ40" s="185"/>
      <c r="BA40" s="131"/>
      <c r="BB40" s="185"/>
      <c r="BC40" s="131"/>
      <c r="BD40" s="185"/>
      <c r="BE40" s="131"/>
      <c r="BF40" s="185"/>
      <c r="BG40" s="131"/>
      <c r="BH40" s="185"/>
      <c r="BI40" s="131"/>
      <c r="BJ40" s="185"/>
      <c r="BK40" s="131"/>
      <c r="BL40" s="185"/>
      <c r="BM40" s="131"/>
      <c r="BN40" s="185"/>
      <c r="BO40" s="131"/>
      <c r="BP40" s="134"/>
      <c r="BQ40" s="131"/>
      <c r="BR40" s="134"/>
      <c r="BS40" s="133"/>
      <c r="BT40" s="131"/>
      <c r="BU40" s="134"/>
      <c r="BV40" s="131"/>
      <c r="BW40" s="134"/>
      <c r="BX40" s="131"/>
      <c r="BY40" s="134"/>
      <c r="BZ40" s="131"/>
      <c r="CA40" s="134"/>
      <c r="CB40" s="133"/>
      <c r="CC40" s="131"/>
      <c r="CD40" s="134"/>
      <c r="CE40" s="133"/>
      <c r="CF40" s="131"/>
      <c r="CG40" s="134"/>
      <c r="CH40" s="133"/>
      <c r="CI40" s="131"/>
      <c r="CJ40" s="134"/>
      <c r="CK40" s="133"/>
      <c r="CL40" s="131"/>
      <c r="CM40" s="134"/>
      <c r="CN40" s="133"/>
      <c r="CO40" s="131"/>
      <c r="CP40" s="134"/>
      <c r="CQ40" s="133"/>
      <c r="CR40" s="131"/>
      <c r="CS40" s="134"/>
      <c r="CT40" s="133"/>
      <c r="CU40" s="131"/>
      <c r="CV40" s="134"/>
      <c r="CW40" s="133"/>
      <c r="CX40" s="131"/>
      <c r="CY40" s="134"/>
      <c r="CZ40" s="133"/>
      <c r="DA40" s="140"/>
      <c r="DB40" s="141"/>
      <c r="DC40" s="142"/>
      <c r="DD40" s="140"/>
      <c r="DE40" s="141"/>
      <c r="DF40" s="142"/>
      <c r="DG40" s="140"/>
      <c r="DH40" s="141"/>
      <c r="DI40" s="142"/>
      <c r="DJ40" s="140"/>
      <c r="DK40" s="141"/>
      <c r="DL40" s="142"/>
      <c r="DM40" s="140"/>
      <c r="DN40" s="141"/>
      <c r="DO40" s="142"/>
      <c r="DP40" s="140"/>
      <c r="DQ40" s="141"/>
      <c r="DR40" s="142"/>
      <c r="DS40" s="140"/>
      <c r="DT40" s="141"/>
      <c r="DU40" s="142"/>
      <c r="DV40" s="140"/>
      <c r="DW40" s="141"/>
      <c r="DX40" s="142"/>
      <c r="DY40" s="140"/>
      <c r="DZ40" s="141"/>
      <c r="EA40" s="142"/>
      <c r="EB40" s="140"/>
      <c r="EC40" s="141"/>
      <c r="ED40" s="142"/>
      <c r="EE40" s="140"/>
      <c r="EF40" s="141"/>
      <c r="EG40" s="142"/>
      <c r="EH40" s="140"/>
      <c r="EI40" s="141"/>
      <c r="EJ40" s="142"/>
      <c r="EK40" s="140"/>
      <c r="EL40" s="141"/>
      <c r="EM40" s="142"/>
      <c r="EN40" s="140"/>
      <c r="EO40" s="141"/>
      <c r="EP40" s="142"/>
      <c r="EQ40" s="140"/>
      <c r="ER40" s="141"/>
      <c r="ES40" s="142"/>
      <c r="ET40" s="140"/>
      <c r="EU40" s="141"/>
      <c r="EV40" s="142"/>
      <c r="EW40" s="140"/>
      <c r="EX40" s="141"/>
      <c r="EY40" s="142"/>
      <c r="EZ40" s="140"/>
      <c r="FA40" s="141"/>
      <c r="FB40" s="142"/>
      <c r="FC40" s="140">
        <f>+'1890 Hacienda'!B232</f>
        <v>22500</v>
      </c>
      <c r="FD40" s="141"/>
      <c r="FE40" s="142"/>
      <c r="FF40" s="140">
        <f>+'1890 Hacienda'!E232</f>
        <v>22500</v>
      </c>
      <c r="FG40" s="141"/>
      <c r="FH40" s="142"/>
      <c r="FI40" s="140"/>
      <c r="FJ40" s="141"/>
      <c r="FK40" s="142"/>
      <c r="FL40" s="140">
        <f>+'1894 Hacienda'!C21</f>
        <v>22500</v>
      </c>
      <c r="FM40" s="141"/>
      <c r="FN40" s="142"/>
      <c r="FO40" s="140">
        <f>+'1894 Hacienda'!F21</f>
        <v>22500</v>
      </c>
      <c r="FP40" s="141"/>
      <c r="FQ40" s="142"/>
      <c r="FR40" s="140">
        <f>+'1896 Hacienda'!C22</f>
        <v>22500</v>
      </c>
      <c r="FS40" s="141"/>
      <c r="FT40" s="142"/>
      <c r="FU40" s="140">
        <f>+'1896 Hacienda'!F22</f>
        <v>30000</v>
      </c>
      <c r="FV40" s="141"/>
      <c r="FW40" s="142"/>
      <c r="FX40" s="140">
        <f>+'1896 Hacienda'!L22</f>
        <v>30000</v>
      </c>
      <c r="FY40" s="141"/>
      <c r="FZ40" s="142"/>
      <c r="GA40" s="140">
        <f>+'1898 Hacienda'!E20</f>
        <v>30000</v>
      </c>
      <c r="GB40" s="141"/>
      <c r="GC40" s="142"/>
      <c r="GD40" s="140">
        <f>+'1898 Hacienda'!K20</f>
        <v>30000</v>
      </c>
      <c r="GE40" s="141"/>
      <c r="GF40" s="142"/>
      <c r="GG40" s="140"/>
      <c r="GH40" s="141"/>
      <c r="GI40" s="142"/>
      <c r="GJ40" s="140"/>
      <c r="GK40" s="141"/>
      <c r="GL40" s="142"/>
      <c r="GM40" s="140"/>
      <c r="GN40" s="141"/>
      <c r="GO40" s="142"/>
      <c r="GP40" s="140"/>
      <c r="GQ40" s="141"/>
      <c r="GR40" s="142"/>
      <c r="GS40" s="140"/>
      <c r="GT40" s="141"/>
      <c r="GU40" s="142"/>
      <c r="GV40" s="140"/>
      <c r="GW40" s="141"/>
      <c r="GX40" s="142"/>
      <c r="GY40" s="164"/>
      <c r="GZ40" s="134"/>
      <c r="HA40" s="185"/>
      <c r="HB40" s="131"/>
      <c r="HC40" s="307"/>
      <c r="HD40" s="131"/>
      <c r="HE40" s="307"/>
      <c r="HF40" s="131"/>
      <c r="HG40" s="307"/>
      <c r="HH40" s="131"/>
      <c r="HI40" s="307"/>
      <c r="HJ40" s="131"/>
      <c r="HK40" s="307"/>
      <c r="HL40" s="131"/>
      <c r="HM40" s="307"/>
      <c r="HN40" s="131"/>
      <c r="HO40" s="307"/>
      <c r="HP40" s="131"/>
      <c r="HQ40" s="307"/>
      <c r="HR40" s="131"/>
      <c r="HS40" s="307"/>
      <c r="HT40" s="131"/>
      <c r="HU40" s="307"/>
    </row>
    <row r="41" spans="1:229" ht="30" x14ac:dyDescent="0.2">
      <c r="A41" s="1608" t="s">
        <v>6058</v>
      </c>
      <c r="B41" s="131"/>
      <c r="C41" s="134"/>
      <c r="D41" s="133"/>
      <c r="E41" s="131"/>
      <c r="F41" s="134"/>
      <c r="G41" s="133"/>
      <c r="H41" s="131"/>
      <c r="I41" s="134"/>
      <c r="J41" s="133"/>
      <c r="K41" s="131"/>
      <c r="L41" s="134"/>
      <c r="M41" s="133"/>
      <c r="N41" s="131"/>
      <c r="O41" s="134"/>
      <c r="P41" s="133"/>
      <c r="Q41" s="131"/>
      <c r="R41" s="134"/>
      <c r="S41" s="133"/>
      <c r="T41" s="131"/>
      <c r="U41" s="134"/>
      <c r="V41" s="133"/>
      <c r="W41" s="131"/>
      <c r="X41" s="134"/>
      <c r="Y41" s="133"/>
      <c r="Z41" s="131"/>
      <c r="AA41" s="134"/>
      <c r="AB41" s="133"/>
      <c r="AC41" s="131"/>
      <c r="AD41" s="134"/>
      <c r="AE41" s="133"/>
      <c r="AF41" s="131"/>
      <c r="AG41" s="134"/>
      <c r="AH41" s="133"/>
      <c r="AI41" s="145"/>
      <c r="AJ41" s="134"/>
      <c r="AK41" s="133"/>
      <c r="AL41" s="131"/>
      <c r="AM41" s="134"/>
      <c r="AN41" s="133"/>
      <c r="AO41" s="131"/>
      <c r="AP41" s="134"/>
      <c r="AQ41" s="133"/>
      <c r="AR41" s="131"/>
      <c r="AS41" s="134"/>
      <c r="AT41" s="180"/>
      <c r="AU41" s="131"/>
      <c r="AV41" s="185"/>
      <c r="AW41" s="131"/>
      <c r="AX41" s="185"/>
      <c r="AY41" s="131"/>
      <c r="AZ41" s="185"/>
      <c r="BA41" s="131"/>
      <c r="BB41" s="185"/>
      <c r="BC41" s="131"/>
      <c r="BD41" s="185"/>
      <c r="BE41" s="131"/>
      <c r="BF41" s="185"/>
      <c r="BG41" s="131"/>
      <c r="BH41" s="185"/>
      <c r="BI41" s="131"/>
      <c r="BJ41" s="185"/>
      <c r="BK41" s="131"/>
      <c r="BL41" s="185"/>
      <c r="BM41" s="131"/>
      <c r="BN41" s="185"/>
      <c r="BO41" s="131"/>
      <c r="BP41" s="134"/>
      <c r="BQ41" s="131"/>
      <c r="BR41" s="134"/>
      <c r="BS41" s="133"/>
      <c r="BT41" s="131"/>
      <c r="BU41" s="134"/>
      <c r="BV41" s="131"/>
      <c r="BW41" s="134"/>
      <c r="BX41" s="131"/>
      <c r="BY41" s="134"/>
      <c r="BZ41" s="131"/>
      <c r="CA41" s="134"/>
      <c r="CB41" s="133"/>
      <c r="CC41" s="131"/>
      <c r="CD41" s="134"/>
      <c r="CE41" s="133"/>
      <c r="CF41" s="131"/>
      <c r="CG41" s="134"/>
      <c r="CH41" s="133"/>
      <c r="CI41" s="131"/>
      <c r="CJ41" s="134"/>
      <c r="CK41" s="133"/>
      <c r="CL41" s="131"/>
      <c r="CM41" s="134"/>
      <c r="CN41" s="133"/>
      <c r="CO41" s="131"/>
      <c r="CP41" s="134"/>
      <c r="CQ41" s="133"/>
      <c r="CR41" s="131"/>
      <c r="CS41" s="134"/>
      <c r="CT41" s="133"/>
      <c r="CU41" s="131"/>
      <c r="CV41" s="134"/>
      <c r="CW41" s="133"/>
      <c r="CX41" s="131"/>
      <c r="CY41" s="134"/>
      <c r="CZ41" s="133"/>
      <c r="DA41" s="140"/>
      <c r="DB41" s="141"/>
      <c r="DC41" s="142"/>
      <c r="DD41" s="140"/>
      <c r="DE41" s="141"/>
      <c r="DF41" s="142"/>
      <c r="DG41" s="140"/>
      <c r="DH41" s="141"/>
      <c r="DI41" s="142"/>
      <c r="DJ41" s="140"/>
      <c r="DK41" s="141"/>
      <c r="DL41" s="142"/>
      <c r="DM41" s="140"/>
      <c r="DN41" s="141"/>
      <c r="DO41" s="142"/>
      <c r="DP41" s="140"/>
      <c r="DQ41" s="141"/>
      <c r="DR41" s="142"/>
      <c r="DS41" s="140"/>
      <c r="DT41" s="141"/>
      <c r="DU41" s="142"/>
      <c r="DV41" s="140"/>
      <c r="DW41" s="141"/>
      <c r="DX41" s="142"/>
      <c r="DY41" s="140"/>
      <c r="DZ41" s="141"/>
      <c r="EA41" s="142"/>
      <c r="EB41" s="140"/>
      <c r="EC41" s="141"/>
      <c r="ED41" s="142"/>
      <c r="EE41" s="140"/>
      <c r="EF41" s="141"/>
      <c r="EG41" s="142"/>
      <c r="EH41" s="140"/>
      <c r="EI41" s="141"/>
      <c r="EJ41" s="142"/>
      <c r="EK41" s="140"/>
      <c r="EL41" s="141"/>
      <c r="EM41" s="142"/>
      <c r="EN41" s="140"/>
      <c r="EO41" s="141"/>
      <c r="EP41" s="142"/>
      <c r="EQ41" s="140"/>
      <c r="ER41" s="141"/>
      <c r="ES41" s="142"/>
      <c r="ET41" s="140"/>
      <c r="EU41" s="141"/>
      <c r="EV41" s="142"/>
      <c r="EW41" s="140"/>
      <c r="EX41" s="141"/>
      <c r="EY41" s="142"/>
      <c r="EZ41" s="140"/>
      <c r="FA41" s="141"/>
      <c r="FB41" s="142"/>
      <c r="FC41" s="140">
        <f>+'1890 Hacienda'!B233</f>
        <v>7999</v>
      </c>
      <c r="FD41" s="141">
        <f>+'1890 Hacienda'!C233</f>
        <v>80</v>
      </c>
      <c r="FE41" s="142"/>
      <c r="FF41" s="140">
        <f>+'1890 Hacienda'!E233</f>
        <v>3999</v>
      </c>
      <c r="FG41" s="141">
        <f>+'1890 Hacienda'!F233</f>
        <v>90</v>
      </c>
      <c r="FH41" s="142"/>
      <c r="FI41" s="140"/>
      <c r="FJ41" s="141"/>
      <c r="FK41" s="142"/>
      <c r="FL41" s="140">
        <f>+'1894 Hacienda'!C22</f>
        <v>4000</v>
      </c>
      <c r="FM41" s="141"/>
      <c r="FN41" s="142"/>
      <c r="FO41" s="140">
        <f>+'1894 Hacienda'!F22</f>
        <v>3999</v>
      </c>
      <c r="FP41" s="141">
        <f>+'1894 Hacienda'!G22</f>
        <v>55</v>
      </c>
      <c r="FQ41" s="142"/>
      <c r="FR41" s="140">
        <f>+'1896 Hacienda'!C23</f>
        <v>3666</v>
      </c>
      <c r="FS41" s="141">
        <f>+'1896 Hacienda'!D23</f>
        <v>60</v>
      </c>
      <c r="FT41" s="142"/>
      <c r="FU41" s="140">
        <f>+'1896 Hacienda'!F23</f>
        <v>3666</v>
      </c>
      <c r="FV41" s="141">
        <f>+'1896 Hacienda'!G23</f>
        <v>55</v>
      </c>
      <c r="FW41" s="142"/>
      <c r="FX41" s="140">
        <f>+'1896 Hacienda'!L23</f>
        <v>3999</v>
      </c>
      <c r="FY41" s="141">
        <f>+'1896 Hacienda'!M23</f>
        <v>90</v>
      </c>
      <c r="FZ41" s="142"/>
      <c r="GA41" s="140">
        <f>+'1898 Hacienda'!E21</f>
        <v>3999</v>
      </c>
      <c r="GB41" s="141"/>
      <c r="GC41" s="142"/>
      <c r="GD41" s="140">
        <f>+'1898 Hacienda'!K21</f>
        <v>3999</v>
      </c>
      <c r="GE41" s="141">
        <f>+'1898 Hacienda'!L21</f>
        <v>90</v>
      </c>
      <c r="GF41" s="142"/>
      <c r="GG41" s="140"/>
      <c r="GH41" s="141"/>
      <c r="GI41" s="142"/>
      <c r="GJ41" s="140"/>
      <c r="GK41" s="141"/>
      <c r="GL41" s="142"/>
      <c r="GM41" s="140"/>
      <c r="GN41" s="141"/>
      <c r="GO41" s="142"/>
      <c r="GP41" s="140"/>
      <c r="GQ41" s="141"/>
      <c r="GR41" s="142"/>
      <c r="GS41" s="140"/>
      <c r="GT41" s="141"/>
      <c r="GU41" s="142"/>
      <c r="GV41" s="140"/>
      <c r="GW41" s="141"/>
      <c r="GX41" s="142"/>
      <c r="GY41" s="164"/>
      <c r="GZ41" s="134"/>
      <c r="HA41" s="185"/>
      <c r="HB41" s="131"/>
      <c r="HC41" s="307"/>
      <c r="HD41" s="131"/>
      <c r="HE41" s="307"/>
      <c r="HF41" s="131"/>
      <c r="HG41" s="307"/>
      <c r="HH41" s="131"/>
      <c r="HI41" s="307"/>
      <c r="HJ41" s="131"/>
      <c r="HK41" s="307"/>
      <c r="HL41" s="131"/>
      <c r="HM41" s="307"/>
      <c r="HN41" s="131"/>
      <c r="HO41" s="307"/>
      <c r="HP41" s="131"/>
      <c r="HQ41" s="307"/>
      <c r="HR41" s="131"/>
      <c r="HS41" s="307"/>
      <c r="HT41" s="131"/>
      <c r="HU41" s="307"/>
    </row>
    <row r="42" spans="1:229" x14ac:dyDescent="0.2">
      <c r="A42" s="134" t="s">
        <v>2763</v>
      </c>
      <c r="B42" s="131"/>
      <c r="C42" s="134"/>
      <c r="D42" s="133"/>
      <c r="E42" s="131"/>
      <c r="F42" s="134"/>
      <c r="G42" s="133"/>
      <c r="H42" s="131"/>
      <c r="I42" s="134"/>
      <c r="J42" s="133"/>
      <c r="K42" s="131"/>
      <c r="L42" s="134"/>
      <c r="M42" s="133"/>
      <c r="N42" s="131"/>
      <c r="O42" s="134"/>
      <c r="P42" s="133"/>
      <c r="Q42" s="131"/>
      <c r="R42" s="134"/>
      <c r="S42" s="133"/>
      <c r="T42" s="131"/>
      <c r="U42" s="134"/>
      <c r="V42" s="133"/>
      <c r="W42" s="131"/>
      <c r="X42" s="134"/>
      <c r="Y42" s="133"/>
      <c r="Z42" s="131"/>
      <c r="AA42" s="134"/>
      <c r="AB42" s="133"/>
      <c r="AC42" s="131"/>
      <c r="AD42" s="134"/>
      <c r="AE42" s="133"/>
      <c r="AF42" s="131"/>
      <c r="AG42" s="134"/>
      <c r="AH42" s="133"/>
      <c r="AI42" s="145"/>
      <c r="AJ42" s="134"/>
      <c r="AK42" s="133"/>
      <c r="AL42" s="131"/>
      <c r="AM42" s="134"/>
      <c r="AN42" s="133"/>
      <c r="AO42" s="131"/>
      <c r="AP42" s="134"/>
      <c r="AQ42" s="133"/>
      <c r="AR42" s="131"/>
      <c r="AS42" s="134"/>
      <c r="AT42" s="180"/>
      <c r="AU42" s="131"/>
      <c r="AV42" s="185"/>
      <c r="AW42" s="131"/>
      <c r="AX42" s="185"/>
      <c r="AY42" s="131"/>
      <c r="AZ42" s="185"/>
      <c r="BA42" s="131"/>
      <c r="BB42" s="185"/>
      <c r="BC42" s="131"/>
      <c r="BD42" s="185"/>
      <c r="BE42" s="131"/>
      <c r="BF42" s="185"/>
      <c r="BG42" s="131"/>
      <c r="BH42" s="185"/>
      <c r="BI42" s="131"/>
      <c r="BJ42" s="185"/>
      <c r="BK42" s="131"/>
      <c r="BL42" s="185"/>
      <c r="BM42" s="131"/>
      <c r="BN42" s="185"/>
      <c r="BO42" s="131"/>
      <c r="BP42" s="134"/>
      <c r="BQ42" s="131"/>
      <c r="BR42" s="134"/>
      <c r="BS42" s="133"/>
      <c r="BT42" s="131"/>
      <c r="BU42" s="134"/>
      <c r="BV42" s="131"/>
      <c r="BW42" s="134"/>
      <c r="BX42" s="131"/>
      <c r="BY42" s="134"/>
      <c r="BZ42" s="131"/>
      <c r="CA42" s="134"/>
      <c r="CB42" s="133"/>
      <c r="CC42" s="131"/>
      <c r="CD42" s="134"/>
      <c r="CE42" s="133"/>
      <c r="CF42" s="131"/>
      <c r="CG42" s="134"/>
      <c r="CH42" s="133"/>
      <c r="CI42" s="131"/>
      <c r="CJ42" s="134"/>
      <c r="CK42" s="133"/>
      <c r="CL42" s="131"/>
      <c r="CM42" s="134"/>
      <c r="CN42" s="133"/>
      <c r="CO42" s="131"/>
      <c r="CP42" s="134"/>
      <c r="CQ42" s="133"/>
      <c r="CR42" s="131"/>
      <c r="CS42" s="134"/>
      <c r="CT42" s="133"/>
      <c r="CU42" s="131"/>
      <c r="CV42" s="134"/>
      <c r="CW42" s="133"/>
      <c r="CX42" s="131"/>
      <c r="CY42" s="134"/>
      <c r="CZ42" s="133"/>
      <c r="DA42" s="140"/>
      <c r="DB42" s="141"/>
      <c r="DC42" s="142"/>
      <c r="DD42" s="140"/>
      <c r="DE42" s="141"/>
      <c r="DF42" s="142"/>
      <c r="DG42" s="140"/>
      <c r="DH42" s="141"/>
      <c r="DI42" s="142"/>
      <c r="DJ42" s="140"/>
      <c r="DK42" s="141"/>
      <c r="DL42" s="142"/>
      <c r="DM42" s="140"/>
      <c r="DN42" s="141"/>
      <c r="DO42" s="142"/>
      <c r="DP42" s="140"/>
      <c r="DQ42" s="141"/>
      <c r="DR42" s="142"/>
      <c r="DS42" s="140"/>
      <c r="DT42" s="141"/>
      <c r="DU42" s="142"/>
      <c r="DV42" s="140"/>
      <c r="DW42" s="141"/>
      <c r="DX42" s="142"/>
      <c r="DY42" s="140">
        <f>+'1880 Hacienda'!B15</f>
        <v>15539</v>
      </c>
      <c r="DZ42" s="141">
        <f>+'1880 Hacienda'!C15</f>
        <v>60</v>
      </c>
      <c r="EA42" s="142">
        <f>+'1880 Hacienda'!D15</f>
        <v>0</v>
      </c>
      <c r="EB42" s="140">
        <f>+'1881 Hacienda'!B15</f>
        <v>331485</v>
      </c>
      <c r="EC42" s="141">
        <f>+'1881 Hacienda'!C15</f>
        <v>920</v>
      </c>
      <c r="ED42" s="142">
        <f>+'1881 Hacienda'!D15</f>
        <v>0.5</v>
      </c>
      <c r="EE42" s="140">
        <f>+'1882 Hacienda'!B17</f>
        <v>649632</v>
      </c>
      <c r="EF42" s="141">
        <f>+'1882 Hacienda'!C17</f>
        <v>27</v>
      </c>
      <c r="EG42" s="142">
        <f>+'1882 Hacienda'!D17</f>
        <v>0.5</v>
      </c>
      <c r="EH42" s="140">
        <f>+'1883 Hacienda'!B11</f>
        <v>50000</v>
      </c>
      <c r="EI42" s="141"/>
      <c r="EJ42" s="142"/>
      <c r="EK42" s="140"/>
      <c r="EL42" s="141"/>
      <c r="EM42" s="142"/>
      <c r="EN42" s="140"/>
      <c r="EO42" s="141"/>
      <c r="EP42" s="142"/>
      <c r="EQ42" s="140"/>
      <c r="ER42" s="141"/>
      <c r="ES42" s="142"/>
      <c r="ET42" s="140"/>
      <c r="EU42" s="141"/>
      <c r="EV42" s="142"/>
      <c r="EW42" s="140"/>
      <c r="EX42" s="141"/>
      <c r="EY42" s="142"/>
      <c r="EZ42" s="140"/>
      <c r="FA42" s="141"/>
      <c r="FB42" s="142"/>
      <c r="FC42" s="140">
        <f>+'1890 Hacienda'!B236</f>
        <v>3479283</v>
      </c>
      <c r="FD42" s="141">
        <f>+'1890 Hacienda'!C236</f>
        <v>90</v>
      </c>
      <c r="FE42" s="142"/>
      <c r="FF42" s="140">
        <f>+'1890 Hacienda'!E236</f>
        <v>763591</v>
      </c>
      <c r="FG42" s="141">
        <f>+'1890 Hacienda'!F236</f>
        <v>45</v>
      </c>
      <c r="FH42" s="142"/>
      <c r="FI42" s="140"/>
      <c r="FJ42" s="141"/>
      <c r="FK42" s="142"/>
      <c r="FL42" s="140">
        <f>+'1894 Hacienda'!C29</f>
        <v>556216</v>
      </c>
      <c r="FM42" s="141">
        <f>+'1894 Hacienda'!D29</f>
        <v>45</v>
      </c>
      <c r="FN42" s="142"/>
      <c r="FO42" s="140">
        <f>+'1894 Hacienda'!F29</f>
        <v>680332</v>
      </c>
      <c r="FP42" s="141">
        <f>+'1894 Hacienda'!G29</f>
        <v>87</v>
      </c>
      <c r="FQ42" s="142">
        <f>+'1894 Hacienda'!H29</f>
        <v>0.5</v>
      </c>
      <c r="FR42" s="140">
        <f>+'1896 Hacienda'!C30</f>
        <v>580859</v>
      </c>
      <c r="FS42" s="141">
        <f>+'1896 Hacienda'!D30</f>
        <v>27</v>
      </c>
      <c r="FT42" s="142">
        <f>+'1896 Hacienda'!E30</f>
        <v>0.5</v>
      </c>
      <c r="FU42" s="140">
        <f>+'1896 Hacienda'!F30</f>
        <v>687788</v>
      </c>
      <c r="FV42" s="141">
        <f>+'1896 Hacienda'!G30</f>
        <v>5</v>
      </c>
      <c r="FW42" s="142"/>
      <c r="FX42" s="140">
        <f>+'1896 Hacienda'!L30</f>
        <v>77858</v>
      </c>
      <c r="FY42" s="141">
        <f>+'1896 Hacienda'!M30</f>
        <v>20</v>
      </c>
      <c r="FZ42" s="142"/>
      <c r="GA42" s="140">
        <f>+'1898 Hacienda'!E28</f>
        <v>357035</v>
      </c>
      <c r="GB42" s="141">
        <f>+'1898 Hacienda'!F28</f>
        <v>20</v>
      </c>
      <c r="GC42" s="142"/>
      <c r="GD42" s="140">
        <f>+'1898 Hacienda'!K28</f>
        <v>350284</v>
      </c>
      <c r="GE42" s="141">
        <f>+'1898 Hacienda'!L28</f>
        <v>80</v>
      </c>
      <c r="GF42" s="142"/>
      <c r="GG42" s="140"/>
      <c r="GH42" s="141"/>
      <c r="GI42" s="142"/>
      <c r="GJ42" s="140"/>
      <c r="GK42" s="141"/>
      <c r="GL42" s="142"/>
      <c r="GM42" s="140"/>
      <c r="GN42" s="141"/>
      <c r="GO42" s="142"/>
      <c r="GP42" s="140"/>
      <c r="GQ42" s="141"/>
      <c r="GR42" s="142"/>
      <c r="GS42" s="140"/>
      <c r="GT42" s="141"/>
      <c r="GU42" s="142"/>
      <c r="GV42" s="140"/>
      <c r="GW42" s="141"/>
      <c r="GX42" s="142"/>
      <c r="GY42" s="164"/>
      <c r="GZ42" s="134"/>
      <c r="HA42" s="185"/>
      <c r="HB42" s="131">
        <f>'1910 Hacienda'!C11</f>
        <v>120822</v>
      </c>
      <c r="HC42" s="307">
        <f>'1910 Hacienda'!D11</f>
        <v>50</v>
      </c>
      <c r="HD42" s="131">
        <f>'1910 Hacienda'!C36</f>
        <v>218151</v>
      </c>
      <c r="HE42" s="307">
        <f>'1910 Hacienda'!D36</f>
        <v>95</v>
      </c>
      <c r="HF42" s="131">
        <f>'1910 Hacienda'!C65</f>
        <v>156054</v>
      </c>
      <c r="HG42" s="307">
        <f>'1910 Hacienda'!D65</f>
        <v>22</v>
      </c>
      <c r="HH42" s="131">
        <f>'1910 Hacienda'!C108</f>
        <v>97607</v>
      </c>
      <c r="HI42" s="307">
        <f>'1910 Hacienda'!D108</f>
        <v>78</v>
      </c>
      <c r="HJ42" s="131">
        <f>'1910 Hacienda'!C156</f>
        <v>133304</v>
      </c>
      <c r="HK42" s="307">
        <f>'1910 Hacienda'!D156</f>
        <v>78</v>
      </c>
      <c r="HL42" s="131">
        <f>+'1911 Hacienda'!B48</f>
        <v>55641</v>
      </c>
      <c r="HM42" s="307">
        <f>+'1911 Hacienda'!C48</f>
        <v>31</v>
      </c>
      <c r="HN42" s="131"/>
      <c r="HO42" s="307"/>
      <c r="HP42" s="131"/>
      <c r="HQ42" s="307"/>
      <c r="HR42" s="131"/>
      <c r="HS42" s="307"/>
      <c r="HT42" s="131">
        <f>+'1915 Hacienda'!D38</f>
        <v>97354</v>
      </c>
      <c r="HU42" s="307">
        <f>+'1915 Hacienda'!E38</f>
        <v>6</v>
      </c>
    </row>
    <row r="43" spans="1:229" x14ac:dyDescent="0.2">
      <c r="A43" s="134" t="s">
        <v>5070</v>
      </c>
      <c r="B43" s="131"/>
      <c r="C43" s="134"/>
      <c r="D43" s="133"/>
      <c r="E43" s="131"/>
      <c r="F43" s="134"/>
      <c r="G43" s="133"/>
      <c r="H43" s="131"/>
      <c r="I43" s="134"/>
      <c r="J43" s="133"/>
      <c r="K43" s="131"/>
      <c r="L43" s="134"/>
      <c r="M43" s="133"/>
      <c r="N43" s="131"/>
      <c r="O43" s="134"/>
      <c r="P43" s="133"/>
      <c r="Q43" s="131"/>
      <c r="R43" s="134"/>
      <c r="S43" s="133"/>
      <c r="T43" s="131"/>
      <c r="U43" s="134"/>
      <c r="V43" s="133"/>
      <c r="W43" s="131"/>
      <c r="X43" s="134"/>
      <c r="Y43" s="133"/>
      <c r="Z43" s="131"/>
      <c r="AA43" s="134"/>
      <c r="AB43" s="133"/>
      <c r="AC43" s="131"/>
      <c r="AD43" s="134"/>
      <c r="AE43" s="133"/>
      <c r="AF43" s="131"/>
      <c r="AG43" s="134"/>
      <c r="AH43" s="133"/>
      <c r="AI43" s="145"/>
      <c r="AJ43" s="134"/>
      <c r="AK43" s="133"/>
      <c r="AL43" s="131"/>
      <c r="AM43" s="134"/>
      <c r="AN43" s="133"/>
      <c r="AO43" s="131"/>
      <c r="AP43" s="134"/>
      <c r="AQ43" s="133"/>
      <c r="AR43" s="131"/>
      <c r="AS43" s="134"/>
      <c r="AT43" s="180"/>
      <c r="AU43" s="131"/>
      <c r="AV43" s="185"/>
      <c r="AW43" s="131"/>
      <c r="AX43" s="185"/>
      <c r="AY43" s="131"/>
      <c r="AZ43" s="185"/>
      <c r="BA43" s="131"/>
      <c r="BB43" s="185"/>
      <c r="BC43" s="131"/>
      <c r="BD43" s="185"/>
      <c r="BE43" s="131"/>
      <c r="BF43" s="185"/>
      <c r="BG43" s="131"/>
      <c r="BH43" s="185"/>
      <c r="BI43" s="131"/>
      <c r="BJ43" s="185"/>
      <c r="BK43" s="131"/>
      <c r="BL43" s="185"/>
      <c r="BM43" s="131"/>
      <c r="BN43" s="185"/>
      <c r="BO43" s="131"/>
      <c r="BP43" s="134"/>
      <c r="BQ43" s="131"/>
      <c r="BR43" s="134"/>
      <c r="BS43" s="133"/>
      <c r="BT43" s="131"/>
      <c r="BU43" s="134"/>
      <c r="BV43" s="131"/>
      <c r="BW43" s="134"/>
      <c r="BX43" s="131"/>
      <c r="BY43" s="134"/>
      <c r="BZ43" s="131"/>
      <c r="CA43" s="134"/>
      <c r="CB43" s="133"/>
      <c r="CC43" s="131"/>
      <c r="CD43" s="134"/>
      <c r="CE43" s="133"/>
      <c r="CF43" s="131"/>
      <c r="CG43" s="134"/>
      <c r="CH43" s="133"/>
      <c r="CI43" s="131"/>
      <c r="CJ43" s="134"/>
      <c r="CK43" s="133"/>
      <c r="CL43" s="131"/>
      <c r="CM43" s="134"/>
      <c r="CN43" s="133"/>
      <c r="CO43" s="131"/>
      <c r="CP43" s="134"/>
      <c r="CQ43" s="133"/>
      <c r="CR43" s="131"/>
      <c r="CS43" s="134"/>
      <c r="CT43" s="133"/>
      <c r="CU43" s="131"/>
      <c r="CV43" s="134"/>
      <c r="CW43" s="133"/>
      <c r="CX43" s="131"/>
      <c r="CY43" s="134"/>
      <c r="CZ43" s="133"/>
      <c r="DA43" s="140"/>
      <c r="DB43" s="141"/>
      <c r="DC43" s="142"/>
      <c r="DD43" s="140"/>
      <c r="DE43" s="141"/>
      <c r="DF43" s="142"/>
      <c r="DG43" s="140"/>
      <c r="DH43" s="141"/>
      <c r="DI43" s="142"/>
      <c r="DJ43" s="140"/>
      <c r="DK43" s="141"/>
      <c r="DL43" s="142"/>
      <c r="DM43" s="140"/>
      <c r="DN43" s="141"/>
      <c r="DO43" s="142"/>
      <c r="DP43" s="140"/>
      <c r="DQ43" s="141"/>
      <c r="DR43" s="142"/>
      <c r="DS43" s="140"/>
      <c r="DT43" s="141"/>
      <c r="DU43" s="142"/>
      <c r="DV43" s="140"/>
      <c r="DW43" s="141"/>
      <c r="DX43" s="142"/>
      <c r="DY43" s="140"/>
      <c r="DZ43" s="141"/>
      <c r="EA43" s="142"/>
      <c r="EB43" s="140"/>
      <c r="EC43" s="141"/>
      <c r="ED43" s="142"/>
      <c r="EE43" s="140"/>
      <c r="EF43" s="141"/>
      <c r="EG43" s="142"/>
      <c r="EH43" s="140"/>
      <c r="EI43" s="141"/>
      <c r="EJ43" s="142"/>
      <c r="EK43" s="140"/>
      <c r="EL43" s="141"/>
      <c r="EM43" s="142"/>
      <c r="EN43" s="140"/>
      <c r="EO43" s="141"/>
      <c r="EP43" s="142"/>
      <c r="EQ43" s="140"/>
      <c r="ER43" s="141"/>
      <c r="ES43" s="142"/>
      <c r="ET43" s="140"/>
      <c r="EU43" s="141"/>
      <c r="EV43" s="142"/>
      <c r="EW43" s="140"/>
      <c r="EX43" s="141"/>
      <c r="EY43" s="142"/>
      <c r="EZ43" s="140"/>
      <c r="FA43" s="141"/>
      <c r="FB43" s="142"/>
      <c r="FC43" s="140"/>
      <c r="FD43" s="141"/>
      <c r="FE43" s="142"/>
      <c r="FF43" s="140"/>
      <c r="FG43" s="141"/>
      <c r="FH43" s="142"/>
      <c r="FI43" s="140"/>
      <c r="FJ43" s="141"/>
      <c r="FK43" s="142"/>
      <c r="FL43" s="140"/>
      <c r="FM43" s="141"/>
      <c r="FN43" s="142"/>
      <c r="FO43" s="140">
        <f>+'1894 Hacienda'!F30</f>
        <v>1720</v>
      </c>
      <c r="FP43" s="141"/>
      <c r="FQ43" s="142"/>
      <c r="FR43" s="140">
        <f>+'1896 Hacienda'!C31</f>
        <v>645</v>
      </c>
      <c r="FS43" s="141"/>
      <c r="FT43" s="142"/>
      <c r="FU43" s="140">
        <f>+'1896 Hacienda'!F31</f>
        <v>2075</v>
      </c>
      <c r="FV43" s="141"/>
      <c r="FW43" s="142"/>
      <c r="FX43" s="140">
        <f>+'1896 Hacienda'!L31</f>
        <v>2295</v>
      </c>
      <c r="FY43" s="141"/>
      <c r="FZ43" s="142"/>
      <c r="GA43" s="140">
        <f>+'1898 Hacienda'!E29</f>
        <v>1655</v>
      </c>
      <c r="GB43" s="141"/>
      <c r="GC43" s="142"/>
      <c r="GD43" s="140">
        <f>+'1898 Hacienda'!K29</f>
        <v>1375</v>
      </c>
      <c r="GE43" s="141"/>
      <c r="GF43" s="142"/>
      <c r="GG43" s="140"/>
      <c r="GH43" s="141"/>
      <c r="GI43" s="142"/>
      <c r="GJ43" s="140"/>
      <c r="GK43" s="141"/>
      <c r="GL43" s="142"/>
      <c r="GM43" s="140"/>
      <c r="GN43" s="141"/>
      <c r="GO43" s="142"/>
      <c r="GP43" s="140"/>
      <c r="GQ43" s="141"/>
      <c r="GR43" s="142"/>
      <c r="GS43" s="140"/>
      <c r="GT43" s="141"/>
      <c r="GU43" s="142"/>
      <c r="GV43" s="140"/>
      <c r="GW43" s="141"/>
      <c r="GX43" s="142"/>
      <c r="GY43" s="164"/>
      <c r="GZ43" s="134"/>
      <c r="HA43" s="185"/>
      <c r="HB43" s="131">
        <f>'1910 Hacienda'!C12</f>
        <v>385</v>
      </c>
      <c r="HC43" s="307">
        <f>'1910 Hacienda'!D12</f>
        <v>0</v>
      </c>
      <c r="HD43" s="131">
        <f>'1910 Hacienda'!C37</f>
        <v>750</v>
      </c>
      <c r="HE43" s="307">
        <f>'1910 Hacienda'!D37</f>
        <v>40</v>
      </c>
      <c r="HF43" s="131">
        <f>'1910 Hacienda'!C66</f>
        <v>514</v>
      </c>
      <c r="HG43" s="307">
        <f>'1910 Hacienda'!D66</f>
        <v>60</v>
      </c>
      <c r="HH43" s="131">
        <f>'1910 Hacienda'!C93</f>
        <v>339</v>
      </c>
      <c r="HI43" s="307">
        <f>'1910 Hacienda'!D93</f>
        <v>80</v>
      </c>
      <c r="HJ43" s="131">
        <f>'1910 Hacienda'!C139</f>
        <v>295</v>
      </c>
      <c r="HK43" s="307">
        <f>'1910 Hacienda'!D139</f>
        <v>60</v>
      </c>
      <c r="HL43" s="131">
        <f>+'1911 Hacienda'!B35</f>
        <v>328</v>
      </c>
      <c r="HM43" s="307">
        <f>+'1911 Hacienda'!C35</f>
        <v>60</v>
      </c>
      <c r="HN43" s="131"/>
      <c r="HO43" s="307"/>
      <c r="HP43" s="131">
        <f>+'1912 Hacienda'!B20</f>
        <v>578</v>
      </c>
      <c r="HQ43" s="307">
        <f>+'1912 Hacienda'!C20</f>
        <v>60</v>
      </c>
      <c r="HR43" s="131"/>
      <c r="HS43" s="307"/>
      <c r="HT43" s="131"/>
      <c r="HU43" s="307"/>
    </row>
    <row r="44" spans="1:229" x14ac:dyDescent="0.2">
      <c r="A44" s="134" t="s">
        <v>5894</v>
      </c>
      <c r="B44" s="131"/>
      <c r="C44" s="134"/>
      <c r="D44" s="133"/>
      <c r="E44" s="131"/>
      <c r="F44" s="134"/>
      <c r="G44" s="133"/>
      <c r="H44" s="131"/>
      <c r="I44" s="134"/>
      <c r="J44" s="133"/>
      <c r="K44" s="131"/>
      <c r="L44" s="134"/>
      <c r="M44" s="133"/>
      <c r="N44" s="131"/>
      <c r="O44" s="134"/>
      <c r="P44" s="133"/>
      <c r="Q44" s="131"/>
      <c r="R44" s="134"/>
      <c r="S44" s="133"/>
      <c r="T44" s="131"/>
      <c r="U44" s="134"/>
      <c r="V44" s="133"/>
      <c r="W44" s="131"/>
      <c r="X44" s="134"/>
      <c r="Y44" s="133"/>
      <c r="Z44" s="131"/>
      <c r="AA44" s="134"/>
      <c r="AB44" s="133"/>
      <c r="AC44" s="131"/>
      <c r="AD44" s="134"/>
      <c r="AE44" s="133"/>
      <c r="AF44" s="131"/>
      <c r="AG44" s="134"/>
      <c r="AH44" s="133"/>
      <c r="AI44" s="145"/>
      <c r="AJ44" s="134"/>
      <c r="AK44" s="133"/>
      <c r="AL44" s="131"/>
      <c r="AM44" s="134"/>
      <c r="AN44" s="133"/>
      <c r="AO44" s="131"/>
      <c r="AP44" s="134"/>
      <c r="AQ44" s="133"/>
      <c r="AR44" s="131"/>
      <c r="AS44" s="134"/>
      <c r="AT44" s="180"/>
      <c r="AU44" s="131"/>
      <c r="AV44" s="185"/>
      <c r="AW44" s="131"/>
      <c r="AX44" s="185"/>
      <c r="AY44" s="131"/>
      <c r="AZ44" s="185"/>
      <c r="BA44" s="131"/>
      <c r="BB44" s="185"/>
      <c r="BC44" s="131"/>
      <c r="BD44" s="185"/>
      <c r="BE44" s="131"/>
      <c r="BF44" s="185"/>
      <c r="BG44" s="131"/>
      <c r="BH44" s="185"/>
      <c r="BI44" s="131"/>
      <c r="BJ44" s="185"/>
      <c r="BK44" s="131"/>
      <c r="BL44" s="185"/>
      <c r="BM44" s="131"/>
      <c r="BN44" s="185"/>
      <c r="BO44" s="131"/>
      <c r="BP44" s="134"/>
      <c r="BQ44" s="131"/>
      <c r="BR44" s="134"/>
      <c r="BS44" s="133"/>
      <c r="BT44" s="131"/>
      <c r="BU44" s="134"/>
      <c r="BV44" s="131"/>
      <c r="BW44" s="134"/>
      <c r="BX44" s="131"/>
      <c r="BY44" s="134"/>
      <c r="BZ44" s="131"/>
      <c r="CA44" s="134"/>
      <c r="CB44" s="133"/>
      <c r="CC44" s="131"/>
      <c r="CD44" s="134"/>
      <c r="CE44" s="133"/>
      <c r="CF44" s="131"/>
      <c r="CG44" s="134"/>
      <c r="CH44" s="133"/>
      <c r="CI44" s="131"/>
      <c r="CJ44" s="134"/>
      <c r="CK44" s="133"/>
      <c r="CL44" s="131"/>
      <c r="CM44" s="134"/>
      <c r="CN44" s="133"/>
      <c r="CO44" s="131"/>
      <c r="CP44" s="134"/>
      <c r="CQ44" s="133"/>
      <c r="CR44" s="131"/>
      <c r="CS44" s="134"/>
      <c r="CT44" s="133"/>
      <c r="CU44" s="131"/>
      <c r="CV44" s="134"/>
      <c r="CW44" s="133"/>
      <c r="CX44" s="131"/>
      <c r="CY44" s="134"/>
      <c r="CZ44" s="133"/>
      <c r="DA44" s="140"/>
      <c r="DB44" s="141"/>
      <c r="DC44" s="142"/>
      <c r="DD44" s="140"/>
      <c r="DE44" s="141"/>
      <c r="DF44" s="142"/>
      <c r="DG44" s="140"/>
      <c r="DH44" s="141"/>
      <c r="DI44" s="142"/>
      <c r="DJ44" s="140"/>
      <c r="DK44" s="141"/>
      <c r="DL44" s="142"/>
      <c r="DM44" s="140"/>
      <c r="DN44" s="141"/>
      <c r="DO44" s="142"/>
      <c r="DP44" s="140"/>
      <c r="DQ44" s="141"/>
      <c r="DR44" s="142"/>
      <c r="DS44" s="140"/>
      <c r="DT44" s="141"/>
      <c r="DU44" s="142"/>
      <c r="DV44" s="140"/>
      <c r="DW44" s="141"/>
      <c r="DX44" s="142"/>
      <c r="DY44" s="140"/>
      <c r="DZ44" s="141"/>
      <c r="EA44" s="142"/>
      <c r="EB44" s="140"/>
      <c r="EC44" s="141"/>
      <c r="ED44" s="142"/>
      <c r="EE44" s="140"/>
      <c r="EF44" s="141"/>
      <c r="EG44" s="142"/>
      <c r="EH44" s="140"/>
      <c r="EI44" s="141"/>
      <c r="EJ44" s="142"/>
      <c r="EK44" s="140"/>
      <c r="EL44" s="141"/>
      <c r="EM44" s="142"/>
      <c r="EN44" s="140"/>
      <c r="EO44" s="141"/>
      <c r="EP44" s="142"/>
      <c r="EQ44" s="140"/>
      <c r="ER44" s="141"/>
      <c r="ES44" s="142"/>
      <c r="ET44" s="140"/>
      <c r="EU44" s="141"/>
      <c r="EV44" s="142"/>
      <c r="EW44" s="140"/>
      <c r="EX44" s="141"/>
      <c r="EY44" s="142"/>
      <c r="EZ44" s="140"/>
      <c r="FA44" s="141"/>
      <c r="FB44" s="142"/>
      <c r="FC44" s="140"/>
      <c r="FD44" s="141"/>
      <c r="FE44" s="142"/>
      <c r="FF44" s="140"/>
      <c r="FG44" s="141"/>
      <c r="FH44" s="142"/>
      <c r="FI44" s="140"/>
      <c r="FJ44" s="141"/>
      <c r="FK44" s="142"/>
      <c r="FL44" s="140"/>
      <c r="FM44" s="141"/>
      <c r="FN44" s="142"/>
      <c r="FO44" s="140"/>
      <c r="FP44" s="141"/>
      <c r="FQ44" s="142"/>
      <c r="FR44" s="140"/>
      <c r="FS44" s="141"/>
      <c r="FT44" s="142"/>
      <c r="FU44" s="140"/>
      <c r="FV44" s="141"/>
      <c r="FW44" s="142"/>
      <c r="FX44" s="140"/>
      <c r="FY44" s="141"/>
      <c r="FZ44" s="142"/>
      <c r="GA44" s="140"/>
      <c r="GB44" s="141"/>
      <c r="GC44" s="142"/>
      <c r="GD44" s="140"/>
      <c r="GE44" s="141"/>
      <c r="GF44" s="142"/>
      <c r="GG44" s="140"/>
      <c r="GH44" s="141"/>
      <c r="GI44" s="142"/>
      <c r="GJ44" s="140"/>
      <c r="GK44" s="141"/>
      <c r="GL44" s="142"/>
      <c r="GM44" s="140"/>
      <c r="GN44" s="141"/>
      <c r="GO44" s="142"/>
      <c r="GP44" s="140"/>
      <c r="GQ44" s="141"/>
      <c r="GR44" s="142"/>
      <c r="GS44" s="140"/>
      <c r="GT44" s="141"/>
      <c r="GU44" s="142"/>
      <c r="GV44" s="140"/>
      <c r="GW44" s="141"/>
      <c r="GX44" s="142"/>
      <c r="GY44" s="164"/>
      <c r="GZ44" s="134"/>
      <c r="HA44" s="185"/>
      <c r="HB44" s="131"/>
      <c r="HC44" s="307"/>
      <c r="HD44" s="131"/>
      <c r="HE44" s="307"/>
      <c r="HF44" s="131"/>
      <c r="HG44" s="307"/>
      <c r="HH44" s="131"/>
      <c r="HI44" s="307"/>
      <c r="HJ44" s="131"/>
      <c r="HK44" s="307"/>
      <c r="HL44" s="131"/>
      <c r="HM44" s="307"/>
      <c r="HN44" s="131"/>
      <c r="HO44" s="307"/>
      <c r="HP44" s="131"/>
      <c r="HQ44" s="307"/>
      <c r="HR44" s="131"/>
      <c r="HS44" s="307"/>
      <c r="HT44" s="131">
        <f>+'1915 Hacienda'!D26</f>
        <v>1019</v>
      </c>
      <c r="HU44" s="307">
        <f>+'1915 Hacienda'!E26</f>
        <v>20</v>
      </c>
    </row>
    <row r="45" spans="1:229" x14ac:dyDescent="0.2">
      <c r="A45" s="164" t="s">
        <v>5895</v>
      </c>
      <c r="B45" s="131"/>
      <c r="C45" s="134"/>
      <c r="D45" s="133"/>
      <c r="E45" s="131"/>
      <c r="F45" s="134"/>
      <c r="G45" s="133"/>
      <c r="H45" s="131"/>
      <c r="I45" s="134"/>
      <c r="J45" s="133"/>
      <c r="K45" s="131"/>
      <c r="L45" s="134"/>
      <c r="M45" s="133"/>
      <c r="N45" s="131"/>
      <c r="O45" s="134"/>
      <c r="P45" s="133"/>
      <c r="Q45" s="131"/>
      <c r="R45" s="134"/>
      <c r="S45" s="133"/>
      <c r="T45" s="131"/>
      <c r="U45" s="134"/>
      <c r="V45" s="133"/>
      <c r="W45" s="131"/>
      <c r="X45" s="134"/>
      <c r="Y45" s="133"/>
      <c r="Z45" s="131"/>
      <c r="AA45" s="134"/>
      <c r="AB45" s="133"/>
      <c r="AC45" s="131"/>
      <c r="AD45" s="134"/>
      <c r="AE45" s="133"/>
      <c r="AF45" s="131"/>
      <c r="AG45" s="134"/>
      <c r="AH45" s="133"/>
      <c r="AI45" s="145"/>
      <c r="AJ45" s="134"/>
      <c r="AK45" s="133"/>
      <c r="AL45" s="131"/>
      <c r="AM45" s="134"/>
      <c r="AN45" s="133"/>
      <c r="AO45" s="131"/>
      <c r="AP45" s="134"/>
      <c r="AQ45" s="133"/>
      <c r="AR45" s="131"/>
      <c r="AS45" s="134"/>
      <c r="AT45" s="180"/>
      <c r="AU45" s="131"/>
      <c r="AV45" s="185"/>
      <c r="AW45" s="131"/>
      <c r="AX45" s="185"/>
      <c r="AY45" s="131"/>
      <c r="AZ45" s="185"/>
      <c r="BA45" s="131"/>
      <c r="BB45" s="185"/>
      <c r="BC45" s="131"/>
      <c r="BD45" s="185"/>
      <c r="BE45" s="131"/>
      <c r="BF45" s="185"/>
      <c r="BG45" s="131"/>
      <c r="BH45" s="185"/>
      <c r="BI45" s="131"/>
      <c r="BJ45" s="185"/>
      <c r="BK45" s="131"/>
      <c r="BL45" s="185"/>
      <c r="BM45" s="131"/>
      <c r="BN45" s="185"/>
      <c r="BO45" s="131"/>
      <c r="BP45" s="134"/>
      <c r="BQ45" s="131"/>
      <c r="BR45" s="134"/>
      <c r="BS45" s="133"/>
      <c r="BT45" s="131"/>
      <c r="BU45" s="134"/>
      <c r="BV45" s="131"/>
      <c r="BW45" s="134"/>
      <c r="BX45" s="131"/>
      <c r="BY45" s="134"/>
      <c r="BZ45" s="131"/>
      <c r="CA45" s="134"/>
      <c r="CB45" s="133"/>
      <c r="CC45" s="131"/>
      <c r="CD45" s="134"/>
      <c r="CE45" s="133"/>
      <c r="CF45" s="131"/>
      <c r="CG45" s="134"/>
      <c r="CH45" s="133"/>
      <c r="CI45" s="131"/>
      <c r="CJ45" s="134"/>
      <c r="CK45" s="133"/>
      <c r="CL45" s="131"/>
      <c r="CM45" s="134"/>
      <c r="CN45" s="133"/>
      <c r="CO45" s="131"/>
      <c r="CP45" s="134"/>
      <c r="CQ45" s="133"/>
      <c r="CR45" s="131"/>
      <c r="CS45" s="134"/>
      <c r="CT45" s="133"/>
      <c r="CU45" s="131"/>
      <c r="CV45" s="134"/>
      <c r="CW45" s="133"/>
      <c r="CX45" s="131"/>
      <c r="CY45" s="134"/>
      <c r="CZ45" s="133"/>
      <c r="DA45" s="140"/>
      <c r="DB45" s="141"/>
      <c r="DC45" s="142"/>
      <c r="DD45" s="140"/>
      <c r="DE45" s="141"/>
      <c r="DF45" s="142"/>
      <c r="DG45" s="140"/>
      <c r="DH45" s="141"/>
      <c r="DI45" s="142"/>
      <c r="DJ45" s="140"/>
      <c r="DK45" s="141"/>
      <c r="DL45" s="142"/>
      <c r="DM45" s="140"/>
      <c r="DN45" s="141"/>
      <c r="DO45" s="142"/>
      <c r="DP45" s="140"/>
      <c r="DQ45" s="141"/>
      <c r="DR45" s="142"/>
      <c r="DS45" s="140"/>
      <c r="DT45" s="141"/>
      <c r="DU45" s="142"/>
      <c r="DV45" s="140"/>
      <c r="DW45" s="141"/>
      <c r="DX45" s="142"/>
      <c r="DY45" s="140"/>
      <c r="DZ45" s="141"/>
      <c r="EA45" s="142"/>
      <c r="EB45" s="140"/>
      <c r="EC45" s="141"/>
      <c r="ED45" s="142"/>
      <c r="EE45" s="140"/>
      <c r="EF45" s="141"/>
      <c r="EG45" s="142"/>
      <c r="EH45" s="140"/>
      <c r="EI45" s="141"/>
      <c r="EJ45" s="142"/>
      <c r="EK45" s="140"/>
      <c r="EL45" s="141"/>
      <c r="EM45" s="142"/>
      <c r="EN45" s="140"/>
      <c r="EO45" s="141"/>
      <c r="EP45" s="142"/>
      <c r="EQ45" s="140"/>
      <c r="ER45" s="141"/>
      <c r="ES45" s="142"/>
      <c r="ET45" s="140"/>
      <c r="EU45" s="141"/>
      <c r="EV45" s="142"/>
      <c r="EW45" s="140"/>
      <c r="EX45" s="141"/>
      <c r="EY45" s="142"/>
      <c r="EZ45" s="140"/>
      <c r="FA45" s="141"/>
      <c r="FB45" s="142"/>
      <c r="FC45" s="140"/>
      <c r="FD45" s="141"/>
      <c r="FE45" s="142"/>
      <c r="FF45" s="140"/>
      <c r="FG45" s="141"/>
      <c r="FH45" s="142"/>
      <c r="FI45" s="140"/>
      <c r="FJ45" s="141"/>
      <c r="FK45" s="142"/>
      <c r="FL45" s="140"/>
      <c r="FM45" s="141"/>
      <c r="FN45" s="142"/>
      <c r="FO45" s="140"/>
      <c r="FP45" s="141"/>
      <c r="FQ45" s="142"/>
      <c r="FR45" s="140"/>
      <c r="FS45" s="141"/>
      <c r="FT45" s="142"/>
      <c r="FU45" s="140"/>
      <c r="FV45" s="141"/>
      <c r="FW45" s="142"/>
      <c r="FX45" s="140"/>
      <c r="FY45" s="141"/>
      <c r="FZ45" s="142"/>
      <c r="GA45" s="140"/>
      <c r="GB45" s="141"/>
      <c r="GC45" s="142"/>
      <c r="GD45" s="140"/>
      <c r="GE45" s="141"/>
      <c r="GF45" s="142"/>
      <c r="GG45" s="140"/>
      <c r="GH45" s="141"/>
      <c r="GI45" s="142"/>
      <c r="GJ45" s="140"/>
      <c r="GK45" s="141"/>
      <c r="GL45" s="142"/>
      <c r="GM45" s="140"/>
      <c r="GN45" s="141"/>
      <c r="GO45" s="142"/>
      <c r="GP45" s="140"/>
      <c r="GQ45" s="141"/>
      <c r="GR45" s="142"/>
      <c r="GS45" s="140"/>
      <c r="GT45" s="141"/>
      <c r="GU45" s="142"/>
      <c r="GV45" s="140"/>
      <c r="GW45" s="141"/>
      <c r="GX45" s="142"/>
      <c r="GY45" s="164"/>
      <c r="GZ45" s="134"/>
      <c r="HA45" s="185"/>
      <c r="HB45" s="131"/>
      <c r="HC45" s="307"/>
      <c r="HD45" s="131"/>
      <c r="HE45" s="307"/>
      <c r="HF45" s="131"/>
      <c r="HG45" s="307"/>
      <c r="HH45" s="131"/>
      <c r="HI45" s="307"/>
      <c r="HJ45" s="131"/>
      <c r="HK45" s="307"/>
      <c r="HL45" s="131"/>
      <c r="HM45" s="307"/>
      <c r="HN45" s="131"/>
      <c r="HO45" s="307"/>
      <c r="HP45" s="131"/>
      <c r="HQ45" s="307"/>
      <c r="HR45" s="131"/>
      <c r="HS45" s="307"/>
      <c r="HT45" s="131">
        <f>+'1915 Hacienda'!D30</f>
        <v>127588</v>
      </c>
      <c r="HU45" s="307">
        <f>+'1915 Hacienda'!E30</f>
        <v>81</v>
      </c>
    </row>
    <row r="46" spans="1:229" x14ac:dyDescent="0.2">
      <c r="A46" s="134" t="s">
        <v>5428</v>
      </c>
      <c r="B46" s="131"/>
      <c r="C46" s="134"/>
      <c r="D46" s="133"/>
      <c r="E46" s="131"/>
      <c r="F46" s="134"/>
      <c r="G46" s="133"/>
      <c r="H46" s="131"/>
      <c r="I46" s="134"/>
      <c r="J46" s="133"/>
      <c r="K46" s="131"/>
      <c r="L46" s="134"/>
      <c r="M46" s="133"/>
      <c r="N46" s="131"/>
      <c r="O46" s="134"/>
      <c r="P46" s="133"/>
      <c r="Q46" s="131"/>
      <c r="R46" s="134"/>
      <c r="S46" s="133"/>
      <c r="T46" s="131"/>
      <c r="U46" s="134"/>
      <c r="V46" s="133"/>
      <c r="W46" s="131"/>
      <c r="X46" s="134"/>
      <c r="Y46" s="133"/>
      <c r="Z46" s="131"/>
      <c r="AA46" s="134"/>
      <c r="AB46" s="133"/>
      <c r="AC46" s="131"/>
      <c r="AD46" s="134"/>
      <c r="AE46" s="133"/>
      <c r="AF46" s="131"/>
      <c r="AG46" s="134"/>
      <c r="AH46" s="133"/>
      <c r="AI46" s="145"/>
      <c r="AJ46" s="134"/>
      <c r="AK46" s="133"/>
      <c r="AL46" s="131"/>
      <c r="AM46" s="134"/>
      <c r="AN46" s="133"/>
      <c r="AO46" s="131"/>
      <c r="AP46" s="134"/>
      <c r="AQ46" s="133"/>
      <c r="AR46" s="131"/>
      <c r="AS46" s="134"/>
      <c r="AT46" s="180"/>
      <c r="AU46" s="131"/>
      <c r="AV46" s="185"/>
      <c r="AW46" s="131"/>
      <c r="AX46" s="185"/>
      <c r="AY46" s="131"/>
      <c r="AZ46" s="185"/>
      <c r="BA46" s="131">
        <f>+'1858 Hacienda'!B495</f>
        <v>17067</v>
      </c>
      <c r="BB46" s="185">
        <f>+'1858 Hacienda'!C495</f>
        <v>606</v>
      </c>
      <c r="BC46" s="131"/>
      <c r="BD46" s="185"/>
      <c r="BE46" s="131">
        <f>+'1858 Hacienda'!B1049</f>
        <v>25349</v>
      </c>
      <c r="BF46" s="185">
        <f>+'1858 Hacienda'!C1049</f>
        <v>168</v>
      </c>
      <c r="BG46" s="131">
        <f>+'1858 Hacienda'!B1069</f>
        <v>16463</v>
      </c>
      <c r="BH46" s="185">
        <f>+'1858 Hacienda'!C1069</f>
        <v>435</v>
      </c>
      <c r="BI46" s="131">
        <f>+'1858 Hacienda'!B1089</f>
        <v>57773</v>
      </c>
      <c r="BJ46" s="185">
        <f>+'1858 Hacienda'!C1089</f>
        <v>325</v>
      </c>
      <c r="BK46" s="131">
        <f>+'1858 Hacienda'!B1110</f>
        <v>30528</v>
      </c>
      <c r="BL46" s="185">
        <f>+'1858 Hacienda'!C1110</f>
        <v>145</v>
      </c>
      <c r="BM46" s="131">
        <f>+'1858 Hacienda'!B1123</f>
        <v>45813</v>
      </c>
      <c r="BN46" s="185">
        <f>+'1858 Hacienda'!C1123</f>
        <v>430</v>
      </c>
      <c r="BO46" s="131"/>
      <c r="BP46" s="134"/>
      <c r="BQ46" s="131">
        <f>+'1858 Hacienda'!B284</f>
        <v>22366</v>
      </c>
      <c r="BR46" s="134">
        <f>+'1858 Hacienda'!C284</f>
        <v>63</v>
      </c>
      <c r="BS46" s="133">
        <f>+'1858 Hacienda'!D284</f>
        <v>0</v>
      </c>
      <c r="BT46" s="131"/>
      <c r="BU46" s="134"/>
      <c r="BV46" s="131"/>
      <c r="BW46" s="134"/>
      <c r="BX46" s="131"/>
      <c r="BY46" s="134"/>
      <c r="BZ46" s="131"/>
      <c r="CA46" s="134"/>
      <c r="CB46" s="133"/>
      <c r="CC46" s="131"/>
      <c r="CD46" s="134"/>
      <c r="CE46" s="133"/>
      <c r="CF46" s="131"/>
      <c r="CG46" s="134"/>
      <c r="CH46" s="133"/>
      <c r="CI46" s="131">
        <f>+'1869 Hacienda'!B49</f>
        <v>76789</v>
      </c>
      <c r="CK46" s="133"/>
      <c r="CL46" s="131">
        <f>+'1869 Hacienda'!C49</f>
        <v>0</v>
      </c>
      <c r="CN46" s="133"/>
      <c r="CO46" s="131">
        <f>+'1869 Hacienda'!D49</f>
        <v>90927</v>
      </c>
      <c r="CQ46" s="133"/>
      <c r="CR46" s="131">
        <f>+'1869 Hacienda'!E49</f>
        <v>102200</v>
      </c>
      <c r="CT46" s="133"/>
      <c r="CU46" s="107">
        <f>+'1869 Hacienda'!F49</f>
        <v>14700</v>
      </c>
      <c r="CV46" s="134"/>
      <c r="CW46" s="133"/>
      <c r="CX46" s="131">
        <f>+'1869 Hacienda'!B10</f>
        <v>26600</v>
      </c>
      <c r="CY46" s="134"/>
      <c r="CZ46" s="133"/>
      <c r="DA46" s="140">
        <f>+'1872 Hacienda'!B11</f>
        <v>37271</v>
      </c>
      <c r="DB46" s="141">
        <f>+'1872 Hacienda'!C11</f>
        <v>50</v>
      </c>
      <c r="DC46" s="142">
        <f>+'1872 Hacienda'!D11</f>
        <v>0</v>
      </c>
      <c r="DD46" s="140"/>
      <c r="DE46" s="141"/>
      <c r="DF46" s="142"/>
      <c r="DG46" s="140"/>
      <c r="DH46" s="141"/>
      <c r="DI46" s="142"/>
      <c r="DJ46" s="140">
        <f>+'1875 Hacienda'!B15</f>
        <v>80000</v>
      </c>
      <c r="DK46" s="141"/>
      <c r="DL46" s="142"/>
      <c r="DM46" s="140"/>
      <c r="DN46" s="141"/>
      <c r="DO46" s="142"/>
      <c r="DP46" s="140"/>
      <c r="DQ46" s="141"/>
      <c r="DR46" s="142"/>
      <c r="DS46" s="140"/>
      <c r="DT46" s="141"/>
      <c r="DU46" s="142"/>
      <c r="DV46" s="140"/>
      <c r="DW46" s="141"/>
      <c r="DX46" s="142"/>
      <c r="DY46" s="140">
        <f>+'1880 Hacienda'!B7</f>
        <v>37200</v>
      </c>
      <c r="DZ46" s="141">
        <f>+'1880 Hacienda'!C7</f>
        <v>35</v>
      </c>
      <c r="EA46" s="142"/>
      <c r="EB46" s="140">
        <f>+'1881 Hacienda'!B7</f>
        <v>12560</v>
      </c>
      <c r="EC46" s="141">
        <f>+'1881 Hacienda'!C7</f>
        <v>738</v>
      </c>
      <c r="ED46" s="142"/>
      <c r="EE46" s="140">
        <f>+'1882 Hacienda'!B14</f>
        <v>2940</v>
      </c>
      <c r="EF46" s="141">
        <f>+'1882 Hacienda'!C14</f>
        <v>10</v>
      </c>
      <c r="EG46" s="142">
        <f>+'1882 Hacienda'!D14</f>
        <v>0</v>
      </c>
      <c r="EH46" s="140"/>
      <c r="EI46" s="141"/>
      <c r="EJ46" s="142"/>
      <c r="EK46" s="140"/>
      <c r="EL46" s="141"/>
      <c r="EM46" s="142"/>
      <c r="EN46" s="140"/>
      <c r="EO46" s="141"/>
      <c r="EP46" s="142"/>
      <c r="EQ46" s="140"/>
      <c r="ER46" s="141"/>
      <c r="ES46" s="142"/>
      <c r="ET46" s="140"/>
      <c r="EU46" s="141"/>
      <c r="EV46" s="142"/>
      <c r="EW46" s="140"/>
      <c r="EX46" s="141"/>
      <c r="EY46" s="142"/>
      <c r="EZ46" s="140"/>
      <c r="FA46" s="141"/>
      <c r="FB46" s="142"/>
      <c r="FC46" s="140">
        <f>+'1890 Hacienda'!B221</f>
        <v>42650</v>
      </c>
      <c r="FD46" s="141"/>
      <c r="FE46" s="142"/>
      <c r="FF46" s="140"/>
      <c r="FG46" s="141"/>
      <c r="FH46" s="142"/>
      <c r="FI46" s="140"/>
      <c r="FJ46" s="141"/>
      <c r="FK46" s="142"/>
      <c r="FL46" s="140"/>
      <c r="FM46" s="141"/>
      <c r="FN46" s="142"/>
      <c r="FO46" s="140">
        <f>+'1894 Hacienda'!F25</f>
        <v>18827</v>
      </c>
      <c r="FP46" s="141">
        <f>+'1894 Hacienda'!G25</f>
        <v>10</v>
      </c>
      <c r="FQ46" s="142"/>
      <c r="FR46" s="140">
        <f>+'1896 Hacienda'!C26</f>
        <v>3917</v>
      </c>
      <c r="FS46" s="141"/>
      <c r="FT46" s="142"/>
      <c r="FU46" s="140">
        <f>+'1896 Hacienda'!F26</f>
        <v>123486</v>
      </c>
      <c r="FV46" s="141">
        <f>+'1896 Hacienda'!G26</f>
        <v>20</v>
      </c>
      <c r="FW46" s="142"/>
      <c r="FX46" s="140">
        <f>+'1896 Hacienda'!L26</f>
        <v>5584</v>
      </c>
      <c r="FY46" s="141">
        <f>+'1896 Hacienda'!M26</f>
        <v>65</v>
      </c>
      <c r="FZ46" s="142"/>
      <c r="GA46" s="140">
        <f>+'1898 Hacienda'!E24</f>
        <v>10884</v>
      </c>
      <c r="GB46" s="141">
        <f>+'1898 Hacienda'!F24</f>
        <v>25</v>
      </c>
      <c r="GC46" s="142"/>
      <c r="GD46" s="140">
        <f>+'1898 Hacienda'!K24</f>
        <v>18959</v>
      </c>
      <c r="GE46" s="141">
        <f>+'1898 Hacienda'!L24</f>
        <v>40</v>
      </c>
      <c r="GF46" s="142"/>
      <c r="GG46" s="140"/>
      <c r="GH46" s="141"/>
      <c r="GI46" s="142"/>
      <c r="GJ46" s="140"/>
      <c r="GK46" s="141"/>
      <c r="GL46" s="142"/>
      <c r="GM46" s="140"/>
      <c r="GN46" s="141"/>
      <c r="GO46" s="142"/>
      <c r="GP46" s="140"/>
      <c r="GQ46" s="141"/>
      <c r="GR46" s="142"/>
      <c r="GS46" s="140"/>
      <c r="GT46" s="141"/>
      <c r="GU46" s="142"/>
      <c r="GV46" s="140"/>
      <c r="GW46" s="141"/>
      <c r="GX46" s="142"/>
      <c r="GY46" s="164"/>
      <c r="GZ46" s="134"/>
      <c r="HA46" s="185"/>
      <c r="HB46" s="131">
        <f>'1910 Hacienda'!C13</f>
        <v>7946</v>
      </c>
      <c r="HC46" s="307">
        <f>'1910 Hacienda'!D13</f>
        <v>83</v>
      </c>
      <c r="HD46" s="131">
        <f>'1910 Hacienda'!C38</f>
        <v>25590</v>
      </c>
      <c r="HE46" s="307">
        <f>'1910 Hacienda'!D38</f>
        <v>40</v>
      </c>
      <c r="HF46" s="131">
        <f>'1910 Hacienda'!C67</f>
        <v>17458</v>
      </c>
      <c r="HG46" s="307">
        <f>'1910 Hacienda'!D67</f>
        <v>77</v>
      </c>
      <c r="HH46" s="131">
        <f>'1910 Hacienda'!C94</f>
        <v>1011651</v>
      </c>
      <c r="HI46" s="307">
        <f>'1910 Hacienda'!D94</f>
        <v>38</v>
      </c>
      <c r="HJ46" s="131">
        <f>'1910 Hacienda'!C138</f>
        <v>20973</v>
      </c>
      <c r="HK46" s="307">
        <f>'1910 Hacienda'!D138</f>
        <v>28</v>
      </c>
      <c r="HL46" s="131">
        <f>+'1911 Hacienda'!B34</f>
        <v>38223</v>
      </c>
      <c r="HM46" s="307">
        <f>+'1911 Hacienda'!C34</f>
        <v>93</v>
      </c>
      <c r="HN46" s="131"/>
      <c r="HO46" s="307"/>
      <c r="HP46" s="131">
        <f>+'1912 Hacienda'!B19</f>
        <v>18277</v>
      </c>
      <c r="HQ46" s="307">
        <f>+'1912 Hacienda'!C19</f>
        <v>58</v>
      </c>
      <c r="HR46" s="131"/>
      <c r="HS46" s="307"/>
      <c r="HT46" s="131">
        <f>+'1915 Hacienda'!D6</f>
        <v>8750</v>
      </c>
      <c r="HU46" s="307">
        <f>+'1915 Hacienda'!E6</f>
        <v>97</v>
      </c>
    </row>
    <row r="47" spans="1:229" x14ac:dyDescent="0.2">
      <c r="A47" s="134" t="s">
        <v>5430</v>
      </c>
      <c r="B47" s="131"/>
      <c r="C47" s="134"/>
      <c r="D47" s="133"/>
      <c r="E47" s="131"/>
      <c r="F47" s="134"/>
      <c r="G47" s="133"/>
      <c r="H47" s="131"/>
      <c r="I47" s="134"/>
      <c r="J47" s="133"/>
      <c r="K47" s="131"/>
      <c r="L47" s="134"/>
      <c r="M47" s="133"/>
      <c r="N47" s="131"/>
      <c r="O47" s="134"/>
      <c r="P47" s="133"/>
      <c r="Q47" s="131"/>
      <c r="R47" s="134"/>
      <c r="S47" s="133"/>
      <c r="T47" s="131"/>
      <c r="U47" s="134"/>
      <c r="V47" s="133"/>
      <c r="W47" s="131"/>
      <c r="X47" s="134"/>
      <c r="Y47" s="133"/>
      <c r="Z47" s="131"/>
      <c r="AA47" s="134"/>
      <c r="AB47" s="133"/>
      <c r="AC47" s="131"/>
      <c r="AD47" s="134"/>
      <c r="AE47" s="133"/>
      <c r="AF47" s="131"/>
      <c r="AG47" s="134"/>
      <c r="AH47" s="133"/>
      <c r="AI47" s="145"/>
      <c r="AJ47" s="134"/>
      <c r="AK47" s="133"/>
      <c r="AL47" s="131"/>
      <c r="AM47" s="134"/>
      <c r="AN47" s="133"/>
      <c r="AO47" s="131"/>
      <c r="AP47" s="134"/>
      <c r="AQ47" s="133"/>
      <c r="AR47" s="131"/>
      <c r="AS47" s="134"/>
      <c r="AT47" s="180"/>
      <c r="AU47" s="131"/>
      <c r="AV47" s="185"/>
      <c r="AW47" s="131"/>
      <c r="AX47" s="185"/>
      <c r="AY47" s="131"/>
      <c r="AZ47" s="185"/>
      <c r="BA47" s="131"/>
      <c r="BB47" s="185"/>
      <c r="BC47" s="131"/>
      <c r="BD47" s="185"/>
      <c r="BE47" s="131"/>
      <c r="BF47" s="185"/>
      <c r="BG47" s="131"/>
      <c r="BH47" s="185"/>
      <c r="BI47" s="131"/>
      <c r="BJ47" s="185"/>
      <c r="BK47" s="131"/>
      <c r="BL47" s="185"/>
      <c r="BM47" s="131"/>
      <c r="BN47" s="185"/>
      <c r="BO47" s="131"/>
      <c r="BP47" s="134"/>
      <c r="BQ47" s="131"/>
      <c r="BR47" s="134"/>
      <c r="BS47" s="133"/>
      <c r="BT47" s="131"/>
      <c r="BU47" s="134"/>
      <c r="BV47" s="131"/>
      <c r="BW47" s="134"/>
      <c r="BX47" s="131"/>
      <c r="BY47" s="134"/>
      <c r="BZ47" s="131"/>
      <c r="CA47" s="134"/>
      <c r="CB47" s="133"/>
      <c r="CC47" s="131"/>
      <c r="CD47" s="134"/>
      <c r="CE47" s="133"/>
      <c r="CF47" s="131"/>
      <c r="CG47" s="134"/>
      <c r="CH47" s="133"/>
      <c r="CI47" s="131"/>
      <c r="CJ47" s="134"/>
      <c r="CK47" s="133"/>
      <c r="CL47" s="131"/>
      <c r="CM47" s="134"/>
      <c r="CN47" s="133"/>
      <c r="CO47" s="131"/>
      <c r="CP47" s="134"/>
      <c r="CQ47" s="133"/>
      <c r="CR47" s="131"/>
      <c r="CS47" s="134"/>
      <c r="CT47" s="133"/>
      <c r="CU47" s="131"/>
      <c r="CV47" s="134"/>
      <c r="CW47" s="133"/>
      <c r="CX47" s="131"/>
      <c r="CY47" s="134"/>
      <c r="CZ47" s="133"/>
      <c r="DA47" s="140"/>
      <c r="DB47" s="141"/>
      <c r="DC47" s="142"/>
      <c r="DD47" s="140"/>
      <c r="DE47" s="141"/>
      <c r="DF47" s="142"/>
      <c r="DG47" s="140"/>
      <c r="DH47" s="141"/>
      <c r="DI47" s="142"/>
      <c r="DJ47" s="140"/>
      <c r="DK47" s="141"/>
      <c r="DL47" s="142"/>
      <c r="DM47" s="140"/>
      <c r="DN47" s="141"/>
      <c r="DO47" s="142"/>
      <c r="DP47" s="140"/>
      <c r="DQ47" s="141"/>
      <c r="DR47" s="142"/>
      <c r="DS47" s="140"/>
      <c r="DT47" s="141"/>
      <c r="DU47" s="142"/>
      <c r="DV47" s="140"/>
      <c r="DW47" s="141"/>
      <c r="DX47" s="142"/>
      <c r="DY47" s="140"/>
      <c r="DZ47" s="141"/>
      <c r="EA47" s="142"/>
      <c r="EB47" s="140"/>
      <c r="EC47" s="141"/>
      <c r="ED47" s="142"/>
      <c r="EE47" s="140"/>
      <c r="EF47" s="141"/>
      <c r="EG47" s="142"/>
      <c r="EH47" s="140"/>
      <c r="EI47" s="141"/>
      <c r="EJ47" s="142"/>
      <c r="EK47" s="140"/>
      <c r="EL47" s="141"/>
      <c r="EM47" s="142"/>
      <c r="EN47" s="140"/>
      <c r="EO47" s="141"/>
      <c r="EP47" s="142"/>
      <c r="EQ47" s="140"/>
      <c r="ER47" s="141"/>
      <c r="ES47" s="142"/>
      <c r="ET47" s="140"/>
      <c r="EU47" s="141"/>
      <c r="EV47" s="142"/>
      <c r="EW47" s="140"/>
      <c r="EX47" s="141"/>
      <c r="EY47" s="142"/>
      <c r="EZ47" s="140"/>
      <c r="FA47" s="141"/>
      <c r="FB47" s="142"/>
      <c r="FC47" s="140">
        <f>+'1890 Hacienda'!B229</f>
        <v>1423</v>
      </c>
      <c r="FD47" s="141">
        <f>+'1890 Hacienda'!C229</f>
        <v>50</v>
      </c>
      <c r="FE47" s="142"/>
      <c r="FF47" s="140">
        <f>+'1890 Hacienda'!E229</f>
        <v>2212</v>
      </c>
      <c r="FG47" s="141">
        <f>+'1890 Hacienda'!F229</f>
        <v>35</v>
      </c>
      <c r="FH47" s="142"/>
      <c r="FI47" s="140"/>
      <c r="FJ47" s="141"/>
      <c r="FK47" s="142"/>
      <c r="FL47" s="140">
        <f>+'1894 Hacienda'!C24</f>
        <v>1938</v>
      </c>
      <c r="FM47" s="141">
        <f>+'1894 Hacienda'!D24</f>
        <v>5</v>
      </c>
      <c r="FN47" s="142"/>
      <c r="FO47" s="140">
        <f>+'1894 Hacienda'!F24</f>
        <v>2170</v>
      </c>
      <c r="FP47" s="141">
        <f>+'1894 Hacienda'!G24</f>
        <v>35</v>
      </c>
      <c r="FQ47" s="142"/>
      <c r="FR47" s="140">
        <f>+'1896 Hacienda'!C25</f>
        <v>3440</v>
      </c>
      <c r="FS47" s="141">
        <f>+'1896 Hacienda'!D25</f>
        <v>20</v>
      </c>
      <c r="FT47" s="142"/>
      <c r="FU47" s="140">
        <f>+'1896 Hacienda'!F25</f>
        <v>5886</v>
      </c>
      <c r="FV47" s="141">
        <f>+'1896 Hacienda'!G25</f>
        <v>75</v>
      </c>
      <c r="FW47" s="142"/>
      <c r="FX47" s="140">
        <f>+'1896 Hacienda'!L25</f>
        <v>7016</v>
      </c>
      <c r="FY47" s="141">
        <f>+'1896 Hacienda'!M25</f>
        <v>95</v>
      </c>
      <c r="FZ47" s="142"/>
      <c r="GA47" s="140">
        <f>+'1898 Hacienda'!E23</f>
        <v>17187</v>
      </c>
      <c r="GB47" s="141">
        <f>+'1898 Hacienda'!F23</f>
        <v>60</v>
      </c>
      <c r="GC47" s="142"/>
      <c r="GD47" s="140">
        <f>+'1898 Hacienda'!K23</f>
        <v>20947</v>
      </c>
      <c r="GE47" s="141">
        <f>+'1898 Hacienda'!L23</f>
        <v>60</v>
      </c>
      <c r="GF47" s="142"/>
      <c r="GG47" s="140"/>
      <c r="GH47" s="141"/>
      <c r="GI47" s="142"/>
      <c r="GJ47" s="140"/>
      <c r="GK47" s="141"/>
      <c r="GL47" s="142"/>
      <c r="GM47" s="140"/>
      <c r="GN47" s="141"/>
      <c r="GO47" s="142"/>
      <c r="GP47" s="140"/>
      <c r="GQ47" s="141"/>
      <c r="GR47" s="142"/>
      <c r="GS47" s="140"/>
      <c r="GT47" s="141"/>
      <c r="GU47" s="142"/>
      <c r="GV47" s="140"/>
      <c r="GW47" s="141"/>
      <c r="GX47" s="142"/>
      <c r="GY47" s="164"/>
      <c r="GZ47" s="134"/>
      <c r="HA47" s="185"/>
      <c r="HB47" s="131">
        <f>'1910 Hacienda'!C16</f>
        <v>62953</v>
      </c>
      <c r="HC47" s="307">
        <f>'1910 Hacienda'!D16</f>
        <v>61</v>
      </c>
      <c r="HD47" s="131">
        <f>'1910 Hacienda'!C40</f>
        <v>250169</v>
      </c>
      <c r="HE47" s="307">
        <f>'1910 Hacienda'!D40</f>
        <v>36</v>
      </c>
      <c r="HF47" s="131">
        <f>'1910 Hacienda'!C68</f>
        <v>130209</v>
      </c>
      <c r="HG47" s="307">
        <f>'1910 Hacienda'!D68</f>
        <v>92</v>
      </c>
      <c r="HH47" s="131">
        <f>'1910 Hacienda'!C88</f>
        <v>139278</v>
      </c>
      <c r="HI47" s="307">
        <f>'1910 Hacienda'!D88</f>
        <v>26</v>
      </c>
      <c r="HJ47" s="131">
        <f>'1910 Hacienda'!C130</f>
        <v>139658</v>
      </c>
      <c r="HK47" s="307">
        <f>'1910 Hacienda'!D130</f>
        <v>25</v>
      </c>
      <c r="HL47" s="131">
        <f>+'1911 Hacienda'!B26</f>
        <v>181243</v>
      </c>
      <c r="HM47" s="307">
        <f>+'1911 Hacienda'!C26</f>
        <v>98</v>
      </c>
      <c r="HN47" s="131"/>
      <c r="HO47" s="307"/>
      <c r="HP47" s="131">
        <f>+'1912 Hacienda'!B6</f>
        <v>254419</v>
      </c>
      <c r="HQ47" s="307">
        <f>+'1912 Hacienda'!C6</f>
        <v>41</v>
      </c>
      <c r="HR47" s="131"/>
      <c r="HS47" s="307"/>
      <c r="HT47" s="131">
        <f>+'1915 Hacienda'!D15</f>
        <v>73811</v>
      </c>
      <c r="HU47" s="307">
        <f>+'1915 Hacienda'!E15</f>
        <v>55</v>
      </c>
    </row>
    <row r="48" spans="1:229" x14ac:dyDescent="0.2">
      <c r="A48" s="134" t="s">
        <v>5431</v>
      </c>
      <c r="B48" s="131"/>
      <c r="C48" s="134"/>
      <c r="D48" s="133"/>
      <c r="E48" s="131"/>
      <c r="F48" s="134"/>
      <c r="G48" s="133"/>
      <c r="H48" s="131"/>
      <c r="I48" s="134"/>
      <c r="J48" s="133"/>
      <c r="K48" s="131"/>
      <c r="L48" s="134"/>
      <c r="M48" s="133"/>
      <c r="N48" s="131"/>
      <c r="O48" s="134"/>
      <c r="P48" s="133"/>
      <c r="Q48" s="131"/>
      <c r="R48" s="134"/>
      <c r="S48" s="133"/>
      <c r="T48" s="131"/>
      <c r="U48" s="134"/>
      <c r="V48" s="133"/>
      <c r="W48" s="131"/>
      <c r="X48" s="134"/>
      <c r="Y48" s="133"/>
      <c r="Z48" s="131"/>
      <c r="AA48" s="134"/>
      <c r="AB48" s="133"/>
      <c r="AC48" s="131"/>
      <c r="AD48" s="134"/>
      <c r="AE48" s="133"/>
      <c r="AF48" s="131"/>
      <c r="AG48" s="134"/>
      <c r="AH48" s="133"/>
      <c r="AI48" s="145"/>
      <c r="AJ48" s="134"/>
      <c r="AK48" s="133"/>
      <c r="AL48" s="131"/>
      <c r="AM48" s="134"/>
      <c r="AN48" s="133"/>
      <c r="AO48" s="131"/>
      <c r="AP48" s="134"/>
      <c r="AQ48" s="133"/>
      <c r="AR48" s="131"/>
      <c r="AS48" s="134"/>
      <c r="AT48" s="180"/>
      <c r="AU48" s="131"/>
      <c r="AV48" s="185"/>
      <c r="AW48" s="131"/>
      <c r="AX48" s="185"/>
      <c r="AY48" s="131"/>
      <c r="AZ48" s="185"/>
      <c r="BA48" s="131"/>
      <c r="BB48" s="185"/>
      <c r="BC48" s="131"/>
      <c r="BD48" s="185"/>
      <c r="BE48" s="131"/>
      <c r="BF48" s="185"/>
      <c r="BG48" s="131"/>
      <c r="BH48" s="185"/>
      <c r="BI48" s="131"/>
      <c r="BJ48" s="185"/>
      <c r="BK48" s="131"/>
      <c r="BL48" s="185"/>
      <c r="BM48" s="131"/>
      <c r="BN48" s="185"/>
      <c r="BO48" s="131"/>
      <c r="BP48" s="134"/>
      <c r="BQ48" s="131"/>
      <c r="BR48" s="134"/>
      <c r="BS48" s="133"/>
      <c r="BT48" s="131"/>
      <c r="BU48" s="134"/>
      <c r="BV48" s="131"/>
      <c r="BW48" s="134"/>
      <c r="BX48" s="131"/>
      <c r="BY48" s="134"/>
      <c r="BZ48" s="131"/>
      <c r="CA48" s="134"/>
      <c r="CB48" s="133"/>
      <c r="CC48" s="131"/>
      <c r="CD48" s="134"/>
      <c r="CE48" s="133"/>
      <c r="CF48" s="131"/>
      <c r="CG48" s="134"/>
      <c r="CH48" s="133"/>
      <c r="CI48" s="131"/>
      <c r="CJ48" s="134"/>
      <c r="CK48" s="133"/>
      <c r="CL48" s="131"/>
      <c r="CM48" s="134"/>
      <c r="CN48" s="133"/>
      <c r="CO48" s="131"/>
      <c r="CP48" s="134"/>
      <c r="CQ48" s="133"/>
      <c r="CR48" s="131"/>
      <c r="CS48" s="134"/>
      <c r="CT48" s="133"/>
      <c r="CU48" s="131"/>
      <c r="CV48" s="134"/>
      <c r="CW48" s="133"/>
      <c r="CX48" s="131"/>
      <c r="CY48" s="134"/>
      <c r="CZ48" s="133"/>
      <c r="DA48" s="140"/>
      <c r="DB48" s="141"/>
      <c r="DC48" s="142"/>
      <c r="DD48" s="140"/>
      <c r="DE48" s="141"/>
      <c r="DF48" s="142"/>
      <c r="DG48" s="140"/>
      <c r="DH48" s="141"/>
      <c r="DI48" s="142"/>
      <c r="DJ48" s="140"/>
      <c r="DK48" s="141"/>
      <c r="DL48" s="142"/>
      <c r="DM48" s="140"/>
      <c r="DN48" s="141"/>
      <c r="DO48" s="142"/>
      <c r="DP48" s="140"/>
      <c r="DQ48" s="141"/>
      <c r="DR48" s="142"/>
      <c r="DS48" s="140"/>
      <c r="DT48" s="141"/>
      <c r="DU48" s="142"/>
      <c r="DV48" s="140"/>
      <c r="DW48" s="141"/>
      <c r="DX48" s="142"/>
      <c r="DY48" s="140"/>
      <c r="DZ48" s="141"/>
      <c r="EA48" s="142"/>
      <c r="EB48" s="140"/>
      <c r="EC48" s="141"/>
      <c r="ED48" s="142"/>
      <c r="EE48" s="140"/>
      <c r="EF48" s="141"/>
      <c r="EG48" s="142"/>
      <c r="EH48" s="140"/>
      <c r="EI48" s="141"/>
      <c r="EJ48" s="142"/>
      <c r="EK48" s="140"/>
      <c r="EL48" s="141"/>
      <c r="EM48" s="142"/>
      <c r="EN48" s="140"/>
      <c r="EO48" s="141"/>
      <c r="EP48" s="142"/>
      <c r="EQ48" s="140"/>
      <c r="ER48" s="141"/>
      <c r="ES48" s="142"/>
      <c r="ET48" s="140"/>
      <c r="EU48" s="141"/>
      <c r="EV48" s="142"/>
      <c r="EW48" s="140"/>
      <c r="EX48" s="141"/>
      <c r="EY48" s="142"/>
      <c r="EZ48" s="140"/>
      <c r="FA48" s="141"/>
      <c r="FB48" s="142"/>
      <c r="FC48" s="140"/>
      <c r="FD48" s="141"/>
      <c r="FE48" s="142"/>
      <c r="FF48" s="140"/>
      <c r="FG48" s="141"/>
      <c r="FH48" s="142"/>
      <c r="FI48" s="140"/>
      <c r="FJ48" s="141"/>
      <c r="FK48" s="142"/>
      <c r="FL48" s="140"/>
      <c r="FM48" s="141"/>
      <c r="FN48" s="142"/>
      <c r="FO48" s="140"/>
      <c r="FP48" s="141"/>
      <c r="FQ48" s="142"/>
      <c r="FR48" s="140"/>
      <c r="FS48" s="141"/>
      <c r="FT48" s="142"/>
      <c r="FU48" s="140"/>
      <c r="FV48" s="141"/>
      <c r="FW48" s="142"/>
      <c r="FX48" s="140"/>
      <c r="FY48" s="141"/>
      <c r="FZ48" s="142"/>
      <c r="GA48" s="140"/>
      <c r="GB48" s="141"/>
      <c r="GC48" s="142"/>
      <c r="GD48" s="140"/>
      <c r="GE48" s="141"/>
      <c r="GF48" s="142"/>
      <c r="GG48" s="140"/>
      <c r="GH48" s="141"/>
      <c r="GI48" s="142"/>
      <c r="GJ48" s="140"/>
      <c r="GK48" s="141"/>
      <c r="GL48" s="142"/>
      <c r="GM48" s="140"/>
      <c r="GN48" s="141"/>
      <c r="GO48" s="142"/>
      <c r="GP48" s="140"/>
      <c r="GQ48" s="141"/>
      <c r="GR48" s="142"/>
      <c r="GS48" s="140"/>
      <c r="GT48" s="141"/>
      <c r="GU48" s="142"/>
      <c r="GV48" s="140"/>
      <c r="GW48" s="141"/>
      <c r="GX48" s="142"/>
      <c r="GY48" s="164"/>
      <c r="GZ48" s="134"/>
      <c r="HA48" s="185"/>
      <c r="HB48" s="131">
        <f>'1910 Hacienda'!C17</f>
        <v>953869</v>
      </c>
      <c r="HC48" s="307">
        <f>'1910 Hacienda'!D17</f>
        <v>90</v>
      </c>
      <c r="HD48" s="131"/>
      <c r="HE48" s="307"/>
      <c r="HF48" s="131"/>
      <c r="HG48" s="307"/>
      <c r="HH48" s="131"/>
      <c r="HI48" s="307"/>
      <c r="HJ48" s="131"/>
      <c r="HK48" s="307"/>
      <c r="HL48" s="131"/>
      <c r="HM48" s="307"/>
      <c r="HN48" s="131"/>
      <c r="HO48" s="307"/>
      <c r="HP48" s="131"/>
      <c r="HQ48" s="307"/>
      <c r="HR48" s="131"/>
      <c r="HS48" s="307"/>
      <c r="HT48" s="131"/>
      <c r="HU48" s="307"/>
    </row>
    <row r="49" spans="1:229" x14ac:dyDescent="0.2">
      <c r="A49" s="134" t="s">
        <v>5440</v>
      </c>
      <c r="B49" s="131"/>
      <c r="C49" s="134"/>
      <c r="D49" s="133"/>
      <c r="E49" s="131"/>
      <c r="F49" s="134"/>
      <c r="G49" s="133"/>
      <c r="H49" s="131"/>
      <c r="I49" s="134"/>
      <c r="J49" s="133"/>
      <c r="K49" s="131"/>
      <c r="L49" s="134"/>
      <c r="M49" s="133"/>
      <c r="N49" s="131"/>
      <c r="O49" s="134"/>
      <c r="P49" s="133"/>
      <c r="Q49" s="131"/>
      <c r="R49" s="134"/>
      <c r="S49" s="133"/>
      <c r="T49" s="131"/>
      <c r="U49" s="134"/>
      <c r="V49" s="133"/>
      <c r="W49" s="131"/>
      <c r="X49" s="134"/>
      <c r="Y49" s="133"/>
      <c r="Z49" s="131"/>
      <c r="AA49" s="134"/>
      <c r="AB49" s="133"/>
      <c r="AC49" s="131"/>
      <c r="AD49" s="134"/>
      <c r="AE49" s="133"/>
      <c r="AF49" s="131"/>
      <c r="AG49" s="134"/>
      <c r="AH49" s="133"/>
      <c r="AI49" s="145"/>
      <c r="AJ49" s="134"/>
      <c r="AK49" s="133"/>
      <c r="AL49" s="131"/>
      <c r="AM49" s="134"/>
      <c r="AN49" s="133"/>
      <c r="AO49" s="131"/>
      <c r="AP49" s="134"/>
      <c r="AQ49" s="133"/>
      <c r="AR49" s="131"/>
      <c r="AS49" s="134"/>
      <c r="AT49" s="180"/>
      <c r="AU49" s="131"/>
      <c r="AV49" s="185"/>
      <c r="AW49" s="131"/>
      <c r="AX49" s="185"/>
      <c r="AY49" s="131"/>
      <c r="AZ49" s="185"/>
      <c r="BA49" s="131"/>
      <c r="BB49" s="185"/>
      <c r="BC49" s="131"/>
      <c r="BD49" s="185"/>
      <c r="BE49" s="131"/>
      <c r="BF49" s="185"/>
      <c r="BG49" s="131"/>
      <c r="BH49" s="185"/>
      <c r="BI49" s="131"/>
      <c r="BJ49" s="185"/>
      <c r="BK49" s="131"/>
      <c r="BL49" s="185"/>
      <c r="BM49" s="131"/>
      <c r="BN49" s="185"/>
      <c r="BO49" s="131"/>
      <c r="BP49" s="134"/>
      <c r="BQ49" s="131"/>
      <c r="BR49" s="134"/>
      <c r="BS49" s="133"/>
      <c r="BT49" s="131"/>
      <c r="BU49" s="134"/>
      <c r="BV49" s="131"/>
      <c r="BW49" s="134"/>
      <c r="BX49" s="131"/>
      <c r="BY49" s="134"/>
      <c r="BZ49" s="131"/>
      <c r="CA49" s="134"/>
      <c r="CB49" s="133"/>
      <c r="CC49" s="131"/>
      <c r="CD49" s="134"/>
      <c r="CE49" s="133"/>
      <c r="CF49" s="131"/>
      <c r="CG49" s="134"/>
      <c r="CH49" s="133"/>
      <c r="CI49" s="131"/>
      <c r="CJ49" s="134"/>
      <c r="CK49" s="133"/>
      <c r="CL49" s="131"/>
      <c r="CM49" s="134"/>
      <c r="CN49" s="133"/>
      <c r="CO49" s="131"/>
      <c r="CP49" s="134"/>
      <c r="CQ49" s="133"/>
      <c r="CR49" s="131"/>
      <c r="CS49" s="134"/>
      <c r="CT49" s="133"/>
      <c r="CU49" s="131"/>
      <c r="CV49" s="134"/>
      <c r="CW49" s="133"/>
      <c r="CX49" s="131"/>
      <c r="CY49" s="134"/>
      <c r="CZ49" s="133"/>
      <c r="DA49" s="140"/>
      <c r="DB49" s="141"/>
      <c r="DC49" s="142"/>
      <c r="DD49" s="140"/>
      <c r="DE49" s="141"/>
      <c r="DF49" s="142"/>
      <c r="DG49" s="140"/>
      <c r="DH49" s="141"/>
      <c r="DI49" s="142"/>
      <c r="DJ49" s="140"/>
      <c r="DK49" s="141"/>
      <c r="DL49" s="142"/>
      <c r="DM49" s="140"/>
      <c r="DN49" s="141"/>
      <c r="DO49" s="142"/>
      <c r="DP49" s="140"/>
      <c r="DQ49" s="141"/>
      <c r="DR49" s="142"/>
      <c r="DS49" s="140"/>
      <c r="DT49" s="141"/>
      <c r="DU49" s="142"/>
      <c r="DV49" s="140"/>
      <c r="DW49" s="141"/>
      <c r="DX49" s="142"/>
      <c r="DY49" s="140"/>
      <c r="DZ49" s="141"/>
      <c r="EA49" s="142"/>
      <c r="EB49" s="140"/>
      <c r="EC49" s="141"/>
      <c r="ED49" s="142"/>
      <c r="EE49" s="140"/>
      <c r="EF49" s="141"/>
      <c r="EG49" s="142"/>
      <c r="EH49" s="140"/>
      <c r="EI49" s="141"/>
      <c r="EJ49" s="142"/>
      <c r="EK49" s="140"/>
      <c r="EL49" s="141"/>
      <c r="EM49" s="142"/>
      <c r="EN49" s="140"/>
      <c r="EO49" s="141"/>
      <c r="EP49" s="142"/>
      <c r="EQ49" s="140"/>
      <c r="ER49" s="141"/>
      <c r="ES49" s="142"/>
      <c r="ET49" s="140"/>
      <c r="EU49" s="141"/>
      <c r="EV49" s="142"/>
      <c r="EW49" s="140"/>
      <c r="EX49" s="141"/>
      <c r="EY49" s="142"/>
      <c r="EZ49" s="140"/>
      <c r="FA49" s="141"/>
      <c r="FB49" s="142"/>
      <c r="FC49" s="140"/>
      <c r="FD49" s="141"/>
      <c r="FE49" s="142"/>
      <c r="FF49" s="140"/>
      <c r="FG49" s="141"/>
      <c r="FH49" s="142"/>
      <c r="FI49" s="140"/>
      <c r="FJ49" s="141"/>
      <c r="FK49" s="142"/>
      <c r="FL49" s="140"/>
      <c r="FM49" s="141"/>
      <c r="FN49" s="142"/>
      <c r="FO49" s="140"/>
      <c r="FP49" s="141"/>
      <c r="FQ49" s="142"/>
      <c r="FR49" s="140"/>
      <c r="FS49" s="141"/>
      <c r="FT49" s="142"/>
      <c r="FU49" s="140"/>
      <c r="FV49" s="141"/>
      <c r="FW49" s="142"/>
      <c r="FX49" s="140"/>
      <c r="FY49" s="141"/>
      <c r="FZ49" s="142"/>
      <c r="GA49" s="140"/>
      <c r="GB49" s="141"/>
      <c r="GC49" s="142"/>
      <c r="GD49" s="140"/>
      <c r="GE49" s="141"/>
      <c r="GF49" s="142"/>
      <c r="GG49" s="140"/>
      <c r="GH49" s="141"/>
      <c r="GI49" s="142"/>
      <c r="GJ49" s="140"/>
      <c r="GK49" s="141"/>
      <c r="GL49" s="142"/>
      <c r="GM49" s="140"/>
      <c r="GN49" s="141"/>
      <c r="GO49" s="142"/>
      <c r="GP49" s="140"/>
      <c r="GQ49" s="141"/>
      <c r="GR49" s="142"/>
      <c r="GS49" s="140"/>
      <c r="GT49" s="141"/>
      <c r="GU49" s="142"/>
      <c r="GV49" s="140"/>
      <c r="GW49" s="141"/>
      <c r="GX49" s="142"/>
      <c r="GY49" s="164"/>
      <c r="GZ49" s="134"/>
      <c r="HA49" s="185"/>
      <c r="HB49" s="131"/>
      <c r="HC49" s="307"/>
      <c r="HD49" s="131">
        <f>'1910 Hacienda'!C42</f>
        <v>1637228</v>
      </c>
      <c r="HE49" s="307">
        <f>'1910 Hacienda'!D42</f>
        <v>80</v>
      </c>
      <c r="HF49" s="131">
        <f>'1910 Hacienda'!C70</f>
        <v>2095001</v>
      </c>
      <c r="HG49" s="307">
        <f>'1910 Hacienda'!D70</f>
        <v>36</v>
      </c>
      <c r="HH49" s="131">
        <f>'1910 Hacienda'!C105</f>
        <v>2206991</v>
      </c>
      <c r="HI49" s="307">
        <f>'1910 Hacienda'!D105</f>
        <v>76</v>
      </c>
      <c r="HJ49" s="131"/>
      <c r="HK49" s="307"/>
      <c r="HL49" s="131"/>
      <c r="HM49" s="307"/>
      <c r="HN49" s="131"/>
      <c r="HO49" s="307"/>
      <c r="HP49" s="131"/>
      <c r="HQ49" s="307"/>
      <c r="HR49" s="131"/>
      <c r="HS49" s="307"/>
      <c r="HT49" s="131"/>
      <c r="HU49" s="307"/>
    </row>
    <row r="50" spans="1:229" x14ac:dyDescent="0.2">
      <c r="A50" s="134" t="s">
        <v>5476</v>
      </c>
      <c r="B50" s="131"/>
      <c r="C50" s="134"/>
      <c r="D50" s="133"/>
      <c r="E50" s="131"/>
      <c r="F50" s="134"/>
      <c r="G50" s="133"/>
      <c r="H50" s="131"/>
      <c r="I50" s="134"/>
      <c r="J50" s="133"/>
      <c r="K50" s="131"/>
      <c r="L50" s="134"/>
      <c r="M50" s="133"/>
      <c r="N50" s="131"/>
      <c r="O50" s="134"/>
      <c r="P50" s="133"/>
      <c r="Q50" s="131"/>
      <c r="R50" s="134"/>
      <c r="S50" s="133"/>
      <c r="T50" s="131"/>
      <c r="U50" s="134"/>
      <c r="V50" s="133"/>
      <c r="W50" s="131"/>
      <c r="X50" s="134"/>
      <c r="Y50" s="133"/>
      <c r="Z50" s="131"/>
      <c r="AA50" s="134"/>
      <c r="AB50" s="133"/>
      <c r="AC50" s="131"/>
      <c r="AD50" s="134"/>
      <c r="AE50" s="133"/>
      <c r="AF50" s="131"/>
      <c r="AG50" s="134"/>
      <c r="AH50" s="133"/>
      <c r="AI50" s="145"/>
      <c r="AJ50" s="134"/>
      <c r="AK50" s="133"/>
      <c r="AL50" s="131"/>
      <c r="AM50" s="134"/>
      <c r="AN50" s="133"/>
      <c r="AO50" s="131"/>
      <c r="AP50" s="134"/>
      <c r="AQ50" s="133"/>
      <c r="AR50" s="131"/>
      <c r="AS50" s="134"/>
      <c r="AT50" s="180"/>
      <c r="AU50" s="131"/>
      <c r="AV50" s="185"/>
      <c r="AW50" s="131"/>
      <c r="AX50" s="185"/>
      <c r="AY50" s="131"/>
      <c r="AZ50" s="185"/>
      <c r="BA50" s="131"/>
      <c r="BB50" s="185"/>
      <c r="BC50" s="131"/>
      <c r="BD50" s="185"/>
      <c r="BE50" s="131"/>
      <c r="BF50" s="185"/>
      <c r="BG50" s="131"/>
      <c r="BH50" s="185"/>
      <c r="BI50" s="131"/>
      <c r="BJ50" s="185"/>
      <c r="BK50" s="131"/>
      <c r="BL50" s="185"/>
      <c r="BM50" s="131"/>
      <c r="BN50" s="185"/>
      <c r="BO50" s="131"/>
      <c r="BP50" s="134"/>
      <c r="BQ50" s="131"/>
      <c r="BR50" s="134"/>
      <c r="BS50" s="133"/>
      <c r="BT50" s="131"/>
      <c r="BU50" s="134"/>
      <c r="BV50" s="131"/>
      <c r="BW50" s="134"/>
      <c r="BX50" s="131"/>
      <c r="BY50" s="134"/>
      <c r="BZ50" s="131"/>
      <c r="CA50" s="134"/>
      <c r="CB50" s="133"/>
      <c r="CC50" s="131"/>
      <c r="CD50" s="134"/>
      <c r="CE50" s="133"/>
      <c r="CF50" s="131"/>
      <c r="CG50" s="134"/>
      <c r="CH50" s="133"/>
      <c r="CI50" s="131"/>
      <c r="CJ50" s="134"/>
      <c r="CK50" s="133"/>
      <c r="CL50" s="131"/>
      <c r="CM50" s="134"/>
      <c r="CN50" s="133"/>
      <c r="CO50" s="131"/>
      <c r="CP50" s="134"/>
      <c r="CQ50" s="133"/>
      <c r="CR50" s="131"/>
      <c r="CS50" s="134"/>
      <c r="CT50" s="133"/>
      <c r="CU50" s="131"/>
      <c r="CV50" s="134"/>
      <c r="CW50" s="133"/>
      <c r="CX50" s="131"/>
      <c r="CY50" s="134"/>
      <c r="CZ50" s="133"/>
      <c r="DA50" s="140"/>
      <c r="DB50" s="141"/>
      <c r="DC50" s="142"/>
      <c r="DD50" s="140"/>
      <c r="DE50" s="141"/>
      <c r="DF50" s="142"/>
      <c r="DG50" s="140"/>
      <c r="DH50" s="141"/>
      <c r="DI50" s="142"/>
      <c r="DJ50" s="140"/>
      <c r="DK50" s="141"/>
      <c r="DL50" s="142"/>
      <c r="DM50" s="140"/>
      <c r="DN50" s="141"/>
      <c r="DO50" s="142"/>
      <c r="DP50" s="140"/>
      <c r="DQ50" s="141"/>
      <c r="DR50" s="142"/>
      <c r="DS50" s="140"/>
      <c r="DT50" s="141"/>
      <c r="DU50" s="142"/>
      <c r="DV50" s="140"/>
      <c r="DW50" s="141"/>
      <c r="DX50" s="142"/>
      <c r="DY50" s="140"/>
      <c r="DZ50" s="141"/>
      <c r="EA50" s="142"/>
      <c r="EB50" s="140"/>
      <c r="EC50" s="141"/>
      <c r="ED50" s="142"/>
      <c r="EE50" s="140"/>
      <c r="EF50" s="141"/>
      <c r="EG50" s="142"/>
      <c r="EH50" s="140"/>
      <c r="EI50" s="141"/>
      <c r="EJ50" s="142"/>
      <c r="EK50" s="140"/>
      <c r="EL50" s="141"/>
      <c r="EM50" s="142"/>
      <c r="EN50" s="140"/>
      <c r="EO50" s="141"/>
      <c r="EP50" s="142"/>
      <c r="EQ50" s="140"/>
      <c r="ER50" s="141"/>
      <c r="ES50" s="142"/>
      <c r="ET50" s="140"/>
      <c r="EU50" s="141"/>
      <c r="EV50" s="142"/>
      <c r="EW50" s="140"/>
      <c r="EX50" s="141"/>
      <c r="EY50" s="142"/>
      <c r="EZ50" s="140"/>
      <c r="FA50" s="141"/>
      <c r="FB50" s="142"/>
      <c r="FC50" s="140"/>
      <c r="FD50" s="141"/>
      <c r="FE50" s="142"/>
      <c r="FF50" s="140"/>
      <c r="FG50" s="141"/>
      <c r="FH50" s="142"/>
      <c r="FI50" s="140"/>
      <c r="FJ50" s="141"/>
      <c r="FK50" s="142"/>
      <c r="FL50" s="140"/>
      <c r="FM50" s="141"/>
      <c r="FN50" s="142"/>
      <c r="FO50" s="140"/>
      <c r="FP50" s="141"/>
      <c r="FQ50" s="142"/>
      <c r="FR50" s="140"/>
      <c r="FS50" s="141"/>
      <c r="FT50" s="142"/>
      <c r="FU50" s="140"/>
      <c r="FV50" s="141"/>
      <c r="FW50" s="142"/>
      <c r="FX50" s="140"/>
      <c r="FY50" s="141"/>
      <c r="FZ50" s="142"/>
      <c r="GA50" s="140"/>
      <c r="GB50" s="141"/>
      <c r="GC50" s="142"/>
      <c r="GD50" s="140"/>
      <c r="GE50" s="141"/>
      <c r="GF50" s="142"/>
      <c r="GG50" s="140"/>
      <c r="GH50" s="141"/>
      <c r="GI50" s="142"/>
      <c r="GJ50" s="140"/>
      <c r="GK50" s="141"/>
      <c r="GL50" s="142"/>
      <c r="GM50" s="140"/>
      <c r="GN50" s="141"/>
      <c r="GO50" s="142"/>
      <c r="GP50" s="140"/>
      <c r="GQ50" s="141"/>
      <c r="GR50" s="142"/>
      <c r="GS50" s="140"/>
      <c r="GT50" s="141"/>
      <c r="GU50" s="142"/>
      <c r="GV50" s="140"/>
      <c r="GW50" s="141"/>
      <c r="GX50" s="142"/>
      <c r="GY50" s="164"/>
      <c r="GZ50" s="134"/>
      <c r="HA50" s="185"/>
      <c r="HB50" s="131"/>
      <c r="HC50" s="307"/>
      <c r="HD50" s="131"/>
      <c r="HE50" s="307"/>
      <c r="HF50" s="131"/>
      <c r="HG50" s="307"/>
      <c r="HH50" s="131"/>
      <c r="HI50" s="307"/>
      <c r="HJ50" s="131">
        <f>'1910 Hacienda'!C147</f>
        <v>1743105</v>
      </c>
      <c r="HK50" s="307">
        <f>'1910 Hacienda'!D147</f>
        <v>27</v>
      </c>
      <c r="HL50" s="131"/>
      <c r="HM50" s="307"/>
      <c r="HN50" s="131"/>
      <c r="HO50" s="307"/>
      <c r="HP50" s="131"/>
      <c r="HQ50" s="307"/>
      <c r="HR50" s="131"/>
      <c r="HS50" s="307"/>
      <c r="HT50" s="131"/>
      <c r="HU50" s="307"/>
    </row>
    <row r="51" spans="1:229" x14ac:dyDescent="0.2">
      <c r="A51" s="134" t="s">
        <v>5477</v>
      </c>
      <c r="B51" s="131"/>
      <c r="C51" s="134"/>
      <c r="D51" s="133"/>
      <c r="E51" s="131"/>
      <c r="F51" s="134"/>
      <c r="G51" s="133"/>
      <c r="H51" s="131"/>
      <c r="I51" s="134"/>
      <c r="J51" s="133"/>
      <c r="K51" s="131"/>
      <c r="L51" s="134"/>
      <c r="M51" s="133"/>
      <c r="N51" s="131"/>
      <c r="O51" s="134"/>
      <c r="P51" s="133"/>
      <c r="Q51" s="131"/>
      <c r="R51" s="134"/>
      <c r="S51" s="133"/>
      <c r="T51" s="131"/>
      <c r="U51" s="134"/>
      <c r="V51" s="133"/>
      <c r="W51" s="131"/>
      <c r="X51" s="134"/>
      <c r="Y51" s="133"/>
      <c r="Z51" s="131"/>
      <c r="AA51" s="134"/>
      <c r="AB51" s="133"/>
      <c r="AC51" s="131"/>
      <c r="AD51" s="134"/>
      <c r="AE51" s="133"/>
      <c r="AF51" s="131"/>
      <c r="AG51" s="134"/>
      <c r="AH51" s="133"/>
      <c r="AI51" s="145"/>
      <c r="AJ51" s="134"/>
      <c r="AK51" s="133"/>
      <c r="AL51" s="131"/>
      <c r="AM51" s="134"/>
      <c r="AN51" s="133"/>
      <c r="AO51" s="131"/>
      <c r="AP51" s="134"/>
      <c r="AQ51" s="133"/>
      <c r="AR51" s="131"/>
      <c r="AS51" s="134"/>
      <c r="AT51" s="180"/>
      <c r="AU51" s="131"/>
      <c r="AV51" s="185"/>
      <c r="AW51" s="131"/>
      <c r="AX51" s="185"/>
      <c r="AY51" s="131"/>
      <c r="AZ51" s="185"/>
      <c r="BA51" s="131"/>
      <c r="BB51" s="185"/>
      <c r="BC51" s="131"/>
      <c r="BD51" s="185"/>
      <c r="BE51" s="131"/>
      <c r="BF51" s="185"/>
      <c r="BG51" s="131"/>
      <c r="BH51" s="185"/>
      <c r="BI51" s="131"/>
      <c r="BJ51" s="185"/>
      <c r="BK51" s="131"/>
      <c r="BL51" s="185"/>
      <c r="BM51" s="131"/>
      <c r="BN51" s="185"/>
      <c r="BO51" s="131"/>
      <c r="BP51" s="134"/>
      <c r="BQ51" s="131"/>
      <c r="BR51" s="134"/>
      <c r="BS51" s="133"/>
      <c r="BT51" s="131"/>
      <c r="BU51" s="134"/>
      <c r="BV51" s="131"/>
      <c r="BW51" s="134"/>
      <c r="BX51" s="131"/>
      <c r="BY51" s="134"/>
      <c r="BZ51" s="131"/>
      <c r="CA51" s="134"/>
      <c r="CB51" s="133"/>
      <c r="CC51" s="131"/>
      <c r="CD51" s="134"/>
      <c r="CE51" s="133"/>
      <c r="CF51" s="131"/>
      <c r="CG51" s="134"/>
      <c r="CH51" s="133"/>
      <c r="CI51" s="131"/>
      <c r="CJ51" s="134"/>
      <c r="CK51" s="133"/>
      <c r="CL51" s="131"/>
      <c r="CM51" s="134"/>
      <c r="CN51" s="133"/>
      <c r="CO51" s="131"/>
      <c r="CP51" s="134"/>
      <c r="CQ51" s="133"/>
      <c r="CR51" s="131"/>
      <c r="CS51" s="134"/>
      <c r="CT51" s="133"/>
      <c r="CU51" s="131"/>
      <c r="CV51" s="134"/>
      <c r="CW51" s="133"/>
      <c r="CX51" s="131"/>
      <c r="CY51" s="134"/>
      <c r="CZ51" s="133"/>
      <c r="DA51" s="140"/>
      <c r="DB51" s="141"/>
      <c r="DC51" s="142"/>
      <c r="DD51" s="140"/>
      <c r="DE51" s="141"/>
      <c r="DF51" s="142"/>
      <c r="DG51" s="140"/>
      <c r="DH51" s="141"/>
      <c r="DI51" s="142"/>
      <c r="DJ51" s="140"/>
      <c r="DK51" s="141"/>
      <c r="DL51" s="142"/>
      <c r="DM51" s="140"/>
      <c r="DN51" s="141"/>
      <c r="DO51" s="142"/>
      <c r="DP51" s="140"/>
      <c r="DQ51" s="141"/>
      <c r="DR51" s="142"/>
      <c r="DS51" s="140"/>
      <c r="DT51" s="141"/>
      <c r="DU51" s="142"/>
      <c r="DV51" s="140"/>
      <c r="DW51" s="141"/>
      <c r="DX51" s="142"/>
      <c r="DY51" s="140"/>
      <c r="DZ51" s="141"/>
      <c r="EA51" s="142"/>
      <c r="EB51" s="140"/>
      <c r="EC51" s="141"/>
      <c r="ED51" s="142"/>
      <c r="EE51" s="140"/>
      <c r="EF51" s="141"/>
      <c r="EG51" s="142"/>
      <c r="EH51" s="140"/>
      <c r="EI51" s="141"/>
      <c r="EJ51" s="142"/>
      <c r="EK51" s="140"/>
      <c r="EL51" s="141"/>
      <c r="EM51" s="142"/>
      <c r="EN51" s="140"/>
      <c r="EO51" s="141"/>
      <c r="EP51" s="142"/>
      <c r="EQ51" s="140"/>
      <c r="ER51" s="141"/>
      <c r="ES51" s="142"/>
      <c r="ET51" s="140"/>
      <c r="EU51" s="141"/>
      <c r="EV51" s="142"/>
      <c r="EW51" s="140"/>
      <c r="EX51" s="141"/>
      <c r="EY51" s="142"/>
      <c r="EZ51" s="140"/>
      <c r="FA51" s="141"/>
      <c r="FB51" s="142"/>
      <c r="FC51" s="140"/>
      <c r="FD51" s="141"/>
      <c r="FE51" s="142"/>
      <c r="FF51" s="140"/>
      <c r="FG51" s="141"/>
      <c r="FH51" s="142"/>
      <c r="FI51" s="140"/>
      <c r="FJ51" s="141"/>
      <c r="FK51" s="142"/>
      <c r="FL51" s="140"/>
      <c r="FM51" s="141"/>
      <c r="FN51" s="142"/>
      <c r="FO51" s="140"/>
      <c r="FP51" s="141"/>
      <c r="FQ51" s="142"/>
      <c r="FR51" s="140"/>
      <c r="FS51" s="141"/>
      <c r="FT51" s="142"/>
      <c r="FU51" s="140"/>
      <c r="FV51" s="141"/>
      <c r="FW51" s="142"/>
      <c r="FX51" s="140"/>
      <c r="FY51" s="141"/>
      <c r="FZ51" s="142"/>
      <c r="GA51" s="140"/>
      <c r="GB51" s="141"/>
      <c r="GC51" s="142"/>
      <c r="GD51" s="140"/>
      <c r="GE51" s="141"/>
      <c r="GF51" s="142"/>
      <c r="GG51" s="140"/>
      <c r="GH51" s="141"/>
      <c r="GI51" s="142"/>
      <c r="GJ51" s="140"/>
      <c r="GK51" s="141"/>
      <c r="GL51" s="142"/>
      <c r="GM51" s="140"/>
      <c r="GN51" s="141"/>
      <c r="GO51" s="142"/>
      <c r="GP51" s="140"/>
      <c r="GQ51" s="141"/>
      <c r="GR51" s="142"/>
      <c r="GS51" s="140"/>
      <c r="GT51" s="141"/>
      <c r="GU51" s="142"/>
      <c r="GV51" s="140"/>
      <c r="GW51" s="141"/>
      <c r="GX51" s="142"/>
      <c r="GY51" s="164"/>
      <c r="GZ51" s="134"/>
      <c r="HA51" s="185"/>
      <c r="HB51" s="131"/>
      <c r="HC51" s="307"/>
      <c r="HD51" s="131"/>
      <c r="HE51" s="307"/>
      <c r="HF51" s="131"/>
      <c r="HG51" s="307"/>
      <c r="HH51" s="131"/>
      <c r="HI51" s="307"/>
      <c r="HJ51" s="131">
        <f>'1910 Hacienda'!C148</f>
        <v>294012</v>
      </c>
      <c r="HK51" s="307">
        <f>'1910 Hacienda'!D148</f>
        <v>24</v>
      </c>
      <c r="HL51" s="131"/>
      <c r="HM51" s="307"/>
      <c r="HN51" s="131"/>
      <c r="HO51" s="307"/>
      <c r="HP51" s="131"/>
      <c r="HQ51" s="307"/>
      <c r="HR51" s="131"/>
      <c r="HS51" s="307"/>
      <c r="HT51" s="131"/>
      <c r="HU51" s="307"/>
    </row>
    <row r="52" spans="1:229" x14ac:dyDescent="0.2">
      <c r="A52" s="134" t="s">
        <v>5318</v>
      </c>
      <c r="B52" s="131"/>
      <c r="C52" s="134"/>
      <c r="D52" s="133"/>
      <c r="E52" s="131"/>
      <c r="F52" s="134"/>
      <c r="G52" s="133"/>
      <c r="H52" s="131"/>
      <c r="I52" s="134"/>
      <c r="J52" s="133"/>
      <c r="K52" s="131"/>
      <c r="L52" s="134"/>
      <c r="M52" s="133"/>
      <c r="N52" s="131"/>
      <c r="O52" s="134"/>
      <c r="P52" s="133"/>
      <c r="Q52" s="131"/>
      <c r="R52" s="134"/>
      <c r="S52" s="133"/>
      <c r="T52" s="131"/>
      <c r="U52" s="134"/>
      <c r="V52" s="133"/>
      <c r="W52" s="131"/>
      <c r="X52" s="134"/>
      <c r="Y52" s="133"/>
      <c r="Z52" s="131"/>
      <c r="AA52" s="134"/>
      <c r="AB52" s="133"/>
      <c r="AC52" s="131"/>
      <c r="AD52" s="134"/>
      <c r="AE52" s="133"/>
      <c r="AF52" s="131"/>
      <c r="AG52" s="134"/>
      <c r="AH52" s="133"/>
      <c r="AI52" s="145"/>
      <c r="AJ52" s="134"/>
      <c r="AK52" s="133"/>
      <c r="AL52" s="131"/>
      <c r="AM52" s="134"/>
      <c r="AN52" s="133"/>
      <c r="AO52" s="131"/>
      <c r="AP52" s="134"/>
      <c r="AQ52" s="133"/>
      <c r="AR52" s="131"/>
      <c r="AS52" s="134"/>
      <c r="AT52" s="180"/>
      <c r="AU52" s="131"/>
      <c r="AV52" s="185"/>
      <c r="AW52" s="131"/>
      <c r="AX52" s="185"/>
      <c r="AY52" s="131"/>
      <c r="AZ52" s="185"/>
      <c r="BA52" s="131"/>
      <c r="BB52" s="185"/>
      <c r="BC52" s="131"/>
      <c r="BD52" s="185"/>
      <c r="BE52" s="131"/>
      <c r="BF52" s="185"/>
      <c r="BG52" s="131"/>
      <c r="BH52" s="185"/>
      <c r="BI52" s="131"/>
      <c r="BJ52" s="185"/>
      <c r="BK52" s="131"/>
      <c r="BL52" s="185"/>
      <c r="BM52" s="131"/>
      <c r="BN52" s="185"/>
      <c r="BO52" s="131"/>
      <c r="BP52" s="134"/>
      <c r="BQ52" s="131"/>
      <c r="BR52" s="134"/>
      <c r="BS52" s="133"/>
      <c r="BT52" s="131"/>
      <c r="BU52" s="134"/>
      <c r="BV52" s="131"/>
      <c r="BW52" s="134"/>
      <c r="BX52" s="131"/>
      <c r="BY52" s="134"/>
      <c r="BZ52" s="131"/>
      <c r="CA52" s="134"/>
      <c r="CB52" s="133"/>
      <c r="CC52" s="131"/>
      <c r="CD52" s="134"/>
      <c r="CE52" s="133"/>
      <c r="CF52" s="131"/>
      <c r="CG52" s="134"/>
      <c r="CH52" s="133"/>
      <c r="CI52" s="131"/>
      <c r="CJ52" s="134"/>
      <c r="CK52" s="133"/>
      <c r="CL52" s="131"/>
      <c r="CM52" s="134"/>
      <c r="CN52" s="133"/>
      <c r="CO52" s="131"/>
      <c r="CP52" s="134"/>
      <c r="CQ52" s="133"/>
      <c r="CR52" s="131"/>
      <c r="CS52" s="134"/>
      <c r="CT52" s="133"/>
      <c r="CU52" s="131"/>
      <c r="CV52" s="134"/>
      <c r="CW52" s="133"/>
      <c r="CX52" s="131"/>
      <c r="CY52" s="134"/>
      <c r="CZ52" s="133"/>
      <c r="DA52" s="140"/>
      <c r="DB52" s="141"/>
      <c r="DC52" s="142"/>
      <c r="DD52" s="140"/>
      <c r="DE52" s="141"/>
      <c r="DF52" s="142"/>
      <c r="DG52" s="140"/>
      <c r="DH52" s="141"/>
      <c r="DI52" s="142"/>
      <c r="DJ52" s="140"/>
      <c r="DK52" s="141"/>
      <c r="DL52" s="142"/>
      <c r="DM52" s="140"/>
      <c r="DN52" s="141"/>
      <c r="DO52" s="142"/>
      <c r="DP52" s="140"/>
      <c r="DQ52" s="141"/>
      <c r="DR52" s="142"/>
      <c r="DS52" s="140"/>
      <c r="DT52" s="141"/>
      <c r="DU52" s="142"/>
      <c r="DV52" s="140"/>
      <c r="DW52" s="141"/>
      <c r="DX52" s="142"/>
      <c r="DY52" s="140"/>
      <c r="DZ52" s="141"/>
      <c r="EA52" s="142"/>
      <c r="EB52" s="140"/>
      <c r="EC52" s="141"/>
      <c r="ED52" s="142"/>
      <c r="EE52" s="140"/>
      <c r="EF52" s="141"/>
      <c r="EG52" s="142"/>
      <c r="EH52" s="140"/>
      <c r="EI52" s="141"/>
      <c r="EJ52" s="142"/>
      <c r="EK52" s="140"/>
      <c r="EL52" s="141"/>
      <c r="EM52" s="142"/>
      <c r="EN52" s="140"/>
      <c r="EO52" s="141"/>
      <c r="EP52" s="142"/>
      <c r="EQ52" s="140"/>
      <c r="ER52" s="141"/>
      <c r="ES52" s="142"/>
      <c r="ET52" s="140"/>
      <c r="EU52" s="141"/>
      <c r="EV52" s="142"/>
      <c r="EW52" s="140"/>
      <c r="EX52" s="141"/>
      <c r="EY52" s="142"/>
      <c r="EZ52" s="140"/>
      <c r="FA52" s="141"/>
      <c r="FB52" s="142"/>
      <c r="FC52" s="140"/>
      <c r="FD52" s="141"/>
      <c r="FE52" s="142"/>
      <c r="FF52" s="140"/>
      <c r="FG52" s="141"/>
      <c r="FH52" s="142"/>
      <c r="FI52" s="140"/>
      <c r="FJ52" s="141"/>
      <c r="FK52" s="142"/>
      <c r="FL52" s="140"/>
      <c r="FM52" s="141"/>
      <c r="FN52" s="142"/>
      <c r="FO52" s="140"/>
      <c r="FP52" s="141"/>
      <c r="FQ52" s="142"/>
      <c r="FR52" s="140">
        <f>+'1896 Hacienda'!C11</f>
        <v>25852</v>
      </c>
      <c r="FS52" s="141">
        <f>+'1896 Hacienda'!D11</f>
        <v>50</v>
      </c>
      <c r="FT52" s="142"/>
      <c r="FU52" s="140">
        <f>+'1896 Hacienda'!F11</f>
        <v>494332</v>
      </c>
      <c r="FV52" s="141">
        <f>+'1896 Hacienda'!G11</f>
        <v>80</v>
      </c>
      <c r="FW52" s="142"/>
      <c r="FX52" s="140">
        <f>+'1896 Hacienda'!L11</f>
        <v>663126</v>
      </c>
      <c r="FY52" s="141">
        <f>+'1896 Hacienda'!M11</f>
        <v>12</v>
      </c>
      <c r="FZ52" s="142">
        <f>+'1896 Hacienda'!N11</f>
        <v>0.5</v>
      </c>
      <c r="GA52" s="140">
        <f>+'1898 Hacienda'!E10</f>
        <v>804751</v>
      </c>
      <c r="GB52" s="141">
        <f>+'1898 Hacienda'!F10</f>
        <v>75</v>
      </c>
      <c r="GC52" s="142"/>
      <c r="GD52" s="140">
        <f>+'1898 Hacienda'!K10</f>
        <v>659477</v>
      </c>
      <c r="GE52" s="141">
        <f>+'1898 Hacienda'!L10</f>
        <v>70</v>
      </c>
      <c r="GF52" s="142"/>
      <c r="GG52" s="140"/>
      <c r="GH52" s="141"/>
      <c r="GI52" s="142"/>
      <c r="GJ52" s="140"/>
      <c r="GK52" s="141"/>
      <c r="GL52" s="142"/>
      <c r="GM52" s="140"/>
      <c r="GN52" s="141"/>
      <c r="GO52" s="142"/>
      <c r="GP52" s="140"/>
      <c r="GQ52" s="141"/>
      <c r="GR52" s="142"/>
      <c r="GS52" s="140"/>
      <c r="GT52" s="141"/>
      <c r="GU52" s="142"/>
      <c r="GV52" s="140"/>
      <c r="GW52" s="141"/>
      <c r="GX52" s="142"/>
      <c r="GY52" s="164"/>
      <c r="GZ52" s="134"/>
      <c r="HA52" s="185"/>
      <c r="HB52" s="131">
        <f>'1910 Hacienda'!C18</f>
        <v>55837</v>
      </c>
      <c r="HC52" s="307">
        <f>'1910 Hacienda'!D18</f>
        <v>19</v>
      </c>
      <c r="HD52" s="131">
        <f>'1910 Hacienda'!C43</f>
        <v>349757</v>
      </c>
      <c r="HE52" s="307">
        <f>'1910 Hacienda'!D43</f>
        <v>29</v>
      </c>
      <c r="HF52" s="131">
        <f>'1910 Hacienda'!C71</f>
        <v>517534</v>
      </c>
      <c r="HG52" s="307">
        <f>'1910 Hacienda'!D71</f>
        <v>89</v>
      </c>
      <c r="HH52" s="131">
        <f>'1910 Hacienda'!C106</f>
        <v>299566</v>
      </c>
      <c r="HI52" s="307">
        <f>'1910 Hacienda'!D106</f>
        <v>48</v>
      </c>
      <c r="HJ52" s="131">
        <f>'1910 Hacienda'!C151</f>
        <v>292337</v>
      </c>
      <c r="HK52" s="307">
        <f>'1910 Hacienda'!D151</f>
        <v>36</v>
      </c>
      <c r="HL52" s="131"/>
      <c r="HM52" s="307"/>
      <c r="HN52" s="131"/>
      <c r="HO52" s="307"/>
      <c r="HP52" s="131"/>
      <c r="HQ52" s="307"/>
      <c r="HR52" s="131"/>
      <c r="HS52" s="307"/>
      <c r="HT52" s="131"/>
      <c r="HU52" s="307"/>
    </row>
    <row r="53" spans="1:229" x14ac:dyDescent="0.2">
      <c r="A53" s="178" t="s">
        <v>5566</v>
      </c>
      <c r="B53" s="131"/>
      <c r="C53" s="134"/>
      <c r="D53" s="133"/>
      <c r="E53" s="131"/>
      <c r="F53" s="134"/>
      <c r="G53" s="133"/>
      <c r="H53" s="131"/>
      <c r="I53" s="134"/>
      <c r="J53" s="133"/>
      <c r="K53" s="131"/>
      <c r="L53" s="134"/>
      <c r="M53" s="133"/>
      <c r="N53" s="131"/>
      <c r="O53" s="134"/>
      <c r="P53" s="133"/>
      <c r="Q53" s="131"/>
      <c r="R53" s="134"/>
      <c r="S53" s="133"/>
      <c r="T53" s="131"/>
      <c r="U53" s="134"/>
      <c r="V53" s="133"/>
      <c r="W53" s="131"/>
      <c r="X53" s="134"/>
      <c r="Y53" s="133"/>
      <c r="Z53" s="131"/>
      <c r="AA53" s="134"/>
      <c r="AB53" s="133"/>
      <c r="AC53" s="131"/>
      <c r="AD53" s="134"/>
      <c r="AE53" s="133"/>
      <c r="AF53" s="131"/>
      <c r="AG53" s="134"/>
      <c r="AH53" s="133"/>
      <c r="AI53" s="145"/>
      <c r="AJ53" s="134"/>
      <c r="AK53" s="133"/>
      <c r="AL53" s="131"/>
      <c r="AM53" s="134"/>
      <c r="AN53" s="133"/>
      <c r="AO53" s="131"/>
      <c r="AP53" s="134"/>
      <c r="AQ53" s="133"/>
      <c r="AR53" s="131"/>
      <c r="AS53" s="134"/>
      <c r="AT53" s="180"/>
      <c r="AU53" s="131"/>
      <c r="AV53" s="185"/>
      <c r="AW53" s="131"/>
      <c r="AX53" s="185"/>
      <c r="AY53" s="131"/>
      <c r="AZ53" s="185"/>
      <c r="BA53" s="131"/>
      <c r="BB53" s="185"/>
      <c r="BC53" s="131"/>
      <c r="BD53" s="185"/>
      <c r="BE53" s="131"/>
      <c r="BF53" s="185"/>
      <c r="BG53" s="131"/>
      <c r="BH53" s="185"/>
      <c r="BI53" s="131"/>
      <c r="BJ53" s="185"/>
      <c r="BK53" s="131"/>
      <c r="BL53" s="185"/>
      <c r="BM53" s="131"/>
      <c r="BN53" s="185"/>
      <c r="BO53" s="131"/>
      <c r="BP53" s="134"/>
      <c r="BQ53" s="131"/>
      <c r="BR53" s="134"/>
      <c r="BS53" s="133"/>
      <c r="BT53" s="131"/>
      <c r="BU53" s="134"/>
      <c r="BV53" s="131"/>
      <c r="BW53" s="134"/>
      <c r="BX53" s="131"/>
      <c r="BY53" s="134"/>
      <c r="BZ53" s="131"/>
      <c r="CA53" s="134"/>
      <c r="CB53" s="133"/>
      <c r="CC53" s="131"/>
      <c r="CD53" s="134"/>
      <c r="CE53" s="133"/>
      <c r="CF53" s="131"/>
      <c r="CG53" s="134"/>
      <c r="CH53" s="133"/>
      <c r="CI53" s="131"/>
      <c r="CJ53" s="134"/>
      <c r="CK53" s="133"/>
      <c r="CL53" s="131"/>
      <c r="CM53" s="134"/>
      <c r="CN53" s="133"/>
      <c r="CO53" s="131"/>
      <c r="CP53" s="134"/>
      <c r="CQ53" s="133"/>
      <c r="CR53" s="131"/>
      <c r="CS53" s="134"/>
      <c r="CT53" s="133"/>
      <c r="CU53" s="131"/>
      <c r="CV53" s="134"/>
      <c r="CW53" s="133"/>
      <c r="CX53" s="131"/>
      <c r="CY53" s="134"/>
      <c r="CZ53" s="133"/>
      <c r="DA53" s="140"/>
      <c r="DB53" s="141"/>
      <c r="DC53" s="142"/>
      <c r="DD53" s="140"/>
      <c r="DE53" s="141"/>
      <c r="DF53" s="142"/>
      <c r="DG53" s="140"/>
      <c r="DH53" s="141"/>
      <c r="DI53" s="142"/>
      <c r="DJ53" s="140"/>
      <c r="DK53" s="141"/>
      <c r="DL53" s="142"/>
      <c r="DM53" s="140"/>
      <c r="DN53" s="141"/>
      <c r="DO53" s="142"/>
      <c r="DP53" s="140"/>
      <c r="DQ53" s="141"/>
      <c r="DR53" s="142"/>
      <c r="DS53" s="140"/>
      <c r="DT53" s="141"/>
      <c r="DU53" s="142"/>
      <c r="DV53" s="140"/>
      <c r="DW53" s="141"/>
      <c r="DX53" s="142"/>
      <c r="DY53" s="140"/>
      <c r="DZ53" s="141"/>
      <c r="EA53" s="142"/>
      <c r="EB53" s="140"/>
      <c r="EC53" s="141"/>
      <c r="ED53" s="142"/>
      <c r="EE53" s="140"/>
      <c r="EF53" s="141"/>
      <c r="EG53" s="142"/>
      <c r="EH53" s="140"/>
      <c r="EI53" s="141"/>
      <c r="EJ53" s="142"/>
      <c r="EK53" s="140"/>
      <c r="EL53" s="141"/>
      <c r="EM53" s="142"/>
      <c r="EN53" s="140"/>
      <c r="EO53" s="141"/>
      <c r="EP53" s="142"/>
      <c r="EQ53" s="140"/>
      <c r="ER53" s="141"/>
      <c r="ES53" s="142"/>
      <c r="ET53" s="140"/>
      <c r="EU53" s="141"/>
      <c r="EV53" s="142"/>
      <c r="EW53" s="140"/>
      <c r="EX53" s="141"/>
      <c r="EY53" s="142"/>
      <c r="EZ53" s="140"/>
      <c r="FA53" s="141"/>
      <c r="FB53" s="142"/>
      <c r="FC53" s="140"/>
      <c r="FD53" s="141"/>
      <c r="FE53" s="142"/>
      <c r="FF53" s="140"/>
      <c r="FG53" s="141"/>
      <c r="FH53" s="142"/>
      <c r="FI53" s="140"/>
      <c r="FJ53" s="141"/>
      <c r="FK53" s="142"/>
      <c r="FL53" s="140"/>
      <c r="FM53" s="141"/>
      <c r="FN53" s="142"/>
      <c r="FO53" s="140"/>
      <c r="FP53" s="141"/>
      <c r="FQ53" s="142"/>
      <c r="FR53" s="140"/>
      <c r="FS53" s="141"/>
      <c r="FT53" s="142"/>
      <c r="FU53" s="140"/>
      <c r="FV53" s="141"/>
      <c r="FW53" s="142"/>
      <c r="FX53" s="140"/>
      <c r="FY53" s="141"/>
      <c r="FZ53" s="142"/>
      <c r="GA53" s="140"/>
      <c r="GB53" s="141"/>
      <c r="GC53" s="142"/>
      <c r="GD53" s="140"/>
      <c r="GE53" s="141"/>
      <c r="GF53" s="142"/>
      <c r="GG53" s="140"/>
      <c r="GH53" s="141"/>
      <c r="GI53" s="142"/>
      <c r="GJ53" s="140"/>
      <c r="GK53" s="141"/>
      <c r="GL53" s="142"/>
      <c r="GM53" s="140"/>
      <c r="GN53" s="141"/>
      <c r="GO53" s="142"/>
      <c r="GP53" s="140"/>
      <c r="GQ53" s="141"/>
      <c r="GR53" s="142"/>
      <c r="GS53" s="140"/>
      <c r="GT53" s="141"/>
      <c r="GU53" s="142"/>
      <c r="GV53" s="140"/>
      <c r="GW53" s="141"/>
      <c r="GX53" s="142"/>
      <c r="GY53" s="164"/>
      <c r="GZ53" s="134"/>
      <c r="HA53" s="185"/>
      <c r="HB53" s="131"/>
      <c r="HC53" s="307"/>
      <c r="HD53" s="131"/>
      <c r="HE53" s="307"/>
      <c r="HF53" s="131"/>
      <c r="HG53" s="307"/>
      <c r="HH53" s="131"/>
      <c r="HI53" s="307"/>
      <c r="HJ53" s="131"/>
      <c r="HK53" s="307"/>
      <c r="HL53" s="131">
        <f>+'1911 Hacienda'!B43</f>
        <v>28086</v>
      </c>
      <c r="HM53" s="307">
        <f>+'1911 Hacienda'!C43</f>
        <v>99</v>
      </c>
      <c r="HN53" s="131">
        <v>26545</v>
      </c>
      <c r="HO53" s="307">
        <v>59</v>
      </c>
      <c r="HP53" s="131">
        <f>+'1912 Hacienda'!B28</f>
        <v>38104</v>
      </c>
      <c r="HQ53" s="307">
        <f>+'1912 Hacienda'!C28</f>
        <v>43</v>
      </c>
      <c r="HR53" s="131"/>
      <c r="HS53" s="307"/>
      <c r="HT53" s="131">
        <f>+'1915 Hacienda'!D29</f>
        <v>1599</v>
      </c>
      <c r="HU53" s="307">
        <f>+'1915 Hacienda'!E29</f>
        <v>99</v>
      </c>
    </row>
    <row r="54" spans="1:229" x14ac:dyDescent="0.2">
      <c r="A54" s="134" t="s">
        <v>5432</v>
      </c>
      <c r="B54" s="131"/>
      <c r="C54" s="134"/>
      <c r="D54" s="133"/>
      <c r="E54" s="131"/>
      <c r="F54" s="134"/>
      <c r="G54" s="133"/>
      <c r="H54" s="131"/>
      <c r="I54" s="134"/>
      <c r="J54" s="133"/>
      <c r="K54" s="131"/>
      <c r="L54" s="134"/>
      <c r="M54" s="133"/>
      <c r="N54" s="131"/>
      <c r="O54" s="134"/>
      <c r="P54" s="133"/>
      <c r="Q54" s="131"/>
      <c r="R54" s="134"/>
      <c r="S54" s="133"/>
      <c r="T54" s="131"/>
      <c r="U54" s="134"/>
      <c r="V54" s="133"/>
      <c r="W54" s="131"/>
      <c r="X54" s="134"/>
      <c r="Y54" s="133"/>
      <c r="Z54" s="131"/>
      <c r="AA54" s="134"/>
      <c r="AB54" s="133"/>
      <c r="AC54" s="131"/>
      <c r="AD54" s="134"/>
      <c r="AE54" s="133"/>
      <c r="AF54" s="131"/>
      <c r="AG54" s="134"/>
      <c r="AH54" s="133"/>
      <c r="AI54" s="145"/>
      <c r="AJ54" s="134"/>
      <c r="AK54" s="133"/>
      <c r="AL54" s="131"/>
      <c r="AM54" s="134"/>
      <c r="AN54" s="133"/>
      <c r="AO54" s="131"/>
      <c r="AP54" s="134"/>
      <c r="AQ54" s="133"/>
      <c r="AR54" s="131"/>
      <c r="AS54" s="134"/>
      <c r="AT54" s="180"/>
      <c r="AU54" s="131"/>
      <c r="AV54" s="185"/>
      <c r="AW54" s="131"/>
      <c r="AX54" s="185"/>
      <c r="AY54" s="131"/>
      <c r="AZ54" s="185"/>
      <c r="BA54" s="131"/>
      <c r="BB54" s="185"/>
      <c r="BC54" s="131"/>
      <c r="BD54" s="185"/>
      <c r="BE54" s="131"/>
      <c r="BF54" s="185"/>
      <c r="BG54" s="131"/>
      <c r="BH54" s="185"/>
      <c r="BI54" s="131"/>
      <c r="BJ54" s="185"/>
      <c r="BK54" s="131"/>
      <c r="BL54" s="185"/>
      <c r="BM54" s="131"/>
      <c r="BN54" s="185"/>
      <c r="BO54" s="131"/>
      <c r="BP54" s="134"/>
      <c r="BQ54" s="131"/>
      <c r="BR54" s="134"/>
      <c r="BS54" s="133"/>
      <c r="BT54" s="131"/>
      <c r="BU54" s="134"/>
      <c r="BV54" s="131"/>
      <c r="BW54" s="134"/>
      <c r="BX54" s="131"/>
      <c r="BY54" s="134"/>
      <c r="BZ54" s="131"/>
      <c r="CA54" s="134"/>
      <c r="CB54" s="133"/>
      <c r="CC54" s="131"/>
      <c r="CD54" s="134"/>
      <c r="CE54" s="133"/>
      <c r="CF54" s="131"/>
      <c r="CG54" s="134"/>
      <c r="CH54" s="133"/>
      <c r="CI54" s="131"/>
      <c r="CJ54" s="134"/>
      <c r="CK54" s="133"/>
      <c r="CL54" s="131"/>
      <c r="CM54" s="134"/>
      <c r="CN54" s="133"/>
      <c r="CO54" s="131"/>
      <c r="CP54" s="134"/>
      <c r="CQ54" s="133"/>
      <c r="CR54" s="131"/>
      <c r="CS54" s="134"/>
      <c r="CT54" s="133"/>
      <c r="CU54" s="131"/>
      <c r="CV54" s="134"/>
      <c r="CW54" s="133"/>
      <c r="CX54" s="131"/>
      <c r="CY54" s="134"/>
      <c r="CZ54" s="133"/>
      <c r="DA54" s="140"/>
      <c r="DB54" s="141"/>
      <c r="DC54" s="142"/>
      <c r="DD54" s="140"/>
      <c r="DE54" s="141"/>
      <c r="DF54" s="142"/>
      <c r="DG54" s="140"/>
      <c r="DH54" s="141"/>
      <c r="DI54" s="142"/>
      <c r="DJ54" s="140"/>
      <c r="DK54" s="141"/>
      <c r="DL54" s="142"/>
      <c r="DM54" s="140"/>
      <c r="DN54" s="141"/>
      <c r="DO54" s="142"/>
      <c r="DP54" s="140"/>
      <c r="DQ54" s="141"/>
      <c r="DR54" s="142"/>
      <c r="DS54" s="140"/>
      <c r="DT54" s="141"/>
      <c r="DU54" s="142"/>
      <c r="DV54" s="140"/>
      <c r="DW54" s="141"/>
      <c r="DX54" s="142"/>
      <c r="DY54" s="140"/>
      <c r="DZ54" s="141"/>
      <c r="EA54" s="142"/>
      <c r="EB54" s="140"/>
      <c r="EC54" s="141"/>
      <c r="ED54" s="142"/>
      <c r="EE54" s="140"/>
      <c r="EF54" s="141"/>
      <c r="EG54" s="142"/>
      <c r="EH54" s="140"/>
      <c r="EI54" s="141"/>
      <c r="EJ54" s="142"/>
      <c r="EK54" s="140"/>
      <c r="EL54" s="141"/>
      <c r="EM54" s="142"/>
      <c r="EN54" s="140"/>
      <c r="EO54" s="141"/>
      <c r="EP54" s="142"/>
      <c r="EQ54" s="140"/>
      <c r="ER54" s="141"/>
      <c r="ES54" s="142"/>
      <c r="ET54" s="140"/>
      <c r="EU54" s="141"/>
      <c r="EV54" s="142"/>
      <c r="EW54" s="140"/>
      <c r="EX54" s="141"/>
      <c r="EY54" s="142"/>
      <c r="EZ54" s="140"/>
      <c r="FA54" s="141"/>
      <c r="FB54" s="142"/>
      <c r="FC54" s="140"/>
      <c r="FD54" s="141"/>
      <c r="FE54" s="142"/>
      <c r="FF54" s="140"/>
      <c r="FG54" s="141"/>
      <c r="FH54" s="142"/>
      <c r="FI54" s="140"/>
      <c r="FJ54" s="141"/>
      <c r="FK54" s="142"/>
      <c r="FL54" s="140"/>
      <c r="FM54" s="141"/>
      <c r="FN54" s="142"/>
      <c r="FO54" s="140"/>
      <c r="FP54" s="141"/>
      <c r="FQ54" s="142"/>
      <c r="FR54" s="140"/>
      <c r="FS54" s="141"/>
      <c r="FT54" s="142"/>
      <c r="FU54" s="140"/>
      <c r="FV54" s="141"/>
      <c r="FW54" s="142"/>
      <c r="FX54" s="140"/>
      <c r="FY54" s="141"/>
      <c r="FZ54" s="142"/>
      <c r="GA54" s="140"/>
      <c r="GB54" s="141"/>
      <c r="GC54" s="142"/>
      <c r="GD54" s="140">
        <f>+'1898 Hacienda'!K11</f>
        <v>320930</v>
      </c>
      <c r="GE54" s="141">
        <f>+'1898 Hacienda'!L11</f>
        <v>20</v>
      </c>
      <c r="GF54" s="142"/>
      <c r="GG54" s="140"/>
      <c r="GH54" s="141"/>
      <c r="GI54" s="142"/>
      <c r="GJ54" s="140"/>
      <c r="GK54" s="141"/>
      <c r="GL54" s="142"/>
      <c r="GM54" s="140"/>
      <c r="GN54" s="141"/>
      <c r="GO54" s="142"/>
      <c r="GP54" s="140"/>
      <c r="GQ54" s="141"/>
      <c r="GR54" s="142"/>
      <c r="GS54" s="140"/>
      <c r="GT54" s="141"/>
      <c r="GU54" s="142"/>
      <c r="GV54" s="140"/>
      <c r="GW54" s="141"/>
      <c r="GX54" s="142"/>
      <c r="GY54" s="164"/>
      <c r="GZ54" s="134"/>
      <c r="HA54" s="185"/>
      <c r="HB54" s="131">
        <f>'1910 Hacienda'!C19</f>
        <v>23138</v>
      </c>
      <c r="HC54" s="307">
        <f>'1910 Hacienda'!D19</f>
        <v>0</v>
      </c>
      <c r="HD54" s="131">
        <f>'1910 Hacienda'!C44</f>
        <v>80227</v>
      </c>
      <c r="HE54" s="307">
        <f>'1910 Hacienda'!D44</f>
        <v>27</v>
      </c>
      <c r="HF54" s="131">
        <f>'1910 Hacienda'!C72</f>
        <v>233850</v>
      </c>
      <c r="HG54" s="307">
        <f>'1910 Hacienda'!D72</f>
        <v>69</v>
      </c>
      <c r="HH54" s="131">
        <f>'1910 Hacienda'!C107</f>
        <v>444325</v>
      </c>
      <c r="HI54" s="307">
        <f>'1910 Hacienda'!D107</f>
        <v>94</v>
      </c>
      <c r="HJ54" s="131">
        <f>'1910 Hacienda'!C152</f>
        <v>126501</v>
      </c>
      <c r="HK54" s="307">
        <f>'1910 Hacienda'!D152</f>
        <v>53</v>
      </c>
      <c r="HL54" s="131"/>
      <c r="HM54" s="307"/>
      <c r="HN54" s="131"/>
      <c r="HO54" s="307"/>
      <c r="HP54" s="131"/>
      <c r="HQ54" s="307"/>
      <c r="HR54" s="131"/>
      <c r="HS54" s="307"/>
      <c r="HT54" s="131"/>
      <c r="HU54" s="307"/>
    </row>
    <row r="55" spans="1:229" x14ac:dyDescent="0.2">
      <c r="A55" s="178" t="s">
        <v>5567</v>
      </c>
      <c r="B55" s="131"/>
      <c r="C55" s="134"/>
      <c r="D55" s="133"/>
      <c r="E55" s="131"/>
      <c r="F55" s="134"/>
      <c r="G55" s="133"/>
      <c r="H55" s="131"/>
      <c r="I55" s="134"/>
      <c r="J55" s="133"/>
      <c r="K55" s="131"/>
      <c r="L55" s="134"/>
      <c r="M55" s="133"/>
      <c r="N55" s="131"/>
      <c r="O55" s="134"/>
      <c r="P55" s="133"/>
      <c r="Q55" s="131"/>
      <c r="R55" s="134"/>
      <c r="S55" s="133"/>
      <c r="T55" s="131"/>
      <c r="U55" s="134"/>
      <c r="V55" s="133"/>
      <c r="W55" s="131"/>
      <c r="X55" s="134"/>
      <c r="Y55" s="133"/>
      <c r="Z55" s="131"/>
      <c r="AA55" s="134"/>
      <c r="AB55" s="133"/>
      <c r="AC55" s="131"/>
      <c r="AD55" s="134"/>
      <c r="AE55" s="133"/>
      <c r="AF55" s="131"/>
      <c r="AG55" s="134"/>
      <c r="AH55" s="133"/>
      <c r="AI55" s="145"/>
      <c r="AJ55" s="134"/>
      <c r="AK55" s="133"/>
      <c r="AL55" s="131"/>
      <c r="AM55" s="134"/>
      <c r="AN55" s="133"/>
      <c r="AO55" s="131"/>
      <c r="AP55" s="134"/>
      <c r="AQ55" s="133"/>
      <c r="AR55" s="131"/>
      <c r="AS55" s="134"/>
      <c r="AT55" s="180"/>
      <c r="AU55" s="131"/>
      <c r="AV55" s="185"/>
      <c r="AW55" s="131"/>
      <c r="AX55" s="185"/>
      <c r="AY55" s="131"/>
      <c r="AZ55" s="185"/>
      <c r="BA55" s="131"/>
      <c r="BB55" s="185"/>
      <c r="BC55" s="131"/>
      <c r="BD55" s="185"/>
      <c r="BE55" s="131"/>
      <c r="BF55" s="185"/>
      <c r="BG55" s="131"/>
      <c r="BH55" s="185"/>
      <c r="BI55" s="131"/>
      <c r="BJ55" s="185"/>
      <c r="BK55" s="131"/>
      <c r="BL55" s="185"/>
      <c r="BM55" s="131"/>
      <c r="BN55" s="185"/>
      <c r="BO55" s="131"/>
      <c r="BP55" s="134"/>
      <c r="BQ55" s="131"/>
      <c r="BR55" s="134"/>
      <c r="BS55" s="133"/>
      <c r="BT55" s="131"/>
      <c r="BU55" s="134"/>
      <c r="BV55" s="131"/>
      <c r="BW55" s="134"/>
      <c r="BX55" s="131"/>
      <c r="BY55" s="134"/>
      <c r="BZ55" s="131"/>
      <c r="CA55" s="134"/>
      <c r="CB55" s="133"/>
      <c r="CC55" s="131"/>
      <c r="CD55" s="134"/>
      <c r="CE55" s="133"/>
      <c r="CF55" s="131"/>
      <c r="CG55" s="134"/>
      <c r="CH55" s="133"/>
      <c r="CI55" s="131"/>
      <c r="CJ55" s="134"/>
      <c r="CK55" s="133"/>
      <c r="CL55" s="131"/>
      <c r="CM55" s="134"/>
      <c r="CN55" s="133"/>
      <c r="CO55" s="131"/>
      <c r="CP55" s="134"/>
      <c r="CQ55" s="133"/>
      <c r="CR55" s="131"/>
      <c r="CS55" s="134"/>
      <c r="CT55" s="133"/>
      <c r="CU55" s="131"/>
      <c r="CV55" s="134"/>
      <c r="CW55" s="133"/>
      <c r="CX55" s="131"/>
      <c r="CY55" s="134"/>
      <c r="CZ55" s="133"/>
      <c r="DA55" s="140"/>
      <c r="DB55" s="141"/>
      <c r="DC55" s="142"/>
      <c r="DD55" s="140"/>
      <c r="DE55" s="141"/>
      <c r="DF55" s="142"/>
      <c r="DG55" s="140"/>
      <c r="DH55" s="141"/>
      <c r="DI55" s="142"/>
      <c r="DJ55" s="140"/>
      <c r="DK55" s="141"/>
      <c r="DL55" s="142"/>
      <c r="DM55" s="140"/>
      <c r="DN55" s="141"/>
      <c r="DO55" s="142"/>
      <c r="DP55" s="140"/>
      <c r="DQ55" s="141"/>
      <c r="DR55" s="142"/>
      <c r="DS55" s="140"/>
      <c r="DT55" s="141"/>
      <c r="DU55" s="142"/>
      <c r="DV55" s="140"/>
      <c r="DW55" s="141"/>
      <c r="DX55" s="142"/>
      <c r="DY55" s="140"/>
      <c r="DZ55" s="141"/>
      <c r="EA55" s="142"/>
      <c r="EB55" s="140"/>
      <c r="EC55" s="141"/>
      <c r="ED55" s="142"/>
      <c r="EE55" s="140"/>
      <c r="EF55" s="141"/>
      <c r="EG55" s="142"/>
      <c r="EH55" s="140"/>
      <c r="EI55" s="141"/>
      <c r="EJ55" s="142"/>
      <c r="EK55" s="140"/>
      <c r="EL55" s="141"/>
      <c r="EM55" s="142"/>
      <c r="EN55" s="140"/>
      <c r="EO55" s="141"/>
      <c r="EP55" s="142"/>
      <c r="EQ55" s="140"/>
      <c r="ER55" s="141"/>
      <c r="ES55" s="142"/>
      <c r="ET55" s="140"/>
      <c r="EU55" s="141"/>
      <c r="EV55" s="142"/>
      <c r="EW55" s="140"/>
      <c r="EX55" s="141"/>
      <c r="EY55" s="142"/>
      <c r="EZ55" s="140"/>
      <c r="FA55" s="141"/>
      <c r="FB55" s="142"/>
      <c r="FC55" s="140"/>
      <c r="FD55" s="141"/>
      <c r="FE55" s="142"/>
      <c r="FF55" s="140"/>
      <c r="FG55" s="141"/>
      <c r="FH55" s="142"/>
      <c r="FI55" s="140"/>
      <c r="FJ55" s="141"/>
      <c r="FK55" s="142"/>
      <c r="FL55" s="140"/>
      <c r="FM55" s="141"/>
      <c r="FN55" s="142"/>
      <c r="FO55" s="140"/>
      <c r="FP55" s="141"/>
      <c r="FQ55" s="142"/>
      <c r="FR55" s="140"/>
      <c r="FS55" s="141"/>
      <c r="FT55" s="142"/>
      <c r="FU55" s="140"/>
      <c r="FV55" s="141"/>
      <c r="FW55" s="142"/>
      <c r="FX55" s="140"/>
      <c r="FY55" s="141"/>
      <c r="FZ55" s="142"/>
      <c r="GA55" s="140"/>
      <c r="GB55" s="141"/>
      <c r="GC55" s="142"/>
      <c r="GD55" s="140"/>
      <c r="GE55" s="141"/>
      <c r="GF55" s="142"/>
      <c r="GG55" s="140"/>
      <c r="GH55" s="141"/>
      <c r="GI55" s="142"/>
      <c r="GJ55" s="140"/>
      <c r="GK55" s="141"/>
      <c r="GL55" s="142"/>
      <c r="GM55" s="140"/>
      <c r="GN55" s="141"/>
      <c r="GO55" s="142"/>
      <c r="GP55" s="140"/>
      <c r="GQ55" s="141"/>
      <c r="GR55" s="142"/>
      <c r="GS55" s="140"/>
      <c r="GT55" s="141"/>
      <c r="GU55" s="142"/>
      <c r="GV55" s="140"/>
      <c r="GW55" s="141"/>
      <c r="GX55" s="142"/>
      <c r="GY55" s="164"/>
      <c r="GZ55" s="134"/>
      <c r="HA55" s="185"/>
      <c r="HB55" s="131"/>
      <c r="HC55" s="307"/>
      <c r="HD55" s="131"/>
      <c r="HE55" s="307"/>
      <c r="HF55" s="131"/>
      <c r="HG55" s="307"/>
      <c r="HH55" s="131"/>
      <c r="HI55" s="307"/>
      <c r="HJ55" s="131"/>
      <c r="HK55" s="307"/>
      <c r="HL55" s="131">
        <f>+'1911 Hacienda'!B44</f>
        <v>20977</v>
      </c>
      <c r="HM55" s="307">
        <f>+'1911 Hacienda'!C44</f>
        <v>44</v>
      </c>
      <c r="HN55" s="131">
        <v>30514</v>
      </c>
      <c r="HO55" s="307">
        <v>35</v>
      </c>
      <c r="HP55" s="131">
        <f>+'1912 Hacienda'!B29</f>
        <v>39402</v>
      </c>
      <c r="HQ55" s="307">
        <f>+'1912 Hacienda'!C29</f>
        <v>56</v>
      </c>
      <c r="HR55" s="131"/>
      <c r="HS55" s="307"/>
      <c r="HT55" s="131">
        <f>+'1915 Hacienda'!D28</f>
        <v>1902</v>
      </c>
      <c r="HU55" s="307">
        <f>+'1915 Hacienda'!E28</f>
        <v>34</v>
      </c>
    </row>
    <row r="56" spans="1:229" x14ac:dyDescent="0.2">
      <c r="A56" s="134" t="s">
        <v>5433</v>
      </c>
      <c r="B56" s="131"/>
      <c r="C56" s="134"/>
      <c r="D56" s="133"/>
      <c r="E56" s="131"/>
      <c r="F56" s="134"/>
      <c r="G56" s="133"/>
      <c r="H56" s="131"/>
      <c r="I56" s="134"/>
      <c r="J56" s="133"/>
      <c r="K56" s="131"/>
      <c r="L56" s="134"/>
      <c r="M56" s="133"/>
      <c r="N56" s="131"/>
      <c r="O56" s="134"/>
      <c r="P56" s="133"/>
      <c r="Q56" s="131"/>
      <c r="R56" s="134"/>
      <c r="S56" s="133"/>
      <c r="T56" s="131"/>
      <c r="U56" s="134"/>
      <c r="V56" s="133"/>
      <c r="W56" s="131"/>
      <c r="X56" s="134"/>
      <c r="Y56" s="133"/>
      <c r="Z56" s="131"/>
      <c r="AA56" s="134"/>
      <c r="AB56" s="133"/>
      <c r="AC56" s="131"/>
      <c r="AD56" s="134"/>
      <c r="AE56" s="133"/>
      <c r="AF56" s="131"/>
      <c r="AG56" s="134"/>
      <c r="AH56" s="133"/>
      <c r="AI56" s="145"/>
      <c r="AJ56" s="134"/>
      <c r="AK56" s="133"/>
      <c r="AL56" s="131"/>
      <c r="AM56" s="134"/>
      <c r="AN56" s="133"/>
      <c r="AO56" s="131"/>
      <c r="AP56" s="134"/>
      <c r="AQ56" s="133"/>
      <c r="AR56" s="131"/>
      <c r="AS56" s="134"/>
      <c r="AT56" s="180"/>
      <c r="AU56" s="131"/>
      <c r="AV56" s="185"/>
      <c r="AW56" s="131"/>
      <c r="AX56" s="185"/>
      <c r="AY56" s="131"/>
      <c r="AZ56" s="185"/>
      <c r="BA56" s="131"/>
      <c r="BB56" s="185"/>
      <c r="BC56" s="131"/>
      <c r="BD56" s="185"/>
      <c r="BE56" s="131"/>
      <c r="BF56" s="185"/>
      <c r="BG56" s="131"/>
      <c r="BH56" s="185"/>
      <c r="BI56" s="131"/>
      <c r="BJ56" s="185"/>
      <c r="BK56" s="131"/>
      <c r="BL56" s="185"/>
      <c r="BM56" s="131"/>
      <c r="BN56" s="185"/>
      <c r="BO56" s="131"/>
      <c r="BP56" s="134"/>
      <c r="BQ56" s="131"/>
      <c r="BR56" s="134"/>
      <c r="BS56" s="133"/>
      <c r="BT56" s="131"/>
      <c r="BU56" s="134"/>
      <c r="BV56" s="131"/>
      <c r="BW56" s="134"/>
      <c r="BX56" s="131"/>
      <c r="BY56" s="134"/>
      <c r="BZ56" s="131"/>
      <c r="CA56" s="134"/>
      <c r="CB56" s="133"/>
      <c r="CC56" s="131"/>
      <c r="CD56" s="134"/>
      <c r="CE56" s="133"/>
      <c r="CF56" s="131"/>
      <c r="CG56" s="134"/>
      <c r="CH56" s="133"/>
      <c r="CI56" s="131"/>
      <c r="CJ56" s="134"/>
      <c r="CK56" s="133"/>
      <c r="CL56" s="131"/>
      <c r="CM56" s="134"/>
      <c r="CN56" s="133"/>
      <c r="CO56" s="131"/>
      <c r="CP56" s="134"/>
      <c r="CQ56" s="133"/>
      <c r="CR56" s="131"/>
      <c r="CS56" s="134"/>
      <c r="CT56" s="133"/>
      <c r="CU56" s="131"/>
      <c r="CV56" s="134"/>
      <c r="CW56" s="133"/>
      <c r="CX56" s="131"/>
      <c r="CY56" s="134"/>
      <c r="CZ56" s="133"/>
      <c r="DA56" s="140"/>
      <c r="DB56" s="141"/>
      <c r="DC56" s="142"/>
      <c r="DD56" s="140"/>
      <c r="DE56" s="141"/>
      <c r="DF56" s="142"/>
      <c r="DG56" s="140"/>
      <c r="DH56" s="141"/>
      <c r="DI56" s="142"/>
      <c r="DJ56" s="140"/>
      <c r="DK56" s="141"/>
      <c r="DL56" s="142"/>
      <c r="DM56" s="140"/>
      <c r="DN56" s="141"/>
      <c r="DO56" s="142"/>
      <c r="DP56" s="140"/>
      <c r="DQ56" s="141"/>
      <c r="DR56" s="142"/>
      <c r="DS56" s="140"/>
      <c r="DT56" s="141"/>
      <c r="DU56" s="142"/>
      <c r="DV56" s="140"/>
      <c r="DW56" s="141"/>
      <c r="DX56" s="142"/>
      <c r="DY56" s="140"/>
      <c r="DZ56" s="141"/>
      <c r="EA56" s="142"/>
      <c r="EB56" s="140"/>
      <c r="EC56" s="141"/>
      <c r="ED56" s="142"/>
      <c r="EE56" s="140"/>
      <c r="EF56" s="141"/>
      <c r="EG56" s="142"/>
      <c r="EH56" s="140"/>
      <c r="EI56" s="141"/>
      <c r="EJ56" s="142"/>
      <c r="EK56" s="140"/>
      <c r="EL56" s="141"/>
      <c r="EM56" s="142"/>
      <c r="EN56" s="140"/>
      <c r="EO56" s="141"/>
      <c r="EP56" s="142"/>
      <c r="EQ56" s="140"/>
      <c r="ER56" s="141"/>
      <c r="ES56" s="142"/>
      <c r="ET56" s="140"/>
      <c r="EU56" s="141"/>
      <c r="EV56" s="142"/>
      <c r="EW56" s="140"/>
      <c r="EX56" s="141"/>
      <c r="EY56" s="142"/>
      <c r="EZ56" s="140"/>
      <c r="FA56" s="141"/>
      <c r="FB56" s="142"/>
      <c r="FC56" s="140"/>
      <c r="FD56" s="141"/>
      <c r="FE56" s="142"/>
      <c r="FF56" s="140"/>
      <c r="FG56" s="141"/>
      <c r="FH56" s="142"/>
      <c r="FI56" s="140"/>
      <c r="FJ56" s="141"/>
      <c r="FK56" s="142"/>
      <c r="FL56" s="140"/>
      <c r="FM56" s="141"/>
      <c r="FN56" s="142"/>
      <c r="FO56" s="140"/>
      <c r="FP56" s="141"/>
      <c r="FQ56" s="142"/>
      <c r="FR56" s="140"/>
      <c r="FS56" s="141"/>
      <c r="FT56" s="142"/>
      <c r="FU56" s="140"/>
      <c r="FV56" s="141"/>
      <c r="FW56" s="142"/>
      <c r="FX56" s="140"/>
      <c r="FY56" s="141"/>
      <c r="FZ56" s="142"/>
      <c r="GA56" s="140"/>
      <c r="GB56" s="141"/>
      <c r="GC56" s="142"/>
      <c r="GD56" s="140"/>
      <c r="GE56" s="141"/>
      <c r="GF56" s="142"/>
      <c r="GG56" s="140"/>
      <c r="GH56" s="141"/>
      <c r="GI56" s="142"/>
      <c r="GJ56" s="140"/>
      <c r="GK56" s="141"/>
      <c r="GL56" s="142"/>
      <c r="GM56" s="140"/>
      <c r="GN56" s="141"/>
      <c r="GO56" s="142"/>
      <c r="GP56" s="140"/>
      <c r="GQ56" s="141"/>
      <c r="GR56" s="142"/>
      <c r="GS56" s="140"/>
      <c r="GT56" s="141"/>
      <c r="GU56" s="142"/>
      <c r="GV56" s="140"/>
      <c r="GW56" s="141"/>
      <c r="GX56" s="142"/>
      <c r="GY56" s="164"/>
      <c r="GZ56" s="134"/>
      <c r="HA56" s="185"/>
      <c r="HB56" s="131">
        <f>'1910 Hacienda'!C20</f>
        <v>96830</v>
      </c>
      <c r="HC56" s="307">
        <f>'1910 Hacienda'!D20</f>
        <v>9</v>
      </c>
      <c r="HD56" s="131">
        <f>'1910 Hacienda'!C45</f>
        <v>510189</v>
      </c>
      <c r="HE56" s="307">
        <f>'1910 Hacienda'!D45</f>
        <v>55</v>
      </c>
      <c r="HF56" s="131">
        <f>'1910 Hacienda'!C73</f>
        <v>749376</v>
      </c>
      <c r="HG56" s="307">
        <f>'1910 Hacienda'!D73</f>
        <v>7</v>
      </c>
      <c r="HH56" s="131">
        <f>'1910 Hacienda'!C101</f>
        <v>619492</v>
      </c>
      <c r="HI56" s="307">
        <f>'1910 Hacienda'!D101</f>
        <v>43</v>
      </c>
      <c r="HJ56" s="131"/>
      <c r="HK56" s="307"/>
      <c r="HL56" s="131"/>
      <c r="HM56" s="307"/>
      <c r="HN56" s="131"/>
      <c r="HO56" s="307"/>
      <c r="HP56" s="131"/>
      <c r="HQ56" s="307"/>
      <c r="HR56" s="131"/>
      <c r="HS56" s="307"/>
      <c r="HT56" s="131"/>
      <c r="HU56" s="307"/>
    </row>
    <row r="57" spans="1:229" x14ac:dyDescent="0.2">
      <c r="A57" s="134" t="s">
        <v>5434</v>
      </c>
      <c r="B57" s="131"/>
      <c r="C57" s="134"/>
      <c r="D57" s="133"/>
      <c r="E57" s="131"/>
      <c r="F57" s="134"/>
      <c r="G57" s="133"/>
      <c r="H57" s="131"/>
      <c r="I57" s="134"/>
      <c r="J57" s="133"/>
      <c r="K57" s="131"/>
      <c r="L57" s="134"/>
      <c r="M57" s="133"/>
      <c r="N57" s="131"/>
      <c r="O57" s="134"/>
      <c r="P57" s="133"/>
      <c r="Q57" s="131"/>
      <c r="R57" s="134"/>
      <c r="S57" s="133"/>
      <c r="T57" s="131"/>
      <c r="U57" s="134"/>
      <c r="V57" s="133"/>
      <c r="W57" s="131"/>
      <c r="X57" s="134"/>
      <c r="Y57" s="133"/>
      <c r="Z57" s="131"/>
      <c r="AA57" s="134"/>
      <c r="AB57" s="133"/>
      <c r="AC57" s="131"/>
      <c r="AD57" s="134"/>
      <c r="AE57" s="133"/>
      <c r="AF57" s="131"/>
      <c r="AG57" s="134"/>
      <c r="AH57" s="133"/>
      <c r="AI57" s="145"/>
      <c r="AJ57" s="134"/>
      <c r="AK57" s="133"/>
      <c r="AL57" s="131"/>
      <c r="AM57" s="134"/>
      <c r="AN57" s="133"/>
      <c r="AO57" s="131"/>
      <c r="AP57" s="134"/>
      <c r="AQ57" s="133"/>
      <c r="AR57" s="131"/>
      <c r="AS57" s="134"/>
      <c r="AT57" s="180"/>
      <c r="AU57" s="131"/>
      <c r="AV57" s="185"/>
      <c r="AW57" s="131"/>
      <c r="AX57" s="185"/>
      <c r="AY57" s="131"/>
      <c r="AZ57" s="185"/>
      <c r="BA57" s="131"/>
      <c r="BB57" s="185"/>
      <c r="BC57" s="131"/>
      <c r="BD57" s="185"/>
      <c r="BE57" s="131"/>
      <c r="BF57" s="185"/>
      <c r="BG57" s="131"/>
      <c r="BH57" s="185"/>
      <c r="BI57" s="131"/>
      <c r="BJ57" s="185"/>
      <c r="BK57" s="131"/>
      <c r="BL57" s="185"/>
      <c r="BM57" s="131"/>
      <c r="BN57" s="185"/>
      <c r="BO57" s="131"/>
      <c r="BP57" s="134"/>
      <c r="BQ57" s="131"/>
      <c r="BR57" s="134"/>
      <c r="BS57" s="133"/>
      <c r="BT57" s="131"/>
      <c r="BU57" s="134"/>
      <c r="BV57" s="131"/>
      <c r="BW57" s="134"/>
      <c r="BX57" s="131"/>
      <c r="BY57" s="134"/>
      <c r="BZ57" s="131"/>
      <c r="CA57" s="134"/>
      <c r="CB57" s="133"/>
      <c r="CC57" s="131"/>
      <c r="CD57" s="134"/>
      <c r="CE57" s="133"/>
      <c r="CF57" s="131"/>
      <c r="CG57" s="134"/>
      <c r="CH57" s="133"/>
      <c r="CI57" s="131"/>
      <c r="CJ57" s="134"/>
      <c r="CK57" s="133"/>
      <c r="CL57" s="131"/>
      <c r="CM57" s="134"/>
      <c r="CN57" s="133"/>
      <c r="CO57" s="131"/>
      <c r="CP57" s="134"/>
      <c r="CQ57" s="133"/>
      <c r="CR57" s="131"/>
      <c r="CS57" s="134"/>
      <c r="CT57" s="133"/>
      <c r="CU57" s="131"/>
      <c r="CV57" s="134"/>
      <c r="CW57" s="133"/>
      <c r="CX57" s="131"/>
      <c r="CY57" s="134"/>
      <c r="CZ57" s="133"/>
      <c r="DA57" s="140"/>
      <c r="DB57" s="141"/>
      <c r="DC57" s="142"/>
      <c r="DD57" s="140"/>
      <c r="DE57" s="141"/>
      <c r="DF57" s="142"/>
      <c r="DG57" s="140"/>
      <c r="DH57" s="141"/>
      <c r="DI57" s="142"/>
      <c r="DJ57" s="140"/>
      <c r="DK57" s="141"/>
      <c r="DL57" s="142"/>
      <c r="DM57" s="140"/>
      <c r="DN57" s="141"/>
      <c r="DO57" s="142"/>
      <c r="DP57" s="140"/>
      <c r="DQ57" s="141"/>
      <c r="DR57" s="142"/>
      <c r="DS57" s="140"/>
      <c r="DT57" s="141"/>
      <c r="DU57" s="142"/>
      <c r="DV57" s="140"/>
      <c r="DW57" s="141"/>
      <c r="DX57" s="142"/>
      <c r="DY57" s="140"/>
      <c r="DZ57" s="141"/>
      <c r="EA57" s="142"/>
      <c r="EB57" s="140"/>
      <c r="EC57" s="141"/>
      <c r="ED57" s="142"/>
      <c r="EE57" s="140"/>
      <c r="EF57" s="141"/>
      <c r="EG57" s="142"/>
      <c r="EH57" s="140"/>
      <c r="EI57" s="141"/>
      <c r="EJ57" s="142"/>
      <c r="EK57" s="140"/>
      <c r="EL57" s="141"/>
      <c r="EM57" s="142"/>
      <c r="EN57" s="140"/>
      <c r="EO57" s="141"/>
      <c r="EP57" s="142"/>
      <c r="EQ57" s="140"/>
      <c r="ER57" s="141"/>
      <c r="ES57" s="142"/>
      <c r="ET57" s="140"/>
      <c r="EU57" s="141"/>
      <c r="EV57" s="142"/>
      <c r="EW57" s="140">
        <f>+'1890 Hacienda'!B177</f>
        <v>341959</v>
      </c>
      <c r="EX57" s="141">
        <f>+'1890 Hacienda'!C177</f>
        <v>55</v>
      </c>
      <c r="EY57" s="142"/>
      <c r="EZ57" s="140">
        <f>+'1890 Hacienda'!B178</f>
        <v>395559</v>
      </c>
      <c r="FA57" s="141">
        <f>+'1890 Hacienda'!C178</f>
        <v>55</v>
      </c>
      <c r="FB57" s="142"/>
      <c r="FC57" s="140">
        <f>+'1890 Hacienda'!B213</f>
        <v>2075705</v>
      </c>
      <c r="FD57" s="141">
        <f>+'1890 Hacienda'!C213</f>
        <v>55</v>
      </c>
      <c r="FE57" s="142"/>
      <c r="FF57" s="140">
        <f>+'1890 Hacienda'!E213</f>
        <v>1086905</v>
      </c>
      <c r="FG57" s="141">
        <f>+'1890 Hacienda'!F213</f>
        <v>28</v>
      </c>
      <c r="FH57" s="142"/>
      <c r="FI57" s="140"/>
      <c r="FJ57" s="141"/>
      <c r="FK57" s="142"/>
      <c r="FL57" s="140">
        <f>+'1894 Hacienda'!C9</f>
        <v>909795</v>
      </c>
      <c r="FM57" s="141"/>
      <c r="FN57" s="142"/>
      <c r="FO57" s="140">
        <f>+'1894 Hacienda'!F9</f>
        <v>878968</v>
      </c>
      <c r="FP57" s="141">
        <f>+'1894 Hacienda'!G9</f>
        <v>25</v>
      </c>
      <c r="FQ57" s="142"/>
      <c r="FR57" s="140">
        <f>+'1896 Hacienda'!C9</f>
        <v>1008858</v>
      </c>
      <c r="FS57" s="141"/>
      <c r="FT57" s="142"/>
      <c r="FU57" s="140">
        <f>+'1896 Hacienda'!F9</f>
        <v>1090425</v>
      </c>
      <c r="FV57" s="141">
        <f>+'1896 Hacienda'!G9</f>
        <v>90</v>
      </c>
      <c r="FW57" s="142"/>
      <c r="FX57" s="140">
        <f>+'1896 Hacienda'!L9</f>
        <v>1718844</v>
      </c>
      <c r="FY57" s="141">
        <f>+'1896 Hacienda'!M9</f>
        <v>55</v>
      </c>
      <c r="FZ57" s="142"/>
      <c r="GA57" s="140">
        <f>+'1898 Hacienda'!E8</f>
        <v>1115062</v>
      </c>
      <c r="GB57" s="141">
        <f>+'1898 Hacienda'!F8</f>
        <v>95</v>
      </c>
      <c r="GC57" s="142"/>
      <c r="GD57" s="140">
        <f>+'1898 Hacienda'!K8</f>
        <v>78520</v>
      </c>
      <c r="GE57" s="141"/>
      <c r="GF57" s="142"/>
      <c r="GG57" s="140"/>
      <c r="GH57" s="141"/>
      <c r="GI57" s="142"/>
      <c r="GJ57" s="140"/>
      <c r="GK57" s="141"/>
      <c r="GL57" s="142"/>
      <c r="GM57" s="140"/>
      <c r="GN57" s="141"/>
      <c r="GO57" s="142"/>
      <c r="GP57" s="140"/>
      <c r="GQ57" s="141"/>
      <c r="GR57" s="142"/>
      <c r="GS57" s="140"/>
      <c r="GT57" s="141"/>
      <c r="GU57" s="142"/>
      <c r="GV57" s="140"/>
      <c r="GW57" s="141"/>
      <c r="GX57" s="142"/>
      <c r="GY57" s="164"/>
      <c r="GZ57" s="134"/>
      <c r="HA57" s="185"/>
      <c r="HB57" s="131">
        <f>'1910 Hacienda'!C21</f>
        <v>466448</v>
      </c>
      <c r="HC57" s="307">
        <f>'1910 Hacienda'!D21</f>
        <v>58</v>
      </c>
      <c r="HD57" s="131">
        <f>'1910 Hacienda'!C46</f>
        <v>861280</v>
      </c>
      <c r="HE57" s="307">
        <f>'1910 Hacienda'!D46</f>
        <v>44</v>
      </c>
      <c r="HF57" s="131">
        <f>'1910 Hacienda'!C74</f>
        <v>1489237</v>
      </c>
      <c r="HG57" s="307">
        <f>'1910 Hacienda'!D74</f>
        <v>64</v>
      </c>
      <c r="HH57" s="131">
        <f>'1910 Hacienda'!C102</f>
        <v>1608251</v>
      </c>
      <c r="HI57" s="307">
        <f>'1910 Hacienda'!D102</f>
        <v>51</v>
      </c>
      <c r="HJ57" s="131"/>
      <c r="HK57" s="307"/>
      <c r="HL57" s="131"/>
      <c r="HM57" s="307"/>
      <c r="HN57" s="131"/>
      <c r="HO57" s="307"/>
      <c r="HP57" s="131"/>
      <c r="HQ57" s="307"/>
      <c r="HR57" s="131"/>
      <c r="HS57" s="307"/>
      <c r="HT57" s="131"/>
      <c r="HU57" s="307"/>
    </row>
    <row r="58" spans="1:229" x14ac:dyDescent="0.2">
      <c r="A58" s="134" t="s">
        <v>5475</v>
      </c>
      <c r="B58" s="131"/>
      <c r="C58" s="134"/>
      <c r="D58" s="133"/>
      <c r="E58" s="131"/>
      <c r="F58" s="134"/>
      <c r="G58" s="133"/>
      <c r="H58" s="131"/>
      <c r="I58" s="134"/>
      <c r="J58" s="133"/>
      <c r="K58" s="131"/>
      <c r="L58" s="134"/>
      <c r="M58" s="133"/>
      <c r="N58" s="131"/>
      <c r="O58" s="134"/>
      <c r="P58" s="133"/>
      <c r="Q58" s="131"/>
      <c r="R58" s="134"/>
      <c r="S58" s="133"/>
      <c r="T58" s="131"/>
      <c r="U58" s="134"/>
      <c r="V58" s="133"/>
      <c r="W58" s="131"/>
      <c r="X58" s="134"/>
      <c r="Y58" s="133"/>
      <c r="Z58" s="131"/>
      <c r="AA58" s="134"/>
      <c r="AB58" s="133"/>
      <c r="AC58" s="131"/>
      <c r="AD58" s="134"/>
      <c r="AE58" s="133"/>
      <c r="AF58" s="131"/>
      <c r="AG58" s="134"/>
      <c r="AH58" s="133"/>
      <c r="AI58" s="145"/>
      <c r="AJ58" s="134"/>
      <c r="AK58" s="133"/>
      <c r="AL58" s="131"/>
      <c r="AM58" s="134"/>
      <c r="AN58" s="133"/>
      <c r="AO58" s="131"/>
      <c r="AP58" s="134"/>
      <c r="AQ58" s="133"/>
      <c r="AR58" s="131"/>
      <c r="AS58" s="134"/>
      <c r="AT58" s="180"/>
      <c r="AU58" s="131"/>
      <c r="AV58" s="185"/>
      <c r="AW58" s="131"/>
      <c r="AX58" s="185"/>
      <c r="AY58" s="131"/>
      <c r="AZ58" s="185"/>
      <c r="BA58" s="131"/>
      <c r="BB58" s="185"/>
      <c r="BC58" s="131"/>
      <c r="BD58" s="185"/>
      <c r="BE58" s="131"/>
      <c r="BF58" s="185"/>
      <c r="BG58" s="131"/>
      <c r="BH58" s="185"/>
      <c r="BI58" s="131"/>
      <c r="BJ58" s="185"/>
      <c r="BK58" s="131"/>
      <c r="BL58" s="185"/>
      <c r="BM58" s="131"/>
      <c r="BN58" s="185"/>
      <c r="BO58" s="131"/>
      <c r="BP58" s="134"/>
      <c r="BQ58" s="131"/>
      <c r="BR58" s="134"/>
      <c r="BS58" s="133"/>
      <c r="BT58" s="131"/>
      <c r="BU58" s="134"/>
      <c r="BV58" s="131"/>
      <c r="BW58" s="134"/>
      <c r="BX58" s="131"/>
      <c r="BY58" s="134"/>
      <c r="BZ58" s="131"/>
      <c r="CA58" s="134"/>
      <c r="CB58" s="133"/>
      <c r="CC58" s="131"/>
      <c r="CD58" s="134"/>
      <c r="CE58" s="133"/>
      <c r="CF58" s="131"/>
      <c r="CG58" s="134"/>
      <c r="CH58" s="133"/>
      <c r="CI58" s="131"/>
      <c r="CJ58" s="134"/>
      <c r="CK58" s="133"/>
      <c r="CL58" s="131"/>
      <c r="CM58" s="134"/>
      <c r="CN58" s="133"/>
      <c r="CO58" s="131"/>
      <c r="CP58" s="134"/>
      <c r="CQ58" s="133"/>
      <c r="CR58" s="131"/>
      <c r="CS58" s="134"/>
      <c r="CT58" s="133"/>
      <c r="CU58" s="131"/>
      <c r="CV58" s="134"/>
      <c r="CW58" s="133"/>
      <c r="CX58" s="131"/>
      <c r="CY58" s="134"/>
      <c r="CZ58" s="133"/>
      <c r="DA58" s="140"/>
      <c r="DB58" s="141"/>
      <c r="DC58" s="142"/>
      <c r="DD58" s="140"/>
      <c r="DE58" s="141"/>
      <c r="DF58" s="142"/>
      <c r="DG58" s="140"/>
      <c r="DH58" s="141"/>
      <c r="DI58" s="142"/>
      <c r="DJ58" s="140"/>
      <c r="DK58" s="141"/>
      <c r="DL58" s="142"/>
      <c r="DM58" s="140"/>
      <c r="DN58" s="141"/>
      <c r="DO58" s="142"/>
      <c r="DP58" s="140"/>
      <c r="DQ58" s="141"/>
      <c r="DR58" s="142"/>
      <c r="DS58" s="140"/>
      <c r="DT58" s="141"/>
      <c r="DU58" s="142"/>
      <c r="DV58" s="140"/>
      <c r="DW58" s="141"/>
      <c r="DX58" s="142"/>
      <c r="DY58" s="140"/>
      <c r="DZ58" s="141"/>
      <c r="EA58" s="142"/>
      <c r="EB58" s="140"/>
      <c r="EC58" s="141"/>
      <c r="ED58" s="142"/>
      <c r="EE58" s="140"/>
      <c r="EF58" s="141"/>
      <c r="EG58" s="142"/>
      <c r="EH58" s="140"/>
      <c r="EI58" s="141"/>
      <c r="EJ58" s="142"/>
      <c r="EK58" s="140"/>
      <c r="EL58" s="141"/>
      <c r="EM58" s="142"/>
      <c r="EN58" s="140"/>
      <c r="EO58" s="141"/>
      <c r="EP58" s="142"/>
      <c r="EQ58" s="140"/>
      <c r="ER58" s="141"/>
      <c r="ES58" s="142"/>
      <c r="ET58" s="140"/>
      <c r="EU58" s="141"/>
      <c r="EV58" s="142"/>
      <c r="EW58" s="140"/>
      <c r="EX58" s="141"/>
      <c r="EY58" s="142"/>
      <c r="EZ58" s="140"/>
      <c r="FA58" s="141"/>
      <c r="FB58" s="142"/>
      <c r="FC58" s="140"/>
      <c r="FD58" s="141"/>
      <c r="FE58" s="142"/>
      <c r="FF58" s="140"/>
      <c r="FG58" s="141"/>
      <c r="FH58" s="142"/>
      <c r="FI58" s="140"/>
      <c r="FJ58" s="141"/>
      <c r="FK58" s="142"/>
      <c r="FL58" s="140"/>
      <c r="FM58" s="141"/>
      <c r="FN58" s="142"/>
      <c r="FO58" s="140"/>
      <c r="FP58" s="141"/>
      <c r="FQ58" s="142"/>
      <c r="FR58" s="140"/>
      <c r="FS58" s="141"/>
      <c r="FT58" s="142"/>
      <c r="FU58" s="140"/>
      <c r="FV58" s="141"/>
      <c r="FW58" s="142"/>
      <c r="FX58" s="140"/>
      <c r="FY58" s="141"/>
      <c r="FZ58" s="142"/>
      <c r="GA58" s="140"/>
      <c r="GB58" s="141"/>
      <c r="GC58" s="142"/>
      <c r="GD58" s="140"/>
      <c r="GE58" s="141"/>
      <c r="GF58" s="142"/>
      <c r="GG58" s="140"/>
      <c r="GH58" s="141"/>
      <c r="GI58" s="142"/>
      <c r="GJ58" s="140"/>
      <c r="GK58" s="141"/>
      <c r="GL58" s="142"/>
      <c r="GM58" s="140"/>
      <c r="GN58" s="141"/>
      <c r="GO58" s="142"/>
      <c r="GP58" s="140"/>
      <c r="GQ58" s="141"/>
      <c r="GR58" s="142"/>
      <c r="GS58" s="140"/>
      <c r="GT58" s="141"/>
      <c r="GU58" s="142"/>
      <c r="GV58" s="140"/>
      <c r="GW58" s="141"/>
      <c r="GX58" s="142"/>
      <c r="GY58" s="164"/>
      <c r="GZ58" s="134"/>
      <c r="HA58" s="185"/>
      <c r="HB58" s="131"/>
      <c r="HC58" s="307"/>
      <c r="HD58" s="131"/>
      <c r="HE58" s="307"/>
      <c r="HF58" s="131"/>
      <c r="HG58" s="307"/>
      <c r="HH58" s="131"/>
      <c r="HI58" s="307"/>
      <c r="HJ58" s="131">
        <f>'1910 Hacienda'!C146</f>
        <v>966862</v>
      </c>
      <c r="HK58" s="307">
        <f>'1910 Hacienda'!D146</f>
        <v>22</v>
      </c>
      <c r="HL58" s="131"/>
      <c r="HM58" s="307"/>
      <c r="HN58" s="131"/>
      <c r="HO58" s="307"/>
      <c r="HP58" s="131"/>
      <c r="HQ58" s="307"/>
      <c r="HR58" s="131"/>
      <c r="HS58" s="307"/>
      <c r="HT58" s="131"/>
      <c r="HU58" s="307"/>
    </row>
    <row r="59" spans="1:229" x14ac:dyDescent="0.2">
      <c r="A59" s="134" t="s">
        <v>5439</v>
      </c>
      <c r="B59" s="131"/>
      <c r="C59" s="134"/>
      <c r="D59" s="133"/>
      <c r="E59" s="131"/>
      <c r="F59" s="134"/>
      <c r="G59" s="133"/>
      <c r="H59" s="131"/>
      <c r="I59" s="134"/>
      <c r="J59" s="133"/>
      <c r="K59" s="131"/>
      <c r="L59" s="134"/>
      <c r="M59" s="133"/>
      <c r="N59" s="131"/>
      <c r="O59" s="134"/>
      <c r="P59" s="133"/>
      <c r="Q59" s="131"/>
      <c r="R59" s="134"/>
      <c r="S59" s="133"/>
      <c r="T59" s="131"/>
      <c r="U59" s="134"/>
      <c r="V59" s="133"/>
      <c r="W59" s="131"/>
      <c r="X59" s="134"/>
      <c r="Y59" s="133"/>
      <c r="Z59" s="131"/>
      <c r="AA59" s="134"/>
      <c r="AB59" s="133"/>
      <c r="AC59" s="131"/>
      <c r="AD59" s="134"/>
      <c r="AE59" s="133"/>
      <c r="AF59" s="131"/>
      <c r="AG59" s="134"/>
      <c r="AH59" s="133"/>
      <c r="AI59" s="145"/>
      <c r="AJ59" s="134"/>
      <c r="AK59" s="133"/>
      <c r="AL59" s="131"/>
      <c r="AM59" s="134"/>
      <c r="AN59" s="133"/>
      <c r="AO59" s="131"/>
      <c r="AP59" s="134"/>
      <c r="AQ59" s="133"/>
      <c r="AR59" s="131"/>
      <c r="AS59" s="134"/>
      <c r="AT59" s="180"/>
      <c r="AU59" s="131"/>
      <c r="AV59" s="185"/>
      <c r="AW59" s="131"/>
      <c r="AX59" s="185"/>
      <c r="AY59" s="131"/>
      <c r="AZ59" s="185"/>
      <c r="BA59" s="131"/>
      <c r="BB59" s="185"/>
      <c r="BC59" s="131"/>
      <c r="BD59" s="185"/>
      <c r="BE59" s="131"/>
      <c r="BF59" s="185"/>
      <c r="BG59" s="131"/>
      <c r="BH59" s="185"/>
      <c r="BI59" s="131"/>
      <c r="BJ59" s="185"/>
      <c r="BK59" s="131"/>
      <c r="BL59" s="185"/>
      <c r="BM59" s="131"/>
      <c r="BN59" s="185"/>
      <c r="BO59" s="131"/>
      <c r="BP59" s="134"/>
      <c r="BQ59" s="131"/>
      <c r="BR59" s="134"/>
      <c r="BS59" s="133"/>
      <c r="BT59" s="131"/>
      <c r="BU59" s="134"/>
      <c r="BV59" s="131"/>
      <c r="BW59" s="134"/>
      <c r="BX59" s="131"/>
      <c r="BY59" s="134"/>
      <c r="BZ59" s="131"/>
      <c r="CA59" s="134"/>
      <c r="CB59" s="133"/>
      <c r="CC59" s="131"/>
      <c r="CD59" s="134"/>
      <c r="CE59" s="133"/>
      <c r="CF59" s="131"/>
      <c r="CG59" s="134"/>
      <c r="CH59" s="133"/>
      <c r="CI59" s="131"/>
      <c r="CJ59" s="134"/>
      <c r="CK59" s="133"/>
      <c r="CL59" s="131"/>
      <c r="CM59" s="134"/>
      <c r="CN59" s="133"/>
      <c r="CO59" s="131"/>
      <c r="CP59" s="134"/>
      <c r="CQ59" s="133"/>
      <c r="CR59" s="131"/>
      <c r="CS59" s="134"/>
      <c r="CT59" s="133"/>
      <c r="CU59" s="131"/>
      <c r="CV59" s="134"/>
      <c r="CW59" s="133"/>
      <c r="CX59" s="131"/>
      <c r="CY59" s="134"/>
      <c r="CZ59" s="133"/>
      <c r="DA59" s="140"/>
      <c r="DB59" s="141"/>
      <c r="DC59" s="142"/>
      <c r="DD59" s="140"/>
      <c r="DE59" s="141"/>
      <c r="DF59" s="142"/>
      <c r="DG59" s="140"/>
      <c r="DH59" s="141"/>
      <c r="DI59" s="142"/>
      <c r="DJ59" s="140"/>
      <c r="DK59" s="141"/>
      <c r="DL59" s="142"/>
      <c r="DM59" s="140"/>
      <c r="DN59" s="141"/>
      <c r="DO59" s="142"/>
      <c r="DP59" s="140"/>
      <c r="DQ59" s="141"/>
      <c r="DR59" s="142"/>
      <c r="DS59" s="140"/>
      <c r="DT59" s="141"/>
      <c r="DU59" s="142"/>
      <c r="DV59" s="140"/>
      <c r="DW59" s="141"/>
      <c r="DX59" s="142"/>
      <c r="DY59" s="140"/>
      <c r="DZ59" s="141"/>
      <c r="EA59" s="142"/>
      <c r="EB59" s="140"/>
      <c r="EC59" s="141"/>
      <c r="ED59" s="142"/>
      <c r="EE59" s="140"/>
      <c r="EF59" s="141"/>
      <c r="EG59" s="142"/>
      <c r="EH59" s="140"/>
      <c r="EI59" s="141"/>
      <c r="EJ59" s="142"/>
      <c r="EK59" s="140"/>
      <c r="EL59" s="141"/>
      <c r="EM59" s="142"/>
      <c r="EN59" s="140"/>
      <c r="EO59" s="141"/>
      <c r="EP59" s="142"/>
      <c r="EQ59" s="140"/>
      <c r="ER59" s="141"/>
      <c r="ES59" s="142"/>
      <c r="ET59" s="140"/>
      <c r="EU59" s="141"/>
      <c r="EV59" s="142"/>
      <c r="EW59" s="140"/>
      <c r="EX59" s="141"/>
      <c r="EY59" s="142"/>
      <c r="EZ59" s="140"/>
      <c r="FA59" s="141"/>
      <c r="FB59" s="142"/>
      <c r="FC59" s="140"/>
      <c r="FD59" s="141"/>
      <c r="FE59" s="142"/>
      <c r="FF59" s="140"/>
      <c r="FG59" s="141"/>
      <c r="FH59" s="142"/>
      <c r="FI59" s="140"/>
      <c r="FJ59" s="141"/>
      <c r="FK59" s="142"/>
      <c r="FL59" s="140"/>
      <c r="FM59" s="141"/>
      <c r="FN59" s="142"/>
      <c r="FO59" s="140"/>
      <c r="FP59" s="141"/>
      <c r="FQ59" s="142"/>
      <c r="FR59" s="140"/>
      <c r="FS59" s="141"/>
      <c r="FT59" s="142"/>
      <c r="FU59" s="140"/>
      <c r="FV59" s="141"/>
      <c r="FW59" s="142"/>
      <c r="FX59" s="140"/>
      <c r="FY59" s="141"/>
      <c r="FZ59" s="142"/>
      <c r="GA59" s="140"/>
      <c r="GB59" s="141"/>
      <c r="GC59" s="142"/>
      <c r="GD59" s="140"/>
      <c r="GE59" s="141"/>
      <c r="GF59" s="142"/>
      <c r="GG59" s="140"/>
      <c r="GH59" s="141"/>
      <c r="GI59" s="142"/>
      <c r="GJ59" s="140"/>
      <c r="GK59" s="141"/>
      <c r="GL59" s="142"/>
      <c r="GM59" s="140"/>
      <c r="GN59" s="141"/>
      <c r="GO59" s="142"/>
      <c r="GP59" s="140"/>
      <c r="GQ59" s="141"/>
      <c r="GR59" s="142"/>
      <c r="GS59" s="140"/>
      <c r="GT59" s="141"/>
      <c r="GU59" s="142"/>
      <c r="GV59" s="140"/>
      <c r="GW59" s="141"/>
      <c r="GX59" s="142"/>
      <c r="GY59" s="164"/>
      <c r="GZ59" s="134"/>
      <c r="HA59" s="185"/>
      <c r="HB59" s="131"/>
      <c r="HC59" s="307"/>
      <c r="HD59" s="131">
        <f>'1910 Hacienda'!C41</f>
        <v>1250</v>
      </c>
      <c r="HE59" s="307">
        <f>'1910 Hacienda'!D41</f>
        <v>0</v>
      </c>
      <c r="HF59" s="131">
        <f>'1910 Hacienda'!C69</f>
        <v>1250</v>
      </c>
      <c r="HG59" s="307">
        <f>'1910 Hacienda'!D69</f>
        <v>0</v>
      </c>
      <c r="HH59" s="131">
        <f>'1910 Hacienda'!C96</f>
        <v>524</v>
      </c>
      <c r="HI59" s="307"/>
      <c r="HJ59" s="131"/>
      <c r="HK59" s="307"/>
      <c r="HL59" s="131"/>
      <c r="HM59" s="307"/>
      <c r="HN59" s="131"/>
      <c r="HO59" s="307"/>
      <c r="HP59" s="131"/>
      <c r="HQ59" s="307"/>
      <c r="HR59" s="131"/>
      <c r="HS59" s="307"/>
      <c r="HT59" s="131"/>
      <c r="HU59" s="307"/>
    </row>
    <row r="60" spans="1:229" x14ac:dyDescent="0.2">
      <c r="A60" s="184" t="s">
        <v>5442</v>
      </c>
      <c r="B60" s="131"/>
      <c r="C60" s="134"/>
      <c r="D60" s="133"/>
      <c r="E60" s="131"/>
      <c r="F60" s="134"/>
      <c r="G60" s="133"/>
      <c r="H60" s="131"/>
      <c r="I60" s="134"/>
      <c r="J60" s="133"/>
      <c r="K60" s="131"/>
      <c r="L60" s="134"/>
      <c r="M60" s="133"/>
      <c r="N60" s="131"/>
      <c r="O60" s="134"/>
      <c r="P60" s="133"/>
      <c r="Q60" s="131"/>
      <c r="R60" s="134"/>
      <c r="S60" s="133"/>
      <c r="T60" s="131"/>
      <c r="U60" s="134"/>
      <c r="V60" s="133"/>
      <c r="W60" s="131"/>
      <c r="X60" s="134"/>
      <c r="Y60" s="133"/>
      <c r="Z60" s="131"/>
      <c r="AA60" s="134"/>
      <c r="AB60" s="133"/>
      <c r="AC60" s="131"/>
      <c r="AD60" s="134"/>
      <c r="AE60" s="133"/>
      <c r="AF60" s="131"/>
      <c r="AG60" s="134"/>
      <c r="AH60" s="133"/>
      <c r="AI60" s="145"/>
      <c r="AJ60" s="134"/>
      <c r="AK60" s="133"/>
      <c r="AL60" s="131"/>
      <c r="AM60" s="134"/>
      <c r="AN60" s="133"/>
      <c r="AO60" s="131"/>
      <c r="AP60" s="134"/>
      <c r="AQ60" s="133"/>
      <c r="AR60" s="131"/>
      <c r="AS60" s="134"/>
      <c r="AT60" s="180"/>
      <c r="AU60" s="131"/>
      <c r="AV60" s="185"/>
      <c r="AW60" s="131"/>
      <c r="AX60" s="185"/>
      <c r="AY60" s="131"/>
      <c r="AZ60" s="185"/>
      <c r="BA60" s="131"/>
      <c r="BB60" s="185"/>
      <c r="BC60" s="131"/>
      <c r="BD60" s="185"/>
      <c r="BE60" s="131"/>
      <c r="BF60" s="185"/>
      <c r="BG60" s="131"/>
      <c r="BH60" s="185"/>
      <c r="BI60" s="131"/>
      <c r="BJ60" s="185"/>
      <c r="BK60" s="131"/>
      <c r="BL60" s="185"/>
      <c r="BM60" s="131"/>
      <c r="BN60" s="185"/>
      <c r="BO60" s="131"/>
      <c r="BP60" s="134"/>
      <c r="BQ60" s="131"/>
      <c r="BR60" s="134"/>
      <c r="BS60" s="133"/>
      <c r="BT60" s="131"/>
      <c r="BU60" s="134"/>
      <c r="BV60" s="131"/>
      <c r="BW60" s="134"/>
      <c r="BX60" s="131"/>
      <c r="BY60" s="134"/>
      <c r="BZ60" s="131"/>
      <c r="CA60" s="134"/>
      <c r="CB60" s="133"/>
      <c r="CC60" s="131"/>
      <c r="CD60" s="134"/>
      <c r="CE60" s="133"/>
      <c r="CF60" s="131"/>
      <c r="CG60" s="134"/>
      <c r="CH60" s="133"/>
      <c r="CI60" s="131">
        <f>+'1869 Hacienda'!B46</f>
        <v>34000</v>
      </c>
      <c r="CK60" s="133"/>
      <c r="CL60" s="131">
        <f>+'1869 Hacienda'!C46</f>
        <v>34000</v>
      </c>
      <c r="CN60" s="133"/>
      <c r="CO60" s="131">
        <f>+'1869 Hacienda'!D46</f>
        <v>1000000</v>
      </c>
      <c r="CQ60" s="133"/>
      <c r="CR60" s="131">
        <f>+'1869 Hacienda'!E46</f>
        <v>497904</v>
      </c>
      <c r="CT60" s="133"/>
      <c r="CU60" s="107">
        <f>+'1869 Hacienda'!F46</f>
        <v>250000</v>
      </c>
      <c r="CV60" s="134"/>
      <c r="CW60" s="133"/>
      <c r="CX60" s="131"/>
      <c r="CY60" s="134"/>
      <c r="CZ60" s="133"/>
      <c r="DA60" s="140"/>
      <c r="DB60" s="141"/>
      <c r="DC60" s="142"/>
      <c r="DD60" s="140"/>
      <c r="DE60" s="141"/>
      <c r="DF60" s="142"/>
      <c r="DG60" s="140"/>
      <c r="DH60" s="141"/>
      <c r="DI60" s="142"/>
      <c r="DJ60" s="140"/>
      <c r="DK60" s="141"/>
      <c r="DL60" s="142"/>
      <c r="DM60" s="140"/>
      <c r="DN60" s="141"/>
      <c r="DO60" s="142"/>
      <c r="DP60" s="140"/>
      <c r="DQ60" s="141"/>
      <c r="DR60" s="142"/>
      <c r="DS60" s="140"/>
      <c r="DT60" s="141"/>
      <c r="DU60" s="142"/>
      <c r="DV60" s="140"/>
      <c r="DW60" s="141"/>
      <c r="DX60" s="142"/>
      <c r="DY60" s="140"/>
      <c r="DZ60" s="141"/>
      <c r="EA60" s="142"/>
      <c r="EB60" s="140"/>
      <c r="EC60" s="141"/>
      <c r="ED60" s="142"/>
      <c r="EE60" s="140"/>
      <c r="EF60" s="141"/>
      <c r="EG60" s="142"/>
      <c r="EH60" s="140"/>
      <c r="EI60" s="141"/>
      <c r="EJ60" s="142"/>
      <c r="EK60" s="140"/>
      <c r="EL60" s="141"/>
      <c r="EM60" s="142"/>
      <c r="EN60" s="140"/>
      <c r="EO60" s="141"/>
      <c r="EP60" s="142"/>
      <c r="EQ60" s="140"/>
      <c r="ER60" s="141"/>
      <c r="ES60" s="142"/>
      <c r="ET60" s="140"/>
      <c r="EU60" s="141"/>
      <c r="EV60" s="142"/>
      <c r="EW60" s="140"/>
      <c r="EX60" s="141"/>
      <c r="EY60" s="142"/>
      <c r="EZ60" s="140"/>
      <c r="FA60" s="141"/>
      <c r="FB60" s="142"/>
      <c r="FC60" s="140"/>
      <c r="FD60" s="141"/>
      <c r="FE60" s="142"/>
      <c r="FF60" s="140"/>
      <c r="FG60" s="141"/>
      <c r="FH60" s="142"/>
      <c r="FI60" s="140"/>
      <c r="FJ60" s="141"/>
      <c r="FK60" s="142"/>
      <c r="FL60" s="140"/>
      <c r="FM60" s="141"/>
      <c r="FN60" s="142"/>
      <c r="FO60" s="140"/>
      <c r="FP60" s="141"/>
      <c r="FQ60" s="142"/>
      <c r="FR60" s="140"/>
      <c r="FS60" s="141"/>
      <c r="FT60" s="142"/>
      <c r="FU60" s="140"/>
      <c r="FV60" s="141"/>
      <c r="FW60" s="142"/>
      <c r="FX60" s="140"/>
      <c r="FY60" s="141"/>
      <c r="FZ60" s="142"/>
      <c r="GA60" s="140"/>
      <c r="GB60" s="141"/>
      <c r="GC60" s="142"/>
      <c r="GD60" s="140"/>
      <c r="GE60" s="141"/>
      <c r="GF60" s="142"/>
      <c r="GG60" s="140"/>
      <c r="GH60" s="141"/>
      <c r="GI60" s="142"/>
      <c r="GJ60" s="140"/>
      <c r="GK60" s="141"/>
      <c r="GL60" s="142"/>
      <c r="GM60" s="140"/>
      <c r="GN60" s="141"/>
      <c r="GO60" s="142"/>
      <c r="GP60" s="140"/>
      <c r="GQ60" s="141"/>
      <c r="GR60" s="142"/>
      <c r="GS60" s="140"/>
      <c r="GT60" s="141"/>
      <c r="GU60" s="142"/>
      <c r="GV60" s="140"/>
      <c r="GW60" s="141"/>
      <c r="GX60" s="142"/>
      <c r="GY60" s="164"/>
      <c r="GZ60" s="134"/>
      <c r="HA60" s="185"/>
      <c r="HB60" s="164"/>
      <c r="HC60" s="185"/>
      <c r="HD60" s="164">
        <f>'1910 Hacienda'!C47</f>
        <v>73738</v>
      </c>
      <c r="HE60" s="185">
        <f>'1910 Hacienda'!D47</f>
        <v>80</v>
      </c>
      <c r="HF60" s="164">
        <f>'1910 Hacienda'!C75</f>
        <v>87452</v>
      </c>
      <c r="HG60" s="185">
        <f>'1910 Hacienda'!D75</f>
        <v>3</v>
      </c>
      <c r="HH60" s="164">
        <f>'1910 Hacienda'!C95</f>
        <v>19745</v>
      </c>
      <c r="HI60" s="185">
        <f>'1910 Hacienda'!D95</f>
        <v>36</v>
      </c>
      <c r="HJ60" s="164">
        <f>'1910 Hacienda'!C137</f>
        <v>67336</v>
      </c>
      <c r="HK60" s="185">
        <f>'1910 Hacienda'!D137</f>
        <v>51</v>
      </c>
      <c r="HL60" s="164">
        <f>+'1911 Hacienda'!B33</f>
        <v>243052</v>
      </c>
      <c r="HM60" s="185">
        <f>+'1911 Hacienda'!C33</f>
        <v>66</v>
      </c>
      <c r="HN60" s="164"/>
      <c r="HO60" s="185"/>
      <c r="HP60" s="164"/>
      <c r="HQ60" s="185"/>
      <c r="HR60" s="164"/>
      <c r="HS60" s="185"/>
      <c r="HT60" s="164"/>
      <c r="HU60" s="185"/>
    </row>
    <row r="61" spans="1:229" x14ac:dyDescent="0.2">
      <c r="A61" s="184" t="s">
        <v>1991</v>
      </c>
      <c r="B61" s="131"/>
      <c r="C61" s="134"/>
      <c r="D61" s="133"/>
      <c r="E61" s="131"/>
      <c r="F61" s="134"/>
      <c r="G61" s="133"/>
      <c r="H61" s="131"/>
      <c r="I61" s="134"/>
      <c r="J61" s="133"/>
      <c r="K61" s="131"/>
      <c r="L61" s="134"/>
      <c r="M61" s="133"/>
      <c r="N61" s="131"/>
      <c r="O61" s="134"/>
      <c r="P61" s="133"/>
      <c r="Q61" s="131"/>
      <c r="R61" s="134"/>
      <c r="S61" s="133"/>
      <c r="T61" s="131"/>
      <c r="U61" s="134"/>
      <c r="V61" s="133"/>
      <c r="W61" s="131"/>
      <c r="X61" s="134"/>
      <c r="Y61" s="133"/>
      <c r="Z61" s="131"/>
      <c r="AA61" s="134"/>
      <c r="AB61" s="133"/>
      <c r="AC61" s="131"/>
      <c r="AD61" s="134"/>
      <c r="AE61" s="133"/>
      <c r="AF61" s="131"/>
      <c r="AG61" s="134"/>
      <c r="AH61" s="133"/>
      <c r="AI61" s="145"/>
      <c r="AJ61" s="134"/>
      <c r="AK61" s="133"/>
      <c r="AL61" s="131"/>
      <c r="AM61" s="134"/>
      <c r="AN61" s="133"/>
      <c r="AO61" s="131"/>
      <c r="AP61" s="134"/>
      <c r="AQ61" s="133"/>
      <c r="AR61" s="131"/>
      <c r="AS61" s="134"/>
      <c r="AT61" s="180"/>
      <c r="AU61" s="131"/>
      <c r="AV61" s="185"/>
      <c r="AW61" s="131"/>
      <c r="AX61" s="185"/>
      <c r="AY61" s="131"/>
      <c r="AZ61" s="185"/>
      <c r="BA61" s="131"/>
      <c r="BB61" s="185"/>
      <c r="BC61" s="131"/>
      <c r="BD61" s="185"/>
      <c r="BE61" s="131"/>
      <c r="BF61" s="185"/>
      <c r="BG61" s="131"/>
      <c r="BH61" s="185"/>
      <c r="BI61" s="131"/>
      <c r="BJ61" s="185"/>
      <c r="BK61" s="131"/>
      <c r="BL61" s="185"/>
      <c r="BM61" s="131"/>
      <c r="BN61" s="185"/>
      <c r="BO61" s="131"/>
      <c r="BP61" s="134"/>
      <c r="BQ61" s="131">
        <f>+'1858 Hacienda'!B283</f>
        <v>17723</v>
      </c>
      <c r="BR61" s="134">
        <f>+'1858 Hacienda'!C283</f>
        <v>36</v>
      </c>
      <c r="BS61" s="133">
        <f>+'1858 Hacienda'!D283</f>
        <v>0</v>
      </c>
      <c r="BT61" s="131"/>
      <c r="BU61" s="134"/>
      <c r="BV61" s="131"/>
      <c r="BW61" s="134"/>
      <c r="BX61" s="131"/>
      <c r="BY61" s="134"/>
      <c r="BZ61" s="131"/>
      <c r="CA61" s="134"/>
      <c r="CB61" s="133"/>
      <c r="CC61" s="131"/>
      <c r="CD61" s="134"/>
      <c r="CE61" s="133"/>
      <c r="CF61" s="131"/>
      <c r="CG61" s="134"/>
      <c r="CH61" s="133"/>
      <c r="CI61" s="131"/>
      <c r="CJ61" s="134"/>
      <c r="CK61" s="133"/>
      <c r="CL61" s="131"/>
      <c r="CM61" s="134"/>
      <c r="CN61" s="133"/>
      <c r="CO61" s="131"/>
      <c r="CP61" s="134"/>
      <c r="CQ61" s="133"/>
      <c r="CR61" s="131"/>
      <c r="CS61" s="134"/>
      <c r="CT61" s="133"/>
      <c r="CU61" s="131"/>
      <c r="CV61" s="134"/>
      <c r="CW61" s="133"/>
      <c r="CX61" s="131">
        <f>+'1869 Hacienda'!B8</f>
        <v>250000</v>
      </c>
      <c r="CY61" s="134"/>
      <c r="CZ61" s="133"/>
      <c r="DA61" s="140">
        <f>+'1872 Hacienda'!B8</f>
        <v>187500</v>
      </c>
      <c r="DB61" s="141"/>
      <c r="DC61" s="142"/>
      <c r="DD61" s="140"/>
      <c r="DE61" s="141"/>
      <c r="DF61" s="142"/>
      <c r="DG61" s="140"/>
      <c r="DH61" s="141"/>
      <c r="DI61" s="142"/>
      <c r="DJ61" s="140">
        <f>+'1875 Hacienda'!B11</f>
        <v>250000</v>
      </c>
      <c r="DK61" s="141"/>
      <c r="DL61" s="142"/>
      <c r="DM61" s="140"/>
      <c r="DN61" s="141"/>
      <c r="DO61" s="142"/>
      <c r="DP61" s="140"/>
      <c r="DQ61" s="141"/>
      <c r="DR61" s="142"/>
      <c r="DS61" s="140"/>
      <c r="DT61" s="141"/>
      <c r="DU61" s="142"/>
      <c r="DV61" s="140"/>
      <c r="DW61" s="141"/>
      <c r="DX61" s="142"/>
      <c r="DY61" s="140">
        <f>+'1880 Hacienda'!B8</f>
        <v>250000</v>
      </c>
      <c r="DZ61" s="141"/>
      <c r="EA61" s="142"/>
      <c r="EB61" s="140">
        <f>+'1881 Hacienda'!B8</f>
        <v>190750</v>
      </c>
      <c r="EC61" s="141">
        <f>+'1881 Hacienda'!C8</f>
        <v>0</v>
      </c>
      <c r="ED61" s="142"/>
      <c r="EE61" s="140">
        <f>+'1882 Hacienda'!B7</f>
        <v>260000</v>
      </c>
      <c r="EF61" s="141">
        <f>+'1882 Hacienda'!C7</f>
        <v>0</v>
      </c>
      <c r="EG61" s="142">
        <f>+'1882 Hacienda'!D7</f>
        <v>0</v>
      </c>
      <c r="EH61" s="140"/>
      <c r="EI61" s="141"/>
      <c r="EJ61" s="142"/>
      <c r="EK61" s="140"/>
      <c r="EL61" s="141"/>
      <c r="EM61" s="142"/>
      <c r="EN61" s="140"/>
      <c r="EO61" s="141"/>
      <c r="EP61" s="142"/>
      <c r="EQ61" s="140"/>
      <c r="ER61" s="141"/>
      <c r="ES61" s="142"/>
      <c r="ET61" s="140"/>
      <c r="EU61" s="141"/>
      <c r="EV61" s="142"/>
      <c r="EW61" s="140"/>
      <c r="EX61" s="141"/>
      <c r="EY61" s="142"/>
      <c r="EZ61" s="140"/>
      <c r="FA61" s="141"/>
      <c r="FB61" s="142"/>
      <c r="FC61" s="140">
        <f>+'1890 Hacienda'!B222</f>
        <v>70000</v>
      </c>
      <c r="FD61" s="141"/>
      <c r="FE61" s="142"/>
      <c r="FF61" s="140">
        <f>+'1890 Hacienda'!E222</f>
        <v>35000</v>
      </c>
      <c r="FG61" s="141"/>
      <c r="FH61" s="142"/>
      <c r="FI61" s="140"/>
      <c r="FJ61" s="141"/>
      <c r="FK61" s="142"/>
      <c r="FL61" s="140">
        <f>+'1894 Hacienda'!C17</f>
        <v>19500</v>
      </c>
      <c r="FM61" s="141"/>
      <c r="FN61" s="142"/>
      <c r="FO61" s="140">
        <f>+'1894 Hacienda'!F17</f>
        <v>38955</v>
      </c>
      <c r="FP61" s="141"/>
      <c r="FQ61" s="142" t="str">
        <f>+'1894 Hacienda'!H17</f>
        <v>p/m</v>
      </c>
      <c r="FR61" s="140">
        <f>+'1896 Hacienda'!C18</f>
        <v>23670</v>
      </c>
      <c r="FS61" s="141"/>
      <c r="FT61" s="142"/>
      <c r="FU61" s="140">
        <f>+'1896 Hacienda'!F18</f>
        <v>24670</v>
      </c>
      <c r="FV61" s="141"/>
      <c r="FW61" s="142"/>
      <c r="FX61" s="140"/>
      <c r="FY61" s="141"/>
      <c r="FZ61" s="142"/>
      <c r="GA61" s="140"/>
      <c r="GB61" s="141"/>
      <c r="GC61" s="142"/>
      <c r="GD61" s="140"/>
      <c r="GE61" s="141"/>
      <c r="GF61" s="142"/>
      <c r="GG61" s="140"/>
      <c r="GH61" s="141"/>
      <c r="GI61" s="142"/>
      <c r="GJ61" s="140"/>
      <c r="GK61" s="141"/>
      <c r="GL61" s="142"/>
      <c r="GM61" s="140"/>
      <c r="GN61" s="141"/>
      <c r="GO61" s="142"/>
      <c r="GP61" s="140"/>
      <c r="GQ61" s="141"/>
      <c r="GR61" s="142"/>
      <c r="GS61" s="140"/>
      <c r="GT61" s="141"/>
      <c r="GU61" s="142"/>
      <c r="GV61" s="140"/>
      <c r="GW61" s="141"/>
      <c r="GX61" s="142"/>
      <c r="GY61" s="164"/>
      <c r="GZ61" s="134"/>
      <c r="HA61" s="185"/>
      <c r="HB61" s="164"/>
      <c r="HC61" s="185"/>
      <c r="HD61" s="164"/>
      <c r="HE61" s="185"/>
      <c r="HF61" s="164"/>
      <c r="HG61" s="185"/>
      <c r="HH61" s="164"/>
      <c r="HI61" s="185"/>
      <c r="HJ61" s="164"/>
      <c r="HK61" s="185"/>
      <c r="HL61" s="164"/>
      <c r="HM61" s="185"/>
      <c r="HN61" s="164"/>
      <c r="HO61" s="185"/>
      <c r="HP61" s="164"/>
      <c r="HQ61" s="185"/>
      <c r="HR61" s="164"/>
      <c r="HS61" s="185"/>
      <c r="HT61" s="164"/>
      <c r="HU61" s="185"/>
    </row>
    <row r="62" spans="1:229" ht="30" x14ac:dyDescent="0.2">
      <c r="A62" s="683" t="str">
        <f>+'1898 Hacienda'!A17</f>
        <v>Ferrocarrill de Panamá $10.000 (oro) (Premio computado al 150 por 100 de $15.000)</v>
      </c>
      <c r="B62" s="131"/>
      <c r="C62" s="134"/>
      <c r="D62" s="133"/>
      <c r="E62" s="131"/>
      <c r="F62" s="134"/>
      <c r="G62" s="133"/>
      <c r="H62" s="131"/>
      <c r="I62" s="134"/>
      <c r="J62" s="133"/>
      <c r="K62" s="131"/>
      <c r="L62" s="134"/>
      <c r="M62" s="133"/>
      <c r="N62" s="131"/>
      <c r="O62" s="134"/>
      <c r="P62" s="133"/>
      <c r="Q62" s="131"/>
      <c r="R62" s="134"/>
      <c r="S62" s="133"/>
      <c r="T62" s="131"/>
      <c r="U62" s="134"/>
      <c r="V62" s="133"/>
      <c r="W62" s="131"/>
      <c r="X62" s="134"/>
      <c r="Y62" s="133"/>
      <c r="Z62" s="131"/>
      <c r="AA62" s="134"/>
      <c r="AB62" s="133"/>
      <c r="AC62" s="131"/>
      <c r="AD62" s="134"/>
      <c r="AE62" s="133"/>
      <c r="AF62" s="131"/>
      <c r="AG62" s="134"/>
      <c r="AH62" s="133"/>
      <c r="AI62" s="145"/>
      <c r="AJ62" s="134"/>
      <c r="AK62" s="133"/>
      <c r="AL62" s="131"/>
      <c r="AM62" s="134"/>
      <c r="AN62" s="133"/>
      <c r="AO62" s="131"/>
      <c r="AP62" s="134"/>
      <c r="AQ62" s="133"/>
      <c r="AR62" s="131"/>
      <c r="AS62" s="134"/>
      <c r="AT62" s="180"/>
      <c r="AU62" s="131"/>
      <c r="AV62" s="185"/>
      <c r="AW62" s="131"/>
      <c r="AX62" s="185"/>
      <c r="AY62" s="131"/>
      <c r="AZ62" s="185"/>
      <c r="BA62" s="131"/>
      <c r="BB62" s="185"/>
      <c r="BC62" s="131"/>
      <c r="BD62" s="185"/>
      <c r="BE62" s="131"/>
      <c r="BF62" s="185"/>
      <c r="BG62" s="131"/>
      <c r="BH62" s="185"/>
      <c r="BI62" s="131"/>
      <c r="BJ62" s="185"/>
      <c r="BK62" s="131"/>
      <c r="BL62" s="185"/>
      <c r="BM62" s="131"/>
      <c r="BN62" s="185"/>
      <c r="BO62" s="131"/>
      <c r="BP62" s="134"/>
      <c r="BQ62" s="131"/>
      <c r="BR62" s="134"/>
      <c r="BS62" s="133"/>
      <c r="BT62" s="131"/>
      <c r="BU62" s="134"/>
      <c r="BV62" s="131"/>
      <c r="BW62" s="134"/>
      <c r="BX62" s="131"/>
      <c r="BY62" s="134"/>
      <c r="BZ62" s="131"/>
      <c r="CA62" s="134"/>
      <c r="CB62" s="133"/>
      <c r="CC62" s="131"/>
      <c r="CD62" s="134"/>
      <c r="CE62" s="133"/>
      <c r="CF62" s="131"/>
      <c r="CG62" s="134"/>
      <c r="CH62" s="133"/>
      <c r="CI62" s="131"/>
      <c r="CJ62" s="134"/>
      <c r="CK62" s="133"/>
      <c r="CL62" s="131"/>
      <c r="CM62" s="134"/>
      <c r="CN62" s="133"/>
      <c r="CO62" s="131"/>
      <c r="CP62" s="134"/>
      <c r="CQ62" s="133"/>
      <c r="CR62" s="131"/>
      <c r="CS62" s="134"/>
      <c r="CT62" s="133"/>
      <c r="CU62" s="131"/>
      <c r="CV62" s="134"/>
      <c r="CW62" s="133"/>
      <c r="CX62" s="131"/>
      <c r="CY62" s="134"/>
      <c r="CZ62" s="133"/>
      <c r="DA62" s="140"/>
      <c r="DB62" s="141"/>
      <c r="DC62" s="142"/>
      <c r="DD62" s="140"/>
      <c r="DE62" s="141"/>
      <c r="DF62" s="142"/>
      <c r="DG62" s="140"/>
      <c r="DH62" s="141"/>
      <c r="DI62" s="142"/>
      <c r="DJ62" s="140"/>
      <c r="DK62" s="141"/>
      <c r="DL62" s="142"/>
      <c r="DM62" s="140"/>
      <c r="DN62" s="141"/>
      <c r="DO62" s="142"/>
      <c r="DP62" s="140"/>
      <c r="DQ62" s="141"/>
      <c r="DR62" s="142"/>
      <c r="DS62" s="140"/>
      <c r="DT62" s="141"/>
      <c r="DU62" s="142"/>
      <c r="DV62" s="140"/>
      <c r="DW62" s="141"/>
      <c r="DX62" s="142"/>
      <c r="DY62" s="140"/>
      <c r="DZ62" s="141"/>
      <c r="EA62" s="142"/>
      <c r="EB62" s="140"/>
      <c r="EC62" s="141"/>
      <c r="ED62" s="142"/>
      <c r="EE62" s="140"/>
      <c r="EF62" s="141"/>
      <c r="EG62" s="142"/>
      <c r="EH62" s="140"/>
      <c r="EI62" s="141"/>
      <c r="EJ62" s="142"/>
      <c r="EK62" s="140"/>
      <c r="EL62" s="141"/>
      <c r="EM62" s="142"/>
      <c r="EN62" s="140"/>
      <c r="EO62" s="141"/>
      <c r="EP62" s="142"/>
      <c r="EQ62" s="140"/>
      <c r="ER62" s="141"/>
      <c r="ES62" s="142"/>
      <c r="ET62" s="140"/>
      <c r="EU62" s="141"/>
      <c r="EV62" s="142"/>
      <c r="EW62" s="140"/>
      <c r="EX62" s="141"/>
      <c r="EY62" s="142"/>
      <c r="EZ62" s="140"/>
      <c r="FA62" s="141"/>
      <c r="FB62" s="142"/>
      <c r="FC62" s="140"/>
      <c r="FD62" s="141"/>
      <c r="FE62" s="142"/>
      <c r="FF62" s="140"/>
      <c r="FG62" s="141"/>
      <c r="FH62" s="142"/>
      <c r="FI62" s="140"/>
      <c r="FJ62" s="141"/>
      <c r="FK62" s="142"/>
      <c r="FL62" s="140"/>
      <c r="FM62" s="141"/>
      <c r="FN62" s="142"/>
      <c r="FO62" s="140"/>
      <c r="FP62" s="141"/>
      <c r="FQ62" s="142"/>
      <c r="FR62" s="140"/>
      <c r="FS62" s="141"/>
      <c r="FT62" s="142"/>
      <c r="FU62" s="140"/>
      <c r="FV62" s="141"/>
      <c r="FW62" s="142"/>
      <c r="FX62" s="140">
        <f>+'1898 Hacienda'!B17</f>
        <v>25000</v>
      </c>
      <c r="FY62" s="141"/>
      <c r="FZ62" s="142"/>
      <c r="GA62" s="140">
        <f>+'1898 Hacienda'!E17</f>
        <v>25000</v>
      </c>
      <c r="GB62" s="141"/>
      <c r="GC62" s="142"/>
      <c r="GD62" s="140">
        <f>+'1898 Hacienda'!K17</f>
        <v>25000</v>
      </c>
      <c r="GE62" s="141"/>
      <c r="GF62" s="142"/>
      <c r="GG62" s="140"/>
      <c r="GH62" s="141"/>
      <c r="GI62" s="142"/>
      <c r="GJ62" s="140"/>
      <c r="GK62" s="141"/>
      <c r="GL62" s="142"/>
      <c r="GM62" s="140"/>
      <c r="GN62" s="141"/>
      <c r="GO62" s="142"/>
      <c r="GP62" s="140"/>
      <c r="GQ62" s="141"/>
      <c r="GR62" s="142"/>
      <c r="GS62" s="140"/>
      <c r="GT62" s="141"/>
      <c r="GU62" s="142"/>
      <c r="GV62" s="140"/>
      <c r="GW62" s="141"/>
      <c r="GX62" s="142"/>
      <c r="GY62" s="164"/>
      <c r="GZ62" s="134"/>
      <c r="HA62" s="185"/>
      <c r="HB62" s="164"/>
      <c r="HC62" s="185"/>
      <c r="HD62" s="164"/>
      <c r="HE62" s="185"/>
      <c r="HF62" s="164"/>
      <c r="HG62" s="185"/>
      <c r="HH62" s="164"/>
      <c r="HI62" s="185"/>
      <c r="HJ62" s="164"/>
      <c r="HK62" s="185"/>
      <c r="HL62" s="164"/>
      <c r="HM62" s="185"/>
      <c r="HN62" s="164"/>
      <c r="HO62" s="185"/>
      <c r="HP62" s="164"/>
      <c r="HQ62" s="185"/>
      <c r="HR62" s="164"/>
      <c r="HS62" s="185"/>
      <c r="HT62" s="164"/>
      <c r="HU62" s="185"/>
    </row>
    <row r="63" spans="1:229" x14ac:dyDescent="0.2">
      <c r="A63" s="184" t="s">
        <v>6059</v>
      </c>
      <c r="B63" s="131"/>
      <c r="C63" s="134"/>
      <c r="D63" s="133"/>
      <c r="E63" s="131"/>
      <c r="F63" s="134"/>
      <c r="G63" s="133"/>
      <c r="H63" s="131"/>
      <c r="I63" s="134"/>
      <c r="J63" s="133"/>
      <c r="K63" s="131"/>
      <c r="L63" s="134"/>
      <c r="M63" s="133"/>
      <c r="N63" s="131"/>
      <c r="O63" s="134"/>
      <c r="P63" s="133"/>
      <c r="Q63" s="131"/>
      <c r="R63" s="134"/>
      <c r="S63" s="133"/>
      <c r="T63" s="131"/>
      <c r="U63" s="134"/>
      <c r="V63" s="133"/>
      <c r="W63" s="131"/>
      <c r="X63" s="134"/>
      <c r="Y63" s="133"/>
      <c r="Z63" s="131"/>
      <c r="AA63" s="134"/>
      <c r="AB63" s="133"/>
      <c r="AC63" s="131"/>
      <c r="AD63" s="134"/>
      <c r="AE63" s="133"/>
      <c r="AF63" s="131"/>
      <c r="AG63" s="134"/>
      <c r="AH63" s="133"/>
      <c r="AI63" s="145"/>
      <c r="AJ63" s="134"/>
      <c r="AK63" s="133"/>
      <c r="AL63" s="131"/>
      <c r="AM63" s="134"/>
      <c r="AN63" s="133"/>
      <c r="AO63" s="131"/>
      <c r="AP63" s="134"/>
      <c r="AQ63" s="133"/>
      <c r="AR63" s="131"/>
      <c r="AS63" s="134"/>
      <c r="AT63" s="180"/>
      <c r="AU63" s="131"/>
      <c r="AV63" s="185"/>
      <c r="AW63" s="131"/>
      <c r="AX63" s="185"/>
      <c r="AY63" s="131"/>
      <c r="AZ63" s="185"/>
      <c r="BA63" s="131"/>
      <c r="BB63" s="185"/>
      <c r="BC63" s="131"/>
      <c r="BD63" s="185"/>
      <c r="BE63" s="131"/>
      <c r="BF63" s="185"/>
      <c r="BG63" s="131"/>
      <c r="BH63" s="185"/>
      <c r="BI63" s="131"/>
      <c r="BJ63" s="185"/>
      <c r="BK63" s="131"/>
      <c r="BL63" s="185"/>
      <c r="BM63" s="131"/>
      <c r="BN63" s="185"/>
      <c r="BO63" s="131"/>
      <c r="BP63" s="134"/>
      <c r="BQ63" s="131"/>
      <c r="BR63" s="134"/>
      <c r="BS63" s="133"/>
      <c r="BT63" s="131"/>
      <c r="BU63" s="134"/>
      <c r="BV63" s="131"/>
      <c r="BW63" s="134"/>
      <c r="BX63" s="131"/>
      <c r="BY63" s="134"/>
      <c r="BZ63" s="131"/>
      <c r="CA63" s="134"/>
      <c r="CB63" s="133"/>
      <c r="CC63" s="131"/>
      <c r="CD63" s="134"/>
      <c r="CE63" s="133"/>
      <c r="CF63" s="131"/>
      <c r="CG63" s="134"/>
      <c r="CH63" s="133"/>
      <c r="CI63" s="131"/>
      <c r="CJ63" s="134"/>
      <c r="CK63" s="133"/>
      <c r="CL63" s="131"/>
      <c r="CM63" s="134"/>
      <c r="CN63" s="133"/>
      <c r="CO63" s="131"/>
      <c r="CP63" s="134"/>
      <c r="CQ63" s="133"/>
      <c r="CR63" s="131"/>
      <c r="CS63" s="134"/>
      <c r="CT63" s="133"/>
      <c r="CU63" s="131"/>
      <c r="CV63" s="134"/>
      <c r="CW63" s="133"/>
      <c r="CX63" s="131"/>
      <c r="CY63" s="134"/>
      <c r="CZ63" s="133"/>
      <c r="DA63" s="140"/>
      <c r="DB63" s="141"/>
      <c r="DC63" s="142"/>
      <c r="DD63" s="140"/>
      <c r="DE63" s="141"/>
      <c r="DF63" s="142"/>
      <c r="DG63" s="140"/>
      <c r="DH63" s="141"/>
      <c r="DI63" s="142"/>
      <c r="DJ63" s="140"/>
      <c r="DK63" s="141"/>
      <c r="DL63" s="142"/>
      <c r="DM63" s="140"/>
      <c r="DN63" s="141"/>
      <c r="DO63" s="142"/>
      <c r="DP63" s="140"/>
      <c r="DQ63" s="141"/>
      <c r="DR63" s="142"/>
      <c r="DS63" s="140"/>
      <c r="DT63" s="141"/>
      <c r="DU63" s="142"/>
      <c r="DV63" s="140"/>
      <c r="DW63" s="141"/>
      <c r="DX63" s="142"/>
      <c r="DY63" s="140">
        <f>+'1880 Hacienda'!B9</f>
        <v>138237</v>
      </c>
      <c r="DZ63" s="141"/>
      <c r="EA63" s="142"/>
      <c r="EB63" s="140">
        <f>+'1881 Hacienda'!B9</f>
        <v>139051</v>
      </c>
      <c r="EC63" s="141">
        <f>+'1881 Hacienda'!C9</f>
        <v>200</v>
      </c>
      <c r="ED63" s="142"/>
      <c r="EE63" s="140">
        <f>+'1882 Hacienda'!B8</f>
        <v>162088</v>
      </c>
      <c r="EF63" s="141">
        <f>+'1882 Hacienda'!C8</f>
        <v>15</v>
      </c>
      <c r="EG63" s="142">
        <f>+'1882 Hacienda'!D8</f>
        <v>0</v>
      </c>
      <c r="EH63" s="140"/>
      <c r="EI63" s="141"/>
      <c r="EJ63" s="142"/>
      <c r="EK63" s="140"/>
      <c r="EL63" s="141"/>
      <c r="EM63" s="142"/>
      <c r="EN63" s="140"/>
      <c r="EO63" s="141"/>
      <c r="EP63" s="142"/>
      <c r="EQ63" s="140"/>
      <c r="ER63" s="141"/>
      <c r="ES63" s="142"/>
      <c r="ET63" s="140"/>
      <c r="EU63" s="141"/>
      <c r="EV63" s="142"/>
      <c r="EW63" s="140"/>
      <c r="EX63" s="141"/>
      <c r="EY63" s="142"/>
      <c r="EZ63" s="140"/>
      <c r="FA63" s="141"/>
      <c r="FB63" s="142"/>
      <c r="FC63" s="140"/>
      <c r="FD63" s="141"/>
      <c r="FE63" s="142"/>
      <c r="FF63" s="140"/>
      <c r="FG63" s="141"/>
      <c r="FH63" s="142"/>
      <c r="FI63" s="140"/>
      <c r="FJ63" s="141"/>
      <c r="FK63" s="142"/>
      <c r="FL63" s="140"/>
      <c r="FM63" s="141"/>
      <c r="FN63" s="142"/>
      <c r="FO63" s="140"/>
      <c r="FP63" s="141"/>
      <c r="FQ63" s="142"/>
      <c r="FR63" s="140"/>
      <c r="FS63" s="141"/>
      <c r="FT63" s="142"/>
      <c r="FU63" s="140"/>
      <c r="FV63" s="141"/>
      <c r="FW63" s="142"/>
      <c r="FX63" s="140"/>
      <c r="FY63" s="141"/>
      <c r="FZ63" s="142"/>
      <c r="GA63" s="140"/>
      <c r="GB63" s="141"/>
      <c r="GC63" s="142"/>
      <c r="GD63" s="140"/>
      <c r="GE63" s="141"/>
      <c r="GF63" s="142"/>
      <c r="GG63" s="140"/>
      <c r="GH63" s="141"/>
      <c r="GI63" s="142"/>
      <c r="GJ63" s="140"/>
      <c r="GK63" s="141"/>
      <c r="GL63" s="142"/>
      <c r="GM63" s="140"/>
      <c r="GN63" s="141"/>
      <c r="GO63" s="142"/>
      <c r="GP63" s="140"/>
      <c r="GQ63" s="141"/>
      <c r="GR63" s="142"/>
      <c r="GS63" s="140"/>
      <c r="GT63" s="141"/>
      <c r="GU63" s="142"/>
      <c r="GV63" s="140"/>
      <c r="GW63" s="141"/>
      <c r="GX63" s="142"/>
      <c r="GY63" s="164"/>
      <c r="GZ63" s="134"/>
      <c r="HA63" s="185"/>
      <c r="HB63" s="164"/>
      <c r="HC63" s="185"/>
      <c r="HD63" s="164"/>
      <c r="HE63" s="185"/>
      <c r="HF63" s="164"/>
      <c r="HG63" s="185"/>
      <c r="HH63" s="164"/>
      <c r="HI63" s="185"/>
      <c r="HJ63" s="164"/>
      <c r="HK63" s="185"/>
      <c r="HL63" s="164"/>
      <c r="HM63" s="185"/>
      <c r="HN63" s="164"/>
      <c r="HO63" s="185"/>
      <c r="HP63" s="164"/>
      <c r="HQ63" s="185"/>
      <c r="HR63" s="164"/>
      <c r="HS63" s="185"/>
      <c r="HT63" s="164"/>
      <c r="HU63" s="185"/>
    </row>
    <row r="64" spans="1:229" x14ac:dyDescent="0.2">
      <c r="A64" s="184" t="s">
        <v>5180</v>
      </c>
      <c r="B64" s="131"/>
      <c r="C64" s="134"/>
      <c r="D64" s="133"/>
      <c r="E64" s="131"/>
      <c r="F64" s="134"/>
      <c r="G64" s="133"/>
      <c r="H64" s="131"/>
      <c r="I64" s="134"/>
      <c r="J64" s="133"/>
      <c r="K64" s="131"/>
      <c r="L64" s="134"/>
      <c r="M64" s="133"/>
      <c r="N64" s="131"/>
      <c r="O64" s="134"/>
      <c r="P64" s="133"/>
      <c r="Q64" s="131"/>
      <c r="R64" s="134"/>
      <c r="S64" s="133"/>
      <c r="T64" s="131"/>
      <c r="U64" s="134"/>
      <c r="V64" s="133"/>
      <c r="W64" s="131"/>
      <c r="X64" s="134"/>
      <c r="Y64" s="133"/>
      <c r="Z64" s="131"/>
      <c r="AA64" s="134"/>
      <c r="AB64" s="133"/>
      <c r="AC64" s="131"/>
      <c r="AD64" s="134"/>
      <c r="AE64" s="133"/>
      <c r="AF64" s="131"/>
      <c r="AG64" s="134"/>
      <c r="AH64" s="133"/>
      <c r="AI64" s="145"/>
      <c r="AJ64" s="134"/>
      <c r="AK64" s="133"/>
      <c r="AL64" s="131"/>
      <c r="AM64" s="134"/>
      <c r="AN64" s="133"/>
      <c r="AO64" s="131"/>
      <c r="AP64" s="134"/>
      <c r="AQ64" s="133"/>
      <c r="AR64" s="131"/>
      <c r="AS64" s="134"/>
      <c r="AT64" s="180"/>
      <c r="AU64" s="131"/>
      <c r="AV64" s="185"/>
      <c r="AW64" s="131"/>
      <c r="AX64" s="185"/>
      <c r="AY64" s="131"/>
      <c r="AZ64" s="185"/>
      <c r="BA64" s="131"/>
      <c r="BB64" s="185"/>
      <c r="BC64" s="131"/>
      <c r="BD64" s="185"/>
      <c r="BE64" s="131"/>
      <c r="BF64" s="185"/>
      <c r="BG64" s="131"/>
      <c r="BH64" s="185"/>
      <c r="BI64" s="131"/>
      <c r="BJ64" s="185"/>
      <c r="BK64" s="131"/>
      <c r="BL64" s="185"/>
      <c r="BM64" s="131"/>
      <c r="BN64" s="185"/>
      <c r="BO64" s="131"/>
      <c r="BP64" s="134"/>
      <c r="BQ64" s="131"/>
      <c r="BR64" s="134"/>
      <c r="BS64" s="133"/>
      <c r="BT64" s="131"/>
      <c r="BU64" s="134"/>
      <c r="BV64" s="131"/>
      <c r="BW64" s="134"/>
      <c r="BX64" s="131"/>
      <c r="BY64" s="134"/>
      <c r="BZ64" s="131"/>
      <c r="CA64" s="134"/>
      <c r="CB64" s="133"/>
      <c r="CC64" s="131"/>
      <c r="CD64" s="134"/>
      <c r="CE64" s="133"/>
      <c r="CF64" s="131"/>
      <c r="CG64" s="134"/>
      <c r="CH64" s="133"/>
      <c r="CI64" s="131"/>
      <c r="CJ64" s="134"/>
      <c r="CK64" s="133"/>
      <c r="CL64" s="131"/>
      <c r="CM64" s="134"/>
      <c r="CN64" s="133"/>
      <c r="CO64" s="131"/>
      <c r="CP64" s="134"/>
      <c r="CQ64" s="133"/>
      <c r="CR64" s="131"/>
      <c r="CS64" s="134"/>
      <c r="CT64" s="133"/>
      <c r="CU64" s="131"/>
      <c r="CV64" s="134"/>
      <c r="CW64" s="133"/>
      <c r="CX64" s="131"/>
      <c r="CY64" s="134"/>
      <c r="CZ64" s="133"/>
      <c r="DA64" s="140"/>
      <c r="DB64" s="141"/>
      <c r="DC64" s="142"/>
      <c r="DD64" s="140"/>
      <c r="DE64" s="141"/>
      <c r="DF64" s="142"/>
      <c r="DG64" s="140"/>
      <c r="DH64" s="141"/>
      <c r="DI64" s="142"/>
      <c r="DJ64" s="140"/>
      <c r="DK64" s="141"/>
      <c r="DL64" s="142"/>
      <c r="DM64" s="140"/>
      <c r="DN64" s="141"/>
      <c r="DO64" s="142"/>
      <c r="DP64" s="140"/>
      <c r="DQ64" s="141"/>
      <c r="DR64" s="142"/>
      <c r="DS64" s="140"/>
      <c r="DT64" s="141"/>
      <c r="DU64" s="142"/>
      <c r="DV64" s="140"/>
      <c r="DW64" s="141"/>
      <c r="DX64" s="142"/>
      <c r="DY64" s="140"/>
      <c r="DZ64" s="141"/>
      <c r="EA64" s="142"/>
      <c r="EB64" s="140"/>
      <c r="EC64" s="141"/>
      <c r="ED64" s="142"/>
      <c r="EE64" s="140"/>
      <c r="EF64" s="141"/>
      <c r="EG64" s="142"/>
      <c r="EH64" s="140"/>
      <c r="EI64" s="141"/>
      <c r="EJ64" s="142"/>
      <c r="EK64" s="140"/>
      <c r="EL64" s="141"/>
      <c r="EM64" s="142"/>
      <c r="EN64" s="140"/>
      <c r="EO64" s="141"/>
      <c r="EP64" s="142"/>
      <c r="EQ64" s="140"/>
      <c r="ER64" s="141"/>
      <c r="ES64" s="142"/>
      <c r="ET64" s="140"/>
      <c r="EU64" s="141"/>
      <c r="EV64" s="142"/>
      <c r="EW64" s="140"/>
      <c r="EX64" s="141"/>
      <c r="EY64" s="142"/>
      <c r="EZ64" s="140"/>
      <c r="FA64" s="141"/>
      <c r="FB64" s="142"/>
      <c r="FC64" s="140">
        <f>+'1890 Hacienda'!B224</f>
        <v>30910</v>
      </c>
      <c r="FD64" s="141">
        <f>+'1890 Hacienda'!C224</f>
        <v>32</v>
      </c>
      <c r="FE64" s="142">
        <f>+'1890 Hacienda'!D224</f>
        <v>0.5</v>
      </c>
      <c r="FF64" s="140">
        <f>+'1890 Hacienda'!E224</f>
        <v>29738</v>
      </c>
      <c r="FG64" s="141">
        <f>+'1890 Hacienda'!F224</f>
        <v>7</v>
      </c>
      <c r="FH64" s="142">
        <f>+'1890 Hacienda'!G224</f>
        <v>0.5</v>
      </c>
      <c r="FI64" s="140"/>
      <c r="FJ64" s="141"/>
      <c r="FK64" s="142"/>
      <c r="FL64" s="140">
        <f>+'1894 Hacienda'!C19</f>
        <v>52443</v>
      </c>
      <c r="FM64" s="141">
        <f>+'1894 Hacienda'!D19</f>
        <v>72</v>
      </c>
      <c r="FN64" s="142">
        <f>+'1894 Hacienda'!E19</f>
        <v>0.5</v>
      </c>
      <c r="FO64" s="140">
        <f>+'1894 Hacienda'!F19</f>
        <v>52602</v>
      </c>
      <c r="FP64" s="141">
        <f>+'1894 Hacienda'!G19</f>
        <v>87</v>
      </c>
      <c r="FQ64" s="142">
        <f>+'1894 Hacienda'!H19</f>
        <v>0.5</v>
      </c>
      <c r="FR64" s="140">
        <f>+'1896 Hacienda'!C20</f>
        <v>13929</v>
      </c>
      <c r="FS64" s="141">
        <f>+'1896 Hacienda'!D20</f>
        <v>12</v>
      </c>
      <c r="FT64" s="142">
        <f>+'1896 Hacienda'!E20</f>
        <v>0.5</v>
      </c>
      <c r="FU64" s="140"/>
      <c r="FV64" s="141"/>
      <c r="FW64" s="142"/>
      <c r="FX64" s="140"/>
      <c r="FY64" s="141"/>
      <c r="FZ64" s="142"/>
      <c r="GA64" s="140"/>
      <c r="GB64" s="141"/>
      <c r="GC64" s="142"/>
      <c r="GD64" s="140"/>
      <c r="GE64" s="141"/>
      <c r="GF64" s="142"/>
      <c r="GG64" s="140"/>
      <c r="GH64" s="141"/>
      <c r="GI64" s="142"/>
      <c r="GJ64" s="140"/>
      <c r="GK64" s="141"/>
      <c r="GL64" s="142"/>
      <c r="GM64" s="140"/>
      <c r="GN64" s="141"/>
      <c r="GO64" s="142"/>
      <c r="GP64" s="140"/>
      <c r="GQ64" s="141"/>
      <c r="GR64" s="142"/>
      <c r="GS64" s="140"/>
      <c r="GT64" s="141"/>
      <c r="GU64" s="142"/>
      <c r="GV64" s="140"/>
      <c r="GW64" s="141"/>
      <c r="GX64" s="142"/>
      <c r="GY64" s="164"/>
      <c r="GZ64" s="134"/>
      <c r="HA64" s="185"/>
      <c r="HB64" s="164"/>
      <c r="HC64" s="185"/>
      <c r="HD64" s="164"/>
      <c r="HE64" s="185"/>
      <c r="HF64" s="164"/>
      <c r="HG64" s="185"/>
      <c r="HH64" s="164"/>
      <c r="HI64" s="185"/>
      <c r="HJ64" s="164"/>
      <c r="HK64" s="185"/>
      <c r="HL64" s="164"/>
      <c r="HM64" s="185"/>
      <c r="HN64" s="164"/>
      <c r="HO64" s="185"/>
      <c r="HP64" s="164"/>
      <c r="HQ64" s="185"/>
      <c r="HR64" s="164"/>
      <c r="HS64" s="185"/>
      <c r="HT64" s="164"/>
      <c r="HU64" s="185"/>
    </row>
    <row r="65" spans="1:229" x14ac:dyDescent="0.2">
      <c r="A65" s="184" t="s">
        <v>6060</v>
      </c>
      <c r="B65" s="131"/>
      <c r="C65" s="134"/>
      <c r="D65" s="133"/>
      <c r="E65" s="131"/>
      <c r="F65" s="134"/>
      <c r="G65" s="133"/>
      <c r="H65" s="131"/>
      <c r="I65" s="134"/>
      <c r="J65" s="133"/>
      <c r="K65" s="131"/>
      <c r="L65" s="134"/>
      <c r="M65" s="133"/>
      <c r="N65" s="131"/>
      <c r="O65" s="134"/>
      <c r="P65" s="133"/>
      <c r="Q65" s="131"/>
      <c r="R65" s="134"/>
      <c r="S65" s="133"/>
      <c r="T65" s="131"/>
      <c r="U65" s="134"/>
      <c r="V65" s="133"/>
      <c r="W65" s="131"/>
      <c r="X65" s="134"/>
      <c r="Y65" s="133"/>
      <c r="Z65" s="131"/>
      <c r="AA65" s="134"/>
      <c r="AB65" s="133"/>
      <c r="AC65" s="131"/>
      <c r="AD65" s="134"/>
      <c r="AE65" s="133"/>
      <c r="AF65" s="131"/>
      <c r="AG65" s="134"/>
      <c r="AH65" s="133"/>
      <c r="AI65" s="145"/>
      <c r="AJ65" s="134"/>
      <c r="AK65" s="133"/>
      <c r="AL65" s="131"/>
      <c r="AM65" s="134"/>
      <c r="AN65" s="133"/>
      <c r="AO65" s="131"/>
      <c r="AP65" s="134"/>
      <c r="AQ65" s="133"/>
      <c r="AR65" s="131"/>
      <c r="AS65" s="134"/>
      <c r="AT65" s="180"/>
      <c r="AU65" s="131"/>
      <c r="AV65" s="185"/>
      <c r="AW65" s="131"/>
      <c r="AX65" s="185"/>
      <c r="AY65" s="131"/>
      <c r="AZ65" s="185"/>
      <c r="BA65" s="131"/>
      <c r="BB65" s="185"/>
      <c r="BC65" s="131"/>
      <c r="BD65" s="185"/>
      <c r="BE65" s="131"/>
      <c r="BF65" s="185"/>
      <c r="BG65" s="131"/>
      <c r="BH65" s="185"/>
      <c r="BI65" s="131"/>
      <c r="BJ65" s="185"/>
      <c r="BK65" s="131"/>
      <c r="BL65" s="185"/>
      <c r="BM65" s="131"/>
      <c r="BN65" s="185"/>
      <c r="BO65" s="131"/>
      <c r="BP65" s="134"/>
      <c r="BQ65" s="131"/>
      <c r="BR65" s="134"/>
      <c r="BS65" s="133"/>
      <c r="BT65" s="131"/>
      <c r="BU65" s="134"/>
      <c r="BV65" s="131"/>
      <c r="BW65" s="134"/>
      <c r="BX65" s="131"/>
      <c r="BY65" s="134"/>
      <c r="BZ65" s="131"/>
      <c r="CA65" s="134"/>
      <c r="CB65" s="133"/>
      <c r="CC65" s="131"/>
      <c r="CD65" s="134"/>
      <c r="CE65" s="133"/>
      <c r="CF65" s="131"/>
      <c r="CG65" s="134"/>
      <c r="CH65" s="133"/>
      <c r="CI65" s="131"/>
      <c r="CJ65" s="134"/>
      <c r="CK65" s="133"/>
      <c r="CL65" s="131"/>
      <c r="CM65" s="134"/>
      <c r="CN65" s="133"/>
      <c r="CO65" s="131"/>
      <c r="CP65" s="134"/>
      <c r="CQ65" s="133"/>
      <c r="CR65" s="131"/>
      <c r="CS65" s="134"/>
      <c r="CT65" s="133"/>
      <c r="CU65" s="131"/>
      <c r="CV65" s="134"/>
      <c r="CW65" s="133"/>
      <c r="CX65" s="131"/>
      <c r="CY65" s="134"/>
      <c r="CZ65" s="133"/>
      <c r="DA65" s="140"/>
      <c r="DB65" s="141"/>
      <c r="DC65" s="142"/>
      <c r="DD65" s="140"/>
      <c r="DE65" s="141"/>
      <c r="DF65" s="142"/>
      <c r="DG65" s="140"/>
      <c r="DH65" s="141"/>
      <c r="DI65" s="142"/>
      <c r="DJ65" s="140"/>
      <c r="DK65" s="141"/>
      <c r="DL65" s="142"/>
      <c r="DM65" s="140"/>
      <c r="DN65" s="141"/>
      <c r="DO65" s="142"/>
      <c r="DP65" s="140"/>
      <c r="DQ65" s="141"/>
      <c r="DR65" s="142"/>
      <c r="DS65" s="140"/>
      <c r="DT65" s="141"/>
      <c r="DU65" s="142"/>
      <c r="DV65" s="140"/>
      <c r="DW65" s="141"/>
      <c r="DX65" s="142"/>
      <c r="DY65" s="140"/>
      <c r="DZ65" s="141"/>
      <c r="EA65" s="142"/>
      <c r="EB65" s="140"/>
      <c r="EC65" s="141"/>
      <c r="ED65" s="142"/>
      <c r="EE65" s="140"/>
      <c r="EF65" s="141"/>
      <c r="EG65" s="142"/>
      <c r="EH65" s="140"/>
      <c r="EI65" s="141"/>
      <c r="EJ65" s="142"/>
      <c r="EK65" s="140"/>
      <c r="EL65" s="141"/>
      <c r="EM65" s="142"/>
      <c r="EN65" s="140"/>
      <c r="EO65" s="141"/>
      <c r="EP65" s="142"/>
      <c r="EQ65" s="140"/>
      <c r="ER65" s="141"/>
      <c r="ES65" s="142"/>
      <c r="ET65" s="140"/>
      <c r="EU65" s="141"/>
      <c r="EV65" s="142"/>
      <c r="EW65" s="140"/>
      <c r="EX65" s="141"/>
      <c r="EY65" s="142"/>
      <c r="EZ65" s="140"/>
      <c r="FA65" s="141"/>
      <c r="FB65" s="142"/>
      <c r="FC65" s="140">
        <f>+'1890 Hacienda'!B226</f>
        <v>36000</v>
      </c>
      <c r="FD65" s="141"/>
      <c r="FE65" s="142"/>
      <c r="FF65" s="140">
        <f>+'1890 Hacienda'!E226</f>
        <v>43515</v>
      </c>
      <c r="FG65" s="141">
        <f>+'1890 Hacienda'!F226</f>
        <v>48</v>
      </c>
      <c r="FH65" s="142"/>
      <c r="FI65" s="140"/>
      <c r="FJ65" s="141"/>
      <c r="FK65" s="142"/>
      <c r="FL65" s="140"/>
      <c r="FM65" s="141"/>
      <c r="FN65" s="142"/>
      <c r="FO65" s="140"/>
      <c r="FP65" s="141"/>
      <c r="FQ65" s="142"/>
      <c r="FR65" s="140"/>
      <c r="FS65" s="141"/>
      <c r="FT65" s="142"/>
      <c r="FU65" s="140"/>
      <c r="FV65" s="141"/>
      <c r="FW65" s="142"/>
      <c r="FX65" s="140"/>
      <c r="FY65" s="141"/>
      <c r="FZ65" s="142"/>
      <c r="GA65" s="140"/>
      <c r="GB65" s="141"/>
      <c r="GC65" s="142"/>
      <c r="GD65" s="140"/>
      <c r="GE65" s="141"/>
      <c r="GF65" s="142"/>
      <c r="GG65" s="140"/>
      <c r="GH65" s="141"/>
      <c r="GI65" s="142"/>
      <c r="GJ65" s="140"/>
      <c r="GK65" s="141"/>
      <c r="GL65" s="142"/>
      <c r="GM65" s="140"/>
      <c r="GN65" s="141"/>
      <c r="GO65" s="142"/>
      <c r="GP65" s="140"/>
      <c r="GQ65" s="141"/>
      <c r="GR65" s="142"/>
      <c r="GS65" s="140"/>
      <c r="GT65" s="141"/>
      <c r="GU65" s="142"/>
      <c r="GV65" s="140"/>
      <c r="GW65" s="141"/>
      <c r="GX65" s="142"/>
      <c r="GY65" s="164"/>
      <c r="GZ65" s="134"/>
      <c r="HA65" s="185"/>
      <c r="HB65" s="164"/>
      <c r="HC65" s="185"/>
      <c r="HD65" s="164"/>
      <c r="HE65" s="185"/>
      <c r="HF65" s="164"/>
      <c r="HG65" s="185"/>
      <c r="HH65" s="164"/>
      <c r="HI65" s="185"/>
      <c r="HJ65" s="164"/>
      <c r="HK65" s="185"/>
      <c r="HL65" s="164"/>
      <c r="HM65" s="185"/>
      <c r="HN65" s="164"/>
      <c r="HO65" s="185"/>
      <c r="HP65" s="164"/>
      <c r="HQ65" s="185"/>
      <c r="HR65" s="164"/>
      <c r="HS65" s="185"/>
      <c r="HT65" s="164"/>
      <c r="HU65" s="185"/>
    </row>
    <row r="66" spans="1:229" x14ac:dyDescent="0.2">
      <c r="A66" s="184" t="s">
        <v>5859</v>
      </c>
      <c r="B66" s="131"/>
      <c r="C66" s="134"/>
      <c r="D66" s="133"/>
      <c r="E66" s="131"/>
      <c r="F66" s="134"/>
      <c r="G66" s="133"/>
      <c r="H66" s="131"/>
      <c r="I66" s="134"/>
      <c r="J66" s="133"/>
      <c r="K66" s="131"/>
      <c r="L66" s="134"/>
      <c r="M66" s="133"/>
      <c r="N66" s="131"/>
      <c r="O66" s="134"/>
      <c r="P66" s="133"/>
      <c r="Q66" s="131"/>
      <c r="R66" s="134"/>
      <c r="S66" s="133"/>
      <c r="T66" s="131"/>
      <c r="U66" s="134"/>
      <c r="V66" s="133"/>
      <c r="W66" s="131"/>
      <c r="X66" s="134"/>
      <c r="Y66" s="133"/>
      <c r="Z66" s="131"/>
      <c r="AA66" s="134"/>
      <c r="AB66" s="133"/>
      <c r="AC66" s="131"/>
      <c r="AD66" s="134"/>
      <c r="AE66" s="133"/>
      <c r="AF66" s="131"/>
      <c r="AG66" s="134"/>
      <c r="AH66" s="133"/>
      <c r="AI66" s="145"/>
      <c r="AJ66" s="134"/>
      <c r="AK66" s="133"/>
      <c r="AL66" s="131"/>
      <c r="AM66" s="134"/>
      <c r="AN66" s="133"/>
      <c r="AO66" s="131"/>
      <c r="AP66" s="134"/>
      <c r="AQ66" s="133"/>
      <c r="AR66" s="131"/>
      <c r="AS66" s="134"/>
      <c r="AT66" s="180"/>
      <c r="AU66" s="131"/>
      <c r="AV66" s="185"/>
      <c r="AW66" s="131"/>
      <c r="AX66" s="185"/>
      <c r="AY66" s="131"/>
      <c r="AZ66" s="185"/>
      <c r="BA66" s="131"/>
      <c r="BB66" s="185"/>
      <c r="BC66" s="131"/>
      <c r="BD66" s="185"/>
      <c r="BE66" s="131"/>
      <c r="BF66" s="185"/>
      <c r="BG66" s="131"/>
      <c r="BH66" s="185"/>
      <c r="BI66" s="131"/>
      <c r="BJ66" s="185"/>
      <c r="BK66" s="131"/>
      <c r="BL66" s="185"/>
      <c r="BM66" s="131"/>
      <c r="BN66" s="185"/>
      <c r="BO66" s="131"/>
      <c r="BP66" s="134"/>
      <c r="BQ66" s="131"/>
      <c r="BR66" s="134"/>
      <c r="BS66" s="133"/>
      <c r="BT66" s="131"/>
      <c r="BU66" s="134"/>
      <c r="BV66" s="131"/>
      <c r="BW66" s="134"/>
      <c r="BX66" s="131"/>
      <c r="BY66" s="134"/>
      <c r="BZ66" s="131"/>
      <c r="CA66" s="134"/>
      <c r="CB66" s="133"/>
      <c r="CC66" s="131"/>
      <c r="CD66" s="134"/>
      <c r="CE66" s="133"/>
      <c r="CF66" s="131"/>
      <c r="CG66" s="134"/>
      <c r="CH66" s="133"/>
      <c r="CI66" s="131"/>
      <c r="CJ66" s="134"/>
      <c r="CK66" s="133"/>
      <c r="CL66" s="131"/>
      <c r="CM66" s="134"/>
      <c r="CN66" s="133"/>
      <c r="CO66" s="131"/>
      <c r="CP66" s="134"/>
      <c r="CQ66" s="133"/>
      <c r="CR66" s="131"/>
      <c r="CS66" s="134"/>
      <c r="CT66" s="133"/>
      <c r="CU66" s="131"/>
      <c r="CV66" s="134"/>
      <c r="CW66" s="133"/>
      <c r="CX66" s="131"/>
      <c r="CY66" s="134"/>
      <c r="CZ66" s="133"/>
      <c r="DA66" s="140"/>
      <c r="DB66" s="141"/>
      <c r="DC66" s="142"/>
      <c r="DD66" s="140"/>
      <c r="DE66" s="141"/>
      <c r="DF66" s="142"/>
      <c r="DG66" s="140"/>
      <c r="DH66" s="141"/>
      <c r="DI66" s="142"/>
      <c r="DJ66" s="140"/>
      <c r="DK66" s="141"/>
      <c r="DL66" s="142"/>
      <c r="DM66" s="140"/>
      <c r="DN66" s="141"/>
      <c r="DO66" s="142"/>
      <c r="DP66" s="140"/>
      <c r="DQ66" s="141"/>
      <c r="DR66" s="142"/>
      <c r="DS66" s="140"/>
      <c r="DT66" s="141"/>
      <c r="DU66" s="142"/>
      <c r="DV66" s="140"/>
      <c r="DW66" s="141"/>
      <c r="DX66" s="142"/>
      <c r="DY66" s="140"/>
      <c r="DZ66" s="141"/>
      <c r="EA66" s="142"/>
      <c r="EB66" s="140"/>
      <c r="EC66" s="141"/>
      <c r="ED66" s="142"/>
      <c r="EE66" s="140"/>
      <c r="EF66" s="141"/>
      <c r="EG66" s="142"/>
      <c r="EH66" s="140"/>
      <c r="EI66" s="141"/>
      <c r="EJ66" s="142"/>
      <c r="EK66" s="140"/>
      <c r="EL66" s="141"/>
      <c r="EM66" s="142"/>
      <c r="EN66" s="140"/>
      <c r="EO66" s="141"/>
      <c r="EP66" s="142"/>
      <c r="EQ66" s="140"/>
      <c r="ER66" s="141"/>
      <c r="ES66" s="142"/>
      <c r="ET66" s="140"/>
      <c r="EU66" s="141"/>
      <c r="EV66" s="142"/>
      <c r="EW66" s="140"/>
      <c r="EX66" s="141"/>
      <c r="EY66" s="142"/>
      <c r="EZ66" s="140"/>
      <c r="FA66" s="141"/>
      <c r="FB66" s="142"/>
      <c r="FC66" s="140"/>
      <c r="FD66" s="141"/>
      <c r="FE66" s="142"/>
      <c r="FF66" s="140"/>
      <c r="FG66" s="141"/>
      <c r="FH66" s="142"/>
      <c r="FI66" s="140"/>
      <c r="FJ66" s="141"/>
      <c r="FK66" s="142"/>
      <c r="FL66" s="140"/>
      <c r="FM66" s="141"/>
      <c r="FN66" s="142"/>
      <c r="FO66" s="140"/>
      <c r="FP66" s="141"/>
      <c r="FQ66" s="142"/>
      <c r="FR66" s="140"/>
      <c r="FS66" s="141"/>
      <c r="FT66" s="142"/>
      <c r="FU66" s="140"/>
      <c r="FV66" s="141"/>
      <c r="FW66" s="142"/>
      <c r="FX66" s="140">
        <f>+'1898 Hacienda'!B18</f>
        <v>17286</v>
      </c>
      <c r="FY66" s="141">
        <f>+'1898 Hacienda'!C18</f>
        <v>25</v>
      </c>
      <c r="FZ66" s="142"/>
      <c r="GA66" s="140"/>
      <c r="GB66" s="141"/>
      <c r="GC66" s="142"/>
      <c r="GD66" s="140">
        <f>+'1898 Hacienda'!K18</f>
        <v>145693</v>
      </c>
      <c r="GE66" s="141">
        <f>+'1898 Hacienda'!L18</f>
        <v>60</v>
      </c>
      <c r="GF66" s="142"/>
      <c r="GG66" s="140"/>
      <c r="GH66" s="141"/>
      <c r="GI66" s="142"/>
      <c r="GJ66" s="140"/>
      <c r="GK66" s="141"/>
      <c r="GL66" s="142"/>
      <c r="GM66" s="140"/>
      <c r="GN66" s="141"/>
      <c r="GO66" s="142"/>
      <c r="GP66" s="140"/>
      <c r="GQ66" s="141"/>
      <c r="GR66" s="142"/>
      <c r="GS66" s="140"/>
      <c r="GT66" s="141"/>
      <c r="GU66" s="142"/>
      <c r="GV66" s="140"/>
      <c r="GW66" s="141"/>
      <c r="GX66" s="142"/>
      <c r="GY66" s="164"/>
      <c r="GZ66" s="134"/>
      <c r="HA66" s="185"/>
      <c r="HB66" s="164"/>
      <c r="HC66" s="185"/>
      <c r="HD66" s="164"/>
      <c r="HE66" s="185"/>
      <c r="HF66" s="164"/>
      <c r="HG66" s="185"/>
      <c r="HH66" s="164"/>
      <c r="HI66" s="185"/>
      <c r="HJ66" s="164"/>
      <c r="HK66" s="185"/>
      <c r="HL66" s="164"/>
      <c r="HM66" s="185"/>
      <c r="HN66" s="164"/>
      <c r="HO66" s="185"/>
      <c r="HP66" s="164"/>
      <c r="HQ66" s="185"/>
      <c r="HR66" s="164"/>
      <c r="HS66" s="185"/>
      <c r="HT66" s="164"/>
      <c r="HU66" s="185"/>
    </row>
    <row r="67" spans="1:229" x14ac:dyDescent="0.2">
      <c r="A67" s="141" t="str">
        <f>+'1883 Hacienda'!A10</f>
        <v>Empresa del Ferrocarril y telégrafo de Bolívar</v>
      </c>
      <c r="B67" s="131"/>
      <c r="C67" s="134"/>
      <c r="D67" s="133"/>
      <c r="E67" s="131"/>
      <c r="F67" s="134"/>
      <c r="G67" s="133"/>
      <c r="H67" s="131"/>
      <c r="I67" s="134"/>
      <c r="J67" s="133"/>
      <c r="K67" s="131"/>
      <c r="L67" s="134"/>
      <c r="M67" s="133"/>
      <c r="N67" s="131"/>
      <c r="O67" s="134"/>
      <c r="P67" s="133"/>
      <c r="Q67" s="131"/>
      <c r="R67" s="134"/>
      <c r="S67" s="133"/>
      <c r="T67" s="131"/>
      <c r="U67" s="134"/>
      <c r="V67" s="133"/>
      <c r="W67" s="131"/>
      <c r="X67" s="134"/>
      <c r="Y67" s="133"/>
      <c r="Z67" s="131"/>
      <c r="AA67" s="134"/>
      <c r="AB67" s="133"/>
      <c r="AC67" s="131"/>
      <c r="AD67" s="134"/>
      <c r="AE67" s="133"/>
      <c r="AF67" s="131"/>
      <c r="AG67" s="134"/>
      <c r="AH67" s="133"/>
      <c r="AI67" s="145"/>
      <c r="AJ67" s="134"/>
      <c r="AK67" s="133"/>
      <c r="AL67" s="131"/>
      <c r="AM67" s="134"/>
      <c r="AN67" s="133"/>
      <c r="AO67" s="131"/>
      <c r="AP67" s="134"/>
      <c r="AQ67" s="133"/>
      <c r="AR67" s="131"/>
      <c r="AS67" s="134"/>
      <c r="AT67" s="180"/>
      <c r="AU67" s="131"/>
      <c r="AV67" s="185"/>
      <c r="AW67" s="131"/>
      <c r="AX67" s="185"/>
      <c r="AY67" s="131"/>
      <c r="AZ67" s="185"/>
      <c r="BA67" s="131"/>
      <c r="BB67" s="185"/>
      <c r="BC67" s="131"/>
      <c r="BD67" s="185"/>
      <c r="BE67" s="131"/>
      <c r="BF67" s="185"/>
      <c r="BG67" s="131"/>
      <c r="BH67" s="185"/>
      <c r="BI67" s="131"/>
      <c r="BJ67" s="185"/>
      <c r="BK67" s="131"/>
      <c r="BL67" s="185"/>
      <c r="BM67" s="131"/>
      <c r="BN67" s="185"/>
      <c r="BO67" s="131"/>
      <c r="BP67" s="134"/>
      <c r="BQ67" s="131"/>
      <c r="BR67" s="134"/>
      <c r="BS67" s="133"/>
      <c r="BT67" s="131"/>
      <c r="BU67" s="134"/>
      <c r="BV67" s="131"/>
      <c r="BW67" s="134"/>
      <c r="BX67" s="131"/>
      <c r="BY67" s="134"/>
      <c r="BZ67" s="131"/>
      <c r="CA67" s="134"/>
      <c r="CB67" s="133"/>
      <c r="CC67" s="131"/>
      <c r="CD67" s="134"/>
      <c r="CE67" s="133"/>
      <c r="CF67" s="131"/>
      <c r="CG67" s="134"/>
      <c r="CH67" s="133"/>
      <c r="CI67" s="131"/>
      <c r="CJ67" s="134"/>
      <c r="CK67" s="133"/>
      <c r="CL67" s="131"/>
      <c r="CM67" s="134"/>
      <c r="CN67" s="133"/>
      <c r="CO67" s="131"/>
      <c r="CP67" s="134"/>
      <c r="CQ67" s="133"/>
      <c r="CR67" s="131"/>
      <c r="CS67" s="134"/>
      <c r="CT67" s="133"/>
      <c r="CU67" s="131"/>
      <c r="CV67" s="134"/>
      <c r="CW67" s="133"/>
      <c r="CX67" s="131"/>
      <c r="CY67" s="134"/>
      <c r="CZ67" s="133"/>
      <c r="DA67" s="140"/>
      <c r="DB67" s="141"/>
      <c r="DC67" s="142"/>
      <c r="DD67" s="140"/>
      <c r="DE67" s="141"/>
      <c r="DF67" s="142"/>
      <c r="DG67" s="140"/>
      <c r="DH67" s="141"/>
      <c r="DI67" s="142"/>
      <c r="DJ67" s="140"/>
      <c r="DK67" s="141"/>
      <c r="DL67" s="142"/>
      <c r="DM67" s="140"/>
      <c r="DN67" s="141"/>
      <c r="DO67" s="142"/>
      <c r="DP67" s="140"/>
      <c r="DQ67" s="141"/>
      <c r="DR67" s="142"/>
      <c r="DS67" s="140"/>
      <c r="DT67" s="141"/>
      <c r="DU67" s="142"/>
      <c r="DV67" s="140"/>
      <c r="DW67" s="141"/>
      <c r="DX67" s="142"/>
      <c r="DY67" s="140"/>
      <c r="DZ67" s="141"/>
      <c r="EA67" s="142"/>
      <c r="EB67" s="140"/>
      <c r="EC67" s="141"/>
      <c r="ED67" s="142"/>
      <c r="EE67" s="140"/>
      <c r="EF67" s="141"/>
      <c r="EG67" s="142"/>
      <c r="EH67" s="140">
        <f>+'1883 Hacienda'!B10</f>
        <v>224000</v>
      </c>
      <c r="EI67" s="141"/>
      <c r="EJ67" s="142"/>
      <c r="EK67" s="140"/>
      <c r="EL67" s="141"/>
      <c r="EM67" s="142"/>
      <c r="EN67" s="140"/>
      <c r="EO67" s="141"/>
      <c r="EP67" s="142"/>
      <c r="EQ67" s="140"/>
      <c r="ER67" s="141"/>
      <c r="ES67" s="142"/>
      <c r="ET67" s="140"/>
      <c r="EU67" s="141"/>
      <c r="EV67" s="142"/>
      <c r="EW67" s="140"/>
      <c r="EX67" s="141"/>
      <c r="EY67" s="142"/>
      <c r="EZ67" s="140"/>
      <c r="FA67" s="141"/>
      <c r="FB67" s="142"/>
      <c r="FC67" s="140"/>
      <c r="FD67" s="141"/>
      <c r="FE67" s="142"/>
      <c r="FF67" s="140"/>
      <c r="FG67" s="141"/>
      <c r="FH67" s="142"/>
      <c r="FI67" s="140"/>
      <c r="FJ67" s="141"/>
      <c r="FK67" s="142"/>
      <c r="FL67" s="140"/>
      <c r="FM67" s="141"/>
      <c r="FN67" s="142"/>
      <c r="FO67" s="140"/>
      <c r="FP67" s="141"/>
      <c r="FQ67" s="142"/>
      <c r="FR67" s="140"/>
      <c r="FS67" s="141"/>
      <c r="FT67" s="142"/>
      <c r="FU67" s="140"/>
      <c r="FV67" s="141"/>
      <c r="FW67" s="142"/>
      <c r="FX67" s="140"/>
      <c r="FY67" s="141"/>
      <c r="FZ67" s="142"/>
      <c r="GA67" s="140"/>
      <c r="GB67" s="141"/>
      <c r="GC67" s="142"/>
      <c r="GD67" s="140"/>
      <c r="GE67" s="141"/>
      <c r="GF67" s="142"/>
      <c r="GG67" s="140"/>
      <c r="GH67" s="141"/>
      <c r="GI67" s="142"/>
      <c r="GJ67" s="140"/>
      <c r="GK67" s="141"/>
      <c r="GL67" s="142"/>
      <c r="GM67" s="140"/>
      <c r="GN67" s="141"/>
      <c r="GO67" s="142"/>
      <c r="GP67" s="140"/>
      <c r="GQ67" s="141"/>
      <c r="GR67" s="142"/>
      <c r="GS67" s="140"/>
      <c r="GT67" s="141"/>
      <c r="GU67" s="142"/>
      <c r="GV67" s="140"/>
      <c r="GW67" s="141"/>
      <c r="GX67" s="142"/>
      <c r="GY67" s="164"/>
      <c r="GZ67" s="134"/>
      <c r="HA67" s="185"/>
      <c r="HB67" s="164"/>
      <c r="HC67" s="185"/>
      <c r="HD67" s="164"/>
      <c r="HE67" s="185"/>
      <c r="HF67" s="164"/>
      <c r="HG67" s="185"/>
      <c r="HH67" s="164"/>
      <c r="HI67" s="185"/>
      <c r="HJ67" s="164"/>
      <c r="HK67" s="185"/>
      <c r="HL67" s="164"/>
      <c r="HM67" s="185"/>
      <c r="HN67" s="164"/>
      <c r="HO67" s="185"/>
      <c r="HP67" s="164"/>
      <c r="HQ67" s="185"/>
      <c r="HR67" s="164"/>
      <c r="HS67" s="185"/>
      <c r="HT67" s="164"/>
      <c r="HU67" s="185"/>
    </row>
    <row r="68" spans="1:229" x14ac:dyDescent="0.2">
      <c r="A68" s="184" t="s">
        <v>5443</v>
      </c>
      <c r="B68" s="131"/>
      <c r="C68" s="134"/>
      <c r="D68" s="133"/>
      <c r="E68" s="131"/>
      <c r="F68" s="134"/>
      <c r="G68" s="133"/>
      <c r="H68" s="131"/>
      <c r="I68" s="134"/>
      <c r="J68" s="133"/>
      <c r="K68" s="131"/>
      <c r="L68" s="134"/>
      <c r="M68" s="133"/>
      <c r="N68" s="131"/>
      <c r="O68" s="134"/>
      <c r="P68" s="133"/>
      <c r="Q68" s="131"/>
      <c r="R68" s="134"/>
      <c r="S68" s="133"/>
      <c r="T68" s="131"/>
      <c r="U68" s="134"/>
      <c r="V68" s="133"/>
      <c r="W68" s="131"/>
      <c r="X68" s="134"/>
      <c r="Y68" s="133"/>
      <c r="Z68" s="131"/>
      <c r="AA68" s="134"/>
      <c r="AB68" s="133"/>
      <c r="AC68" s="131"/>
      <c r="AD68" s="134"/>
      <c r="AE68" s="133"/>
      <c r="AF68" s="131"/>
      <c r="AG68" s="134"/>
      <c r="AH68" s="133"/>
      <c r="AI68" s="145"/>
      <c r="AJ68" s="134"/>
      <c r="AK68" s="133"/>
      <c r="AL68" s="131"/>
      <c r="AM68" s="134"/>
      <c r="AN68" s="133"/>
      <c r="AO68" s="131"/>
      <c r="AP68" s="134"/>
      <c r="AQ68" s="133"/>
      <c r="AR68" s="131"/>
      <c r="AS68" s="134"/>
      <c r="AT68" s="180"/>
      <c r="AU68" s="131"/>
      <c r="AV68" s="185"/>
      <c r="AW68" s="131"/>
      <c r="AX68" s="185"/>
      <c r="AY68" s="131"/>
      <c r="AZ68" s="185"/>
      <c r="BA68" s="131"/>
      <c r="BB68" s="185"/>
      <c r="BC68" s="131"/>
      <c r="BD68" s="185"/>
      <c r="BE68" s="131"/>
      <c r="BF68" s="185"/>
      <c r="BG68" s="131"/>
      <c r="BH68" s="185"/>
      <c r="BI68" s="131"/>
      <c r="BJ68" s="185"/>
      <c r="BK68" s="131"/>
      <c r="BL68" s="185"/>
      <c r="BM68" s="131"/>
      <c r="BN68" s="185"/>
      <c r="BO68" s="131"/>
      <c r="BP68" s="134"/>
      <c r="BQ68" s="131"/>
      <c r="BR68" s="134"/>
      <c r="BS68" s="133"/>
      <c r="BT68" s="131"/>
      <c r="BU68" s="134"/>
      <c r="BV68" s="131"/>
      <c r="BW68" s="134"/>
      <c r="BX68" s="131"/>
      <c r="BY68" s="134"/>
      <c r="BZ68" s="131"/>
      <c r="CA68" s="134"/>
      <c r="CB68" s="133"/>
      <c r="CC68" s="131"/>
      <c r="CD68" s="134"/>
      <c r="CE68" s="133"/>
      <c r="CF68" s="131"/>
      <c r="CG68" s="134"/>
      <c r="CH68" s="133"/>
      <c r="CI68" s="131"/>
      <c r="CJ68" s="134"/>
      <c r="CK68" s="133"/>
      <c r="CL68" s="131"/>
      <c r="CM68" s="134"/>
      <c r="CN68" s="133"/>
      <c r="CO68" s="131"/>
      <c r="CP68" s="134"/>
      <c r="CQ68" s="133"/>
      <c r="CR68" s="131"/>
      <c r="CS68" s="134"/>
      <c r="CT68" s="133"/>
      <c r="CU68" s="131"/>
      <c r="CV68" s="134"/>
      <c r="CW68" s="133"/>
      <c r="CX68" s="131"/>
      <c r="CY68" s="134"/>
      <c r="CZ68" s="133"/>
      <c r="DA68" s="140"/>
      <c r="DB68" s="141"/>
      <c r="DC68" s="142"/>
      <c r="DD68" s="140"/>
      <c r="DE68" s="141"/>
      <c r="DF68" s="142"/>
      <c r="DG68" s="140"/>
      <c r="DH68" s="141"/>
      <c r="DI68" s="142"/>
      <c r="DJ68" s="140"/>
      <c r="DK68" s="141"/>
      <c r="DL68" s="142"/>
      <c r="DM68" s="140"/>
      <c r="DN68" s="141"/>
      <c r="DO68" s="142"/>
      <c r="DP68" s="140"/>
      <c r="DQ68" s="141"/>
      <c r="DR68" s="142"/>
      <c r="DS68" s="140"/>
      <c r="DT68" s="141"/>
      <c r="DU68" s="142"/>
      <c r="DV68" s="140"/>
      <c r="DW68" s="141"/>
      <c r="DX68" s="142"/>
      <c r="DY68" s="140"/>
      <c r="DZ68" s="141"/>
      <c r="EA68" s="142"/>
      <c r="EB68" s="140"/>
      <c r="EC68" s="141"/>
      <c r="ED68" s="142"/>
      <c r="EE68" s="140"/>
      <c r="EF68" s="141"/>
      <c r="EG68" s="142"/>
      <c r="EH68" s="140"/>
      <c r="EI68" s="141"/>
      <c r="EJ68" s="142"/>
      <c r="EK68" s="140"/>
      <c r="EL68" s="141"/>
      <c r="EM68" s="142"/>
      <c r="EN68" s="140"/>
      <c r="EO68" s="141"/>
      <c r="EP68" s="142"/>
      <c r="EQ68" s="140"/>
      <c r="ER68" s="141"/>
      <c r="ES68" s="142"/>
      <c r="ET68" s="140"/>
      <c r="EU68" s="141"/>
      <c r="EV68" s="142"/>
      <c r="EW68" s="140"/>
      <c r="EX68" s="141"/>
      <c r="EY68" s="142"/>
      <c r="EZ68" s="140"/>
      <c r="FA68" s="141"/>
      <c r="FB68" s="142"/>
      <c r="FC68" s="140"/>
      <c r="FD68" s="141"/>
      <c r="FE68" s="142"/>
      <c r="FF68" s="140"/>
      <c r="FG68" s="141"/>
      <c r="FH68" s="142"/>
      <c r="FI68" s="140"/>
      <c r="FJ68" s="141"/>
      <c r="FK68" s="142"/>
      <c r="FL68" s="140"/>
      <c r="FM68" s="141"/>
      <c r="FN68" s="142"/>
      <c r="FO68" s="140"/>
      <c r="FP68" s="141"/>
      <c r="FQ68" s="142"/>
      <c r="FR68" s="140"/>
      <c r="FS68" s="141"/>
      <c r="FT68" s="142"/>
      <c r="FU68" s="140"/>
      <c r="FV68" s="141"/>
      <c r="FW68" s="142"/>
      <c r="FX68" s="140"/>
      <c r="FY68" s="141"/>
      <c r="FZ68" s="142"/>
      <c r="GA68" s="140"/>
      <c r="GB68" s="141"/>
      <c r="GC68" s="142"/>
      <c r="GD68" s="140"/>
      <c r="GE68" s="141"/>
      <c r="GF68" s="142"/>
      <c r="GG68" s="140"/>
      <c r="GH68" s="141"/>
      <c r="GI68" s="142"/>
      <c r="GJ68" s="140"/>
      <c r="GK68" s="141"/>
      <c r="GL68" s="142"/>
      <c r="GM68" s="140"/>
      <c r="GN68" s="141"/>
      <c r="GO68" s="142"/>
      <c r="GP68" s="140"/>
      <c r="GQ68" s="141"/>
      <c r="GR68" s="142"/>
      <c r="GS68" s="140"/>
      <c r="GT68" s="141"/>
      <c r="GU68" s="142"/>
      <c r="GV68" s="140"/>
      <c r="GW68" s="141"/>
      <c r="GX68" s="142"/>
      <c r="GY68" s="164"/>
      <c r="GZ68" s="134"/>
      <c r="HA68" s="185"/>
      <c r="HB68" s="164"/>
      <c r="HC68" s="185"/>
      <c r="HD68" s="164">
        <f>'1910 Hacienda'!C48</f>
        <v>151521</v>
      </c>
      <c r="HE68" s="185">
        <f>'1910 Hacienda'!D48</f>
        <v>21</v>
      </c>
      <c r="HF68" s="164">
        <f>'1910 Hacienda'!C76</f>
        <v>84522</v>
      </c>
      <c r="HG68" s="185">
        <f>'1910 Hacienda'!D76</f>
        <v>2</v>
      </c>
      <c r="HH68" s="164">
        <f>'1910 Hacienda'!C100</f>
        <v>111336</v>
      </c>
      <c r="HI68" s="185">
        <f>'1910 Hacienda'!D100</f>
        <v>20</v>
      </c>
      <c r="HJ68" s="164">
        <f>'1910 Hacienda'!C136</f>
        <v>107039</v>
      </c>
      <c r="HK68" s="185">
        <f>'1910 Hacienda'!D136</f>
        <v>99</v>
      </c>
      <c r="HL68" s="164">
        <f>+'1911 Hacienda'!B32</f>
        <v>88489</v>
      </c>
      <c r="HM68" s="185">
        <f>+'1911 Hacienda'!C32</f>
        <v>19</v>
      </c>
      <c r="HN68" s="164">
        <f>+'1912A Hacienda'!B8</f>
        <v>85285</v>
      </c>
      <c r="HO68" s="185">
        <f>+'1912A Hacienda'!C8</f>
        <v>13</v>
      </c>
      <c r="HP68" s="164">
        <f>+'1912 Hacienda'!B17</f>
        <v>127449</v>
      </c>
      <c r="HQ68" s="185">
        <f>+'1912 Hacienda'!C17</f>
        <v>42</v>
      </c>
      <c r="HR68" s="164"/>
      <c r="HS68" s="185"/>
      <c r="HT68" s="164">
        <f>+'1915 Hacienda'!D25</f>
        <v>129637</v>
      </c>
      <c r="HU68" s="185">
        <f>+'1915 Hacienda'!E25</f>
        <v>62</v>
      </c>
    </row>
    <row r="69" spans="1:229" x14ac:dyDescent="0.2">
      <c r="A69" s="184" t="s">
        <v>5444</v>
      </c>
      <c r="B69" s="131"/>
      <c r="C69" s="134"/>
      <c r="D69" s="133"/>
      <c r="E69" s="131"/>
      <c r="F69" s="134"/>
      <c r="G69" s="133"/>
      <c r="H69" s="131"/>
      <c r="I69" s="134"/>
      <c r="J69" s="133"/>
      <c r="K69" s="131"/>
      <c r="L69" s="134"/>
      <c r="M69" s="133"/>
      <c r="N69" s="131"/>
      <c r="O69" s="134"/>
      <c r="P69" s="133"/>
      <c r="Q69" s="131"/>
      <c r="R69" s="134"/>
      <c r="S69" s="133"/>
      <c r="T69" s="131"/>
      <c r="U69" s="134"/>
      <c r="V69" s="133"/>
      <c r="W69" s="131"/>
      <c r="X69" s="134"/>
      <c r="Y69" s="133"/>
      <c r="Z69" s="131"/>
      <c r="AA69" s="134"/>
      <c r="AB69" s="133"/>
      <c r="AC69" s="131"/>
      <c r="AD69" s="134"/>
      <c r="AE69" s="133"/>
      <c r="AF69" s="131"/>
      <c r="AG69" s="134"/>
      <c r="AH69" s="133"/>
      <c r="AI69" s="145"/>
      <c r="AJ69" s="134"/>
      <c r="AK69" s="133"/>
      <c r="AL69" s="131"/>
      <c r="AM69" s="134"/>
      <c r="AN69" s="133"/>
      <c r="AO69" s="131"/>
      <c r="AP69" s="134"/>
      <c r="AQ69" s="133"/>
      <c r="AR69" s="131"/>
      <c r="AS69" s="134"/>
      <c r="AT69" s="180"/>
      <c r="AU69" s="131"/>
      <c r="AV69" s="185"/>
      <c r="AW69" s="131"/>
      <c r="AX69" s="185"/>
      <c r="AY69" s="131"/>
      <c r="AZ69" s="185"/>
      <c r="BA69" s="131"/>
      <c r="BB69" s="185"/>
      <c r="BC69" s="131"/>
      <c r="BD69" s="185"/>
      <c r="BE69" s="131"/>
      <c r="BF69" s="185"/>
      <c r="BG69" s="131"/>
      <c r="BH69" s="185"/>
      <c r="BI69" s="131"/>
      <c r="BJ69" s="185"/>
      <c r="BK69" s="131"/>
      <c r="BL69" s="185"/>
      <c r="BM69" s="131"/>
      <c r="BN69" s="185"/>
      <c r="BO69" s="131"/>
      <c r="BP69" s="134"/>
      <c r="BQ69" s="131"/>
      <c r="BR69" s="134"/>
      <c r="BS69" s="133"/>
      <c r="BT69" s="131"/>
      <c r="BU69" s="134"/>
      <c r="BV69" s="131"/>
      <c r="BW69" s="134"/>
      <c r="BX69" s="131"/>
      <c r="BY69" s="134"/>
      <c r="BZ69" s="131"/>
      <c r="CA69" s="134"/>
      <c r="CB69" s="133"/>
      <c r="CC69" s="131"/>
      <c r="CD69" s="134"/>
      <c r="CE69" s="133"/>
      <c r="CF69" s="131"/>
      <c r="CG69" s="134"/>
      <c r="CH69" s="133"/>
      <c r="CI69" s="131"/>
      <c r="CJ69" s="134"/>
      <c r="CK69" s="133"/>
      <c r="CL69" s="131"/>
      <c r="CM69" s="134"/>
      <c r="CN69" s="133"/>
      <c r="CO69" s="131"/>
      <c r="CP69" s="134"/>
      <c r="CQ69" s="133"/>
      <c r="CR69" s="131"/>
      <c r="CS69" s="134"/>
      <c r="CT69" s="133"/>
      <c r="CU69" s="131"/>
      <c r="CV69" s="134"/>
      <c r="CW69" s="133"/>
      <c r="CX69" s="131"/>
      <c r="CY69" s="134"/>
      <c r="CZ69" s="133"/>
      <c r="DA69" s="140"/>
      <c r="DB69" s="141"/>
      <c r="DC69" s="142"/>
      <c r="DD69" s="140"/>
      <c r="DE69" s="141"/>
      <c r="DF69" s="142"/>
      <c r="DG69" s="140"/>
      <c r="DH69" s="141"/>
      <c r="DI69" s="142"/>
      <c r="DJ69" s="140"/>
      <c r="DK69" s="141"/>
      <c r="DL69" s="142"/>
      <c r="DM69" s="140"/>
      <c r="DN69" s="141"/>
      <c r="DO69" s="142"/>
      <c r="DP69" s="140"/>
      <c r="DQ69" s="141"/>
      <c r="DR69" s="142"/>
      <c r="DS69" s="140"/>
      <c r="DT69" s="141"/>
      <c r="DU69" s="142"/>
      <c r="DV69" s="140"/>
      <c r="DW69" s="141"/>
      <c r="DX69" s="142"/>
      <c r="DY69" s="140"/>
      <c r="DZ69" s="141"/>
      <c r="EA69" s="142"/>
      <c r="EB69" s="140"/>
      <c r="EC69" s="141"/>
      <c r="ED69" s="142"/>
      <c r="EE69" s="140"/>
      <c r="EF69" s="141"/>
      <c r="EG69" s="142"/>
      <c r="EH69" s="140"/>
      <c r="EI69" s="141"/>
      <c r="EJ69" s="142"/>
      <c r="EK69" s="140"/>
      <c r="EL69" s="141"/>
      <c r="EM69" s="142"/>
      <c r="EN69" s="140"/>
      <c r="EO69" s="141"/>
      <c r="EP69" s="142"/>
      <c r="EQ69" s="140"/>
      <c r="ER69" s="141"/>
      <c r="ES69" s="142"/>
      <c r="ET69" s="140"/>
      <c r="EU69" s="141"/>
      <c r="EV69" s="142"/>
      <c r="EW69" s="140"/>
      <c r="EX69" s="141"/>
      <c r="EY69" s="142"/>
      <c r="EZ69" s="140"/>
      <c r="FA69" s="141"/>
      <c r="FB69" s="142"/>
      <c r="FC69" s="140"/>
      <c r="FD69" s="141"/>
      <c r="FE69" s="142"/>
      <c r="FF69" s="140"/>
      <c r="FG69" s="141"/>
      <c r="FH69" s="142"/>
      <c r="FI69" s="140"/>
      <c r="FJ69" s="141"/>
      <c r="FK69" s="142"/>
      <c r="FL69" s="140"/>
      <c r="FM69" s="141"/>
      <c r="FN69" s="142"/>
      <c r="FO69" s="140"/>
      <c r="FP69" s="141"/>
      <c r="FQ69" s="142"/>
      <c r="FR69" s="140"/>
      <c r="FS69" s="141"/>
      <c r="FT69" s="142"/>
      <c r="FU69" s="140"/>
      <c r="FV69" s="141"/>
      <c r="FW69" s="142"/>
      <c r="FX69" s="140"/>
      <c r="FY69" s="141"/>
      <c r="FZ69" s="142"/>
      <c r="GA69" s="140"/>
      <c r="GB69" s="141"/>
      <c r="GC69" s="142"/>
      <c r="GD69" s="140"/>
      <c r="GE69" s="141"/>
      <c r="GF69" s="142"/>
      <c r="GG69" s="140"/>
      <c r="GH69" s="141"/>
      <c r="GI69" s="142"/>
      <c r="GJ69" s="140"/>
      <c r="GK69" s="141"/>
      <c r="GL69" s="142"/>
      <c r="GM69" s="140"/>
      <c r="GN69" s="141"/>
      <c r="GO69" s="142"/>
      <c r="GP69" s="140"/>
      <c r="GQ69" s="141"/>
      <c r="GR69" s="142"/>
      <c r="GS69" s="140"/>
      <c r="GT69" s="141"/>
      <c r="GU69" s="142"/>
      <c r="GV69" s="140"/>
      <c r="GW69" s="141"/>
      <c r="GX69" s="142"/>
      <c r="GY69" s="164"/>
      <c r="GZ69" s="134"/>
      <c r="HA69" s="185"/>
      <c r="HB69" s="164"/>
      <c r="HC69" s="185"/>
      <c r="HD69" s="164">
        <f>'1910 Hacienda'!C49</f>
        <v>12797</v>
      </c>
      <c r="HE69" s="185">
        <f>'1910 Hacienda'!D49</f>
        <v>39</v>
      </c>
      <c r="HF69" s="164">
        <f>'1910 Hacienda'!C77</f>
        <v>186677</v>
      </c>
      <c r="HG69" s="185">
        <f>'1910 Hacienda'!D77</f>
        <v>60</v>
      </c>
      <c r="HH69" s="164">
        <f>'1910 Hacienda'!C89</f>
        <v>117481</v>
      </c>
      <c r="HI69" s="185">
        <f>'1910 Hacienda'!D89</f>
        <v>35</v>
      </c>
      <c r="HJ69" s="164">
        <f>'1910 Hacienda'!C132</f>
        <v>123841</v>
      </c>
      <c r="HK69" s="185">
        <f>'1910 Hacienda'!D132</f>
        <v>83</v>
      </c>
      <c r="HL69" s="164"/>
      <c r="HM69" s="185"/>
      <c r="HN69" s="164"/>
      <c r="HO69" s="185"/>
      <c r="HP69" s="164"/>
      <c r="HQ69" s="185"/>
      <c r="HR69" s="164"/>
      <c r="HS69" s="185"/>
      <c r="HT69" s="164"/>
      <c r="HU69" s="185"/>
    </row>
    <row r="70" spans="1:229" x14ac:dyDescent="0.2">
      <c r="A70" s="184" t="s">
        <v>5448</v>
      </c>
      <c r="B70" s="131"/>
      <c r="C70" s="134"/>
      <c r="D70" s="133"/>
      <c r="E70" s="131"/>
      <c r="F70" s="134"/>
      <c r="G70" s="133"/>
      <c r="H70" s="131"/>
      <c r="I70" s="134"/>
      <c r="J70" s="133"/>
      <c r="K70" s="131"/>
      <c r="L70" s="134"/>
      <c r="M70" s="133"/>
      <c r="N70" s="131"/>
      <c r="O70" s="134"/>
      <c r="P70" s="133"/>
      <c r="Q70" s="131"/>
      <c r="R70" s="134"/>
      <c r="S70" s="133"/>
      <c r="T70" s="131"/>
      <c r="U70" s="134"/>
      <c r="V70" s="133"/>
      <c r="W70" s="131"/>
      <c r="X70" s="134"/>
      <c r="Y70" s="133"/>
      <c r="Z70" s="131"/>
      <c r="AA70" s="134"/>
      <c r="AB70" s="133"/>
      <c r="AC70" s="131"/>
      <c r="AD70" s="134"/>
      <c r="AE70" s="133"/>
      <c r="AF70" s="131"/>
      <c r="AG70" s="134"/>
      <c r="AH70" s="133"/>
      <c r="AI70" s="145"/>
      <c r="AJ70" s="134"/>
      <c r="AK70" s="133"/>
      <c r="AL70" s="131"/>
      <c r="AM70" s="134"/>
      <c r="AN70" s="133"/>
      <c r="AO70" s="131"/>
      <c r="AP70" s="134"/>
      <c r="AQ70" s="133"/>
      <c r="AR70" s="131"/>
      <c r="AS70" s="134"/>
      <c r="AT70" s="180"/>
      <c r="AU70" s="131"/>
      <c r="AV70" s="185"/>
      <c r="AW70" s="131"/>
      <c r="AX70" s="185"/>
      <c r="AY70" s="131"/>
      <c r="AZ70" s="185"/>
      <c r="BA70" s="131"/>
      <c r="BB70" s="185"/>
      <c r="BC70" s="131"/>
      <c r="BD70" s="185"/>
      <c r="BE70" s="131"/>
      <c r="BF70" s="185"/>
      <c r="BG70" s="131"/>
      <c r="BH70" s="185"/>
      <c r="BI70" s="131"/>
      <c r="BJ70" s="185"/>
      <c r="BK70" s="131"/>
      <c r="BL70" s="185"/>
      <c r="BM70" s="131"/>
      <c r="BN70" s="185"/>
      <c r="BO70" s="131"/>
      <c r="BP70" s="134"/>
      <c r="BQ70" s="131"/>
      <c r="BR70" s="134"/>
      <c r="BS70" s="133"/>
      <c r="BT70" s="131"/>
      <c r="BU70" s="134"/>
      <c r="BV70" s="131"/>
      <c r="BW70" s="134"/>
      <c r="BX70" s="131"/>
      <c r="BY70" s="134"/>
      <c r="BZ70" s="131"/>
      <c r="CA70" s="134"/>
      <c r="CB70" s="133"/>
      <c r="CC70" s="131"/>
      <c r="CD70" s="134"/>
      <c r="CE70" s="133"/>
      <c r="CF70" s="131"/>
      <c r="CG70" s="134"/>
      <c r="CH70" s="133"/>
      <c r="CI70" s="131"/>
      <c r="CJ70" s="134"/>
      <c r="CK70" s="133"/>
      <c r="CL70" s="131"/>
      <c r="CM70" s="134"/>
      <c r="CN70" s="133"/>
      <c r="CO70" s="131"/>
      <c r="CP70" s="134"/>
      <c r="CQ70" s="133"/>
      <c r="CR70" s="131"/>
      <c r="CS70" s="134"/>
      <c r="CT70" s="133"/>
      <c r="CU70" s="131"/>
      <c r="CV70" s="134"/>
      <c r="CW70" s="133"/>
      <c r="CX70" s="131"/>
      <c r="CY70" s="134"/>
      <c r="CZ70" s="133"/>
      <c r="DA70" s="140"/>
      <c r="DB70" s="141"/>
      <c r="DC70" s="142"/>
      <c r="DD70" s="140"/>
      <c r="DE70" s="141"/>
      <c r="DF70" s="142"/>
      <c r="DG70" s="140"/>
      <c r="DH70" s="141"/>
      <c r="DI70" s="142"/>
      <c r="DJ70" s="140"/>
      <c r="DK70" s="141"/>
      <c r="DL70" s="142"/>
      <c r="DM70" s="140"/>
      <c r="DN70" s="141"/>
      <c r="DO70" s="142"/>
      <c r="DP70" s="140"/>
      <c r="DQ70" s="141"/>
      <c r="DR70" s="142"/>
      <c r="DS70" s="140"/>
      <c r="DT70" s="141"/>
      <c r="DU70" s="142"/>
      <c r="DV70" s="140"/>
      <c r="DW70" s="141"/>
      <c r="DX70" s="142"/>
      <c r="DY70" s="140"/>
      <c r="DZ70" s="141"/>
      <c r="EA70" s="142"/>
      <c r="EB70" s="140"/>
      <c r="EC70" s="141"/>
      <c r="ED70" s="142"/>
      <c r="EE70" s="140"/>
      <c r="EF70" s="141"/>
      <c r="EG70" s="142"/>
      <c r="EH70" s="140"/>
      <c r="EI70" s="141"/>
      <c r="EJ70" s="142"/>
      <c r="EK70" s="140"/>
      <c r="EL70" s="141"/>
      <c r="EM70" s="142"/>
      <c r="EN70" s="140"/>
      <c r="EO70" s="141"/>
      <c r="EP70" s="142"/>
      <c r="EQ70" s="140"/>
      <c r="ER70" s="141"/>
      <c r="ES70" s="142"/>
      <c r="ET70" s="140"/>
      <c r="EU70" s="141"/>
      <c r="EV70" s="142"/>
      <c r="EW70" s="140"/>
      <c r="EX70" s="141"/>
      <c r="EY70" s="142"/>
      <c r="EZ70" s="140"/>
      <c r="FA70" s="141"/>
      <c r="FB70" s="142"/>
      <c r="FC70" s="140"/>
      <c r="FD70" s="141"/>
      <c r="FE70" s="142"/>
      <c r="FF70" s="140"/>
      <c r="FG70" s="141"/>
      <c r="FH70" s="142"/>
      <c r="FI70" s="140"/>
      <c r="FJ70" s="141"/>
      <c r="FK70" s="142"/>
      <c r="FL70" s="140"/>
      <c r="FM70" s="141"/>
      <c r="FN70" s="142"/>
      <c r="FO70" s="140"/>
      <c r="FP70" s="141"/>
      <c r="FQ70" s="142"/>
      <c r="FR70" s="140"/>
      <c r="FS70" s="141"/>
      <c r="FT70" s="142"/>
      <c r="FU70" s="140"/>
      <c r="FV70" s="141"/>
      <c r="FW70" s="142"/>
      <c r="FX70" s="140"/>
      <c r="FY70" s="141"/>
      <c r="FZ70" s="142"/>
      <c r="GA70" s="140"/>
      <c r="GB70" s="141"/>
      <c r="GC70" s="142"/>
      <c r="GD70" s="140"/>
      <c r="GE70" s="141"/>
      <c r="GF70" s="142"/>
      <c r="GG70" s="140"/>
      <c r="GH70" s="141"/>
      <c r="GI70" s="142"/>
      <c r="GJ70" s="140"/>
      <c r="GK70" s="141"/>
      <c r="GL70" s="142"/>
      <c r="GM70" s="140"/>
      <c r="GN70" s="141"/>
      <c r="GO70" s="142"/>
      <c r="GP70" s="140"/>
      <c r="GQ70" s="141"/>
      <c r="GR70" s="142"/>
      <c r="GS70" s="140"/>
      <c r="GT70" s="141"/>
      <c r="GU70" s="142"/>
      <c r="GV70" s="140"/>
      <c r="GW70" s="141"/>
      <c r="GX70" s="142"/>
      <c r="GY70" s="164"/>
      <c r="GZ70" s="134"/>
      <c r="HA70" s="185"/>
      <c r="HB70" s="164"/>
      <c r="HC70" s="185"/>
      <c r="HD70" s="164"/>
      <c r="HE70" s="185"/>
      <c r="HF70" s="164">
        <f>'1910 Hacienda'!C78</f>
        <v>748043</v>
      </c>
      <c r="HG70" s="185">
        <f>'1910 Hacienda'!D78</f>
        <v>71</v>
      </c>
      <c r="HH70" s="164">
        <f>'1910 Hacienda'!C109</f>
        <v>424203</v>
      </c>
      <c r="HI70" s="185">
        <f>'1910 Hacienda'!D109</f>
        <v>38</v>
      </c>
      <c r="HJ70" s="164"/>
      <c r="HK70" s="185"/>
      <c r="HL70" s="164"/>
      <c r="HM70" s="185"/>
      <c r="HN70" s="164"/>
      <c r="HO70" s="185"/>
      <c r="HP70" s="164"/>
      <c r="HQ70" s="185"/>
      <c r="HR70" s="164"/>
      <c r="HS70" s="185"/>
      <c r="HT70" s="164"/>
      <c r="HU70" s="185"/>
    </row>
    <row r="71" spans="1:229" x14ac:dyDescent="0.2">
      <c r="A71" s="184" t="s">
        <v>5449</v>
      </c>
      <c r="B71" s="131"/>
      <c r="C71" s="134"/>
      <c r="D71" s="133"/>
      <c r="E71" s="131"/>
      <c r="F71" s="134"/>
      <c r="G71" s="133"/>
      <c r="H71" s="131"/>
      <c r="I71" s="134"/>
      <c r="J71" s="133"/>
      <c r="K71" s="131"/>
      <c r="L71" s="134"/>
      <c r="M71" s="133"/>
      <c r="N71" s="131"/>
      <c r="O71" s="134"/>
      <c r="P71" s="133"/>
      <c r="Q71" s="131"/>
      <c r="R71" s="134"/>
      <c r="S71" s="133"/>
      <c r="T71" s="131"/>
      <c r="U71" s="134"/>
      <c r="V71" s="133"/>
      <c r="W71" s="131"/>
      <c r="X71" s="134"/>
      <c r="Y71" s="133"/>
      <c r="Z71" s="131"/>
      <c r="AA71" s="134"/>
      <c r="AB71" s="133"/>
      <c r="AC71" s="131"/>
      <c r="AD71" s="134"/>
      <c r="AE71" s="133"/>
      <c r="AF71" s="131"/>
      <c r="AG71" s="134"/>
      <c r="AH71" s="133"/>
      <c r="AI71" s="145"/>
      <c r="AJ71" s="134"/>
      <c r="AK71" s="133"/>
      <c r="AL71" s="131"/>
      <c r="AM71" s="134"/>
      <c r="AN71" s="133"/>
      <c r="AO71" s="131"/>
      <c r="AP71" s="134"/>
      <c r="AQ71" s="133"/>
      <c r="AR71" s="131"/>
      <c r="AS71" s="134"/>
      <c r="AT71" s="180"/>
      <c r="AU71" s="131"/>
      <c r="AV71" s="185"/>
      <c r="AW71" s="131"/>
      <c r="AX71" s="185"/>
      <c r="AY71" s="131"/>
      <c r="AZ71" s="185"/>
      <c r="BA71" s="131"/>
      <c r="BB71" s="185"/>
      <c r="BC71" s="131"/>
      <c r="BD71" s="185"/>
      <c r="BE71" s="131"/>
      <c r="BF71" s="185"/>
      <c r="BG71" s="131"/>
      <c r="BH71" s="185"/>
      <c r="BI71" s="131"/>
      <c r="BJ71" s="185"/>
      <c r="BK71" s="131"/>
      <c r="BL71" s="185"/>
      <c r="BM71" s="131"/>
      <c r="BN71" s="185"/>
      <c r="BO71" s="131"/>
      <c r="BP71" s="134"/>
      <c r="BQ71" s="131"/>
      <c r="BR71" s="134"/>
      <c r="BS71" s="133"/>
      <c r="BT71" s="131"/>
      <c r="BU71" s="134"/>
      <c r="BV71" s="131"/>
      <c r="BW71" s="134"/>
      <c r="BX71" s="131"/>
      <c r="BY71" s="134"/>
      <c r="BZ71" s="131"/>
      <c r="CA71" s="134"/>
      <c r="CB71" s="133"/>
      <c r="CC71" s="131"/>
      <c r="CD71" s="134"/>
      <c r="CE71" s="133"/>
      <c r="CF71" s="131"/>
      <c r="CG71" s="134"/>
      <c r="CH71" s="133"/>
      <c r="CI71" s="131"/>
      <c r="CJ71" s="134"/>
      <c r="CK71" s="133"/>
      <c r="CL71" s="131"/>
      <c r="CM71" s="134"/>
      <c r="CN71" s="133"/>
      <c r="CO71" s="131"/>
      <c r="CP71" s="134"/>
      <c r="CQ71" s="133"/>
      <c r="CR71" s="131"/>
      <c r="CS71" s="134"/>
      <c r="CT71" s="133"/>
      <c r="CU71" s="131"/>
      <c r="CV71" s="134"/>
      <c r="CW71" s="133"/>
      <c r="CX71" s="131"/>
      <c r="CY71" s="134"/>
      <c r="CZ71" s="133"/>
      <c r="DA71" s="140"/>
      <c r="DB71" s="141"/>
      <c r="DC71" s="142"/>
      <c r="DD71" s="140"/>
      <c r="DE71" s="141"/>
      <c r="DF71" s="142"/>
      <c r="DG71" s="140"/>
      <c r="DH71" s="141"/>
      <c r="DI71" s="142"/>
      <c r="DJ71" s="140"/>
      <c r="DK71" s="141"/>
      <c r="DL71" s="142"/>
      <c r="DM71" s="140"/>
      <c r="DN71" s="141"/>
      <c r="DO71" s="142"/>
      <c r="DP71" s="140"/>
      <c r="DQ71" s="141"/>
      <c r="DR71" s="142"/>
      <c r="DS71" s="140"/>
      <c r="DT71" s="141"/>
      <c r="DU71" s="142"/>
      <c r="DV71" s="140"/>
      <c r="DW71" s="141"/>
      <c r="DX71" s="142"/>
      <c r="DY71" s="140"/>
      <c r="DZ71" s="141"/>
      <c r="EA71" s="142"/>
      <c r="EB71" s="140"/>
      <c r="EC71" s="141"/>
      <c r="ED71" s="142"/>
      <c r="EE71" s="140"/>
      <c r="EF71" s="141"/>
      <c r="EG71" s="142"/>
      <c r="EH71" s="140"/>
      <c r="EI71" s="141"/>
      <c r="EJ71" s="142"/>
      <c r="EK71" s="140"/>
      <c r="EL71" s="141"/>
      <c r="EM71" s="142"/>
      <c r="EN71" s="140"/>
      <c r="EO71" s="141"/>
      <c r="EP71" s="142"/>
      <c r="EQ71" s="140"/>
      <c r="ER71" s="141"/>
      <c r="ES71" s="142"/>
      <c r="ET71" s="140"/>
      <c r="EU71" s="141"/>
      <c r="EV71" s="142"/>
      <c r="EW71" s="140"/>
      <c r="EX71" s="141"/>
      <c r="EY71" s="142"/>
      <c r="EZ71" s="140"/>
      <c r="FA71" s="141"/>
      <c r="FB71" s="142"/>
      <c r="FC71" s="140"/>
      <c r="FD71" s="141"/>
      <c r="FE71" s="142"/>
      <c r="FF71" s="140"/>
      <c r="FG71" s="141"/>
      <c r="FH71" s="142"/>
      <c r="FI71" s="140"/>
      <c r="FJ71" s="141"/>
      <c r="FK71" s="142"/>
      <c r="FL71" s="140"/>
      <c r="FM71" s="141"/>
      <c r="FN71" s="142"/>
      <c r="FO71" s="140"/>
      <c r="FP71" s="141"/>
      <c r="FQ71" s="142"/>
      <c r="FR71" s="140"/>
      <c r="FS71" s="141"/>
      <c r="FT71" s="142"/>
      <c r="FU71" s="140"/>
      <c r="FV71" s="141"/>
      <c r="FW71" s="142"/>
      <c r="FX71" s="140"/>
      <c r="FY71" s="141"/>
      <c r="FZ71" s="142"/>
      <c r="GA71" s="140"/>
      <c r="GB71" s="141"/>
      <c r="GC71" s="142"/>
      <c r="GD71" s="140"/>
      <c r="GE71" s="141"/>
      <c r="GF71" s="142"/>
      <c r="GG71" s="140"/>
      <c r="GH71" s="141"/>
      <c r="GI71" s="142"/>
      <c r="GJ71" s="140"/>
      <c r="GK71" s="141"/>
      <c r="GL71" s="142"/>
      <c r="GM71" s="140"/>
      <c r="GN71" s="141"/>
      <c r="GO71" s="142"/>
      <c r="GP71" s="140"/>
      <c r="GQ71" s="141"/>
      <c r="GR71" s="142"/>
      <c r="GS71" s="140"/>
      <c r="GT71" s="141"/>
      <c r="GU71" s="142"/>
      <c r="GV71" s="140"/>
      <c r="GW71" s="141"/>
      <c r="GX71" s="142"/>
      <c r="GY71" s="164"/>
      <c r="GZ71" s="134"/>
      <c r="HA71" s="185"/>
      <c r="HB71" s="164"/>
      <c r="HC71" s="185"/>
      <c r="HD71" s="164"/>
      <c r="HE71" s="185"/>
      <c r="HF71" s="164">
        <f>'1910 Hacienda'!C79</f>
        <v>29302</v>
      </c>
      <c r="HG71" s="185">
        <f>'1910 Hacienda'!D79</f>
        <v>76</v>
      </c>
      <c r="HH71" s="164"/>
      <c r="HI71" s="185"/>
      <c r="HJ71" s="164"/>
      <c r="HK71" s="185"/>
      <c r="HL71" s="164"/>
      <c r="HM71" s="185"/>
      <c r="HN71" s="164"/>
      <c r="HO71" s="185"/>
      <c r="HP71" s="164"/>
      <c r="HQ71" s="185"/>
      <c r="HR71" s="164"/>
      <c r="HS71" s="185"/>
      <c r="HT71" s="164"/>
      <c r="HU71" s="185"/>
    </row>
    <row r="72" spans="1:229" x14ac:dyDescent="0.2">
      <c r="A72" s="184" t="s">
        <v>5453</v>
      </c>
      <c r="B72" s="131"/>
      <c r="C72" s="134"/>
      <c r="D72" s="133"/>
      <c r="E72" s="131"/>
      <c r="F72" s="134"/>
      <c r="G72" s="133"/>
      <c r="H72" s="131"/>
      <c r="I72" s="134"/>
      <c r="J72" s="133"/>
      <c r="K72" s="131"/>
      <c r="L72" s="134"/>
      <c r="M72" s="133"/>
      <c r="N72" s="131"/>
      <c r="O72" s="134"/>
      <c r="P72" s="133"/>
      <c r="Q72" s="131"/>
      <c r="R72" s="134"/>
      <c r="S72" s="133"/>
      <c r="T72" s="131"/>
      <c r="U72" s="134"/>
      <c r="V72" s="133"/>
      <c r="W72" s="131"/>
      <c r="X72" s="134"/>
      <c r="Y72" s="133"/>
      <c r="Z72" s="131"/>
      <c r="AA72" s="134"/>
      <c r="AB72" s="133"/>
      <c r="AC72" s="131"/>
      <c r="AD72" s="134"/>
      <c r="AE72" s="133"/>
      <c r="AF72" s="131"/>
      <c r="AG72" s="134"/>
      <c r="AH72" s="133"/>
      <c r="AI72" s="145"/>
      <c r="AJ72" s="134"/>
      <c r="AK72" s="133"/>
      <c r="AL72" s="131"/>
      <c r="AM72" s="134"/>
      <c r="AN72" s="133"/>
      <c r="AO72" s="131"/>
      <c r="AP72" s="134"/>
      <c r="AQ72" s="133"/>
      <c r="AR72" s="131"/>
      <c r="AS72" s="134"/>
      <c r="AT72" s="180"/>
      <c r="AU72" s="131"/>
      <c r="AV72" s="185"/>
      <c r="AW72" s="131"/>
      <c r="AX72" s="185"/>
      <c r="AY72" s="131"/>
      <c r="AZ72" s="185"/>
      <c r="BA72" s="131"/>
      <c r="BB72" s="185"/>
      <c r="BC72" s="131"/>
      <c r="BD72" s="185"/>
      <c r="BE72" s="131"/>
      <c r="BF72" s="185"/>
      <c r="BG72" s="131"/>
      <c r="BH72" s="185"/>
      <c r="BI72" s="131"/>
      <c r="BJ72" s="185"/>
      <c r="BK72" s="131"/>
      <c r="BL72" s="185"/>
      <c r="BM72" s="131"/>
      <c r="BN72" s="185"/>
      <c r="BO72" s="131"/>
      <c r="BP72" s="134"/>
      <c r="BQ72" s="131"/>
      <c r="BR72" s="134"/>
      <c r="BS72" s="133"/>
      <c r="BT72" s="131"/>
      <c r="BU72" s="134"/>
      <c r="BV72" s="131"/>
      <c r="BW72" s="134"/>
      <c r="BX72" s="131"/>
      <c r="BY72" s="134"/>
      <c r="BZ72" s="131"/>
      <c r="CA72" s="134"/>
      <c r="CB72" s="133"/>
      <c r="CC72" s="131"/>
      <c r="CD72" s="134"/>
      <c r="CE72" s="133"/>
      <c r="CF72" s="131"/>
      <c r="CG72" s="134"/>
      <c r="CH72" s="133"/>
      <c r="CI72" s="131"/>
      <c r="CJ72" s="134"/>
      <c r="CK72" s="133"/>
      <c r="CL72" s="131"/>
      <c r="CM72" s="134"/>
      <c r="CN72" s="133"/>
      <c r="CO72" s="131"/>
      <c r="CP72" s="134"/>
      <c r="CQ72" s="133"/>
      <c r="CR72" s="131"/>
      <c r="CS72" s="134"/>
      <c r="CT72" s="133"/>
      <c r="CU72" s="131"/>
      <c r="CV72" s="134"/>
      <c r="CW72" s="133"/>
      <c r="CX72" s="131"/>
      <c r="CY72" s="134"/>
      <c r="CZ72" s="133"/>
      <c r="DA72" s="140"/>
      <c r="DB72" s="141"/>
      <c r="DC72" s="142"/>
      <c r="DD72" s="140"/>
      <c r="DE72" s="141"/>
      <c r="DF72" s="142"/>
      <c r="DG72" s="140"/>
      <c r="DH72" s="141"/>
      <c r="DI72" s="142"/>
      <c r="DJ72" s="140"/>
      <c r="DK72" s="141"/>
      <c r="DL72" s="142"/>
      <c r="DM72" s="140"/>
      <c r="DN72" s="141"/>
      <c r="DO72" s="142"/>
      <c r="DP72" s="140"/>
      <c r="DQ72" s="141"/>
      <c r="DR72" s="142"/>
      <c r="DS72" s="140"/>
      <c r="DT72" s="141"/>
      <c r="DU72" s="142"/>
      <c r="DV72" s="140"/>
      <c r="DW72" s="141"/>
      <c r="DX72" s="142"/>
      <c r="DY72" s="140"/>
      <c r="DZ72" s="141"/>
      <c r="EA72" s="142"/>
      <c r="EB72" s="140"/>
      <c r="EC72" s="141"/>
      <c r="ED72" s="142"/>
      <c r="EE72" s="140"/>
      <c r="EF72" s="141"/>
      <c r="EG72" s="142"/>
      <c r="EH72" s="140"/>
      <c r="EI72" s="141"/>
      <c r="EJ72" s="142"/>
      <c r="EK72" s="140"/>
      <c r="EL72" s="141"/>
      <c r="EM72" s="142"/>
      <c r="EN72" s="140"/>
      <c r="EO72" s="141"/>
      <c r="EP72" s="142"/>
      <c r="EQ72" s="140"/>
      <c r="ER72" s="141"/>
      <c r="ES72" s="142"/>
      <c r="ET72" s="140"/>
      <c r="EU72" s="141"/>
      <c r="EV72" s="142"/>
      <c r="EW72" s="140"/>
      <c r="EX72" s="141"/>
      <c r="EY72" s="142"/>
      <c r="EZ72" s="140"/>
      <c r="FA72" s="141"/>
      <c r="FB72" s="142"/>
      <c r="FC72" s="140"/>
      <c r="FD72" s="141"/>
      <c r="FE72" s="142"/>
      <c r="FF72" s="140"/>
      <c r="FG72" s="141"/>
      <c r="FH72" s="142"/>
      <c r="FI72" s="140"/>
      <c r="FJ72" s="141"/>
      <c r="FK72" s="142"/>
      <c r="FL72" s="140"/>
      <c r="FM72" s="141"/>
      <c r="FN72" s="142"/>
      <c r="FO72" s="140"/>
      <c r="FP72" s="141"/>
      <c r="FQ72" s="142"/>
      <c r="FR72" s="140"/>
      <c r="FS72" s="141"/>
      <c r="FT72" s="142"/>
      <c r="FU72" s="140"/>
      <c r="FV72" s="141"/>
      <c r="FW72" s="142"/>
      <c r="FX72" s="140"/>
      <c r="FY72" s="141"/>
      <c r="FZ72" s="142"/>
      <c r="GA72" s="140"/>
      <c r="GB72" s="141"/>
      <c r="GC72" s="142"/>
      <c r="GD72" s="140"/>
      <c r="GE72" s="141"/>
      <c r="GF72" s="142"/>
      <c r="GG72" s="140"/>
      <c r="GH72" s="141"/>
      <c r="GI72" s="142"/>
      <c r="GJ72" s="140"/>
      <c r="GK72" s="141"/>
      <c r="GL72" s="142"/>
      <c r="GM72" s="140"/>
      <c r="GN72" s="141"/>
      <c r="GO72" s="142"/>
      <c r="GP72" s="140"/>
      <c r="GQ72" s="141"/>
      <c r="GR72" s="142"/>
      <c r="GS72" s="140"/>
      <c r="GT72" s="141"/>
      <c r="GU72" s="142"/>
      <c r="GV72" s="140"/>
      <c r="GW72" s="141"/>
      <c r="GX72" s="142"/>
      <c r="GY72" s="164"/>
      <c r="GZ72" s="134"/>
      <c r="HA72" s="185"/>
      <c r="HB72" s="164"/>
      <c r="HC72" s="185"/>
      <c r="HD72" s="164"/>
      <c r="HE72" s="185"/>
      <c r="HF72" s="164"/>
      <c r="HG72" s="185"/>
      <c r="HH72" s="164">
        <f>'1910 Hacienda'!C110</f>
        <v>32928</v>
      </c>
      <c r="HI72" s="185">
        <f>'1910 Hacienda'!D110</f>
        <v>22</v>
      </c>
      <c r="HJ72" s="164"/>
      <c r="HK72" s="185"/>
      <c r="HL72" s="164"/>
      <c r="HM72" s="185"/>
      <c r="HN72" s="164"/>
      <c r="HO72" s="185"/>
      <c r="HP72" s="164"/>
      <c r="HQ72" s="185"/>
      <c r="HR72" s="164"/>
      <c r="HS72" s="185"/>
      <c r="HT72" s="164"/>
      <c r="HU72" s="185"/>
    </row>
    <row r="73" spans="1:229" x14ac:dyDescent="0.2">
      <c r="A73" s="184" t="s">
        <v>5454</v>
      </c>
      <c r="B73" s="131"/>
      <c r="C73" s="134"/>
      <c r="D73" s="133"/>
      <c r="E73" s="131"/>
      <c r="F73" s="134"/>
      <c r="G73" s="133"/>
      <c r="H73" s="131"/>
      <c r="I73" s="134"/>
      <c r="J73" s="133"/>
      <c r="K73" s="131"/>
      <c r="L73" s="134"/>
      <c r="M73" s="133"/>
      <c r="N73" s="131"/>
      <c r="O73" s="134"/>
      <c r="P73" s="133"/>
      <c r="Q73" s="131"/>
      <c r="R73" s="134"/>
      <c r="S73" s="133"/>
      <c r="T73" s="131"/>
      <c r="U73" s="134"/>
      <c r="V73" s="133"/>
      <c r="W73" s="131"/>
      <c r="X73" s="134"/>
      <c r="Y73" s="133"/>
      <c r="Z73" s="131"/>
      <c r="AA73" s="134"/>
      <c r="AB73" s="133"/>
      <c r="AC73" s="131"/>
      <c r="AD73" s="134"/>
      <c r="AE73" s="133"/>
      <c r="AF73" s="131"/>
      <c r="AG73" s="134"/>
      <c r="AH73" s="133"/>
      <c r="AI73" s="145"/>
      <c r="AJ73" s="134"/>
      <c r="AK73" s="133"/>
      <c r="AL73" s="131"/>
      <c r="AM73" s="134"/>
      <c r="AN73" s="133"/>
      <c r="AO73" s="131"/>
      <c r="AP73" s="134"/>
      <c r="AQ73" s="133"/>
      <c r="AR73" s="131"/>
      <c r="AS73" s="134"/>
      <c r="AT73" s="180"/>
      <c r="AU73" s="131"/>
      <c r="AV73" s="185"/>
      <c r="AW73" s="131"/>
      <c r="AX73" s="185"/>
      <c r="AY73" s="131"/>
      <c r="AZ73" s="185"/>
      <c r="BA73" s="131"/>
      <c r="BB73" s="185"/>
      <c r="BC73" s="131"/>
      <c r="BD73" s="185"/>
      <c r="BE73" s="131"/>
      <c r="BF73" s="185"/>
      <c r="BG73" s="131"/>
      <c r="BH73" s="185"/>
      <c r="BI73" s="131"/>
      <c r="BJ73" s="185"/>
      <c r="BK73" s="131"/>
      <c r="BL73" s="185"/>
      <c r="BM73" s="131"/>
      <c r="BN73" s="185"/>
      <c r="BO73" s="131"/>
      <c r="BP73" s="134"/>
      <c r="BQ73" s="131"/>
      <c r="BR73" s="134"/>
      <c r="BS73" s="133"/>
      <c r="BT73" s="131"/>
      <c r="BU73" s="134"/>
      <c r="BV73" s="131"/>
      <c r="BW73" s="134"/>
      <c r="BX73" s="131"/>
      <c r="BY73" s="134"/>
      <c r="BZ73" s="131"/>
      <c r="CA73" s="134"/>
      <c r="CB73" s="133"/>
      <c r="CC73" s="131"/>
      <c r="CD73" s="134"/>
      <c r="CE73" s="133"/>
      <c r="CF73" s="131"/>
      <c r="CG73" s="134"/>
      <c r="CH73" s="133"/>
      <c r="CI73" s="131"/>
      <c r="CJ73" s="134"/>
      <c r="CK73" s="133"/>
      <c r="CL73" s="131"/>
      <c r="CM73" s="134"/>
      <c r="CN73" s="133"/>
      <c r="CO73" s="131"/>
      <c r="CP73" s="134"/>
      <c r="CQ73" s="133"/>
      <c r="CR73" s="131"/>
      <c r="CS73" s="134"/>
      <c r="CT73" s="133"/>
      <c r="CU73" s="131"/>
      <c r="CV73" s="134"/>
      <c r="CW73" s="133"/>
      <c r="CX73" s="131"/>
      <c r="CY73" s="134"/>
      <c r="CZ73" s="133"/>
      <c r="DA73" s="140"/>
      <c r="DB73" s="141"/>
      <c r="DC73" s="142"/>
      <c r="DD73" s="140"/>
      <c r="DE73" s="141"/>
      <c r="DF73" s="142"/>
      <c r="DG73" s="140"/>
      <c r="DH73" s="141"/>
      <c r="DI73" s="142"/>
      <c r="DJ73" s="140"/>
      <c r="DK73" s="141"/>
      <c r="DL73" s="142"/>
      <c r="DM73" s="140"/>
      <c r="DN73" s="141"/>
      <c r="DO73" s="142"/>
      <c r="DP73" s="140"/>
      <c r="DQ73" s="141"/>
      <c r="DR73" s="142"/>
      <c r="DS73" s="140"/>
      <c r="DT73" s="141"/>
      <c r="DU73" s="142"/>
      <c r="DV73" s="140"/>
      <c r="DW73" s="141"/>
      <c r="DX73" s="142"/>
      <c r="DY73" s="140"/>
      <c r="DZ73" s="141"/>
      <c r="EA73" s="142"/>
      <c r="EB73" s="140"/>
      <c r="EC73" s="141"/>
      <c r="ED73" s="142"/>
      <c r="EE73" s="140"/>
      <c r="EF73" s="141"/>
      <c r="EG73" s="142"/>
      <c r="EH73" s="140"/>
      <c r="EI73" s="141"/>
      <c r="EJ73" s="142"/>
      <c r="EK73" s="140"/>
      <c r="EL73" s="141"/>
      <c r="EM73" s="142"/>
      <c r="EN73" s="140"/>
      <c r="EO73" s="141"/>
      <c r="EP73" s="142"/>
      <c r="EQ73" s="140"/>
      <c r="ER73" s="141"/>
      <c r="ES73" s="142"/>
      <c r="ET73" s="140"/>
      <c r="EU73" s="141"/>
      <c r="EV73" s="142"/>
      <c r="EW73" s="140"/>
      <c r="EX73" s="141"/>
      <c r="EY73" s="142"/>
      <c r="EZ73" s="140"/>
      <c r="FA73" s="141"/>
      <c r="FB73" s="142"/>
      <c r="FC73" s="140"/>
      <c r="FD73" s="141"/>
      <c r="FE73" s="142"/>
      <c r="FF73" s="140"/>
      <c r="FG73" s="141"/>
      <c r="FH73" s="142"/>
      <c r="FI73" s="140"/>
      <c r="FJ73" s="141"/>
      <c r="FK73" s="142"/>
      <c r="FL73" s="140"/>
      <c r="FM73" s="141"/>
      <c r="FN73" s="142"/>
      <c r="FO73" s="140"/>
      <c r="FP73" s="141"/>
      <c r="FQ73" s="142"/>
      <c r="FR73" s="140"/>
      <c r="FS73" s="141"/>
      <c r="FT73" s="142"/>
      <c r="FU73" s="140"/>
      <c r="FV73" s="141"/>
      <c r="FW73" s="142"/>
      <c r="FX73" s="140"/>
      <c r="FY73" s="141"/>
      <c r="FZ73" s="142"/>
      <c r="GA73" s="140"/>
      <c r="GB73" s="141"/>
      <c r="GC73" s="142"/>
      <c r="GD73" s="140"/>
      <c r="GE73" s="141"/>
      <c r="GF73" s="142"/>
      <c r="GG73" s="140"/>
      <c r="GH73" s="141"/>
      <c r="GI73" s="142"/>
      <c r="GJ73" s="140"/>
      <c r="GK73" s="141"/>
      <c r="GL73" s="142"/>
      <c r="GM73" s="140"/>
      <c r="GN73" s="141"/>
      <c r="GO73" s="142"/>
      <c r="GP73" s="140"/>
      <c r="GQ73" s="141"/>
      <c r="GR73" s="142"/>
      <c r="GS73" s="140"/>
      <c r="GT73" s="141"/>
      <c r="GU73" s="142"/>
      <c r="GV73" s="140"/>
      <c r="GW73" s="141"/>
      <c r="GX73" s="142"/>
      <c r="GY73" s="164"/>
      <c r="GZ73" s="134"/>
      <c r="HA73" s="185"/>
      <c r="HB73" s="164"/>
      <c r="HC73" s="185"/>
      <c r="HD73" s="164"/>
      <c r="HE73" s="185"/>
      <c r="HF73" s="164"/>
      <c r="HG73" s="185"/>
      <c r="HH73" s="164">
        <f>'1910 Hacienda'!C111</f>
        <v>27152</v>
      </c>
      <c r="HI73" s="185">
        <f>'1910 Hacienda'!D111</f>
        <v>71</v>
      </c>
      <c r="HJ73" s="164">
        <f>'1910 Hacienda'!C154</f>
        <v>52697</v>
      </c>
      <c r="HK73" s="185">
        <f>'1910 Hacienda'!D154</f>
        <v>32</v>
      </c>
      <c r="HL73" s="164"/>
      <c r="HM73" s="185"/>
      <c r="HN73" s="164"/>
      <c r="HO73" s="185"/>
      <c r="HP73" s="164"/>
      <c r="HQ73" s="185"/>
      <c r="HR73" s="164"/>
      <c r="HS73" s="185"/>
      <c r="HT73" s="164"/>
      <c r="HU73" s="185"/>
    </row>
    <row r="74" spans="1:229" x14ac:dyDescent="0.2">
      <c r="A74" s="184" t="s">
        <v>5455</v>
      </c>
      <c r="B74" s="131"/>
      <c r="C74" s="134"/>
      <c r="D74" s="133"/>
      <c r="E74" s="131"/>
      <c r="F74" s="134"/>
      <c r="G74" s="133"/>
      <c r="H74" s="131"/>
      <c r="I74" s="134"/>
      <c r="J74" s="133"/>
      <c r="K74" s="131"/>
      <c r="L74" s="134"/>
      <c r="M74" s="133"/>
      <c r="N74" s="131"/>
      <c r="O74" s="134"/>
      <c r="P74" s="133"/>
      <c r="Q74" s="131"/>
      <c r="R74" s="134"/>
      <c r="S74" s="133"/>
      <c r="T74" s="131"/>
      <c r="U74" s="134"/>
      <c r="V74" s="133"/>
      <c r="W74" s="131"/>
      <c r="X74" s="134"/>
      <c r="Y74" s="133"/>
      <c r="Z74" s="131"/>
      <c r="AA74" s="134"/>
      <c r="AB74" s="133"/>
      <c r="AC74" s="131"/>
      <c r="AD74" s="134"/>
      <c r="AE74" s="133"/>
      <c r="AF74" s="131"/>
      <c r="AG74" s="134"/>
      <c r="AH74" s="133"/>
      <c r="AI74" s="145"/>
      <c r="AJ74" s="134"/>
      <c r="AK74" s="133"/>
      <c r="AL74" s="131"/>
      <c r="AM74" s="134"/>
      <c r="AN74" s="133"/>
      <c r="AO74" s="131"/>
      <c r="AP74" s="134"/>
      <c r="AQ74" s="133"/>
      <c r="AR74" s="131"/>
      <c r="AS74" s="134"/>
      <c r="AT74" s="180"/>
      <c r="AU74" s="131"/>
      <c r="AV74" s="185"/>
      <c r="AW74" s="131"/>
      <c r="AX74" s="185"/>
      <c r="AY74" s="131"/>
      <c r="AZ74" s="185"/>
      <c r="BA74" s="131"/>
      <c r="BB74" s="185"/>
      <c r="BC74" s="131"/>
      <c r="BD74" s="185"/>
      <c r="BE74" s="131"/>
      <c r="BF74" s="185"/>
      <c r="BG74" s="131"/>
      <c r="BH74" s="185"/>
      <c r="BI74" s="131"/>
      <c r="BJ74" s="185"/>
      <c r="BK74" s="131"/>
      <c r="BL74" s="185"/>
      <c r="BM74" s="131"/>
      <c r="BN74" s="185"/>
      <c r="BO74" s="131"/>
      <c r="BP74" s="134"/>
      <c r="BQ74" s="131"/>
      <c r="BR74" s="134"/>
      <c r="BS74" s="133"/>
      <c r="BT74" s="131"/>
      <c r="BU74" s="134"/>
      <c r="BV74" s="131"/>
      <c r="BW74" s="134"/>
      <c r="BX74" s="131"/>
      <c r="BY74" s="134"/>
      <c r="BZ74" s="131"/>
      <c r="CA74" s="134"/>
      <c r="CB74" s="133"/>
      <c r="CC74" s="131"/>
      <c r="CD74" s="134"/>
      <c r="CE74" s="133"/>
      <c r="CF74" s="131"/>
      <c r="CG74" s="134"/>
      <c r="CH74" s="133"/>
      <c r="CI74" s="131"/>
      <c r="CJ74" s="134"/>
      <c r="CK74" s="133"/>
      <c r="CL74" s="131"/>
      <c r="CM74" s="134"/>
      <c r="CN74" s="133"/>
      <c r="CO74" s="131"/>
      <c r="CP74" s="134"/>
      <c r="CQ74" s="133"/>
      <c r="CR74" s="131"/>
      <c r="CS74" s="134"/>
      <c r="CT74" s="133"/>
      <c r="CU74" s="131"/>
      <c r="CV74" s="134"/>
      <c r="CW74" s="133"/>
      <c r="CX74" s="131"/>
      <c r="CY74" s="134"/>
      <c r="CZ74" s="133"/>
      <c r="DA74" s="140"/>
      <c r="DB74" s="141"/>
      <c r="DC74" s="142"/>
      <c r="DD74" s="140"/>
      <c r="DE74" s="141"/>
      <c r="DF74" s="142"/>
      <c r="DG74" s="140"/>
      <c r="DH74" s="141"/>
      <c r="DI74" s="142"/>
      <c r="DJ74" s="140"/>
      <c r="DK74" s="141"/>
      <c r="DL74" s="142"/>
      <c r="DM74" s="140"/>
      <c r="DN74" s="141"/>
      <c r="DO74" s="142"/>
      <c r="DP74" s="140"/>
      <c r="DQ74" s="141"/>
      <c r="DR74" s="142"/>
      <c r="DS74" s="140"/>
      <c r="DT74" s="141"/>
      <c r="DU74" s="142"/>
      <c r="DV74" s="140"/>
      <c r="DW74" s="141"/>
      <c r="DX74" s="142"/>
      <c r="DY74" s="140"/>
      <c r="DZ74" s="141"/>
      <c r="EA74" s="142"/>
      <c r="EB74" s="140">
        <f>+'1881 Hacienda'!B17</f>
        <v>1736</v>
      </c>
      <c r="EC74" s="141">
        <f>+'1881 Hacienda'!C17</f>
        <v>250</v>
      </c>
      <c r="ED74" s="142">
        <f>+'1881 Hacienda'!D17</f>
        <v>0</v>
      </c>
      <c r="EE74" s="140"/>
      <c r="EF74" s="141"/>
      <c r="EG74" s="142"/>
      <c r="EH74" s="140"/>
      <c r="EI74" s="141"/>
      <c r="EJ74" s="142"/>
      <c r="EK74" s="140"/>
      <c r="EL74" s="141"/>
      <c r="EM74" s="142"/>
      <c r="EN74" s="140"/>
      <c r="EO74" s="141"/>
      <c r="EP74" s="142"/>
      <c r="EQ74" s="140"/>
      <c r="ER74" s="141"/>
      <c r="ES74" s="142"/>
      <c r="ET74" s="140"/>
      <c r="EU74" s="141"/>
      <c r="EV74" s="142"/>
      <c r="EW74" s="140"/>
      <c r="EX74" s="141"/>
      <c r="EY74" s="142"/>
      <c r="EZ74" s="140"/>
      <c r="FA74" s="141"/>
      <c r="FB74" s="142"/>
      <c r="FC74" s="140"/>
      <c r="FD74" s="141"/>
      <c r="FE74" s="142"/>
      <c r="FF74" s="140"/>
      <c r="FG74" s="141"/>
      <c r="FH74" s="142"/>
      <c r="FI74" s="140"/>
      <c r="FJ74" s="141"/>
      <c r="FK74" s="142"/>
      <c r="FL74" s="140"/>
      <c r="FM74" s="141"/>
      <c r="FN74" s="142"/>
      <c r="FO74" s="140"/>
      <c r="FP74" s="141"/>
      <c r="FQ74" s="142"/>
      <c r="FR74" s="140"/>
      <c r="FS74" s="141"/>
      <c r="FT74" s="142"/>
      <c r="FU74" s="140"/>
      <c r="FV74" s="141"/>
      <c r="FW74" s="142"/>
      <c r="FX74" s="140"/>
      <c r="FY74" s="141"/>
      <c r="FZ74" s="142"/>
      <c r="GA74" s="140"/>
      <c r="GB74" s="141"/>
      <c r="GC74" s="142"/>
      <c r="GD74" s="140"/>
      <c r="GE74" s="141"/>
      <c r="GF74" s="142"/>
      <c r="GG74" s="140"/>
      <c r="GH74" s="141"/>
      <c r="GI74" s="142"/>
      <c r="GJ74" s="140"/>
      <c r="GK74" s="141"/>
      <c r="GL74" s="142"/>
      <c r="GM74" s="140"/>
      <c r="GN74" s="141"/>
      <c r="GO74" s="142"/>
      <c r="GP74" s="140"/>
      <c r="GQ74" s="141"/>
      <c r="GR74" s="142"/>
      <c r="GS74" s="140"/>
      <c r="GT74" s="141"/>
      <c r="GU74" s="142"/>
      <c r="GV74" s="140"/>
      <c r="GW74" s="141"/>
      <c r="GX74" s="142"/>
      <c r="GY74" s="164"/>
      <c r="GZ74" s="134"/>
      <c r="HA74" s="185"/>
      <c r="HB74" s="164"/>
      <c r="HC74" s="185"/>
      <c r="HD74" s="164"/>
      <c r="HE74" s="185"/>
      <c r="HF74" s="164"/>
      <c r="HG74" s="185"/>
      <c r="HH74" s="164">
        <f>'1910 Hacienda'!C112</f>
        <v>9988</v>
      </c>
      <c r="HI74" s="185">
        <f>'1910 Hacienda'!D112</f>
        <v>28</v>
      </c>
      <c r="HJ74" s="164"/>
      <c r="HK74" s="185"/>
      <c r="HL74" s="164"/>
      <c r="HM74" s="185"/>
      <c r="HN74" s="164"/>
      <c r="HO74" s="185"/>
      <c r="HP74" s="164"/>
      <c r="HQ74" s="185"/>
      <c r="HR74" s="164"/>
      <c r="HS74" s="185"/>
      <c r="HT74" s="164"/>
      <c r="HU74" s="185"/>
    </row>
    <row r="75" spans="1:229" x14ac:dyDescent="0.2">
      <c r="A75" s="141" t="s">
        <v>6061</v>
      </c>
      <c r="B75" s="131"/>
      <c r="C75" s="134"/>
      <c r="D75" s="133"/>
      <c r="E75" s="131"/>
      <c r="F75" s="134"/>
      <c r="G75" s="133"/>
      <c r="H75" s="131"/>
      <c r="I75" s="134"/>
      <c r="J75" s="133"/>
      <c r="K75" s="131"/>
      <c r="L75" s="134"/>
      <c r="M75" s="133"/>
      <c r="N75" s="131"/>
      <c r="O75" s="134"/>
      <c r="P75" s="133"/>
      <c r="Q75" s="131"/>
      <c r="R75" s="134"/>
      <c r="S75" s="133"/>
      <c r="T75" s="131"/>
      <c r="U75" s="134"/>
      <c r="V75" s="133"/>
      <c r="W75" s="131"/>
      <c r="X75" s="134"/>
      <c r="Y75" s="133"/>
      <c r="Z75" s="131"/>
      <c r="AA75" s="134"/>
      <c r="AB75" s="133"/>
      <c r="AC75" s="131"/>
      <c r="AD75" s="134"/>
      <c r="AE75" s="133"/>
      <c r="AF75" s="131"/>
      <c r="AG75" s="134"/>
      <c r="AH75" s="133"/>
      <c r="AI75" s="145"/>
      <c r="AJ75" s="134"/>
      <c r="AK75" s="133"/>
      <c r="AL75" s="131"/>
      <c r="AM75" s="134"/>
      <c r="AN75" s="133"/>
      <c r="AO75" s="131"/>
      <c r="AP75" s="134"/>
      <c r="AQ75" s="133"/>
      <c r="AR75" s="131"/>
      <c r="AS75" s="134"/>
      <c r="AT75" s="180"/>
      <c r="AU75" s="131"/>
      <c r="AV75" s="185"/>
      <c r="AW75" s="131"/>
      <c r="AX75" s="185"/>
      <c r="AY75" s="131"/>
      <c r="AZ75" s="185"/>
      <c r="BA75" s="131"/>
      <c r="BB75" s="185"/>
      <c r="BC75" s="131"/>
      <c r="BD75" s="185"/>
      <c r="BE75" s="131"/>
      <c r="BF75" s="185"/>
      <c r="BG75" s="131"/>
      <c r="BH75" s="185"/>
      <c r="BI75" s="131"/>
      <c r="BJ75" s="185"/>
      <c r="BK75" s="131"/>
      <c r="BL75" s="185"/>
      <c r="BM75" s="131"/>
      <c r="BN75" s="185"/>
      <c r="BO75" s="131"/>
      <c r="BP75" s="134"/>
      <c r="BQ75" s="131"/>
      <c r="BR75" s="134"/>
      <c r="BS75" s="133"/>
      <c r="BT75" s="131"/>
      <c r="BU75" s="134"/>
      <c r="BV75" s="131"/>
      <c r="BW75" s="134"/>
      <c r="BX75" s="131"/>
      <c r="BY75" s="134"/>
      <c r="BZ75" s="131"/>
      <c r="CA75" s="134"/>
      <c r="CB75" s="133"/>
      <c r="CC75" s="131"/>
      <c r="CD75" s="134"/>
      <c r="CE75" s="133"/>
      <c r="CF75" s="131"/>
      <c r="CG75" s="134"/>
      <c r="CH75" s="133"/>
      <c r="CI75" s="131"/>
      <c r="CJ75" s="134"/>
      <c r="CK75" s="133"/>
      <c r="CL75" s="131"/>
      <c r="CM75" s="134"/>
      <c r="CN75" s="133"/>
      <c r="CO75" s="131"/>
      <c r="CP75" s="134"/>
      <c r="CQ75" s="133"/>
      <c r="CR75" s="131"/>
      <c r="CS75" s="134"/>
      <c r="CT75" s="133"/>
      <c r="CU75" s="131"/>
      <c r="CV75" s="134"/>
      <c r="CW75" s="133"/>
      <c r="CX75" s="131"/>
      <c r="CY75" s="134"/>
      <c r="CZ75" s="133"/>
      <c r="DA75" s="140"/>
      <c r="DB75" s="141"/>
      <c r="DC75" s="142"/>
      <c r="DD75" s="140"/>
      <c r="DE75" s="141"/>
      <c r="DF75" s="142"/>
      <c r="DG75" s="140"/>
      <c r="DH75" s="141"/>
      <c r="DI75" s="142"/>
      <c r="DJ75" s="140"/>
      <c r="DK75" s="141"/>
      <c r="DL75" s="142"/>
      <c r="DM75" s="140"/>
      <c r="DN75" s="141"/>
      <c r="DO75" s="142"/>
      <c r="DP75" s="140"/>
      <c r="DQ75" s="141"/>
      <c r="DR75" s="142"/>
      <c r="DS75" s="140"/>
      <c r="DT75" s="141"/>
      <c r="DU75" s="142"/>
      <c r="DV75" s="140"/>
      <c r="DW75" s="141"/>
      <c r="DX75" s="142"/>
      <c r="DY75" s="140">
        <f>+'1880 Hacienda'!B17</f>
        <v>10950</v>
      </c>
      <c r="DZ75" s="141">
        <f>+'1880 Hacienda'!C17</f>
        <v>60</v>
      </c>
      <c r="EA75" s="142"/>
      <c r="EB75" s="140">
        <f>+'1881 Hacienda'!B14</f>
        <v>36181</v>
      </c>
      <c r="EC75" s="141">
        <f>+'1881 Hacienda'!C14</f>
        <v>450</v>
      </c>
      <c r="ED75" s="142"/>
      <c r="EE75" s="140">
        <f>+'1882 Hacienda'!B11</f>
        <v>74831</v>
      </c>
      <c r="EF75" s="141">
        <f>+'1882 Hacienda'!C11</f>
        <v>70</v>
      </c>
      <c r="EG75" s="142"/>
      <c r="EH75" s="140"/>
      <c r="EI75" s="141"/>
      <c r="EJ75" s="142"/>
      <c r="EK75" s="140"/>
      <c r="EL75" s="141"/>
      <c r="EM75" s="142"/>
      <c r="EN75" s="140"/>
      <c r="EO75" s="141"/>
      <c r="EP75" s="142"/>
      <c r="EQ75" s="140"/>
      <c r="ER75" s="141"/>
      <c r="ES75" s="142"/>
      <c r="ET75" s="140"/>
      <c r="EU75" s="141"/>
      <c r="EV75" s="142"/>
      <c r="EW75" s="140"/>
      <c r="EX75" s="141"/>
      <c r="EY75" s="142"/>
      <c r="EZ75" s="140"/>
      <c r="FA75" s="141"/>
      <c r="FB75" s="142"/>
      <c r="FC75" s="140">
        <f>+'1890 Hacienda'!B219</f>
        <v>118322</v>
      </c>
      <c r="FD75" s="141">
        <f>+'1890 Hacienda'!C219</f>
        <v>35</v>
      </c>
      <c r="FE75" s="142"/>
      <c r="FF75" s="140">
        <f>+'1890 Hacienda'!E219</f>
        <v>74591</v>
      </c>
      <c r="FG75" s="141">
        <f>+'1890 Hacienda'!F219</f>
        <v>20</v>
      </c>
      <c r="FH75" s="142"/>
      <c r="FI75" s="140"/>
      <c r="FJ75" s="141"/>
      <c r="FK75" s="142"/>
      <c r="FL75" s="140">
        <f>+'1894 Hacienda'!C14</f>
        <v>115868</v>
      </c>
      <c r="FM75" s="141">
        <f>+'1894 Hacienda'!D14</f>
        <v>42</v>
      </c>
      <c r="FN75" s="142"/>
      <c r="FO75" s="140">
        <f>+'1894 Hacienda'!F14</f>
        <v>105469</v>
      </c>
      <c r="FP75" s="141">
        <f>+'1894 Hacienda'!G14</f>
        <v>97</v>
      </c>
      <c r="FQ75" s="142">
        <f>+'1894 Hacienda'!H14</f>
        <v>0.5</v>
      </c>
      <c r="FR75" s="140">
        <f>+'1896 Hacienda'!C15</f>
        <v>102882</v>
      </c>
      <c r="FS75" s="141">
        <f>+'1896 Hacienda'!D15</f>
        <v>50</v>
      </c>
      <c r="FT75" s="142"/>
      <c r="FU75" s="140"/>
      <c r="FV75" s="141"/>
      <c r="FW75" s="142"/>
      <c r="FX75" s="140"/>
      <c r="FY75" s="141"/>
      <c r="FZ75" s="142"/>
      <c r="GA75" s="140"/>
      <c r="GB75" s="141"/>
      <c r="GC75" s="142"/>
      <c r="GD75" s="140"/>
      <c r="GE75" s="141"/>
      <c r="GF75" s="142"/>
      <c r="GG75" s="140"/>
      <c r="GH75" s="141"/>
      <c r="GI75" s="142"/>
      <c r="GJ75" s="140"/>
      <c r="GK75" s="141"/>
      <c r="GL75" s="142"/>
      <c r="GM75" s="140"/>
      <c r="GN75" s="141"/>
      <c r="GO75" s="142"/>
      <c r="GP75" s="140"/>
      <c r="GQ75" s="141"/>
      <c r="GR75" s="142"/>
      <c r="GS75" s="140"/>
      <c r="GT75" s="141"/>
      <c r="GU75" s="142"/>
      <c r="GV75" s="140"/>
      <c r="GW75" s="141"/>
      <c r="GX75" s="142"/>
      <c r="GY75" s="164"/>
      <c r="GZ75" s="134"/>
      <c r="HA75" s="185"/>
      <c r="HB75" s="164"/>
      <c r="HC75" s="185"/>
      <c r="HD75" s="164"/>
      <c r="HE75" s="185"/>
      <c r="HF75" s="164"/>
      <c r="HG75" s="185"/>
      <c r="HH75" s="164"/>
      <c r="HI75" s="185"/>
      <c r="HJ75" s="164"/>
      <c r="HK75" s="185"/>
      <c r="HL75" s="164"/>
      <c r="HM75" s="185"/>
      <c r="HN75" s="164"/>
      <c r="HO75" s="185"/>
      <c r="HP75" s="164"/>
      <c r="HQ75" s="185"/>
      <c r="HR75" s="164"/>
      <c r="HS75" s="185"/>
      <c r="HT75" s="164"/>
      <c r="HU75" s="185"/>
    </row>
    <row r="76" spans="1:229" x14ac:dyDescent="0.2">
      <c r="A76" s="141" t="str">
        <f>+'1894 Hacienda'!B26</f>
        <v>Peaje del camino de Buenaventura</v>
      </c>
      <c r="B76" s="131"/>
      <c r="C76" s="134"/>
      <c r="D76" s="133"/>
      <c r="E76" s="131"/>
      <c r="F76" s="134"/>
      <c r="G76" s="133"/>
      <c r="H76" s="131"/>
      <c r="I76" s="134"/>
      <c r="J76" s="133"/>
      <c r="K76" s="131"/>
      <c r="L76" s="134"/>
      <c r="M76" s="133"/>
      <c r="N76" s="131"/>
      <c r="O76" s="134"/>
      <c r="P76" s="133"/>
      <c r="Q76" s="131"/>
      <c r="R76" s="134"/>
      <c r="S76" s="133"/>
      <c r="T76" s="131"/>
      <c r="U76" s="134"/>
      <c r="V76" s="133"/>
      <c r="W76" s="131"/>
      <c r="X76" s="134"/>
      <c r="Y76" s="133"/>
      <c r="Z76" s="131"/>
      <c r="AA76" s="134"/>
      <c r="AB76" s="133"/>
      <c r="AC76" s="131"/>
      <c r="AD76" s="134"/>
      <c r="AE76" s="133"/>
      <c r="AF76" s="131"/>
      <c r="AG76" s="134"/>
      <c r="AH76" s="133"/>
      <c r="AI76" s="145"/>
      <c r="AJ76" s="134"/>
      <c r="AK76" s="133"/>
      <c r="AL76" s="131"/>
      <c r="AM76" s="134"/>
      <c r="AN76" s="133"/>
      <c r="AO76" s="131"/>
      <c r="AP76" s="134"/>
      <c r="AQ76" s="133"/>
      <c r="AR76" s="131"/>
      <c r="AS76" s="134"/>
      <c r="AT76" s="180"/>
      <c r="AU76" s="131"/>
      <c r="AV76" s="185"/>
      <c r="AW76" s="131"/>
      <c r="AX76" s="185"/>
      <c r="AY76" s="131"/>
      <c r="AZ76" s="185"/>
      <c r="BA76" s="131"/>
      <c r="BB76" s="185"/>
      <c r="BC76" s="131"/>
      <c r="BD76" s="185"/>
      <c r="BE76" s="131"/>
      <c r="BF76" s="185"/>
      <c r="BG76" s="131"/>
      <c r="BH76" s="185"/>
      <c r="BI76" s="131"/>
      <c r="BJ76" s="185"/>
      <c r="BK76" s="131"/>
      <c r="BL76" s="185"/>
      <c r="BM76" s="131"/>
      <c r="BN76" s="185"/>
      <c r="BO76" s="131"/>
      <c r="BP76" s="134"/>
      <c r="BQ76" s="131"/>
      <c r="BR76" s="134"/>
      <c r="BS76" s="133"/>
      <c r="BT76" s="131"/>
      <c r="BU76" s="134"/>
      <c r="BV76" s="131"/>
      <c r="BW76" s="134"/>
      <c r="BX76" s="131"/>
      <c r="BY76" s="134"/>
      <c r="BZ76" s="131"/>
      <c r="CA76" s="134"/>
      <c r="CB76" s="133"/>
      <c r="CC76" s="131"/>
      <c r="CD76" s="134"/>
      <c r="CE76" s="133"/>
      <c r="CF76" s="131"/>
      <c r="CG76" s="134"/>
      <c r="CH76" s="133"/>
      <c r="CI76" s="131"/>
      <c r="CJ76" s="134"/>
      <c r="CK76" s="133"/>
      <c r="CL76" s="131"/>
      <c r="CM76" s="134"/>
      <c r="CN76" s="133"/>
      <c r="CO76" s="131"/>
      <c r="CP76" s="134"/>
      <c r="CQ76" s="133"/>
      <c r="CR76" s="131"/>
      <c r="CS76" s="134"/>
      <c r="CT76" s="133"/>
      <c r="CU76" s="131"/>
      <c r="CV76" s="134"/>
      <c r="CW76" s="133"/>
      <c r="CX76" s="131"/>
      <c r="CY76" s="134"/>
      <c r="CZ76" s="133"/>
      <c r="DA76" s="140"/>
      <c r="DB76" s="141"/>
      <c r="DC76" s="142"/>
      <c r="DD76" s="140"/>
      <c r="DE76" s="141"/>
      <c r="DF76" s="142"/>
      <c r="DG76" s="140"/>
      <c r="DH76" s="141"/>
      <c r="DI76" s="142"/>
      <c r="DJ76" s="140"/>
      <c r="DK76" s="141"/>
      <c r="DL76" s="142"/>
      <c r="DM76" s="140"/>
      <c r="DN76" s="141"/>
      <c r="DO76" s="142"/>
      <c r="DP76" s="140"/>
      <c r="DQ76" s="141"/>
      <c r="DR76" s="142"/>
      <c r="DS76" s="140"/>
      <c r="DT76" s="141"/>
      <c r="DU76" s="142"/>
      <c r="DV76" s="140"/>
      <c r="DW76" s="141"/>
      <c r="DX76" s="142"/>
      <c r="DY76" s="140"/>
      <c r="DZ76" s="141"/>
      <c r="EA76" s="142"/>
      <c r="EB76" s="140"/>
      <c r="EC76" s="141"/>
      <c r="ED76" s="142"/>
      <c r="EE76" s="140"/>
      <c r="EF76" s="141"/>
      <c r="EG76" s="142"/>
      <c r="EH76" s="140"/>
      <c r="EI76" s="141"/>
      <c r="EJ76" s="142"/>
      <c r="EK76" s="140"/>
      <c r="EL76" s="141"/>
      <c r="EM76" s="142"/>
      <c r="EN76" s="140"/>
      <c r="EO76" s="141"/>
      <c r="EP76" s="142"/>
      <c r="EQ76" s="140"/>
      <c r="ER76" s="141"/>
      <c r="ES76" s="142"/>
      <c r="ET76" s="140"/>
      <c r="EU76" s="141"/>
      <c r="EV76" s="142"/>
      <c r="EW76" s="140"/>
      <c r="EX76" s="141"/>
      <c r="EY76" s="142"/>
      <c r="EZ76" s="140"/>
      <c r="FA76" s="141"/>
      <c r="FB76" s="142"/>
      <c r="FC76" s="140"/>
      <c r="FD76" s="141"/>
      <c r="FE76" s="142"/>
      <c r="FF76" s="140"/>
      <c r="FG76" s="141"/>
      <c r="FH76" s="142"/>
      <c r="FI76" s="140"/>
      <c r="FJ76" s="141"/>
      <c r="FK76" s="142"/>
      <c r="FL76" s="140">
        <f>+'1894 Hacienda'!C26</f>
        <v>31724</v>
      </c>
      <c r="FM76" s="141">
        <f>+'1894 Hacienda'!D26</f>
        <v>60</v>
      </c>
      <c r="FN76" s="142"/>
      <c r="FO76" s="140">
        <f>+'1894 Hacienda'!F26</f>
        <v>32607</v>
      </c>
      <c r="FP76" s="141">
        <f>+'1894 Hacienda'!G26</f>
        <v>10</v>
      </c>
      <c r="FQ76" s="142"/>
      <c r="FR76" s="140">
        <f>+'1896 Hacienda'!C27</f>
        <v>31352</v>
      </c>
      <c r="FS76" s="141">
        <f>+'1896 Hacienda'!D27</f>
        <v>10</v>
      </c>
      <c r="FT76" s="142"/>
      <c r="FU76" s="140">
        <f>+'1896 Hacienda'!F27</f>
        <v>32930</v>
      </c>
      <c r="FV76" s="141">
        <f>+'1896 Hacienda'!G27</f>
        <v>10</v>
      </c>
      <c r="FW76" s="142"/>
      <c r="FX76" s="140">
        <f>+'1896 Hacienda'!L27</f>
        <v>32985</v>
      </c>
      <c r="FY76" s="141">
        <f>+'1896 Hacienda'!M27</f>
        <v>25</v>
      </c>
      <c r="FZ76" s="142"/>
      <c r="GA76" s="140">
        <f>+'1898 Hacienda'!E25</f>
        <v>32353</v>
      </c>
      <c r="GB76" s="141">
        <f>+'1898 Hacienda'!F25</f>
        <v>20</v>
      </c>
      <c r="GC76" s="142"/>
      <c r="GD76" s="140">
        <f>+'1898 Hacienda'!K25</f>
        <v>35999</v>
      </c>
      <c r="GE76" s="141">
        <f>+'1898 Hacienda'!L25</f>
        <v>55</v>
      </c>
      <c r="GF76" s="142"/>
      <c r="GG76" s="140"/>
      <c r="GH76" s="141"/>
      <c r="GI76" s="142"/>
      <c r="GJ76" s="140"/>
      <c r="GK76" s="141"/>
      <c r="GL76" s="142"/>
      <c r="GM76" s="140"/>
      <c r="GN76" s="141"/>
      <c r="GO76" s="142"/>
      <c r="GP76" s="140"/>
      <c r="GQ76" s="141"/>
      <c r="GR76" s="142"/>
      <c r="GS76" s="140"/>
      <c r="GT76" s="141"/>
      <c r="GU76" s="142"/>
      <c r="GV76" s="140"/>
      <c r="GW76" s="141"/>
      <c r="GX76" s="142"/>
      <c r="GY76" s="164"/>
      <c r="GZ76" s="134"/>
      <c r="HA76" s="185"/>
      <c r="HB76" s="164"/>
      <c r="HC76" s="185"/>
      <c r="HD76" s="164"/>
      <c r="HE76" s="185"/>
      <c r="HF76" s="164"/>
      <c r="HG76" s="185"/>
      <c r="HH76" s="164"/>
      <c r="HI76" s="185"/>
      <c r="HJ76" s="164"/>
      <c r="HK76" s="185"/>
      <c r="HL76" s="164"/>
      <c r="HM76" s="185"/>
      <c r="HN76" s="164"/>
      <c r="HO76" s="185"/>
      <c r="HP76" s="164"/>
      <c r="HQ76" s="185"/>
      <c r="HR76" s="164"/>
      <c r="HS76" s="185"/>
      <c r="HT76" s="164"/>
      <c r="HU76" s="185"/>
    </row>
    <row r="77" spans="1:229" x14ac:dyDescent="0.2">
      <c r="A77" s="184" t="s">
        <v>5456</v>
      </c>
      <c r="B77" s="131"/>
      <c r="C77" s="134"/>
      <c r="D77" s="133"/>
      <c r="E77" s="131"/>
      <c r="F77" s="134"/>
      <c r="G77" s="133"/>
      <c r="H77" s="131"/>
      <c r="I77" s="134"/>
      <c r="J77" s="133"/>
      <c r="K77" s="131"/>
      <c r="L77" s="134"/>
      <c r="M77" s="133"/>
      <c r="N77" s="131"/>
      <c r="O77" s="134"/>
      <c r="P77" s="133"/>
      <c r="Q77" s="131"/>
      <c r="R77" s="134"/>
      <c r="S77" s="133"/>
      <c r="T77" s="131"/>
      <c r="U77" s="134"/>
      <c r="V77" s="133"/>
      <c r="W77" s="131"/>
      <c r="X77" s="134"/>
      <c r="Y77" s="133"/>
      <c r="Z77" s="131"/>
      <c r="AA77" s="134"/>
      <c r="AB77" s="133"/>
      <c r="AC77" s="131"/>
      <c r="AD77" s="134"/>
      <c r="AE77" s="133"/>
      <c r="AF77" s="131"/>
      <c r="AG77" s="134"/>
      <c r="AH77" s="133"/>
      <c r="AI77" s="145"/>
      <c r="AJ77" s="134"/>
      <c r="AK77" s="133"/>
      <c r="AL77" s="131"/>
      <c r="AM77" s="134"/>
      <c r="AN77" s="133"/>
      <c r="AO77" s="131"/>
      <c r="AP77" s="134"/>
      <c r="AQ77" s="133"/>
      <c r="AR77" s="131"/>
      <c r="AS77" s="134"/>
      <c r="AT77" s="180"/>
      <c r="AU77" s="131"/>
      <c r="AV77" s="185"/>
      <c r="AW77" s="131">
        <f>+'1858 Hacienda'!D559</f>
        <v>26905</v>
      </c>
      <c r="AX77" s="185">
        <f>+'1858 Hacienda'!E559</f>
        <v>258</v>
      </c>
      <c r="AY77" s="131">
        <f>+'1858 Hacienda'!D622</f>
        <v>24232</v>
      </c>
      <c r="AZ77" s="185">
        <f>+'1858 Hacienda'!E622</f>
        <v>910</v>
      </c>
      <c r="BA77" s="131">
        <f>+'1858 Hacienda'!B505</f>
        <v>22367</v>
      </c>
      <c r="BB77" s="185">
        <f>+'1858 Hacienda'!C505</f>
        <v>877</v>
      </c>
      <c r="BC77" s="131">
        <f>+'1858 Hacienda'!B1035</f>
        <v>15922</v>
      </c>
      <c r="BD77" s="185">
        <f>+'1858 Hacienda'!C1035</f>
        <v>52</v>
      </c>
      <c r="BE77" s="131">
        <f>+'1858 Hacienda'!B1055</f>
        <v>5012</v>
      </c>
      <c r="BF77" s="185">
        <f>+'1858 Hacienda'!C1055</f>
        <v>965</v>
      </c>
      <c r="BG77" s="131">
        <f>+'1858 Hacienda'!B1075</f>
        <v>11388</v>
      </c>
      <c r="BH77" s="185">
        <f>+'1858 Hacienda'!C1075</f>
        <v>900</v>
      </c>
      <c r="BI77" s="131">
        <f>+'1858 Hacienda'!B1094</f>
        <v>1255</v>
      </c>
      <c r="BJ77" s="185">
        <f>+'1858 Hacienda'!C1094</f>
        <v>425</v>
      </c>
      <c r="BK77" s="131">
        <f>+'1858 Hacienda'!B1116</f>
        <v>556</v>
      </c>
      <c r="BL77" s="185">
        <f>+'1858 Hacienda'!C1116</f>
        <v>950</v>
      </c>
      <c r="BM77" s="131"/>
      <c r="BN77" s="185"/>
      <c r="BO77" s="131"/>
      <c r="BP77" s="134"/>
      <c r="BQ77" s="131"/>
      <c r="BR77" s="134"/>
      <c r="BS77" s="133"/>
      <c r="BT77" s="131"/>
      <c r="BU77" s="134"/>
      <c r="BV77" s="131"/>
      <c r="BW77" s="134"/>
      <c r="BX77" s="131"/>
      <c r="BY77" s="134"/>
      <c r="BZ77" s="131"/>
      <c r="CA77" s="134"/>
      <c r="CB77" s="133"/>
      <c r="CC77" s="131"/>
      <c r="CD77" s="134"/>
      <c r="CE77" s="133"/>
      <c r="CF77" s="131"/>
      <c r="CG77" s="134"/>
      <c r="CH77" s="133"/>
      <c r="CI77" s="131"/>
      <c r="CJ77" s="134"/>
      <c r="CK77" s="133"/>
      <c r="CL77" s="131"/>
      <c r="CM77" s="134"/>
      <c r="CN77" s="133"/>
      <c r="CO77" s="131"/>
      <c r="CP77" s="134"/>
      <c r="CQ77" s="133"/>
      <c r="CR77" s="131"/>
      <c r="CS77" s="134"/>
      <c r="CT77" s="133"/>
      <c r="CU77" s="131"/>
      <c r="CV77" s="134"/>
      <c r="CW77" s="133"/>
      <c r="CX77" s="131"/>
      <c r="CY77" s="134"/>
      <c r="CZ77" s="133"/>
      <c r="DA77" s="140"/>
      <c r="DB77" s="141"/>
      <c r="DC77" s="142"/>
      <c r="DD77" s="140"/>
      <c r="DE77" s="141"/>
      <c r="DF77" s="142"/>
      <c r="DG77" s="140"/>
      <c r="DH77" s="141"/>
      <c r="DI77" s="142"/>
      <c r="DJ77" s="140"/>
      <c r="DK77" s="141"/>
      <c r="DL77" s="142"/>
      <c r="DM77" s="140"/>
      <c r="DN77" s="141"/>
      <c r="DO77" s="142"/>
      <c r="DP77" s="140"/>
      <c r="DQ77" s="141"/>
      <c r="DR77" s="142"/>
      <c r="DS77" s="140"/>
      <c r="DT77" s="141"/>
      <c r="DU77" s="142"/>
      <c r="DV77" s="140"/>
      <c r="DW77" s="141"/>
      <c r="DX77" s="142"/>
      <c r="DY77" s="140"/>
      <c r="DZ77" s="141"/>
      <c r="EA77" s="142"/>
      <c r="EB77" s="140"/>
      <c r="EC77" s="141"/>
      <c r="ED77" s="142"/>
      <c r="EE77" s="140"/>
      <c r="EF77" s="141"/>
      <c r="EG77" s="142"/>
      <c r="EH77" s="140"/>
      <c r="EI77" s="141"/>
      <c r="EJ77" s="142"/>
      <c r="EK77" s="140"/>
      <c r="EL77" s="141"/>
      <c r="EM77" s="142"/>
      <c r="EN77" s="140"/>
      <c r="EO77" s="141"/>
      <c r="EP77" s="142"/>
      <c r="EQ77" s="140"/>
      <c r="ER77" s="141"/>
      <c r="ES77" s="142"/>
      <c r="ET77" s="140"/>
      <c r="EU77" s="141"/>
      <c r="EV77" s="142"/>
      <c r="EW77" s="140"/>
      <c r="EX77" s="141"/>
      <c r="EY77" s="142"/>
      <c r="EZ77" s="140"/>
      <c r="FA77" s="141"/>
      <c r="FB77" s="142"/>
      <c r="FC77" s="140"/>
      <c r="FD77" s="141"/>
      <c r="FE77" s="142"/>
      <c r="FF77" s="140"/>
      <c r="FG77" s="141"/>
      <c r="FH77" s="142"/>
      <c r="FI77" s="140"/>
      <c r="FJ77" s="141"/>
      <c r="FK77" s="142"/>
      <c r="FL77" s="140"/>
      <c r="FM77" s="141"/>
      <c r="FN77" s="142"/>
      <c r="FO77" s="140"/>
      <c r="FP77" s="141"/>
      <c r="FQ77" s="142"/>
      <c r="FR77" s="140"/>
      <c r="FS77" s="141"/>
      <c r="FT77" s="142"/>
      <c r="FU77" s="140"/>
      <c r="FV77" s="141"/>
      <c r="FW77" s="142"/>
      <c r="FX77" s="140"/>
      <c r="FY77" s="141"/>
      <c r="FZ77" s="142"/>
      <c r="GA77" s="140"/>
      <c r="GB77" s="141"/>
      <c r="GC77" s="142"/>
      <c r="GD77" s="140"/>
      <c r="GE77" s="141"/>
      <c r="GF77" s="142"/>
      <c r="GG77" s="140"/>
      <c r="GH77" s="141"/>
      <c r="GI77" s="142"/>
      <c r="GJ77" s="140"/>
      <c r="GK77" s="141"/>
      <c r="GL77" s="142"/>
      <c r="GM77" s="140"/>
      <c r="GN77" s="141"/>
      <c r="GO77" s="142"/>
      <c r="GP77" s="140"/>
      <c r="GQ77" s="141"/>
      <c r="GR77" s="142"/>
      <c r="GS77" s="140"/>
      <c r="GT77" s="141"/>
      <c r="GU77" s="142"/>
      <c r="GV77" s="140"/>
      <c r="GW77" s="141"/>
      <c r="GX77" s="142"/>
      <c r="GY77" s="164"/>
      <c r="GZ77" s="134"/>
      <c r="HA77" s="185"/>
      <c r="HB77" s="164"/>
      <c r="HC77" s="185"/>
      <c r="HD77" s="164"/>
      <c r="HE77" s="185"/>
      <c r="HF77" s="164"/>
      <c r="HG77" s="185"/>
      <c r="HH77" s="164">
        <f>'1910 Hacienda'!C113</f>
        <v>9513</v>
      </c>
      <c r="HI77" s="185">
        <f>'1910 Hacienda'!D113</f>
        <v>55</v>
      </c>
      <c r="HJ77" s="164"/>
      <c r="HK77" s="185"/>
      <c r="HL77" s="164"/>
      <c r="HM77" s="185"/>
      <c r="HN77" s="164"/>
      <c r="HO77" s="185"/>
      <c r="HP77" s="164"/>
      <c r="HQ77" s="185"/>
      <c r="HR77" s="164"/>
      <c r="HS77" s="185"/>
      <c r="HT77" s="164"/>
      <c r="HU77" s="185"/>
    </row>
    <row r="78" spans="1:229" x14ac:dyDescent="0.2">
      <c r="A78" s="184" t="s">
        <v>5457</v>
      </c>
      <c r="B78" s="131"/>
      <c r="C78" s="134"/>
      <c r="D78" s="133"/>
      <c r="E78" s="131"/>
      <c r="F78" s="134"/>
      <c r="G78" s="133"/>
      <c r="H78" s="131"/>
      <c r="I78" s="134"/>
      <c r="J78" s="133"/>
      <c r="K78" s="131"/>
      <c r="L78" s="134"/>
      <c r="M78" s="133"/>
      <c r="N78" s="131"/>
      <c r="O78" s="134"/>
      <c r="P78" s="133"/>
      <c r="Q78" s="131"/>
      <c r="R78" s="134"/>
      <c r="S78" s="133"/>
      <c r="T78" s="131"/>
      <c r="U78" s="134"/>
      <c r="V78" s="133"/>
      <c r="W78" s="131"/>
      <c r="X78" s="134"/>
      <c r="Y78" s="133"/>
      <c r="Z78" s="131"/>
      <c r="AA78" s="134"/>
      <c r="AB78" s="133"/>
      <c r="AC78" s="131"/>
      <c r="AD78" s="134"/>
      <c r="AE78" s="133"/>
      <c r="AF78" s="131"/>
      <c r="AG78" s="134"/>
      <c r="AH78" s="133"/>
      <c r="AI78" s="145"/>
      <c r="AJ78" s="134"/>
      <c r="AK78" s="133"/>
      <c r="AL78" s="131"/>
      <c r="AM78" s="134"/>
      <c r="AN78" s="133"/>
      <c r="AO78" s="131"/>
      <c r="AP78" s="134"/>
      <c r="AQ78" s="133"/>
      <c r="AR78" s="131"/>
      <c r="AS78" s="134"/>
      <c r="AT78" s="180"/>
      <c r="AU78" s="131"/>
      <c r="AV78" s="185"/>
      <c r="AW78" s="131"/>
      <c r="AX78" s="185"/>
      <c r="AY78" s="131"/>
      <c r="AZ78" s="185"/>
      <c r="BA78" s="131"/>
      <c r="BB78" s="185"/>
      <c r="BC78" s="131"/>
      <c r="BD78" s="185"/>
      <c r="BE78" s="131"/>
      <c r="BF78" s="185"/>
      <c r="BG78" s="131"/>
      <c r="BH78" s="185"/>
      <c r="BI78" s="131"/>
      <c r="BJ78" s="185"/>
      <c r="BK78" s="131"/>
      <c r="BL78" s="185"/>
      <c r="BM78" s="131"/>
      <c r="BN78" s="185"/>
      <c r="BO78" s="131"/>
      <c r="BP78" s="134"/>
      <c r="BQ78" s="131"/>
      <c r="BR78" s="134"/>
      <c r="BS78" s="133"/>
      <c r="BT78" s="131"/>
      <c r="BU78" s="134"/>
      <c r="BV78" s="131"/>
      <c r="BW78" s="134"/>
      <c r="BX78" s="131"/>
      <c r="BY78" s="134"/>
      <c r="BZ78" s="131"/>
      <c r="CA78" s="134"/>
      <c r="CB78" s="133"/>
      <c r="CC78" s="131"/>
      <c r="CD78" s="134"/>
      <c r="CE78" s="133"/>
      <c r="CF78" s="131"/>
      <c r="CG78" s="134"/>
      <c r="CH78" s="133"/>
      <c r="CI78" s="131"/>
      <c r="CJ78" s="134"/>
      <c r="CK78" s="133"/>
      <c r="CL78" s="131"/>
      <c r="CM78" s="134"/>
      <c r="CN78" s="133"/>
      <c r="CO78" s="131"/>
      <c r="CP78" s="134"/>
      <c r="CQ78" s="133"/>
      <c r="CR78" s="131"/>
      <c r="CS78" s="134"/>
      <c r="CT78" s="133"/>
      <c r="CU78" s="131"/>
      <c r="CV78" s="134"/>
      <c r="CW78" s="133"/>
      <c r="CX78" s="131"/>
      <c r="CY78" s="134"/>
      <c r="CZ78" s="133"/>
      <c r="DA78" s="140"/>
      <c r="DB78" s="141"/>
      <c r="DC78" s="142"/>
      <c r="DD78" s="140"/>
      <c r="DE78" s="141"/>
      <c r="DF78" s="142"/>
      <c r="DG78" s="140"/>
      <c r="DH78" s="141"/>
      <c r="DI78" s="142"/>
      <c r="DJ78" s="140"/>
      <c r="DK78" s="141"/>
      <c r="DL78" s="142"/>
      <c r="DM78" s="140"/>
      <c r="DN78" s="141"/>
      <c r="DO78" s="142"/>
      <c r="DP78" s="140"/>
      <c r="DQ78" s="141"/>
      <c r="DR78" s="142"/>
      <c r="DS78" s="140"/>
      <c r="DT78" s="141"/>
      <c r="DU78" s="142"/>
      <c r="DV78" s="140"/>
      <c r="DW78" s="141"/>
      <c r="DX78" s="142"/>
      <c r="DY78" s="140"/>
      <c r="DZ78" s="141"/>
      <c r="EA78" s="142"/>
      <c r="EB78" s="140"/>
      <c r="EC78" s="141"/>
      <c r="ED78" s="142"/>
      <c r="EE78" s="140"/>
      <c r="EF78" s="141"/>
      <c r="EG78" s="142"/>
      <c r="EH78" s="140"/>
      <c r="EI78" s="141"/>
      <c r="EJ78" s="142"/>
      <c r="EK78" s="140"/>
      <c r="EL78" s="141"/>
      <c r="EM78" s="142"/>
      <c r="EN78" s="140"/>
      <c r="EO78" s="141"/>
      <c r="EP78" s="142"/>
      <c r="EQ78" s="140"/>
      <c r="ER78" s="141"/>
      <c r="ES78" s="142"/>
      <c r="ET78" s="140"/>
      <c r="EU78" s="141"/>
      <c r="EV78" s="142"/>
      <c r="EW78" s="140"/>
      <c r="EX78" s="141"/>
      <c r="EY78" s="142"/>
      <c r="EZ78" s="140"/>
      <c r="FA78" s="141"/>
      <c r="FB78" s="142"/>
      <c r="FC78" s="140"/>
      <c r="FD78" s="141"/>
      <c r="FE78" s="142"/>
      <c r="FF78" s="140"/>
      <c r="FG78" s="141"/>
      <c r="FH78" s="142"/>
      <c r="FI78" s="140"/>
      <c r="FJ78" s="141"/>
      <c r="FK78" s="142"/>
      <c r="FL78" s="140"/>
      <c r="FM78" s="141"/>
      <c r="FN78" s="142"/>
      <c r="FO78" s="140"/>
      <c r="FP78" s="141"/>
      <c r="FQ78" s="142"/>
      <c r="FR78" s="140"/>
      <c r="FS78" s="141"/>
      <c r="FT78" s="142"/>
      <c r="FU78" s="140"/>
      <c r="FV78" s="141"/>
      <c r="FW78" s="142"/>
      <c r="FX78" s="140"/>
      <c r="FY78" s="141"/>
      <c r="FZ78" s="142"/>
      <c r="GA78" s="140"/>
      <c r="GB78" s="141"/>
      <c r="GC78" s="142"/>
      <c r="GD78" s="140"/>
      <c r="GE78" s="141"/>
      <c r="GF78" s="142"/>
      <c r="GG78" s="140"/>
      <c r="GH78" s="141"/>
      <c r="GI78" s="142"/>
      <c r="GJ78" s="140"/>
      <c r="GK78" s="141"/>
      <c r="GL78" s="142"/>
      <c r="GM78" s="140"/>
      <c r="GN78" s="141"/>
      <c r="GO78" s="142"/>
      <c r="GP78" s="140"/>
      <c r="GQ78" s="141"/>
      <c r="GR78" s="142"/>
      <c r="GS78" s="140"/>
      <c r="GT78" s="141"/>
      <c r="GU78" s="142"/>
      <c r="GV78" s="140"/>
      <c r="GW78" s="141"/>
      <c r="GX78" s="142"/>
      <c r="GY78" s="164"/>
      <c r="GZ78" s="134"/>
      <c r="HA78" s="185"/>
      <c r="HB78" s="164"/>
      <c r="HC78" s="185"/>
      <c r="HD78" s="164"/>
      <c r="HE78" s="185"/>
      <c r="HF78" s="164"/>
      <c r="HG78" s="185"/>
      <c r="HH78" s="164">
        <f>'1910 Hacienda'!C114</f>
        <v>8354</v>
      </c>
      <c r="HI78" s="185">
        <f>'1910 Hacienda'!D114</f>
        <v>10</v>
      </c>
      <c r="HJ78" s="164"/>
      <c r="HK78" s="185"/>
      <c r="HL78" s="164"/>
      <c r="HM78" s="185"/>
      <c r="HN78" s="164"/>
      <c r="HO78" s="185"/>
      <c r="HP78" s="164"/>
      <c r="HQ78" s="185"/>
      <c r="HR78" s="164"/>
      <c r="HS78" s="185"/>
      <c r="HT78" s="164"/>
      <c r="HU78" s="185"/>
    </row>
    <row r="79" spans="1:229" x14ac:dyDescent="0.2">
      <c r="A79" s="184" t="s">
        <v>5458</v>
      </c>
      <c r="B79" s="131"/>
      <c r="C79" s="134"/>
      <c r="D79" s="133"/>
      <c r="E79" s="131"/>
      <c r="F79" s="134"/>
      <c r="G79" s="133"/>
      <c r="H79" s="131"/>
      <c r="I79" s="134"/>
      <c r="J79" s="133"/>
      <c r="K79" s="131"/>
      <c r="L79" s="134"/>
      <c r="M79" s="133"/>
      <c r="N79" s="131"/>
      <c r="O79" s="134"/>
      <c r="P79" s="133"/>
      <c r="Q79" s="131"/>
      <c r="R79" s="134"/>
      <c r="S79" s="133"/>
      <c r="T79" s="131"/>
      <c r="U79" s="134"/>
      <c r="V79" s="133"/>
      <c r="W79" s="131"/>
      <c r="X79" s="134"/>
      <c r="Y79" s="133"/>
      <c r="Z79" s="131"/>
      <c r="AA79" s="134"/>
      <c r="AB79" s="133"/>
      <c r="AC79" s="131"/>
      <c r="AD79" s="134"/>
      <c r="AE79" s="133"/>
      <c r="AF79" s="131"/>
      <c r="AG79" s="134"/>
      <c r="AH79" s="133"/>
      <c r="AI79" s="145"/>
      <c r="AJ79" s="134"/>
      <c r="AK79" s="133"/>
      <c r="AL79" s="131"/>
      <c r="AM79" s="134"/>
      <c r="AN79" s="133"/>
      <c r="AO79" s="131"/>
      <c r="AP79" s="134"/>
      <c r="AQ79" s="133"/>
      <c r="AR79" s="131"/>
      <c r="AS79" s="134"/>
      <c r="AT79" s="180"/>
      <c r="AU79" s="131"/>
      <c r="AV79" s="185"/>
      <c r="AW79" s="131"/>
      <c r="AX79" s="185"/>
      <c r="AY79" s="131"/>
      <c r="AZ79" s="185"/>
      <c r="BA79" s="131"/>
      <c r="BB79" s="185"/>
      <c r="BC79" s="131"/>
      <c r="BD79" s="185"/>
      <c r="BE79" s="131"/>
      <c r="BF79" s="185"/>
      <c r="BG79" s="131"/>
      <c r="BH79" s="185"/>
      <c r="BI79" s="131"/>
      <c r="BJ79" s="185"/>
      <c r="BK79" s="131"/>
      <c r="BL79" s="185"/>
      <c r="BM79" s="131"/>
      <c r="BN79" s="185"/>
      <c r="BO79" s="131"/>
      <c r="BP79" s="134"/>
      <c r="BQ79" s="131"/>
      <c r="BR79" s="134"/>
      <c r="BS79" s="133"/>
      <c r="BT79" s="131"/>
      <c r="BU79" s="134"/>
      <c r="BV79" s="131"/>
      <c r="BW79" s="134"/>
      <c r="BX79" s="131"/>
      <c r="BY79" s="134"/>
      <c r="BZ79" s="131"/>
      <c r="CA79" s="134"/>
      <c r="CB79" s="133"/>
      <c r="CC79" s="131"/>
      <c r="CD79" s="134"/>
      <c r="CE79" s="133"/>
      <c r="CF79" s="131"/>
      <c r="CG79" s="134"/>
      <c r="CH79" s="133"/>
      <c r="CI79" s="131"/>
      <c r="CJ79" s="134"/>
      <c r="CK79" s="133"/>
      <c r="CL79" s="131"/>
      <c r="CM79" s="134"/>
      <c r="CN79" s="133"/>
      <c r="CO79" s="131"/>
      <c r="CP79" s="134"/>
      <c r="CQ79" s="133"/>
      <c r="CR79" s="131"/>
      <c r="CS79" s="134"/>
      <c r="CT79" s="133"/>
      <c r="CU79" s="131"/>
      <c r="CV79" s="134"/>
      <c r="CW79" s="133"/>
      <c r="CX79" s="131"/>
      <c r="CY79" s="134"/>
      <c r="CZ79" s="133"/>
      <c r="DA79" s="140"/>
      <c r="DB79" s="141"/>
      <c r="DC79" s="142"/>
      <c r="DD79" s="140"/>
      <c r="DE79" s="141"/>
      <c r="DF79" s="142"/>
      <c r="DG79" s="140"/>
      <c r="DH79" s="141"/>
      <c r="DI79" s="142"/>
      <c r="DJ79" s="140"/>
      <c r="DK79" s="141"/>
      <c r="DL79" s="142"/>
      <c r="DM79" s="140"/>
      <c r="DN79" s="141"/>
      <c r="DO79" s="142"/>
      <c r="DP79" s="140"/>
      <c r="DQ79" s="141"/>
      <c r="DR79" s="142"/>
      <c r="DS79" s="140"/>
      <c r="DT79" s="141"/>
      <c r="DU79" s="142"/>
      <c r="DV79" s="140"/>
      <c r="DW79" s="141"/>
      <c r="DX79" s="142"/>
      <c r="DY79" s="140"/>
      <c r="DZ79" s="141"/>
      <c r="EA79" s="142"/>
      <c r="EB79" s="140"/>
      <c r="EC79" s="141"/>
      <c r="ED79" s="142"/>
      <c r="EE79" s="140"/>
      <c r="EF79" s="141"/>
      <c r="EG79" s="142"/>
      <c r="EH79" s="140"/>
      <c r="EI79" s="141"/>
      <c r="EJ79" s="142"/>
      <c r="EK79" s="140"/>
      <c r="EL79" s="141"/>
      <c r="EM79" s="142"/>
      <c r="EN79" s="140"/>
      <c r="EO79" s="141"/>
      <c r="EP79" s="142"/>
      <c r="EQ79" s="140"/>
      <c r="ER79" s="141"/>
      <c r="ES79" s="142"/>
      <c r="ET79" s="140"/>
      <c r="EU79" s="141"/>
      <c r="EV79" s="142"/>
      <c r="EW79" s="140"/>
      <c r="EX79" s="141"/>
      <c r="EY79" s="142"/>
      <c r="EZ79" s="140"/>
      <c r="FA79" s="141"/>
      <c r="FB79" s="142"/>
      <c r="FC79" s="140"/>
      <c r="FD79" s="141"/>
      <c r="FE79" s="142"/>
      <c r="FF79" s="140"/>
      <c r="FG79" s="141"/>
      <c r="FH79" s="142"/>
      <c r="FI79" s="140"/>
      <c r="FJ79" s="141"/>
      <c r="FK79" s="142"/>
      <c r="FL79" s="140"/>
      <c r="FM79" s="141"/>
      <c r="FN79" s="142"/>
      <c r="FO79" s="140"/>
      <c r="FP79" s="141"/>
      <c r="FQ79" s="142"/>
      <c r="FR79" s="140"/>
      <c r="FS79" s="141"/>
      <c r="FT79" s="142"/>
      <c r="FU79" s="140"/>
      <c r="FV79" s="141"/>
      <c r="FW79" s="142"/>
      <c r="FX79" s="140"/>
      <c r="FY79" s="141"/>
      <c r="FZ79" s="142"/>
      <c r="GA79" s="140"/>
      <c r="GB79" s="141"/>
      <c r="GC79" s="142"/>
      <c r="GD79" s="140"/>
      <c r="GE79" s="141"/>
      <c r="GF79" s="142"/>
      <c r="GG79" s="140"/>
      <c r="GH79" s="141"/>
      <c r="GI79" s="142"/>
      <c r="GJ79" s="140"/>
      <c r="GK79" s="141"/>
      <c r="GL79" s="142"/>
      <c r="GM79" s="140"/>
      <c r="GN79" s="141"/>
      <c r="GO79" s="142"/>
      <c r="GP79" s="140"/>
      <c r="GQ79" s="141"/>
      <c r="GR79" s="142"/>
      <c r="GS79" s="140"/>
      <c r="GT79" s="141"/>
      <c r="GU79" s="142"/>
      <c r="GV79" s="140"/>
      <c r="GW79" s="141"/>
      <c r="GX79" s="142"/>
      <c r="GY79" s="164"/>
      <c r="GZ79" s="134"/>
      <c r="HA79" s="185"/>
      <c r="HB79" s="164"/>
      <c r="HC79" s="185"/>
      <c r="HD79" s="164"/>
      <c r="HE79" s="185"/>
      <c r="HF79" s="164"/>
      <c r="HG79" s="185"/>
      <c r="HH79" s="164">
        <f>'1910 Hacienda'!C115</f>
        <v>152</v>
      </c>
      <c r="HI79" s="185">
        <f>'1910 Hacienda'!D115</f>
        <v>93</v>
      </c>
      <c r="HJ79" s="164"/>
      <c r="HK79" s="185"/>
      <c r="HL79" s="164"/>
      <c r="HM79" s="185"/>
      <c r="HN79" s="164"/>
      <c r="HO79" s="185"/>
      <c r="HP79" s="164"/>
      <c r="HQ79" s="185"/>
      <c r="HR79" s="164"/>
      <c r="HS79" s="185"/>
      <c r="HT79" s="164"/>
      <c r="HU79" s="185"/>
    </row>
    <row r="80" spans="1:229" x14ac:dyDescent="0.2">
      <c r="A80" s="184" t="s">
        <v>5459</v>
      </c>
      <c r="B80" s="131"/>
      <c r="C80" s="134"/>
      <c r="D80" s="133"/>
      <c r="E80" s="131"/>
      <c r="F80" s="134"/>
      <c r="G80" s="133"/>
      <c r="H80" s="131"/>
      <c r="I80" s="134"/>
      <c r="J80" s="133"/>
      <c r="K80" s="131"/>
      <c r="L80" s="134"/>
      <c r="M80" s="133"/>
      <c r="N80" s="131"/>
      <c r="O80" s="134"/>
      <c r="P80" s="133"/>
      <c r="Q80" s="131"/>
      <c r="R80" s="134"/>
      <c r="S80" s="133"/>
      <c r="T80" s="131"/>
      <c r="U80" s="134"/>
      <c r="V80" s="133"/>
      <c r="W80" s="131"/>
      <c r="X80" s="134"/>
      <c r="Y80" s="133"/>
      <c r="Z80" s="131"/>
      <c r="AA80" s="134"/>
      <c r="AB80" s="133"/>
      <c r="AC80" s="131"/>
      <c r="AD80" s="134"/>
      <c r="AE80" s="133"/>
      <c r="AF80" s="131"/>
      <c r="AG80" s="134"/>
      <c r="AH80" s="133"/>
      <c r="AI80" s="145"/>
      <c r="AJ80" s="134"/>
      <c r="AK80" s="133"/>
      <c r="AL80" s="131"/>
      <c r="AM80" s="134"/>
      <c r="AN80" s="133"/>
      <c r="AO80" s="131"/>
      <c r="AP80" s="134"/>
      <c r="AQ80" s="133"/>
      <c r="AR80" s="131"/>
      <c r="AS80" s="134"/>
      <c r="AT80" s="180"/>
      <c r="AU80" s="131"/>
      <c r="AV80" s="185"/>
      <c r="AW80" s="131"/>
      <c r="AX80" s="185"/>
      <c r="AY80" s="131"/>
      <c r="AZ80" s="185"/>
      <c r="BA80" s="131"/>
      <c r="BB80" s="185"/>
      <c r="BC80" s="131"/>
      <c r="BD80" s="185"/>
      <c r="BE80" s="131"/>
      <c r="BF80" s="185"/>
      <c r="BG80" s="131"/>
      <c r="BH80" s="185"/>
      <c r="BI80" s="131"/>
      <c r="BJ80" s="185"/>
      <c r="BK80" s="131"/>
      <c r="BL80" s="185"/>
      <c r="BM80" s="131"/>
      <c r="BN80" s="185"/>
      <c r="BO80" s="131"/>
      <c r="BP80" s="134"/>
      <c r="BQ80" s="131"/>
      <c r="BR80" s="134"/>
      <c r="BS80" s="133"/>
      <c r="BT80" s="131"/>
      <c r="BU80" s="134"/>
      <c r="BV80" s="131"/>
      <c r="BW80" s="134"/>
      <c r="BX80" s="131"/>
      <c r="BY80" s="134"/>
      <c r="BZ80" s="131"/>
      <c r="CA80" s="134"/>
      <c r="CB80" s="133"/>
      <c r="CC80" s="131"/>
      <c r="CD80" s="134"/>
      <c r="CE80" s="133"/>
      <c r="CF80" s="131"/>
      <c r="CG80" s="134"/>
      <c r="CH80" s="133"/>
      <c r="CI80" s="131"/>
      <c r="CJ80" s="134"/>
      <c r="CK80" s="133"/>
      <c r="CL80" s="131"/>
      <c r="CM80" s="134"/>
      <c r="CN80" s="133"/>
      <c r="CO80" s="131"/>
      <c r="CP80" s="134"/>
      <c r="CQ80" s="133"/>
      <c r="CR80" s="131"/>
      <c r="CS80" s="134"/>
      <c r="CT80" s="133"/>
      <c r="CU80" s="131"/>
      <c r="CV80" s="134"/>
      <c r="CW80" s="133"/>
      <c r="CX80" s="131"/>
      <c r="CY80" s="134"/>
      <c r="CZ80" s="133"/>
      <c r="DA80" s="140"/>
      <c r="DB80" s="141"/>
      <c r="DC80" s="142"/>
      <c r="DD80" s="140"/>
      <c r="DE80" s="141"/>
      <c r="DF80" s="142"/>
      <c r="DG80" s="140"/>
      <c r="DH80" s="141"/>
      <c r="DI80" s="142"/>
      <c r="DJ80" s="140"/>
      <c r="DK80" s="141"/>
      <c r="DL80" s="142"/>
      <c r="DM80" s="140"/>
      <c r="DN80" s="141"/>
      <c r="DO80" s="142"/>
      <c r="DP80" s="140"/>
      <c r="DQ80" s="141"/>
      <c r="DR80" s="142"/>
      <c r="DS80" s="140"/>
      <c r="DT80" s="141"/>
      <c r="DU80" s="142"/>
      <c r="DV80" s="140"/>
      <c r="DW80" s="141"/>
      <c r="DX80" s="142"/>
      <c r="DY80" s="140"/>
      <c r="DZ80" s="141"/>
      <c r="EA80" s="142"/>
      <c r="EB80" s="140"/>
      <c r="EC80" s="141"/>
      <c r="ED80" s="142"/>
      <c r="EE80" s="140"/>
      <c r="EF80" s="141"/>
      <c r="EG80" s="142"/>
      <c r="EH80" s="140"/>
      <c r="EI80" s="141"/>
      <c r="EJ80" s="142"/>
      <c r="EK80" s="140"/>
      <c r="EL80" s="141"/>
      <c r="EM80" s="142"/>
      <c r="EN80" s="140"/>
      <c r="EO80" s="141"/>
      <c r="EP80" s="142"/>
      <c r="EQ80" s="140"/>
      <c r="ER80" s="141"/>
      <c r="ES80" s="142"/>
      <c r="ET80" s="140"/>
      <c r="EU80" s="141"/>
      <c r="EV80" s="142"/>
      <c r="EW80" s="140"/>
      <c r="EX80" s="141"/>
      <c r="EY80" s="142"/>
      <c r="EZ80" s="140"/>
      <c r="FA80" s="141"/>
      <c r="FB80" s="142"/>
      <c r="FC80" s="140"/>
      <c r="FD80" s="141"/>
      <c r="FE80" s="142"/>
      <c r="FF80" s="140"/>
      <c r="FG80" s="141"/>
      <c r="FH80" s="142"/>
      <c r="FI80" s="140"/>
      <c r="FJ80" s="141"/>
      <c r="FK80" s="142"/>
      <c r="FL80" s="140"/>
      <c r="FM80" s="141"/>
      <c r="FN80" s="142"/>
      <c r="FO80" s="140"/>
      <c r="FP80" s="141"/>
      <c r="FQ80" s="142"/>
      <c r="FR80" s="140"/>
      <c r="FS80" s="141"/>
      <c r="FT80" s="142"/>
      <c r="FU80" s="140"/>
      <c r="FV80" s="141"/>
      <c r="FW80" s="142"/>
      <c r="FX80" s="140"/>
      <c r="FY80" s="141"/>
      <c r="FZ80" s="142"/>
      <c r="GA80" s="140"/>
      <c r="GB80" s="141"/>
      <c r="GC80" s="142"/>
      <c r="GD80" s="140"/>
      <c r="GE80" s="141"/>
      <c r="GF80" s="142"/>
      <c r="GG80" s="140"/>
      <c r="GH80" s="141"/>
      <c r="GI80" s="142"/>
      <c r="GJ80" s="140"/>
      <c r="GK80" s="141"/>
      <c r="GL80" s="142"/>
      <c r="GM80" s="140"/>
      <c r="GN80" s="141"/>
      <c r="GO80" s="142"/>
      <c r="GP80" s="140"/>
      <c r="GQ80" s="141"/>
      <c r="GR80" s="142"/>
      <c r="GS80" s="140"/>
      <c r="GT80" s="141"/>
      <c r="GU80" s="142"/>
      <c r="GV80" s="140"/>
      <c r="GW80" s="141"/>
      <c r="GX80" s="142"/>
      <c r="GY80" s="164"/>
      <c r="GZ80" s="134"/>
      <c r="HA80" s="185"/>
      <c r="HB80" s="164"/>
      <c r="HC80" s="185"/>
      <c r="HD80" s="164"/>
      <c r="HE80" s="185"/>
      <c r="HF80" s="164"/>
      <c r="HG80" s="185"/>
      <c r="HH80" s="164">
        <f>'1910 Hacienda'!C116</f>
        <v>94</v>
      </c>
      <c r="HI80" s="185">
        <f>'1910 Hacienda'!D116</f>
        <v>0</v>
      </c>
      <c r="HJ80" s="164"/>
      <c r="HK80" s="185"/>
      <c r="HL80" s="164"/>
      <c r="HM80" s="185"/>
      <c r="HN80" s="164"/>
      <c r="HO80" s="185"/>
      <c r="HP80" s="164"/>
      <c r="HQ80" s="185"/>
      <c r="HR80" s="164"/>
      <c r="HS80" s="185"/>
      <c r="HT80" s="164"/>
      <c r="HU80" s="185"/>
    </row>
    <row r="81" spans="1:229" ht="30" x14ac:dyDescent="0.2">
      <c r="A81" s="384" t="s">
        <v>5481</v>
      </c>
      <c r="B81" s="131"/>
      <c r="C81" s="134"/>
      <c r="D81" s="133"/>
      <c r="E81" s="131"/>
      <c r="F81" s="134"/>
      <c r="G81" s="133"/>
      <c r="H81" s="131"/>
      <c r="I81" s="134"/>
      <c r="J81" s="133"/>
      <c r="K81" s="131"/>
      <c r="L81" s="134"/>
      <c r="M81" s="133"/>
      <c r="N81" s="131"/>
      <c r="O81" s="134"/>
      <c r="P81" s="133"/>
      <c r="Q81" s="131"/>
      <c r="R81" s="134"/>
      <c r="S81" s="133"/>
      <c r="T81" s="131"/>
      <c r="U81" s="134"/>
      <c r="V81" s="133"/>
      <c r="W81" s="131"/>
      <c r="X81" s="134"/>
      <c r="Y81" s="133"/>
      <c r="Z81" s="131"/>
      <c r="AA81" s="134"/>
      <c r="AB81" s="133"/>
      <c r="AC81" s="131"/>
      <c r="AD81" s="134"/>
      <c r="AE81" s="133"/>
      <c r="AF81" s="131"/>
      <c r="AG81" s="134"/>
      <c r="AH81" s="133"/>
      <c r="AI81" s="145"/>
      <c r="AJ81" s="134"/>
      <c r="AK81" s="133"/>
      <c r="AL81" s="131"/>
      <c r="AM81" s="134"/>
      <c r="AN81" s="133"/>
      <c r="AO81" s="131"/>
      <c r="AP81" s="134"/>
      <c r="AQ81" s="133"/>
      <c r="AR81" s="131"/>
      <c r="AS81" s="134"/>
      <c r="AT81" s="180"/>
      <c r="AU81" s="131"/>
      <c r="AV81" s="185"/>
      <c r="AW81" s="131"/>
      <c r="AX81" s="185"/>
      <c r="AY81" s="131"/>
      <c r="AZ81" s="185"/>
      <c r="BA81" s="131"/>
      <c r="BB81" s="185"/>
      <c r="BC81" s="131"/>
      <c r="BD81" s="185"/>
      <c r="BE81" s="131"/>
      <c r="BF81" s="185"/>
      <c r="BG81" s="131"/>
      <c r="BH81" s="185"/>
      <c r="BI81" s="131"/>
      <c r="BJ81" s="185"/>
      <c r="BK81" s="131"/>
      <c r="BL81" s="185"/>
      <c r="BM81" s="131"/>
      <c r="BN81" s="185"/>
      <c r="BO81" s="131"/>
      <c r="BP81" s="134"/>
      <c r="BQ81" s="131"/>
      <c r="BR81" s="134"/>
      <c r="BS81" s="133"/>
      <c r="BT81" s="131"/>
      <c r="BU81" s="134"/>
      <c r="BV81" s="131"/>
      <c r="BW81" s="134"/>
      <c r="BX81" s="131"/>
      <c r="BY81" s="134"/>
      <c r="BZ81" s="131"/>
      <c r="CA81" s="134"/>
      <c r="CB81" s="133"/>
      <c r="CC81" s="131"/>
      <c r="CD81" s="134"/>
      <c r="CE81" s="133"/>
      <c r="CF81" s="131"/>
      <c r="CG81" s="134"/>
      <c r="CH81" s="133"/>
      <c r="CI81" s="131"/>
      <c r="CJ81" s="134"/>
      <c r="CK81" s="133"/>
      <c r="CL81" s="131"/>
      <c r="CM81" s="134"/>
      <c r="CN81" s="133"/>
      <c r="CO81" s="131"/>
      <c r="CP81" s="134"/>
      <c r="CQ81" s="133"/>
      <c r="CR81" s="131"/>
      <c r="CS81" s="134"/>
      <c r="CT81" s="133"/>
      <c r="CU81" s="131"/>
      <c r="CV81" s="134"/>
      <c r="CW81" s="133"/>
      <c r="CX81" s="131"/>
      <c r="CY81" s="134"/>
      <c r="CZ81" s="133"/>
      <c r="DA81" s="140"/>
      <c r="DB81" s="141"/>
      <c r="DC81" s="142"/>
      <c r="DD81" s="140"/>
      <c r="DE81" s="141"/>
      <c r="DF81" s="142"/>
      <c r="DG81" s="140"/>
      <c r="DH81" s="141"/>
      <c r="DI81" s="142"/>
      <c r="DJ81" s="140"/>
      <c r="DK81" s="141"/>
      <c r="DL81" s="142"/>
      <c r="DM81" s="140"/>
      <c r="DN81" s="141"/>
      <c r="DO81" s="142"/>
      <c r="DP81" s="140"/>
      <c r="DQ81" s="141"/>
      <c r="DR81" s="142"/>
      <c r="DS81" s="140"/>
      <c r="DT81" s="141"/>
      <c r="DU81" s="142"/>
      <c r="DV81" s="140"/>
      <c r="DW81" s="141"/>
      <c r="DX81" s="142"/>
      <c r="DY81" s="140"/>
      <c r="DZ81" s="141"/>
      <c r="EA81" s="142"/>
      <c r="EB81" s="140"/>
      <c r="EC81" s="141"/>
      <c r="ED81" s="142"/>
      <c r="EE81" s="140"/>
      <c r="EF81" s="141"/>
      <c r="EG81" s="142"/>
      <c r="EH81" s="140"/>
      <c r="EI81" s="141"/>
      <c r="EJ81" s="142"/>
      <c r="EK81" s="140"/>
      <c r="EL81" s="141"/>
      <c r="EM81" s="142"/>
      <c r="EN81" s="140"/>
      <c r="EO81" s="141"/>
      <c r="EP81" s="142"/>
      <c r="EQ81" s="140"/>
      <c r="ER81" s="141"/>
      <c r="ES81" s="142"/>
      <c r="ET81" s="140"/>
      <c r="EU81" s="141"/>
      <c r="EV81" s="142"/>
      <c r="EW81" s="140"/>
      <c r="EX81" s="141"/>
      <c r="EY81" s="142"/>
      <c r="EZ81" s="140"/>
      <c r="FA81" s="141"/>
      <c r="FB81" s="142"/>
      <c r="FC81" s="140"/>
      <c r="FD81" s="141"/>
      <c r="FE81" s="142"/>
      <c r="FF81" s="140"/>
      <c r="FG81" s="141"/>
      <c r="FH81" s="142"/>
      <c r="FI81" s="140"/>
      <c r="FJ81" s="141"/>
      <c r="FK81" s="142"/>
      <c r="FL81" s="140"/>
      <c r="FM81" s="141"/>
      <c r="FN81" s="142"/>
      <c r="FO81" s="140"/>
      <c r="FP81" s="141"/>
      <c r="FQ81" s="142"/>
      <c r="FR81" s="140"/>
      <c r="FS81" s="141"/>
      <c r="FT81" s="142"/>
      <c r="FU81" s="140"/>
      <c r="FV81" s="141"/>
      <c r="FW81" s="142"/>
      <c r="FX81" s="140"/>
      <c r="FY81" s="141"/>
      <c r="FZ81" s="142"/>
      <c r="GA81" s="140"/>
      <c r="GB81" s="141"/>
      <c r="GC81" s="142"/>
      <c r="GD81" s="140"/>
      <c r="GE81" s="141"/>
      <c r="GF81" s="142"/>
      <c r="GG81" s="140"/>
      <c r="GH81" s="141"/>
      <c r="GI81" s="142"/>
      <c r="GJ81" s="140"/>
      <c r="GK81" s="141"/>
      <c r="GL81" s="142"/>
      <c r="GM81" s="140"/>
      <c r="GN81" s="141"/>
      <c r="GO81" s="142"/>
      <c r="GP81" s="140"/>
      <c r="GQ81" s="141"/>
      <c r="GR81" s="142"/>
      <c r="GS81" s="140"/>
      <c r="GT81" s="141"/>
      <c r="GU81" s="142"/>
      <c r="GV81" s="140"/>
      <c r="GW81" s="141"/>
      <c r="GX81" s="142"/>
      <c r="GY81" s="164"/>
      <c r="GZ81" s="134"/>
      <c r="HA81" s="185"/>
      <c r="HB81" s="164"/>
      <c r="HC81" s="185"/>
      <c r="HD81" s="164"/>
      <c r="HE81" s="185"/>
      <c r="HF81" s="164"/>
      <c r="HG81" s="185"/>
      <c r="HH81" s="164"/>
      <c r="HI81" s="185"/>
      <c r="HJ81" s="164">
        <f>+'1910 Hacienda'!C155</f>
        <v>19400</v>
      </c>
      <c r="HK81" s="185">
        <f>+'1910 Hacienda'!D155</f>
        <v>57</v>
      </c>
      <c r="HL81" s="164"/>
      <c r="HM81" s="185"/>
      <c r="HN81" s="164"/>
      <c r="HO81" s="185"/>
      <c r="HP81" s="164"/>
      <c r="HQ81" s="185"/>
      <c r="HR81" s="164"/>
      <c r="HS81" s="185"/>
      <c r="HT81" s="164"/>
      <c r="HU81" s="185"/>
    </row>
    <row r="82" spans="1:229" x14ac:dyDescent="0.2">
      <c r="A82" s="184" t="s">
        <v>5460</v>
      </c>
      <c r="B82" s="131"/>
      <c r="C82" s="134"/>
      <c r="D82" s="133"/>
      <c r="E82" s="131"/>
      <c r="F82" s="134"/>
      <c r="G82" s="133"/>
      <c r="H82" s="131"/>
      <c r="I82" s="134"/>
      <c r="J82" s="133"/>
      <c r="K82" s="131"/>
      <c r="L82" s="134"/>
      <c r="M82" s="133"/>
      <c r="N82" s="131"/>
      <c r="O82" s="134"/>
      <c r="P82" s="133"/>
      <c r="Q82" s="131"/>
      <c r="R82" s="134"/>
      <c r="S82" s="133"/>
      <c r="T82" s="131"/>
      <c r="U82" s="134"/>
      <c r="V82" s="133"/>
      <c r="W82" s="131"/>
      <c r="X82" s="134"/>
      <c r="Y82" s="133"/>
      <c r="Z82" s="131"/>
      <c r="AA82" s="134"/>
      <c r="AB82" s="133"/>
      <c r="AC82" s="131"/>
      <c r="AD82" s="134"/>
      <c r="AE82" s="133"/>
      <c r="AF82" s="131"/>
      <c r="AG82" s="134"/>
      <c r="AH82" s="133"/>
      <c r="AI82" s="145"/>
      <c r="AJ82" s="134"/>
      <c r="AK82" s="133"/>
      <c r="AL82" s="131"/>
      <c r="AM82" s="134"/>
      <c r="AN82" s="133"/>
      <c r="AO82" s="131"/>
      <c r="AP82" s="134"/>
      <c r="AQ82" s="133"/>
      <c r="AR82" s="131"/>
      <c r="AS82" s="134"/>
      <c r="AT82" s="180"/>
      <c r="AU82" s="131"/>
      <c r="AV82" s="185"/>
      <c r="AW82" s="131"/>
      <c r="AX82" s="185"/>
      <c r="AY82" s="131"/>
      <c r="AZ82" s="185"/>
      <c r="BA82" s="131"/>
      <c r="BB82" s="185"/>
      <c r="BC82" s="131"/>
      <c r="BD82" s="185"/>
      <c r="BE82" s="131"/>
      <c r="BF82" s="185"/>
      <c r="BG82" s="131"/>
      <c r="BH82" s="185"/>
      <c r="BI82" s="131"/>
      <c r="BJ82" s="185"/>
      <c r="BK82" s="131"/>
      <c r="BL82" s="185"/>
      <c r="BM82" s="131"/>
      <c r="BN82" s="185"/>
      <c r="BO82" s="131"/>
      <c r="BP82" s="134"/>
      <c r="BQ82" s="131"/>
      <c r="BR82" s="134"/>
      <c r="BS82" s="133"/>
      <c r="BT82" s="131"/>
      <c r="BU82" s="134"/>
      <c r="BV82" s="131"/>
      <c r="BW82" s="134"/>
      <c r="BX82" s="131"/>
      <c r="BY82" s="134"/>
      <c r="BZ82" s="131"/>
      <c r="CA82" s="134"/>
      <c r="CB82" s="133"/>
      <c r="CC82" s="131"/>
      <c r="CD82" s="134"/>
      <c r="CE82" s="133"/>
      <c r="CF82" s="131"/>
      <c r="CG82" s="134"/>
      <c r="CH82" s="133"/>
      <c r="CI82" s="131"/>
      <c r="CJ82" s="134"/>
      <c r="CK82" s="133"/>
      <c r="CL82" s="131"/>
      <c r="CM82" s="134"/>
      <c r="CN82" s="133"/>
      <c r="CO82" s="131"/>
      <c r="CP82" s="134"/>
      <c r="CQ82" s="133"/>
      <c r="CR82" s="131"/>
      <c r="CS82" s="134"/>
      <c r="CT82" s="133"/>
      <c r="CU82" s="131"/>
      <c r="CV82" s="134"/>
      <c r="CW82" s="133"/>
      <c r="CX82" s="131"/>
      <c r="CY82" s="134"/>
      <c r="CZ82" s="133"/>
      <c r="DA82" s="140"/>
      <c r="DB82" s="141"/>
      <c r="DC82" s="142"/>
      <c r="DD82" s="140"/>
      <c r="DE82" s="141"/>
      <c r="DF82" s="142"/>
      <c r="DG82" s="140"/>
      <c r="DH82" s="141"/>
      <c r="DI82" s="142"/>
      <c r="DJ82" s="140"/>
      <c r="DK82" s="141"/>
      <c r="DL82" s="142"/>
      <c r="DM82" s="140"/>
      <c r="DN82" s="141"/>
      <c r="DO82" s="142"/>
      <c r="DP82" s="140"/>
      <c r="DQ82" s="141"/>
      <c r="DR82" s="142"/>
      <c r="DS82" s="140"/>
      <c r="DT82" s="141"/>
      <c r="DU82" s="142"/>
      <c r="DV82" s="140"/>
      <c r="DW82" s="141"/>
      <c r="DX82" s="142"/>
      <c r="DY82" s="140"/>
      <c r="DZ82" s="141"/>
      <c r="EA82" s="142"/>
      <c r="EB82" s="140"/>
      <c r="EC82" s="141"/>
      <c r="ED82" s="142"/>
      <c r="EE82" s="140"/>
      <c r="EF82" s="141"/>
      <c r="EG82" s="142"/>
      <c r="EH82" s="140"/>
      <c r="EI82" s="141"/>
      <c r="EJ82" s="142"/>
      <c r="EK82" s="140"/>
      <c r="EL82" s="141"/>
      <c r="EM82" s="142"/>
      <c r="EN82" s="140"/>
      <c r="EO82" s="141"/>
      <c r="EP82" s="142"/>
      <c r="EQ82" s="140"/>
      <c r="ER82" s="141"/>
      <c r="ES82" s="142"/>
      <c r="ET82" s="140"/>
      <c r="EU82" s="141"/>
      <c r="EV82" s="142"/>
      <c r="EW82" s="140"/>
      <c r="EX82" s="141"/>
      <c r="EY82" s="142"/>
      <c r="EZ82" s="140"/>
      <c r="FA82" s="141"/>
      <c r="FB82" s="142"/>
      <c r="FC82" s="140"/>
      <c r="FD82" s="141"/>
      <c r="FE82" s="142"/>
      <c r="FF82" s="140"/>
      <c r="FG82" s="141"/>
      <c r="FH82" s="142"/>
      <c r="FI82" s="140"/>
      <c r="FJ82" s="141"/>
      <c r="FK82" s="142"/>
      <c r="FL82" s="140"/>
      <c r="FM82" s="141"/>
      <c r="FN82" s="142"/>
      <c r="FO82" s="140"/>
      <c r="FP82" s="141"/>
      <c r="FQ82" s="142"/>
      <c r="FR82" s="140"/>
      <c r="FS82" s="141"/>
      <c r="FT82" s="142"/>
      <c r="FU82" s="140"/>
      <c r="FV82" s="141"/>
      <c r="FW82" s="142"/>
      <c r="FX82" s="140"/>
      <c r="FY82" s="141"/>
      <c r="FZ82" s="142"/>
      <c r="GA82" s="140"/>
      <c r="GB82" s="141"/>
      <c r="GC82" s="142"/>
      <c r="GD82" s="140"/>
      <c r="GE82" s="141"/>
      <c r="GF82" s="142"/>
      <c r="GG82" s="140"/>
      <c r="GH82" s="141"/>
      <c r="GI82" s="142"/>
      <c r="GJ82" s="140"/>
      <c r="GK82" s="141"/>
      <c r="GL82" s="142"/>
      <c r="GM82" s="140"/>
      <c r="GN82" s="141"/>
      <c r="GO82" s="142"/>
      <c r="GP82" s="140"/>
      <c r="GQ82" s="141"/>
      <c r="GR82" s="142"/>
      <c r="GS82" s="140"/>
      <c r="GT82" s="141"/>
      <c r="GU82" s="142"/>
      <c r="GV82" s="140"/>
      <c r="GW82" s="141"/>
      <c r="GX82" s="142"/>
      <c r="GY82" s="164"/>
      <c r="GZ82" s="134"/>
      <c r="HA82" s="185"/>
      <c r="HB82" s="164"/>
      <c r="HC82" s="185"/>
      <c r="HD82" s="164"/>
      <c r="HE82" s="185"/>
      <c r="HF82" s="164"/>
      <c r="HG82" s="185"/>
      <c r="HH82" s="164">
        <f>'1910 Hacienda'!C117</f>
        <v>563</v>
      </c>
      <c r="HI82" s="185">
        <f>'1910 Hacienda'!D117</f>
        <v>13</v>
      </c>
      <c r="HJ82" s="164"/>
      <c r="HK82" s="185"/>
      <c r="HL82" s="164"/>
      <c r="HM82" s="185"/>
      <c r="HN82" s="164"/>
      <c r="HO82" s="185"/>
      <c r="HP82" s="164"/>
      <c r="HQ82" s="185"/>
      <c r="HR82" s="164"/>
      <c r="HS82" s="185"/>
      <c r="HT82" s="164"/>
      <c r="HU82" s="185"/>
    </row>
    <row r="83" spans="1:229" x14ac:dyDescent="0.2">
      <c r="A83" s="184" t="s">
        <v>5461</v>
      </c>
      <c r="B83" s="131"/>
      <c r="C83" s="134"/>
      <c r="D83" s="133"/>
      <c r="E83" s="131"/>
      <c r="F83" s="134"/>
      <c r="G83" s="133"/>
      <c r="H83" s="131"/>
      <c r="I83" s="134"/>
      <c r="J83" s="133"/>
      <c r="K83" s="131"/>
      <c r="L83" s="134"/>
      <c r="M83" s="133"/>
      <c r="N83" s="131"/>
      <c r="O83" s="134"/>
      <c r="P83" s="133"/>
      <c r="Q83" s="131"/>
      <c r="R83" s="134"/>
      <c r="S83" s="133"/>
      <c r="T83" s="131"/>
      <c r="U83" s="134"/>
      <c r="V83" s="133"/>
      <c r="W83" s="131"/>
      <c r="X83" s="134"/>
      <c r="Y83" s="133"/>
      <c r="Z83" s="131"/>
      <c r="AA83" s="134"/>
      <c r="AB83" s="133"/>
      <c r="AC83" s="131"/>
      <c r="AD83" s="134"/>
      <c r="AE83" s="133"/>
      <c r="AF83" s="131"/>
      <c r="AG83" s="134"/>
      <c r="AH83" s="133"/>
      <c r="AI83" s="145"/>
      <c r="AJ83" s="134"/>
      <c r="AK83" s="133"/>
      <c r="AL83" s="131"/>
      <c r="AM83" s="134"/>
      <c r="AN83" s="133"/>
      <c r="AO83" s="131"/>
      <c r="AP83" s="134"/>
      <c r="AQ83" s="133"/>
      <c r="AR83" s="131"/>
      <c r="AS83" s="134"/>
      <c r="AT83" s="180"/>
      <c r="AU83" s="131"/>
      <c r="AV83" s="185"/>
      <c r="AW83" s="131"/>
      <c r="AX83" s="185"/>
      <c r="AY83" s="131"/>
      <c r="AZ83" s="185"/>
      <c r="BA83" s="131"/>
      <c r="BB83" s="185"/>
      <c r="BC83" s="131"/>
      <c r="BD83" s="185"/>
      <c r="BE83" s="131"/>
      <c r="BF83" s="185"/>
      <c r="BG83" s="131"/>
      <c r="BH83" s="185"/>
      <c r="BI83" s="131"/>
      <c r="BJ83" s="185"/>
      <c r="BK83" s="131"/>
      <c r="BL83" s="185"/>
      <c r="BM83" s="131"/>
      <c r="BN83" s="185"/>
      <c r="BO83" s="131"/>
      <c r="BP83" s="134"/>
      <c r="BQ83" s="131"/>
      <c r="BR83" s="134"/>
      <c r="BS83" s="133"/>
      <c r="BT83" s="131"/>
      <c r="BU83" s="134"/>
      <c r="BV83" s="131"/>
      <c r="BW83" s="134"/>
      <c r="BX83" s="131"/>
      <c r="BY83" s="134"/>
      <c r="BZ83" s="131"/>
      <c r="CA83" s="134"/>
      <c r="CB83" s="133"/>
      <c r="CC83" s="131"/>
      <c r="CD83" s="134"/>
      <c r="CE83" s="133"/>
      <c r="CF83" s="131"/>
      <c r="CG83" s="134"/>
      <c r="CH83" s="133"/>
      <c r="CI83" s="131"/>
      <c r="CJ83" s="134"/>
      <c r="CK83" s="133"/>
      <c r="CL83" s="131"/>
      <c r="CM83" s="134"/>
      <c r="CN83" s="133"/>
      <c r="CO83" s="131"/>
      <c r="CP83" s="134"/>
      <c r="CQ83" s="133"/>
      <c r="CR83" s="131"/>
      <c r="CS83" s="134"/>
      <c r="CT83" s="133"/>
      <c r="CU83" s="131"/>
      <c r="CV83" s="134"/>
      <c r="CW83" s="133"/>
      <c r="CX83" s="131"/>
      <c r="CY83" s="134"/>
      <c r="CZ83" s="133"/>
      <c r="DA83" s="140"/>
      <c r="DB83" s="141"/>
      <c r="DC83" s="142"/>
      <c r="DD83" s="140"/>
      <c r="DE83" s="141"/>
      <c r="DF83" s="142"/>
      <c r="DG83" s="140"/>
      <c r="DH83" s="141"/>
      <c r="DI83" s="142"/>
      <c r="DJ83" s="140"/>
      <c r="DK83" s="141"/>
      <c r="DL83" s="142"/>
      <c r="DM83" s="140"/>
      <c r="DN83" s="141"/>
      <c r="DO83" s="142"/>
      <c r="DP83" s="140"/>
      <c r="DQ83" s="141"/>
      <c r="DR83" s="142"/>
      <c r="DS83" s="140"/>
      <c r="DT83" s="141"/>
      <c r="DU83" s="142"/>
      <c r="DV83" s="140"/>
      <c r="DW83" s="141"/>
      <c r="DX83" s="142"/>
      <c r="DY83" s="140"/>
      <c r="DZ83" s="141"/>
      <c r="EA83" s="142"/>
      <c r="EB83" s="140"/>
      <c r="EC83" s="141"/>
      <c r="ED83" s="142"/>
      <c r="EE83" s="140"/>
      <c r="EF83" s="141"/>
      <c r="EG83" s="142"/>
      <c r="EH83" s="140"/>
      <c r="EI83" s="141"/>
      <c r="EJ83" s="142"/>
      <c r="EK83" s="140"/>
      <c r="EL83" s="141"/>
      <c r="EM83" s="142"/>
      <c r="EN83" s="140"/>
      <c r="EO83" s="141"/>
      <c r="EP83" s="142"/>
      <c r="EQ83" s="140"/>
      <c r="ER83" s="141"/>
      <c r="ES83" s="142"/>
      <c r="ET83" s="140"/>
      <c r="EU83" s="141"/>
      <c r="EV83" s="142"/>
      <c r="EW83" s="140"/>
      <c r="EX83" s="141"/>
      <c r="EY83" s="142"/>
      <c r="EZ83" s="140"/>
      <c r="FA83" s="141"/>
      <c r="FB83" s="142"/>
      <c r="FC83" s="140"/>
      <c r="FD83" s="141"/>
      <c r="FE83" s="142"/>
      <c r="FF83" s="140"/>
      <c r="FG83" s="141"/>
      <c r="FH83" s="142"/>
      <c r="FI83" s="140"/>
      <c r="FJ83" s="141"/>
      <c r="FK83" s="142"/>
      <c r="FL83" s="140"/>
      <c r="FM83" s="141"/>
      <c r="FN83" s="142"/>
      <c r="FO83" s="140"/>
      <c r="FP83" s="141"/>
      <c r="FQ83" s="142"/>
      <c r="FR83" s="140"/>
      <c r="FS83" s="141"/>
      <c r="FT83" s="142"/>
      <c r="FU83" s="140"/>
      <c r="FV83" s="141"/>
      <c r="FW83" s="142"/>
      <c r="FX83" s="140"/>
      <c r="FY83" s="141"/>
      <c r="FZ83" s="142"/>
      <c r="GA83" s="140"/>
      <c r="GB83" s="141"/>
      <c r="GC83" s="142"/>
      <c r="GD83" s="140"/>
      <c r="GE83" s="141"/>
      <c r="GF83" s="142"/>
      <c r="GG83" s="140"/>
      <c r="GH83" s="141"/>
      <c r="GI83" s="142"/>
      <c r="GJ83" s="140"/>
      <c r="GK83" s="141"/>
      <c r="GL83" s="142"/>
      <c r="GM83" s="140"/>
      <c r="GN83" s="141"/>
      <c r="GO83" s="142"/>
      <c r="GP83" s="140"/>
      <c r="GQ83" s="141"/>
      <c r="GR83" s="142"/>
      <c r="GS83" s="140"/>
      <c r="GT83" s="141"/>
      <c r="GU83" s="142"/>
      <c r="GV83" s="140"/>
      <c r="GW83" s="141"/>
      <c r="GX83" s="142"/>
      <c r="GY83" s="164"/>
      <c r="GZ83" s="134"/>
      <c r="HA83" s="185"/>
      <c r="HB83" s="164"/>
      <c r="HC83" s="185"/>
      <c r="HD83" s="164"/>
      <c r="HE83" s="185"/>
      <c r="HF83" s="164"/>
      <c r="HG83" s="185"/>
      <c r="HH83" s="164">
        <f>'1910 Hacienda'!C118</f>
        <v>4894</v>
      </c>
      <c r="HI83" s="185">
        <f>'1910 Hacienda'!D118</f>
        <v>32</v>
      </c>
      <c r="HJ83" s="164"/>
      <c r="HK83" s="185"/>
      <c r="HL83" s="164"/>
      <c r="HM83" s="185"/>
      <c r="HN83" s="164"/>
      <c r="HO83" s="185"/>
      <c r="HP83" s="164"/>
      <c r="HQ83" s="185"/>
      <c r="HR83" s="164"/>
      <c r="HS83" s="185"/>
      <c r="HT83" s="164"/>
      <c r="HU83" s="185"/>
    </row>
    <row r="84" spans="1:229" x14ac:dyDescent="0.2">
      <c r="A84" s="184" t="s">
        <v>5462</v>
      </c>
      <c r="B84" s="131"/>
      <c r="C84" s="134"/>
      <c r="D84" s="133"/>
      <c r="E84" s="131"/>
      <c r="F84" s="134"/>
      <c r="G84" s="133"/>
      <c r="H84" s="131"/>
      <c r="I84" s="134"/>
      <c r="J84" s="133"/>
      <c r="K84" s="131"/>
      <c r="L84" s="134"/>
      <c r="M84" s="133"/>
      <c r="N84" s="131"/>
      <c r="O84" s="134"/>
      <c r="P84" s="133"/>
      <c r="Q84" s="131"/>
      <c r="R84" s="134"/>
      <c r="S84" s="133"/>
      <c r="T84" s="131"/>
      <c r="U84" s="134"/>
      <c r="V84" s="133"/>
      <c r="W84" s="131"/>
      <c r="X84" s="134"/>
      <c r="Y84" s="133"/>
      <c r="Z84" s="131"/>
      <c r="AA84" s="134"/>
      <c r="AB84" s="133"/>
      <c r="AC84" s="131"/>
      <c r="AD84" s="134"/>
      <c r="AE84" s="133"/>
      <c r="AF84" s="131"/>
      <c r="AG84" s="134"/>
      <c r="AH84" s="133"/>
      <c r="AI84" s="145"/>
      <c r="AJ84" s="134"/>
      <c r="AK84" s="133"/>
      <c r="AL84" s="131"/>
      <c r="AM84" s="134"/>
      <c r="AN84" s="133"/>
      <c r="AO84" s="131"/>
      <c r="AP84" s="134"/>
      <c r="AQ84" s="133"/>
      <c r="AR84" s="131"/>
      <c r="AS84" s="134"/>
      <c r="AT84" s="180"/>
      <c r="AU84" s="131"/>
      <c r="AV84" s="185"/>
      <c r="AW84" s="131"/>
      <c r="AX84" s="185"/>
      <c r="AY84" s="131"/>
      <c r="AZ84" s="185"/>
      <c r="BA84" s="131"/>
      <c r="BB84" s="185"/>
      <c r="BC84" s="131"/>
      <c r="BD84" s="185"/>
      <c r="BE84" s="131"/>
      <c r="BF84" s="185"/>
      <c r="BG84" s="131"/>
      <c r="BH84" s="185"/>
      <c r="BI84" s="131"/>
      <c r="BJ84" s="185"/>
      <c r="BK84" s="131"/>
      <c r="BL84" s="185"/>
      <c r="BM84" s="131"/>
      <c r="BN84" s="185"/>
      <c r="BO84" s="131"/>
      <c r="BP84" s="134"/>
      <c r="BQ84" s="131"/>
      <c r="BR84" s="134"/>
      <c r="BS84" s="133"/>
      <c r="BT84" s="131"/>
      <c r="BU84" s="134"/>
      <c r="BV84" s="131"/>
      <c r="BW84" s="134"/>
      <c r="BX84" s="131"/>
      <c r="BY84" s="134"/>
      <c r="BZ84" s="131"/>
      <c r="CA84" s="134"/>
      <c r="CB84" s="133"/>
      <c r="CC84" s="131"/>
      <c r="CD84" s="134"/>
      <c r="CE84" s="133"/>
      <c r="CF84" s="131"/>
      <c r="CG84" s="134"/>
      <c r="CH84" s="133"/>
      <c r="CI84" s="131"/>
      <c r="CJ84" s="134"/>
      <c r="CK84" s="133"/>
      <c r="CL84" s="131"/>
      <c r="CM84" s="134"/>
      <c r="CN84" s="133"/>
      <c r="CO84" s="131"/>
      <c r="CP84" s="134"/>
      <c r="CQ84" s="133"/>
      <c r="CR84" s="131"/>
      <c r="CS84" s="134"/>
      <c r="CT84" s="133"/>
      <c r="CU84" s="131"/>
      <c r="CV84" s="134"/>
      <c r="CW84" s="133"/>
      <c r="CX84" s="131"/>
      <c r="CY84" s="134"/>
      <c r="CZ84" s="133"/>
      <c r="DA84" s="140"/>
      <c r="DB84" s="141"/>
      <c r="DC84" s="142"/>
      <c r="DD84" s="140"/>
      <c r="DE84" s="141"/>
      <c r="DF84" s="142"/>
      <c r="DG84" s="140"/>
      <c r="DH84" s="141"/>
      <c r="DI84" s="142"/>
      <c r="DJ84" s="140"/>
      <c r="DK84" s="141"/>
      <c r="DL84" s="142"/>
      <c r="DM84" s="140"/>
      <c r="DN84" s="141"/>
      <c r="DO84" s="142"/>
      <c r="DP84" s="140"/>
      <c r="DQ84" s="141"/>
      <c r="DR84" s="142"/>
      <c r="DS84" s="140"/>
      <c r="DT84" s="141"/>
      <c r="DU84" s="142"/>
      <c r="DV84" s="140"/>
      <c r="DW84" s="141"/>
      <c r="DX84" s="142"/>
      <c r="DY84" s="140"/>
      <c r="DZ84" s="141"/>
      <c r="EA84" s="142"/>
      <c r="EB84" s="140"/>
      <c r="EC84" s="141"/>
      <c r="ED84" s="142"/>
      <c r="EE84" s="140"/>
      <c r="EF84" s="141"/>
      <c r="EG84" s="142"/>
      <c r="EH84" s="140"/>
      <c r="EI84" s="141"/>
      <c r="EJ84" s="142"/>
      <c r="EK84" s="140"/>
      <c r="EL84" s="141"/>
      <c r="EM84" s="142"/>
      <c r="EN84" s="140"/>
      <c r="EO84" s="141"/>
      <c r="EP84" s="142"/>
      <c r="EQ84" s="140"/>
      <c r="ER84" s="141"/>
      <c r="ES84" s="142"/>
      <c r="ET84" s="140"/>
      <c r="EU84" s="141"/>
      <c r="EV84" s="142"/>
      <c r="EW84" s="140"/>
      <c r="EX84" s="141"/>
      <c r="EY84" s="142"/>
      <c r="EZ84" s="140"/>
      <c r="FA84" s="141"/>
      <c r="FB84" s="142"/>
      <c r="FC84" s="140"/>
      <c r="FD84" s="141"/>
      <c r="FE84" s="142"/>
      <c r="FF84" s="140"/>
      <c r="FG84" s="141"/>
      <c r="FH84" s="142"/>
      <c r="FI84" s="140"/>
      <c r="FJ84" s="141"/>
      <c r="FK84" s="142"/>
      <c r="FL84" s="140"/>
      <c r="FM84" s="141"/>
      <c r="FN84" s="142"/>
      <c r="FO84" s="140"/>
      <c r="FP84" s="141"/>
      <c r="FQ84" s="142"/>
      <c r="FR84" s="140"/>
      <c r="FS84" s="141"/>
      <c r="FT84" s="142"/>
      <c r="FU84" s="140"/>
      <c r="FV84" s="141"/>
      <c r="FW84" s="142"/>
      <c r="FX84" s="140"/>
      <c r="FY84" s="141"/>
      <c r="FZ84" s="142"/>
      <c r="GA84" s="140"/>
      <c r="GB84" s="141"/>
      <c r="GC84" s="142"/>
      <c r="GD84" s="140"/>
      <c r="GE84" s="141"/>
      <c r="GF84" s="142"/>
      <c r="GG84" s="140"/>
      <c r="GH84" s="141"/>
      <c r="GI84" s="142"/>
      <c r="GJ84" s="140"/>
      <c r="GK84" s="141"/>
      <c r="GL84" s="142"/>
      <c r="GM84" s="140"/>
      <c r="GN84" s="141"/>
      <c r="GO84" s="142"/>
      <c r="GP84" s="140"/>
      <c r="GQ84" s="141"/>
      <c r="GR84" s="142"/>
      <c r="GS84" s="140"/>
      <c r="GT84" s="141"/>
      <c r="GU84" s="142"/>
      <c r="GV84" s="140"/>
      <c r="GW84" s="141"/>
      <c r="GX84" s="142"/>
      <c r="GY84" s="164"/>
      <c r="GZ84" s="134"/>
      <c r="HA84" s="185"/>
      <c r="HB84" s="164"/>
      <c r="HC84" s="185"/>
      <c r="HD84" s="164"/>
      <c r="HE84" s="185"/>
      <c r="HF84" s="164"/>
      <c r="HG84" s="185"/>
      <c r="HH84" s="164">
        <f>'1910 Hacienda'!C119</f>
        <v>15932</v>
      </c>
      <c r="HI84" s="185">
        <f>'1910 Hacienda'!D119</f>
        <v>65</v>
      </c>
      <c r="HJ84" s="164"/>
      <c r="HK84" s="185"/>
      <c r="HL84" s="164"/>
      <c r="HM84" s="185"/>
      <c r="HN84" s="164"/>
      <c r="HO84" s="185"/>
      <c r="HP84" s="164"/>
      <c r="HQ84" s="185"/>
      <c r="HR84" s="164"/>
      <c r="HS84" s="185"/>
      <c r="HT84" s="164"/>
      <c r="HU84" s="185"/>
    </row>
    <row r="85" spans="1:229" x14ac:dyDescent="0.2">
      <c r="A85" s="184" t="s">
        <v>5463</v>
      </c>
      <c r="B85" s="131"/>
      <c r="C85" s="134"/>
      <c r="D85" s="133"/>
      <c r="E85" s="131"/>
      <c r="F85" s="134"/>
      <c r="G85" s="133"/>
      <c r="H85" s="131"/>
      <c r="I85" s="134"/>
      <c r="J85" s="133"/>
      <c r="K85" s="131"/>
      <c r="L85" s="134"/>
      <c r="M85" s="133"/>
      <c r="N85" s="131"/>
      <c r="O85" s="134"/>
      <c r="P85" s="133"/>
      <c r="Q85" s="131"/>
      <c r="R85" s="134"/>
      <c r="S85" s="133"/>
      <c r="T85" s="131"/>
      <c r="U85" s="134"/>
      <c r="V85" s="133"/>
      <c r="W85" s="131"/>
      <c r="X85" s="134"/>
      <c r="Y85" s="133"/>
      <c r="Z85" s="131"/>
      <c r="AA85" s="134"/>
      <c r="AB85" s="133"/>
      <c r="AC85" s="131"/>
      <c r="AD85" s="134"/>
      <c r="AE85" s="133"/>
      <c r="AF85" s="131"/>
      <c r="AG85" s="134"/>
      <c r="AH85" s="133"/>
      <c r="AI85" s="145"/>
      <c r="AJ85" s="134"/>
      <c r="AK85" s="133"/>
      <c r="AL85" s="131"/>
      <c r="AM85" s="134"/>
      <c r="AN85" s="133"/>
      <c r="AO85" s="131"/>
      <c r="AP85" s="134"/>
      <c r="AQ85" s="133"/>
      <c r="AR85" s="131"/>
      <c r="AS85" s="134"/>
      <c r="AT85" s="180"/>
      <c r="AU85" s="131"/>
      <c r="AV85" s="185"/>
      <c r="AW85" s="131"/>
      <c r="AX85" s="185"/>
      <c r="AY85" s="131"/>
      <c r="AZ85" s="185"/>
      <c r="BA85" s="131"/>
      <c r="BB85" s="185"/>
      <c r="BC85" s="131"/>
      <c r="BD85" s="185"/>
      <c r="BE85" s="131"/>
      <c r="BF85" s="185"/>
      <c r="BG85" s="131"/>
      <c r="BH85" s="185"/>
      <c r="BI85" s="131"/>
      <c r="BJ85" s="185"/>
      <c r="BK85" s="131"/>
      <c r="BL85" s="185"/>
      <c r="BM85" s="131"/>
      <c r="BN85" s="185"/>
      <c r="BO85" s="131"/>
      <c r="BP85" s="134"/>
      <c r="BQ85" s="131"/>
      <c r="BR85" s="134"/>
      <c r="BS85" s="133"/>
      <c r="BT85" s="131"/>
      <c r="BU85" s="134"/>
      <c r="BV85" s="131"/>
      <c r="BW85" s="134"/>
      <c r="BX85" s="131"/>
      <c r="BY85" s="134"/>
      <c r="BZ85" s="131"/>
      <c r="CA85" s="134"/>
      <c r="CB85" s="133"/>
      <c r="CC85" s="131"/>
      <c r="CD85" s="134"/>
      <c r="CE85" s="133"/>
      <c r="CF85" s="131"/>
      <c r="CG85" s="134"/>
      <c r="CH85" s="133"/>
      <c r="CI85" s="131"/>
      <c r="CJ85" s="134"/>
      <c r="CK85" s="133"/>
      <c r="CL85" s="131"/>
      <c r="CM85" s="134"/>
      <c r="CN85" s="133"/>
      <c r="CO85" s="131"/>
      <c r="CP85" s="134"/>
      <c r="CQ85" s="133"/>
      <c r="CR85" s="131"/>
      <c r="CS85" s="134"/>
      <c r="CT85" s="133"/>
      <c r="CU85" s="131"/>
      <c r="CV85" s="134"/>
      <c r="CW85" s="133"/>
      <c r="CX85" s="131"/>
      <c r="CY85" s="134"/>
      <c r="CZ85" s="133"/>
      <c r="DA85" s="140"/>
      <c r="DB85" s="141"/>
      <c r="DC85" s="142"/>
      <c r="DD85" s="140"/>
      <c r="DE85" s="141"/>
      <c r="DF85" s="142"/>
      <c r="DG85" s="140"/>
      <c r="DH85" s="141"/>
      <c r="DI85" s="142"/>
      <c r="DJ85" s="140"/>
      <c r="DK85" s="141"/>
      <c r="DL85" s="142"/>
      <c r="DM85" s="140"/>
      <c r="DN85" s="141"/>
      <c r="DO85" s="142"/>
      <c r="DP85" s="140"/>
      <c r="DQ85" s="141"/>
      <c r="DR85" s="142"/>
      <c r="DS85" s="140"/>
      <c r="DT85" s="141"/>
      <c r="DU85" s="142"/>
      <c r="DV85" s="140"/>
      <c r="DW85" s="141"/>
      <c r="DX85" s="142"/>
      <c r="DY85" s="140"/>
      <c r="DZ85" s="141"/>
      <c r="EA85" s="142"/>
      <c r="EB85" s="140"/>
      <c r="EC85" s="141"/>
      <c r="ED85" s="142"/>
      <c r="EE85" s="140"/>
      <c r="EF85" s="141"/>
      <c r="EG85" s="142"/>
      <c r="EH85" s="140"/>
      <c r="EI85" s="141"/>
      <c r="EJ85" s="142"/>
      <c r="EK85" s="140"/>
      <c r="EL85" s="141"/>
      <c r="EM85" s="142"/>
      <c r="EN85" s="140"/>
      <c r="EO85" s="141"/>
      <c r="EP85" s="142"/>
      <c r="EQ85" s="140"/>
      <c r="ER85" s="141"/>
      <c r="ES85" s="142"/>
      <c r="ET85" s="140"/>
      <c r="EU85" s="141"/>
      <c r="EV85" s="142"/>
      <c r="EW85" s="140"/>
      <c r="EX85" s="141"/>
      <c r="EY85" s="142"/>
      <c r="EZ85" s="140"/>
      <c r="FA85" s="141"/>
      <c r="FB85" s="142"/>
      <c r="FC85" s="140"/>
      <c r="FD85" s="141"/>
      <c r="FE85" s="142"/>
      <c r="FF85" s="140"/>
      <c r="FG85" s="141"/>
      <c r="FH85" s="142"/>
      <c r="FI85" s="140"/>
      <c r="FJ85" s="141"/>
      <c r="FK85" s="142"/>
      <c r="FL85" s="140"/>
      <c r="FM85" s="141"/>
      <c r="FN85" s="142"/>
      <c r="FO85" s="140"/>
      <c r="FP85" s="141"/>
      <c r="FQ85" s="142"/>
      <c r="FR85" s="140"/>
      <c r="FS85" s="141"/>
      <c r="FT85" s="142"/>
      <c r="FU85" s="140"/>
      <c r="FV85" s="141"/>
      <c r="FW85" s="142"/>
      <c r="FX85" s="140"/>
      <c r="FY85" s="141"/>
      <c r="FZ85" s="142"/>
      <c r="GA85" s="140"/>
      <c r="GB85" s="141"/>
      <c r="GC85" s="142"/>
      <c r="GD85" s="140"/>
      <c r="GE85" s="141"/>
      <c r="GF85" s="142"/>
      <c r="GG85" s="140"/>
      <c r="GH85" s="141"/>
      <c r="GI85" s="142"/>
      <c r="GJ85" s="140"/>
      <c r="GK85" s="141"/>
      <c r="GL85" s="142"/>
      <c r="GM85" s="140"/>
      <c r="GN85" s="141"/>
      <c r="GO85" s="142"/>
      <c r="GP85" s="140"/>
      <c r="GQ85" s="141"/>
      <c r="GR85" s="142"/>
      <c r="GS85" s="140"/>
      <c r="GT85" s="141"/>
      <c r="GU85" s="142"/>
      <c r="GV85" s="140"/>
      <c r="GW85" s="141"/>
      <c r="GX85" s="142"/>
      <c r="GY85" s="164"/>
      <c r="GZ85" s="134"/>
      <c r="HA85" s="185"/>
      <c r="HB85" s="164"/>
      <c r="HC85" s="185"/>
      <c r="HD85" s="164"/>
      <c r="HE85" s="185"/>
      <c r="HF85" s="164"/>
      <c r="HG85" s="185"/>
      <c r="HH85" s="164">
        <f>'1910 Hacienda'!C120</f>
        <v>1431</v>
      </c>
      <c r="HI85" s="185">
        <f>'1910 Hacienda'!D120</f>
        <v>87</v>
      </c>
      <c r="HJ85" s="164"/>
      <c r="HK85" s="185"/>
      <c r="HL85" s="164"/>
      <c r="HM85" s="185"/>
      <c r="HN85" s="164"/>
      <c r="HO85" s="185"/>
      <c r="HP85" s="164"/>
      <c r="HQ85" s="185"/>
      <c r="HR85" s="164"/>
      <c r="HS85" s="185"/>
      <c r="HT85" s="164"/>
      <c r="HU85" s="185"/>
    </row>
    <row r="86" spans="1:229" x14ac:dyDescent="0.2">
      <c r="A86" s="134" t="s">
        <v>5466</v>
      </c>
      <c r="B86" s="131"/>
      <c r="C86" s="134"/>
      <c r="D86" s="133"/>
      <c r="E86" s="131"/>
      <c r="F86" s="134"/>
      <c r="G86" s="133"/>
      <c r="H86" s="131"/>
      <c r="I86" s="134"/>
      <c r="J86" s="133"/>
      <c r="K86" s="131"/>
      <c r="L86" s="134"/>
      <c r="M86" s="133"/>
      <c r="N86" s="131"/>
      <c r="O86" s="134"/>
      <c r="P86" s="133"/>
      <c r="Q86" s="131"/>
      <c r="R86" s="134"/>
      <c r="S86" s="133"/>
      <c r="T86" s="131"/>
      <c r="U86" s="134"/>
      <c r="V86" s="133"/>
      <c r="W86" s="131"/>
      <c r="X86" s="134"/>
      <c r="Y86" s="133"/>
      <c r="Z86" s="131"/>
      <c r="AA86" s="134"/>
      <c r="AB86" s="133"/>
      <c r="AC86" s="131"/>
      <c r="AD86" s="134"/>
      <c r="AE86" s="133"/>
      <c r="AF86" s="131"/>
      <c r="AG86" s="134"/>
      <c r="AH86" s="133"/>
      <c r="AI86" s="145"/>
      <c r="AJ86" s="134"/>
      <c r="AK86" s="133"/>
      <c r="AL86" s="131"/>
      <c r="AM86" s="134"/>
      <c r="AN86" s="133"/>
      <c r="AO86" s="131"/>
      <c r="AP86" s="134"/>
      <c r="AQ86" s="133"/>
      <c r="AR86" s="131"/>
      <c r="AS86" s="134"/>
      <c r="AT86" s="180"/>
      <c r="AU86" s="131"/>
      <c r="AV86" s="185"/>
      <c r="AW86" s="131"/>
      <c r="AX86" s="185"/>
      <c r="AY86" s="131"/>
      <c r="AZ86" s="185"/>
      <c r="BA86" s="131"/>
      <c r="BB86" s="185"/>
      <c r="BC86" s="131"/>
      <c r="BD86" s="185"/>
      <c r="BE86" s="131"/>
      <c r="BF86" s="185"/>
      <c r="BG86" s="131"/>
      <c r="BH86" s="185"/>
      <c r="BI86" s="131"/>
      <c r="BJ86" s="185"/>
      <c r="BK86" s="131"/>
      <c r="BL86" s="185"/>
      <c r="BM86" s="131"/>
      <c r="BN86" s="185"/>
      <c r="BO86" s="131"/>
      <c r="BP86" s="134"/>
      <c r="BQ86" s="131"/>
      <c r="BR86" s="145"/>
      <c r="BS86" s="134"/>
      <c r="BT86" s="131"/>
      <c r="BU86" s="134"/>
      <c r="BV86" s="131"/>
      <c r="BW86" s="134"/>
      <c r="BX86" s="131"/>
      <c r="BY86" s="134"/>
      <c r="BZ86" s="131"/>
      <c r="CA86" s="145"/>
      <c r="CB86" s="134"/>
      <c r="CC86" s="131"/>
      <c r="CD86" s="145"/>
      <c r="CE86" s="134"/>
      <c r="CF86" s="131"/>
      <c r="CG86" s="145"/>
      <c r="CH86" s="134"/>
      <c r="CI86" s="131"/>
      <c r="CJ86" s="145"/>
      <c r="CK86" s="134"/>
      <c r="CL86" s="131"/>
      <c r="CM86" s="145"/>
      <c r="CN86" s="134"/>
      <c r="CO86" s="131"/>
      <c r="CP86" s="145"/>
      <c r="CQ86" s="134"/>
      <c r="CR86" s="131"/>
      <c r="CS86" s="145"/>
      <c r="CT86" s="134"/>
      <c r="CU86" s="131"/>
      <c r="CV86" s="145"/>
      <c r="CW86" s="134"/>
      <c r="CX86" s="131"/>
      <c r="CY86" s="145"/>
      <c r="CZ86" s="134"/>
      <c r="DA86" s="140"/>
      <c r="DB86" s="141"/>
      <c r="DC86" s="142"/>
      <c r="DD86" s="140"/>
      <c r="DE86" s="141"/>
      <c r="DF86" s="142"/>
      <c r="DG86" s="140"/>
      <c r="DH86" s="141"/>
      <c r="DI86" s="142"/>
      <c r="DJ86" s="140"/>
      <c r="DK86" s="141"/>
      <c r="DL86" s="142"/>
      <c r="DM86" s="140"/>
      <c r="DN86" s="141"/>
      <c r="DO86" s="142"/>
      <c r="DP86" s="140"/>
      <c r="DQ86" s="141"/>
      <c r="DR86" s="142"/>
      <c r="DS86" s="140"/>
      <c r="DT86" s="141"/>
      <c r="DU86" s="142"/>
      <c r="DV86" s="140"/>
      <c r="DW86" s="141"/>
      <c r="DX86" s="142"/>
      <c r="DY86" s="140"/>
      <c r="DZ86" s="141"/>
      <c r="EA86" s="142"/>
      <c r="EB86" s="140"/>
      <c r="EC86" s="141"/>
      <c r="ED86" s="142"/>
      <c r="EE86" s="140"/>
      <c r="EF86" s="141"/>
      <c r="EG86" s="142"/>
      <c r="EH86" s="140"/>
      <c r="EI86" s="141"/>
      <c r="EJ86" s="142"/>
      <c r="EK86" s="140"/>
      <c r="EL86" s="141"/>
      <c r="EM86" s="142"/>
      <c r="EN86" s="140"/>
      <c r="EO86" s="141"/>
      <c r="EP86" s="142"/>
      <c r="EQ86" s="140"/>
      <c r="ER86" s="141"/>
      <c r="ES86" s="142"/>
      <c r="ET86" s="140"/>
      <c r="EU86" s="141"/>
      <c r="EV86" s="142"/>
      <c r="EW86" s="140"/>
      <c r="EX86" s="141"/>
      <c r="EY86" s="142"/>
      <c r="EZ86" s="140"/>
      <c r="FA86" s="141"/>
      <c r="FB86" s="142"/>
      <c r="FC86" s="140"/>
      <c r="FD86" s="141"/>
      <c r="FE86" s="142"/>
      <c r="FF86" s="140"/>
      <c r="FG86" s="141"/>
      <c r="FH86" s="142"/>
      <c r="FI86" s="140"/>
      <c r="FJ86" s="141"/>
      <c r="FK86" s="142"/>
      <c r="FL86" s="140"/>
      <c r="FM86" s="141"/>
      <c r="FN86" s="142"/>
      <c r="FO86" s="140"/>
      <c r="FP86" s="141"/>
      <c r="FQ86" s="142"/>
      <c r="FR86" s="140"/>
      <c r="FS86" s="141"/>
      <c r="FT86" s="142"/>
      <c r="FU86" s="140"/>
      <c r="FV86" s="141"/>
      <c r="FW86" s="142"/>
      <c r="FX86" s="140"/>
      <c r="FY86" s="141"/>
      <c r="FZ86" s="142"/>
      <c r="GA86" s="140"/>
      <c r="GB86" s="141"/>
      <c r="GC86" s="142"/>
      <c r="GD86" s="140"/>
      <c r="GE86" s="141"/>
      <c r="GF86" s="142"/>
      <c r="GG86" s="140"/>
      <c r="GH86" s="141"/>
      <c r="GI86" s="142"/>
      <c r="GJ86" s="140"/>
      <c r="GK86" s="141"/>
      <c r="GL86" s="142"/>
      <c r="GM86" s="140"/>
      <c r="GN86" s="141"/>
      <c r="GO86" s="142"/>
      <c r="GP86" s="140"/>
      <c r="GQ86" s="141"/>
      <c r="GR86" s="142"/>
      <c r="GS86" s="140"/>
      <c r="GT86" s="141"/>
      <c r="GU86" s="142"/>
      <c r="GV86" s="140"/>
      <c r="GW86" s="141"/>
      <c r="GX86" s="142"/>
      <c r="GY86" s="164"/>
      <c r="GZ86" s="134"/>
      <c r="HA86" s="185"/>
      <c r="HB86" s="164"/>
      <c r="HC86" s="185"/>
      <c r="HD86" s="164"/>
      <c r="HE86" s="185"/>
      <c r="HF86" s="164"/>
      <c r="HG86" s="185"/>
      <c r="HH86" s="164"/>
      <c r="HI86" s="185"/>
      <c r="HJ86" s="164">
        <f>'1910 Hacienda'!C129</f>
        <v>18328</v>
      </c>
      <c r="HK86" s="185">
        <f>'1910 Hacienda'!D129</f>
        <v>28</v>
      </c>
      <c r="HL86" s="164"/>
      <c r="HM86" s="185"/>
      <c r="HN86" s="164"/>
      <c r="HO86" s="185"/>
      <c r="HP86" s="164"/>
      <c r="HQ86" s="185"/>
      <c r="HR86" s="164"/>
      <c r="HS86" s="185"/>
      <c r="HT86" s="164"/>
      <c r="HU86" s="185"/>
    </row>
    <row r="87" spans="1:229" x14ac:dyDescent="0.2">
      <c r="A87" s="184" t="s">
        <v>5482</v>
      </c>
      <c r="B87" s="164"/>
      <c r="C87" s="134"/>
      <c r="D87" s="185"/>
      <c r="E87" s="164"/>
      <c r="F87" s="134"/>
      <c r="G87" s="185"/>
      <c r="H87" s="164"/>
      <c r="I87" s="134"/>
      <c r="J87" s="185"/>
      <c r="K87" s="164"/>
      <c r="L87" s="134"/>
      <c r="M87" s="185"/>
      <c r="N87" s="164"/>
      <c r="O87" s="134"/>
      <c r="P87" s="185"/>
      <c r="Q87" s="164"/>
      <c r="R87" s="134"/>
      <c r="S87" s="185"/>
      <c r="T87" s="164"/>
      <c r="U87" s="134"/>
      <c r="V87" s="185"/>
      <c r="W87" s="164"/>
      <c r="X87" s="134"/>
      <c r="Y87" s="185"/>
      <c r="Z87" s="164"/>
      <c r="AA87" s="134"/>
      <c r="AB87" s="185"/>
      <c r="AC87" s="164"/>
      <c r="AD87" s="134"/>
      <c r="AE87" s="185"/>
      <c r="AF87" s="164"/>
      <c r="AG87" s="134"/>
      <c r="AH87" s="185"/>
      <c r="AU87" s="164"/>
      <c r="AW87" s="164"/>
      <c r="AY87" s="164"/>
      <c r="BA87" s="164"/>
      <c r="BC87" s="164"/>
      <c r="BE87" s="164"/>
      <c r="BG87" s="164"/>
      <c r="BI87" s="164"/>
      <c r="BK87" s="164"/>
      <c r="BM87" s="164"/>
      <c r="BO87" s="164"/>
      <c r="BQ87" s="131"/>
      <c r="BR87" s="145"/>
      <c r="BS87" s="185"/>
      <c r="BT87" s="131"/>
      <c r="BU87" s="185"/>
      <c r="BV87" s="131"/>
      <c r="BW87" s="185"/>
      <c r="BX87" s="131"/>
      <c r="BY87" s="185"/>
      <c r="BZ87" s="131"/>
      <c r="CA87" s="145"/>
      <c r="CB87" s="185"/>
      <c r="CC87" s="131"/>
      <c r="CD87" s="145"/>
      <c r="CE87" s="185"/>
      <c r="CF87" s="131"/>
      <c r="CG87" s="145"/>
      <c r="CH87" s="185"/>
      <c r="CI87" s="131"/>
      <c r="CJ87" s="145"/>
      <c r="CK87" s="185"/>
      <c r="CL87" s="131"/>
      <c r="CM87" s="145"/>
      <c r="CN87" s="185"/>
      <c r="CO87" s="131"/>
      <c r="CP87" s="145"/>
      <c r="CQ87" s="185"/>
      <c r="CR87" s="131"/>
      <c r="CS87" s="145"/>
      <c r="CT87" s="185"/>
      <c r="CU87" s="131"/>
      <c r="CV87" s="145"/>
      <c r="CW87" s="185"/>
      <c r="CX87" s="131"/>
      <c r="CY87" s="145"/>
      <c r="CZ87" s="185"/>
      <c r="DA87" s="140"/>
      <c r="DB87" s="141"/>
      <c r="DC87" s="142"/>
      <c r="DD87" s="140"/>
      <c r="DE87" s="141"/>
      <c r="DF87" s="142"/>
      <c r="DG87" s="140"/>
      <c r="DH87" s="141"/>
      <c r="DI87" s="142"/>
      <c r="DJ87" s="140"/>
      <c r="DK87" s="141"/>
      <c r="DL87" s="142"/>
      <c r="DM87" s="140"/>
      <c r="DN87" s="141"/>
      <c r="DO87" s="142"/>
      <c r="DP87" s="140"/>
      <c r="DQ87" s="141"/>
      <c r="DR87" s="142"/>
      <c r="DS87" s="140"/>
      <c r="DT87" s="141"/>
      <c r="DU87" s="142"/>
      <c r="DV87" s="140"/>
      <c r="DW87" s="141"/>
      <c r="DX87" s="142"/>
      <c r="DY87" s="140"/>
      <c r="DZ87" s="141"/>
      <c r="EA87" s="142"/>
      <c r="EB87" s="140"/>
      <c r="EC87" s="141"/>
      <c r="ED87" s="142"/>
      <c r="EE87" s="140"/>
      <c r="EF87" s="141"/>
      <c r="EG87" s="142"/>
      <c r="EH87" s="140"/>
      <c r="EI87" s="141"/>
      <c r="EJ87" s="142"/>
      <c r="EK87" s="140"/>
      <c r="EL87" s="141"/>
      <c r="EM87" s="142"/>
      <c r="EN87" s="140"/>
      <c r="EO87" s="141"/>
      <c r="EP87" s="142"/>
      <c r="EQ87" s="140"/>
      <c r="ER87" s="141"/>
      <c r="ES87" s="142"/>
      <c r="ET87" s="140"/>
      <c r="EU87" s="141"/>
      <c r="EV87" s="142"/>
      <c r="EW87" s="140"/>
      <c r="EX87" s="141"/>
      <c r="EY87" s="142"/>
      <c r="EZ87" s="140"/>
      <c r="FA87" s="141"/>
      <c r="FB87" s="142"/>
      <c r="FC87" s="140"/>
      <c r="FD87" s="141"/>
      <c r="FE87" s="142"/>
      <c r="FF87" s="140"/>
      <c r="FG87" s="141"/>
      <c r="FH87" s="142"/>
      <c r="FI87" s="140"/>
      <c r="FJ87" s="141"/>
      <c r="FK87" s="142"/>
      <c r="FL87" s="140"/>
      <c r="FM87" s="141"/>
      <c r="FN87" s="142"/>
      <c r="FO87" s="140"/>
      <c r="FP87" s="141"/>
      <c r="FQ87" s="142"/>
      <c r="FR87" s="140"/>
      <c r="FS87" s="141"/>
      <c r="FT87" s="142"/>
      <c r="FU87" s="140"/>
      <c r="FV87" s="141"/>
      <c r="FW87" s="142"/>
      <c r="FX87" s="140"/>
      <c r="FY87" s="141"/>
      <c r="FZ87" s="142"/>
      <c r="GA87" s="140"/>
      <c r="GB87" s="141"/>
      <c r="GC87" s="142"/>
      <c r="GD87" s="140"/>
      <c r="GE87" s="141"/>
      <c r="GF87" s="142"/>
      <c r="GG87" s="140"/>
      <c r="GH87" s="141"/>
      <c r="GI87" s="142"/>
      <c r="GJ87" s="140"/>
      <c r="GK87" s="141"/>
      <c r="GL87" s="142"/>
      <c r="GM87" s="140"/>
      <c r="GN87" s="141"/>
      <c r="GO87" s="142"/>
      <c r="GP87" s="140"/>
      <c r="GQ87" s="141"/>
      <c r="GR87" s="142"/>
      <c r="GS87" s="140"/>
      <c r="GT87" s="141"/>
      <c r="GU87" s="142"/>
      <c r="GV87" s="140"/>
      <c r="GW87" s="141"/>
      <c r="GX87" s="142"/>
      <c r="GY87" s="164"/>
      <c r="GZ87" s="134"/>
      <c r="HA87" s="185"/>
      <c r="HB87" s="164"/>
      <c r="HC87" s="185"/>
      <c r="HD87" s="164"/>
      <c r="HE87" s="185"/>
      <c r="HF87" s="164"/>
      <c r="HG87" s="185"/>
      <c r="HH87" s="164"/>
      <c r="HI87" s="185"/>
      <c r="HJ87" s="164">
        <f>+'1910 Hacienda'!C157</f>
        <v>360161</v>
      </c>
      <c r="HK87" s="185">
        <f>+'1910 Hacienda'!D157</f>
        <v>82</v>
      </c>
      <c r="HL87" s="164"/>
      <c r="HM87" s="185"/>
      <c r="HN87" s="164"/>
      <c r="HO87" s="185"/>
      <c r="HP87" s="164"/>
      <c r="HQ87" s="185"/>
      <c r="HR87" s="164"/>
      <c r="HS87" s="185"/>
      <c r="HT87" s="164"/>
      <c r="HU87" s="185"/>
    </row>
    <row r="88" spans="1:229" x14ac:dyDescent="0.2">
      <c r="A88" s="134" t="s">
        <v>5468</v>
      </c>
      <c r="B88" s="131"/>
      <c r="C88" s="134"/>
      <c r="D88" s="133"/>
      <c r="E88" s="131"/>
      <c r="F88" s="134"/>
      <c r="G88" s="133"/>
      <c r="H88" s="131"/>
      <c r="I88" s="134"/>
      <c r="J88" s="133"/>
      <c r="K88" s="131"/>
      <c r="L88" s="134"/>
      <c r="M88" s="133"/>
      <c r="N88" s="131"/>
      <c r="O88" s="134"/>
      <c r="P88" s="133"/>
      <c r="Q88" s="131"/>
      <c r="R88" s="134"/>
      <c r="S88" s="133"/>
      <c r="T88" s="131"/>
      <c r="U88" s="134"/>
      <c r="V88" s="133"/>
      <c r="W88" s="131"/>
      <c r="X88" s="134"/>
      <c r="Y88" s="133"/>
      <c r="Z88" s="131"/>
      <c r="AA88" s="134"/>
      <c r="AB88" s="133"/>
      <c r="AC88" s="131"/>
      <c r="AD88" s="134"/>
      <c r="AE88" s="133"/>
      <c r="AF88" s="131"/>
      <c r="AG88" s="134"/>
      <c r="AH88" s="133"/>
      <c r="AI88" s="145"/>
      <c r="AJ88" s="134"/>
      <c r="AK88" s="133"/>
      <c r="AL88" s="131"/>
      <c r="AM88" s="134"/>
      <c r="AN88" s="133"/>
      <c r="AO88" s="131"/>
      <c r="AP88" s="134"/>
      <c r="AQ88" s="133"/>
      <c r="AR88" s="131"/>
      <c r="AS88" s="134"/>
      <c r="AT88" s="180"/>
      <c r="AU88" s="164"/>
      <c r="AW88" s="164"/>
      <c r="AY88" s="164"/>
      <c r="BA88" s="164"/>
      <c r="BC88" s="164"/>
      <c r="BE88" s="164"/>
      <c r="BG88" s="164"/>
      <c r="BI88" s="164"/>
      <c r="BK88" s="164"/>
      <c r="BM88" s="164"/>
      <c r="BO88" s="164"/>
      <c r="BQ88" s="131"/>
      <c r="BR88" s="145"/>
      <c r="BS88" s="185"/>
      <c r="BT88" s="131"/>
      <c r="BU88" s="185"/>
      <c r="BV88" s="131"/>
      <c r="BW88" s="185"/>
      <c r="BX88" s="131"/>
      <c r="BY88" s="185"/>
      <c r="BZ88" s="131"/>
      <c r="CA88" s="145"/>
      <c r="CB88" s="185"/>
      <c r="CC88" s="131"/>
      <c r="CD88" s="145"/>
      <c r="CE88" s="185"/>
      <c r="CF88" s="131"/>
      <c r="CG88" s="145"/>
      <c r="CH88" s="185"/>
      <c r="CI88" s="131"/>
      <c r="CJ88" s="145"/>
      <c r="CK88" s="185"/>
      <c r="CL88" s="131"/>
      <c r="CM88" s="145"/>
      <c r="CN88" s="185"/>
      <c r="CO88" s="131"/>
      <c r="CP88" s="145"/>
      <c r="CQ88" s="185"/>
      <c r="CR88" s="131"/>
      <c r="CS88" s="145"/>
      <c r="CT88" s="185"/>
      <c r="CU88" s="131"/>
      <c r="CV88" s="145"/>
      <c r="CW88" s="185"/>
      <c r="CX88" s="131"/>
      <c r="CY88" s="145"/>
      <c r="CZ88" s="185"/>
      <c r="DA88" s="140"/>
      <c r="DB88" s="141"/>
      <c r="DC88" s="142"/>
      <c r="DD88" s="140"/>
      <c r="DE88" s="141"/>
      <c r="DF88" s="142"/>
      <c r="DG88" s="140"/>
      <c r="DH88" s="141"/>
      <c r="DI88" s="142"/>
      <c r="DJ88" s="140"/>
      <c r="DK88" s="141"/>
      <c r="DL88" s="142"/>
      <c r="DM88" s="140"/>
      <c r="DN88" s="141"/>
      <c r="DO88" s="142"/>
      <c r="DP88" s="140"/>
      <c r="DQ88" s="141"/>
      <c r="DR88" s="142"/>
      <c r="DS88" s="140"/>
      <c r="DT88" s="141"/>
      <c r="DU88" s="142"/>
      <c r="DV88" s="140"/>
      <c r="DW88" s="141"/>
      <c r="DX88" s="142"/>
      <c r="DY88" s="140"/>
      <c r="DZ88" s="141"/>
      <c r="EA88" s="142"/>
      <c r="EB88" s="140"/>
      <c r="EC88" s="141"/>
      <c r="ED88" s="142"/>
      <c r="EE88" s="140"/>
      <c r="EF88" s="141"/>
      <c r="EG88" s="142"/>
      <c r="EH88" s="140"/>
      <c r="EI88" s="141"/>
      <c r="EJ88" s="142"/>
      <c r="EK88" s="140"/>
      <c r="EL88" s="141"/>
      <c r="EM88" s="142"/>
      <c r="EN88" s="140"/>
      <c r="EO88" s="141"/>
      <c r="EP88" s="142"/>
      <c r="EQ88" s="140"/>
      <c r="ER88" s="141"/>
      <c r="ES88" s="142"/>
      <c r="ET88" s="140"/>
      <c r="EU88" s="141"/>
      <c r="EV88" s="142"/>
      <c r="EW88" s="140"/>
      <c r="EX88" s="141"/>
      <c r="EY88" s="142"/>
      <c r="EZ88" s="140"/>
      <c r="FA88" s="141"/>
      <c r="FB88" s="142"/>
      <c r="FC88" s="140"/>
      <c r="FD88" s="141"/>
      <c r="FE88" s="142"/>
      <c r="FF88" s="140"/>
      <c r="FG88" s="141"/>
      <c r="FH88" s="142"/>
      <c r="FI88" s="140"/>
      <c r="FJ88" s="141"/>
      <c r="FK88" s="142"/>
      <c r="FL88" s="140"/>
      <c r="FM88" s="141"/>
      <c r="FN88" s="142"/>
      <c r="FO88" s="140"/>
      <c r="FP88" s="141"/>
      <c r="FQ88" s="142"/>
      <c r="FR88" s="140"/>
      <c r="FS88" s="141"/>
      <c r="FT88" s="142"/>
      <c r="FU88" s="140"/>
      <c r="FV88" s="141"/>
      <c r="FW88" s="142"/>
      <c r="FX88" s="140"/>
      <c r="FY88" s="141"/>
      <c r="FZ88" s="142"/>
      <c r="GA88" s="140"/>
      <c r="GB88" s="141"/>
      <c r="GC88" s="142"/>
      <c r="GD88" s="140"/>
      <c r="GE88" s="141"/>
      <c r="GF88" s="142"/>
      <c r="GG88" s="140"/>
      <c r="GH88" s="141"/>
      <c r="GI88" s="142"/>
      <c r="GJ88" s="140"/>
      <c r="GK88" s="141"/>
      <c r="GL88" s="142"/>
      <c r="GM88" s="140"/>
      <c r="GN88" s="141"/>
      <c r="GO88" s="142"/>
      <c r="GP88" s="140"/>
      <c r="GQ88" s="141"/>
      <c r="GR88" s="142"/>
      <c r="GS88" s="140"/>
      <c r="GT88" s="141"/>
      <c r="GU88" s="142"/>
      <c r="GV88" s="140"/>
      <c r="GW88" s="141"/>
      <c r="GX88" s="142"/>
      <c r="GY88" s="164"/>
      <c r="GZ88" s="134"/>
      <c r="HA88" s="185"/>
      <c r="HB88" s="164"/>
      <c r="HC88" s="185"/>
      <c r="HD88" s="164"/>
      <c r="HE88" s="185"/>
      <c r="HF88" s="164"/>
      <c r="HG88" s="185"/>
      <c r="HH88" s="164"/>
      <c r="HI88" s="185"/>
      <c r="HJ88" s="164">
        <f>'1910 Hacienda'!C131</f>
        <v>4390</v>
      </c>
      <c r="HK88" s="185">
        <f>'1910 Hacienda'!D131</f>
        <v>0</v>
      </c>
      <c r="HL88" s="164">
        <f>+'1911 Hacienda'!B27</f>
        <v>8410</v>
      </c>
      <c r="HM88" s="185">
        <f>+'1911 Hacienda'!C27</f>
        <v>0</v>
      </c>
      <c r="HN88" s="164"/>
      <c r="HO88" s="185"/>
      <c r="HP88" s="164">
        <f>+'1912 Hacienda'!B13</f>
        <v>9620</v>
      </c>
      <c r="HQ88" s="185">
        <f>+'1912 Hacienda'!C13</f>
        <v>0</v>
      </c>
      <c r="HR88" s="164"/>
      <c r="HS88" s="185"/>
      <c r="HT88" s="164">
        <f>+'1915 Hacienda'!D22</f>
        <v>9500</v>
      </c>
      <c r="HU88" s="185">
        <f>+'1915 Hacienda'!E22</f>
        <v>0</v>
      </c>
    </row>
    <row r="89" spans="1:229" x14ac:dyDescent="0.2">
      <c r="A89" s="178" t="s">
        <v>5557</v>
      </c>
      <c r="B89" s="131"/>
      <c r="C89" s="134"/>
      <c r="D89" s="133"/>
      <c r="E89" s="131"/>
      <c r="F89" s="134"/>
      <c r="G89" s="133"/>
      <c r="H89" s="131"/>
      <c r="I89" s="134"/>
      <c r="J89" s="133"/>
      <c r="K89" s="131"/>
      <c r="L89" s="134"/>
      <c r="M89" s="133"/>
      <c r="N89" s="131"/>
      <c r="O89" s="134"/>
      <c r="P89" s="133"/>
      <c r="Q89" s="131"/>
      <c r="R89" s="134"/>
      <c r="S89" s="133"/>
      <c r="T89" s="131"/>
      <c r="U89" s="134"/>
      <c r="V89" s="133"/>
      <c r="W89" s="131"/>
      <c r="X89" s="134"/>
      <c r="Y89" s="133"/>
      <c r="Z89" s="131"/>
      <c r="AA89" s="134"/>
      <c r="AB89" s="133"/>
      <c r="AC89" s="131"/>
      <c r="AD89" s="134"/>
      <c r="AE89" s="133"/>
      <c r="AF89" s="131"/>
      <c r="AG89" s="134"/>
      <c r="AH89" s="133"/>
      <c r="AI89" s="145"/>
      <c r="AJ89" s="134"/>
      <c r="AK89" s="133"/>
      <c r="AL89" s="131"/>
      <c r="AM89" s="134"/>
      <c r="AN89" s="133"/>
      <c r="AO89" s="131"/>
      <c r="AP89" s="134"/>
      <c r="AQ89" s="133"/>
      <c r="AR89" s="131"/>
      <c r="AS89" s="134"/>
      <c r="AT89" s="180"/>
      <c r="AU89" s="131"/>
      <c r="AV89" s="185"/>
      <c r="AW89" s="131"/>
      <c r="AX89" s="185"/>
      <c r="AY89" s="131"/>
      <c r="AZ89" s="185"/>
      <c r="BA89" s="131"/>
      <c r="BB89" s="185"/>
      <c r="BC89" s="131"/>
      <c r="BD89" s="185"/>
      <c r="BE89" s="131"/>
      <c r="BF89" s="185"/>
      <c r="BG89" s="131"/>
      <c r="BH89" s="185"/>
      <c r="BI89" s="131"/>
      <c r="BJ89" s="185"/>
      <c r="BK89" s="131"/>
      <c r="BL89" s="185"/>
      <c r="BM89" s="131"/>
      <c r="BN89" s="185"/>
      <c r="BO89" s="131"/>
      <c r="BP89" s="134"/>
      <c r="BQ89" s="131"/>
      <c r="BR89" s="145"/>
      <c r="BS89" s="185"/>
      <c r="BT89" s="131"/>
      <c r="BU89" s="185"/>
      <c r="BV89" s="145"/>
      <c r="BW89" s="185"/>
      <c r="BX89" s="145"/>
      <c r="BY89" s="134"/>
      <c r="BZ89" s="131"/>
      <c r="CA89" s="145"/>
      <c r="CB89" s="185"/>
      <c r="CC89" s="131"/>
      <c r="CD89" s="145"/>
      <c r="CE89" s="185"/>
      <c r="CF89" s="131"/>
      <c r="CG89" s="145"/>
      <c r="CH89" s="185"/>
      <c r="CI89" s="131"/>
      <c r="CJ89" s="145"/>
      <c r="CK89" s="185"/>
      <c r="CL89" s="131"/>
      <c r="CM89" s="145"/>
      <c r="CN89" s="185"/>
      <c r="CO89" s="131"/>
      <c r="CP89" s="145"/>
      <c r="CQ89" s="185"/>
      <c r="CR89" s="131"/>
      <c r="CS89" s="145"/>
      <c r="CT89" s="185"/>
      <c r="CU89" s="131"/>
      <c r="CV89" s="145"/>
      <c r="CW89" s="185"/>
      <c r="CX89" s="131"/>
      <c r="CY89" s="145"/>
      <c r="CZ89" s="185"/>
      <c r="DA89" s="140"/>
      <c r="DB89" s="141"/>
      <c r="DC89" s="142"/>
      <c r="DD89" s="140"/>
      <c r="DE89" s="141"/>
      <c r="DF89" s="142"/>
      <c r="DG89" s="140"/>
      <c r="DH89" s="141"/>
      <c r="DI89" s="142"/>
      <c r="DJ89" s="140"/>
      <c r="DK89" s="141"/>
      <c r="DL89" s="142"/>
      <c r="DM89" s="140"/>
      <c r="DN89" s="141"/>
      <c r="DO89" s="142"/>
      <c r="DP89" s="140"/>
      <c r="DQ89" s="141"/>
      <c r="DR89" s="142"/>
      <c r="DS89" s="140"/>
      <c r="DT89" s="141"/>
      <c r="DU89" s="142"/>
      <c r="DV89" s="140"/>
      <c r="DW89" s="141"/>
      <c r="DX89" s="142"/>
      <c r="DY89" s="140"/>
      <c r="DZ89" s="141"/>
      <c r="EA89" s="142"/>
      <c r="EB89" s="140"/>
      <c r="EC89" s="141"/>
      <c r="ED89" s="142"/>
      <c r="EE89" s="140"/>
      <c r="EF89" s="141"/>
      <c r="EG89" s="142"/>
      <c r="EH89" s="140"/>
      <c r="EI89" s="141"/>
      <c r="EJ89" s="142"/>
      <c r="EK89" s="140"/>
      <c r="EL89" s="141"/>
      <c r="EM89" s="142"/>
      <c r="EN89" s="140"/>
      <c r="EO89" s="141"/>
      <c r="EP89" s="142"/>
      <c r="EQ89" s="140"/>
      <c r="ER89" s="141"/>
      <c r="ES89" s="142"/>
      <c r="ET89" s="140"/>
      <c r="EU89" s="141"/>
      <c r="EV89" s="142"/>
      <c r="EW89" s="140"/>
      <c r="EX89" s="141"/>
      <c r="EY89" s="142"/>
      <c r="EZ89" s="140"/>
      <c r="FA89" s="141"/>
      <c r="FB89" s="142"/>
      <c r="FC89" s="140"/>
      <c r="FD89" s="141"/>
      <c r="FE89" s="142"/>
      <c r="FF89" s="140"/>
      <c r="FG89" s="141"/>
      <c r="FH89" s="142"/>
      <c r="FI89" s="140"/>
      <c r="FJ89" s="141"/>
      <c r="FK89" s="142"/>
      <c r="FL89" s="140"/>
      <c r="FM89" s="141"/>
      <c r="FN89" s="142"/>
      <c r="FO89" s="140"/>
      <c r="FP89" s="141"/>
      <c r="FQ89" s="142"/>
      <c r="FR89" s="140"/>
      <c r="FS89" s="141"/>
      <c r="FT89" s="142"/>
      <c r="FU89" s="140"/>
      <c r="FV89" s="141"/>
      <c r="FW89" s="142"/>
      <c r="FX89" s="140"/>
      <c r="FY89" s="141"/>
      <c r="FZ89" s="142"/>
      <c r="GA89" s="140"/>
      <c r="GB89" s="141"/>
      <c r="GC89" s="142"/>
      <c r="GD89" s="140"/>
      <c r="GE89" s="141"/>
      <c r="GF89" s="142"/>
      <c r="GG89" s="140"/>
      <c r="GH89" s="141"/>
      <c r="GI89" s="142"/>
      <c r="GJ89" s="140"/>
      <c r="GK89" s="141"/>
      <c r="GL89" s="142"/>
      <c r="GM89" s="140"/>
      <c r="GN89" s="141"/>
      <c r="GO89" s="142"/>
      <c r="GP89" s="140"/>
      <c r="GQ89" s="141"/>
      <c r="GR89" s="142"/>
      <c r="GS89" s="140"/>
      <c r="GT89" s="141"/>
      <c r="GU89" s="142"/>
      <c r="GV89" s="140"/>
      <c r="GW89" s="141"/>
      <c r="GX89" s="142"/>
      <c r="GY89" s="164"/>
      <c r="GZ89" s="134"/>
      <c r="HA89" s="185"/>
      <c r="HB89" s="164"/>
      <c r="HC89" s="185"/>
      <c r="HD89" s="164"/>
      <c r="HE89" s="185"/>
      <c r="HF89" s="164"/>
      <c r="HG89" s="185"/>
      <c r="HH89" s="164"/>
      <c r="HI89" s="185"/>
      <c r="HJ89" s="164"/>
      <c r="HK89" s="185"/>
      <c r="HL89" s="164">
        <f>+'1911 Hacienda'!B31</f>
        <v>308799</v>
      </c>
      <c r="HM89" s="185">
        <f>+'1911 Hacienda'!C31</f>
        <v>45</v>
      </c>
      <c r="HN89" s="164"/>
      <c r="HO89" s="185"/>
      <c r="HP89" s="164"/>
      <c r="HQ89" s="185"/>
      <c r="HR89" s="164"/>
      <c r="HS89" s="185"/>
      <c r="HT89" s="164"/>
      <c r="HU89" s="185"/>
    </row>
    <row r="90" spans="1:229" x14ac:dyDescent="0.2">
      <c r="A90" s="178" t="s">
        <v>5568</v>
      </c>
      <c r="B90" s="131"/>
      <c r="C90" s="134"/>
      <c r="D90" s="133"/>
      <c r="E90" s="131"/>
      <c r="F90" s="134"/>
      <c r="G90" s="133"/>
      <c r="H90" s="131"/>
      <c r="I90" s="134"/>
      <c r="J90" s="133"/>
      <c r="K90" s="131"/>
      <c r="L90" s="134"/>
      <c r="M90" s="133"/>
      <c r="N90" s="131"/>
      <c r="O90" s="134"/>
      <c r="P90" s="133"/>
      <c r="Q90" s="131"/>
      <c r="R90" s="134"/>
      <c r="S90" s="133"/>
      <c r="T90" s="131"/>
      <c r="U90" s="134"/>
      <c r="V90" s="133"/>
      <c r="W90" s="131"/>
      <c r="X90" s="134"/>
      <c r="Y90" s="133"/>
      <c r="Z90" s="131"/>
      <c r="AA90" s="134"/>
      <c r="AB90" s="133"/>
      <c r="AC90" s="131"/>
      <c r="AD90" s="134"/>
      <c r="AE90" s="133"/>
      <c r="AF90" s="131"/>
      <c r="AG90" s="134"/>
      <c r="AH90" s="133"/>
      <c r="AI90" s="145"/>
      <c r="AJ90" s="134"/>
      <c r="AK90" s="133"/>
      <c r="AL90" s="131"/>
      <c r="AM90" s="134"/>
      <c r="AN90" s="133"/>
      <c r="AO90" s="131"/>
      <c r="AP90" s="134"/>
      <c r="AQ90" s="133"/>
      <c r="AR90" s="131"/>
      <c r="AS90" s="134"/>
      <c r="AT90" s="180"/>
      <c r="AU90" s="131"/>
      <c r="AV90" s="185"/>
      <c r="AW90" s="131"/>
      <c r="AX90" s="185"/>
      <c r="AY90" s="131"/>
      <c r="AZ90" s="185"/>
      <c r="BA90" s="131"/>
      <c r="BB90" s="185"/>
      <c r="BC90" s="131"/>
      <c r="BD90" s="185"/>
      <c r="BE90" s="131"/>
      <c r="BF90" s="185"/>
      <c r="BG90" s="131"/>
      <c r="BH90" s="185"/>
      <c r="BI90" s="131"/>
      <c r="BJ90" s="185"/>
      <c r="BK90" s="131"/>
      <c r="BL90" s="185"/>
      <c r="BM90" s="131"/>
      <c r="BN90" s="185"/>
      <c r="BO90" s="131"/>
      <c r="BP90" s="134"/>
      <c r="BQ90" s="131"/>
      <c r="BR90" s="145"/>
      <c r="BS90" s="185"/>
      <c r="BT90" s="145"/>
      <c r="BU90" s="134"/>
      <c r="BV90" s="131"/>
      <c r="BW90" s="134"/>
      <c r="BX90" s="131"/>
      <c r="BY90" s="134"/>
      <c r="BZ90" s="131"/>
      <c r="CA90" s="145"/>
      <c r="CB90" s="185"/>
      <c r="CC90" s="131"/>
      <c r="CD90" s="145"/>
      <c r="CE90" s="185"/>
      <c r="CF90" s="131"/>
      <c r="CG90" s="145"/>
      <c r="CH90" s="185"/>
      <c r="CI90" s="131"/>
      <c r="CJ90" s="145"/>
      <c r="CK90" s="185"/>
      <c r="CL90" s="131"/>
      <c r="CM90" s="145"/>
      <c r="CN90" s="185"/>
      <c r="CO90" s="131"/>
      <c r="CP90" s="145"/>
      <c r="CQ90" s="185"/>
      <c r="CR90" s="131"/>
      <c r="CS90" s="145"/>
      <c r="CT90" s="185"/>
      <c r="CU90" s="131"/>
      <c r="CV90" s="145"/>
      <c r="CW90" s="185"/>
      <c r="CX90" s="131"/>
      <c r="CY90" s="145"/>
      <c r="CZ90" s="185"/>
      <c r="DA90" s="140"/>
      <c r="DB90" s="141"/>
      <c r="DC90" s="142"/>
      <c r="DD90" s="140"/>
      <c r="DE90" s="141"/>
      <c r="DF90" s="142"/>
      <c r="DG90" s="140"/>
      <c r="DH90" s="141"/>
      <c r="DI90" s="142"/>
      <c r="DJ90" s="140"/>
      <c r="DK90" s="141"/>
      <c r="DL90" s="142"/>
      <c r="DM90" s="140"/>
      <c r="DN90" s="141"/>
      <c r="DO90" s="142"/>
      <c r="DP90" s="140"/>
      <c r="DQ90" s="141"/>
      <c r="DR90" s="142"/>
      <c r="DS90" s="140"/>
      <c r="DT90" s="141"/>
      <c r="DU90" s="142"/>
      <c r="DV90" s="140"/>
      <c r="DW90" s="141"/>
      <c r="DX90" s="142"/>
      <c r="DY90" s="140"/>
      <c r="DZ90" s="141"/>
      <c r="EA90" s="142"/>
      <c r="EB90" s="140"/>
      <c r="EC90" s="141"/>
      <c r="ED90" s="142"/>
      <c r="EE90" s="140"/>
      <c r="EF90" s="141"/>
      <c r="EG90" s="142"/>
      <c r="EH90" s="140"/>
      <c r="EI90" s="141"/>
      <c r="EJ90" s="142"/>
      <c r="EK90" s="140"/>
      <c r="EL90" s="141"/>
      <c r="EM90" s="142"/>
      <c r="EN90" s="140"/>
      <c r="EO90" s="141"/>
      <c r="EP90" s="142"/>
      <c r="EQ90" s="140"/>
      <c r="ER90" s="141"/>
      <c r="ES90" s="142"/>
      <c r="ET90" s="140"/>
      <c r="EU90" s="141"/>
      <c r="EV90" s="142"/>
      <c r="EW90" s="140"/>
      <c r="EX90" s="141"/>
      <c r="EY90" s="142"/>
      <c r="EZ90" s="140"/>
      <c r="FA90" s="141"/>
      <c r="FB90" s="142"/>
      <c r="FC90" s="140"/>
      <c r="FD90" s="141"/>
      <c r="FE90" s="142"/>
      <c r="FF90" s="140"/>
      <c r="FG90" s="141"/>
      <c r="FH90" s="142"/>
      <c r="FI90" s="140"/>
      <c r="FJ90" s="141"/>
      <c r="FK90" s="142"/>
      <c r="FL90" s="140"/>
      <c r="FM90" s="141"/>
      <c r="FN90" s="142"/>
      <c r="FO90" s="140"/>
      <c r="FP90" s="141"/>
      <c r="FQ90" s="142"/>
      <c r="FR90" s="140"/>
      <c r="FS90" s="141"/>
      <c r="FT90" s="142"/>
      <c r="FU90" s="140"/>
      <c r="FV90" s="141"/>
      <c r="FW90" s="142"/>
      <c r="FX90" s="140"/>
      <c r="FY90" s="141"/>
      <c r="FZ90" s="142"/>
      <c r="GA90" s="140"/>
      <c r="GB90" s="141"/>
      <c r="GC90" s="142"/>
      <c r="GD90" s="140"/>
      <c r="GE90" s="141"/>
      <c r="GF90" s="142"/>
      <c r="GG90" s="140"/>
      <c r="GH90" s="141"/>
      <c r="GI90" s="142"/>
      <c r="GJ90" s="140"/>
      <c r="GK90" s="141"/>
      <c r="GL90" s="142"/>
      <c r="GM90" s="140"/>
      <c r="GN90" s="141"/>
      <c r="GO90" s="142"/>
      <c r="GP90" s="140"/>
      <c r="GQ90" s="141"/>
      <c r="GR90" s="142"/>
      <c r="GS90" s="140"/>
      <c r="GT90" s="141"/>
      <c r="GU90" s="142"/>
      <c r="GV90" s="140"/>
      <c r="GW90" s="141"/>
      <c r="GX90" s="142"/>
      <c r="GY90" s="164"/>
      <c r="GZ90" s="134"/>
      <c r="HA90" s="185"/>
      <c r="HB90" s="164"/>
      <c r="HC90" s="185"/>
      <c r="HD90" s="164"/>
      <c r="HE90" s="185"/>
      <c r="HF90" s="164"/>
      <c r="HG90" s="185"/>
      <c r="HH90" s="164"/>
      <c r="HI90" s="185"/>
      <c r="HJ90" s="164"/>
      <c r="HK90" s="185"/>
      <c r="HL90" s="164">
        <f>+'1911 Hacienda'!B45</f>
        <v>24517</v>
      </c>
      <c r="HM90" s="185">
        <f>+'1911 Hacienda'!C45</f>
        <v>80</v>
      </c>
      <c r="HN90" s="164"/>
      <c r="HO90" s="185"/>
      <c r="HP90" s="164">
        <f>+'1912 Hacienda'!B32</f>
        <v>7425</v>
      </c>
      <c r="HQ90" s="185">
        <f>+'1912 Hacienda'!C32</f>
        <v>55</v>
      </c>
      <c r="HR90" s="164"/>
      <c r="HS90" s="185"/>
      <c r="HT90" s="164">
        <f>+'1915 Hacienda'!B32</f>
        <v>16367</v>
      </c>
      <c r="HU90" s="185">
        <f>+'1915 Hacienda'!C32</f>
        <v>70</v>
      </c>
    </row>
    <row r="91" spans="1:229" x14ac:dyDescent="0.2">
      <c r="A91" s="178" t="s">
        <v>5569</v>
      </c>
      <c r="B91" s="131"/>
      <c r="C91" s="134"/>
      <c r="D91" s="133"/>
      <c r="E91" s="131"/>
      <c r="F91" s="134"/>
      <c r="G91" s="133"/>
      <c r="H91" s="131"/>
      <c r="I91" s="134"/>
      <c r="J91" s="133"/>
      <c r="K91" s="131"/>
      <c r="L91" s="134"/>
      <c r="M91" s="133"/>
      <c r="N91" s="131"/>
      <c r="O91" s="134"/>
      <c r="P91" s="133"/>
      <c r="Q91" s="131"/>
      <c r="R91" s="134"/>
      <c r="S91" s="133"/>
      <c r="T91" s="131"/>
      <c r="U91" s="134"/>
      <c r="V91" s="133"/>
      <c r="W91" s="131"/>
      <c r="X91" s="134"/>
      <c r="Y91" s="133"/>
      <c r="Z91" s="131"/>
      <c r="AA91" s="134"/>
      <c r="AB91" s="133"/>
      <c r="AC91" s="131"/>
      <c r="AD91" s="134"/>
      <c r="AE91" s="133"/>
      <c r="AF91" s="131"/>
      <c r="AG91" s="134"/>
      <c r="AH91" s="133"/>
      <c r="AI91" s="145"/>
      <c r="AJ91" s="134"/>
      <c r="AK91" s="133"/>
      <c r="AL91" s="131"/>
      <c r="AM91" s="134"/>
      <c r="AN91" s="133"/>
      <c r="AO91" s="131"/>
      <c r="AP91" s="134"/>
      <c r="AQ91" s="133"/>
      <c r="AR91" s="131"/>
      <c r="AS91" s="134"/>
      <c r="AT91" s="180"/>
      <c r="AU91" s="131"/>
      <c r="AV91" s="185"/>
      <c r="AW91" s="131"/>
      <c r="AX91" s="185"/>
      <c r="AY91" s="131"/>
      <c r="AZ91" s="185"/>
      <c r="BA91" s="131"/>
      <c r="BB91" s="185"/>
      <c r="BC91" s="131"/>
      <c r="BD91" s="185"/>
      <c r="BE91" s="131"/>
      <c r="BF91" s="185"/>
      <c r="BG91" s="131"/>
      <c r="BH91" s="185"/>
      <c r="BI91" s="131"/>
      <c r="BJ91" s="185"/>
      <c r="BK91" s="131"/>
      <c r="BL91" s="185"/>
      <c r="BM91" s="131"/>
      <c r="BN91" s="185"/>
      <c r="BO91" s="131"/>
      <c r="BP91" s="134"/>
      <c r="BQ91" s="131"/>
      <c r="BR91" s="145"/>
      <c r="BS91" s="185"/>
      <c r="BT91" s="145"/>
      <c r="BU91" s="134"/>
      <c r="BV91" s="131"/>
      <c r="BW91" s="134"/>
      <c r="BX91" s="131"/>
      <c r="BY91" s="134"/>
      <c r="BZ91" s="131"/>
      <c r="CA91" s="145"/>
      <c r="CB91" s="185"/>
      <c r="CC91" s="131"/>
      <c r="CD91" s="134"/>
      <c r="CE91" s="133"/>
      <c r="CF91" s="131"/>
      <c r="CG91" s="134"/>
      <c r="CH91" s="133"/>
      <c r="CI91" s="131"/>
      <c r="CJ91" s="134"/>
      <c r="CK91" s="133"/>
      <c r="CL91" s="131"/>
      <c r="CM91" s="134"/>
      <c r="CN91" s="133"/>
      <c r="CO91" s="131"/>
      <c r="CP91" s="134"/>
      <c r="CQ91" s="133"/>
      <c r="CR91" s="131"/>
      <c r="CS91" s="134"/>
      <c r="CT91" s="133"/>
      <c r="CU91" s="131"/>
      <c r="CV91" s="134"/>
      <c r="CW91" s="133"/>
      <c r="CX91" s="131"/>
      <c r="CY91" s="134"/>
      <c r="CZ91" s="133"/>
      <c r="DA91" s="140"/>
      <c r="DB91" s="141"/>
      <c r="DC91" s="142"/>
      <c r="DD91" s="140"/>
      <c r="DE91" s="141"/>
      <c r="DF91" s="142"/>
      <c r="DG91" s="140"/>
      <c r="DH91" s="141"/>
      <c r="DI91" s="142"/>
      <c r="DJ91" s="140"/>
      <c r="DK91" s="141"/>
      <c r="DL91" s="142"/>
      <c r="DM91" s="140"/>
      <c r="DN91" s="141"/>
      <c r="DO91" s="142"/>
      <c r="DP91" s="140"/>
      <c r="DQ91" s="141"/>
      <c r="DR91" s="142"/>
      <c r="DS91" s="140"/>
      <c r="DT91" s="141"/>
      <c r="DU91" s="142"/>
      <c r="DV91" s="140"/>
      <c r="DW91" s="141"/>
      <c r="DX91" s="142"/>
      <c r="DY91" s="140"/>
      <c r="DZ91" s="141"/>
      <c r="EA91" s="142"/>
      <c r="EB91" s="140"/>
      <c r="EC91" s="141"/>
      <c r="ED91" s="142"/>
      <c r="EE91" s="140"/>
      <c r="EF91" s="141"/>
      <c r="EG91" s="142"/>
      <c r="EH91" s="140"/>
      <c r="EI91" s="141"/>
      <c r="EJ91" s="142"/>
      <c r="EK91" s="140"/>
      <c r="EL91" s="141"/>
      <c r="EM91" s="142"/>
      <c r="EN91" s="140"/>
      <c r="EO91" s="141"/>
      <c r="EP91" s="142"/>
      <c r="EQ91" s="140"/>
      <c r="ER91" s="141"/>
      <c r="ES91" s="142"/>
      <c r="ET91" s="140"/>
      <c r="EU91" s="141"/>
      <c r="EV91" s="142"/>
      <c r="EW91" s="140"/>
      <c r="EX91" s="141"/>
      <c r="EY91" s="142"/>
      <c r="EZ91" s="140"/>
      <c r="FA91" s="141"/>
      <c r="FB91" s="142"/>
      <c r="FC91" s="140"/>
      <c r="FD91" s="141"/>
      <c r="FE91" s="142"/>
      <c r="FF91" s="140"/>
      <c r="FG91" s="141"/>
      <c r="FH91" s="142"/>
      <c r="FI91" s="140"/>
      <c r="FJ91" s="141"/>
      <c r="FK91" s="142"/>
      <c r="FL91" s="140"/>
      <c r="FM91" s="141"/>
      <c r="FN91" s="142"/>
      <c r="FO91" s="140"/>
      <c r="FP91" s="141"/>
      <c r="FQ91" s="142"/>
      <c r="FR91" s="140"/>
      <c r="FS91" s="141"/>
      <c r="FT91" s="142"/>
      <c r="FU91" s="140"/>
      <c r="FV91" s="141"/>
      <c r="FW91" s="142"/>
      <c r="FX91" s="140"/>
      <c r="FY91" s="141"/>
      <c r="FZ91" s="142"/>
      <c r="GA91" s="140"/>
      <c r="GB91" s="141"/>
      <c r="GC91" s="142"/>
      <c r="GD91" s="140"/>
      <c r="GE91" s="141"/>
      <c r="GF91" s="142"/>
      <c r="GG91" s="140"/>
      <c r="GH91" s="141"/>
      <c r="GI91" s="142"/>
      <c r="GJ91" s="140"/>
      <c r="GK91" s="141"/>
      <c r="GL91" s="142"/>
      <c r="GM91" s="140"/>
      <c r="GN91" s="141"/>
      <c r="GO91" s="142"/>
      <c r="GP91" s="140"/>
      <c r="GQ91" s="141"/>
      <c r="GR91" s="142"/>
      <c r="GS91" s="140"/>
      <c r="GT91" s="141"/>
      <c r="GU91" s="142"/>
      <c r="GV91" s="140"/>
      <c r="GW91" s="141"/>
      <c r="GX91" s="142"/>
      <c r="GY91" s="164"/>
      <c r="GZ91" s="134"/>
      <c r="HA91" s="185"/>
      <c r="HB91" s="164"/>
      <c r="HC91" s="185"/>
      <c r="HD91" s="164"/>
      <c r="HE91" s="185"/>
      <c r="HF91" s="164"/>
      <c r="HG91" s="185"/>
      <c r="HH91" s="164"/>
      <c r="HI91" s="185"/>
      <c r="HJ91" s="164"/>
      <c r="HK91" s="185"/>
      <c r="HL91" s="164">
        <f>+'1911 Hacienda'!B46</f>
        <v>32475</v>
      </c>
      <c r="HM91" s="185">
        <f>+'1911 Hacienda'!C46</f>
        <v>77</v>
      </c>
      <c r="HN91" s="164"/>
      <c r="HO91" s="185"/>
      <c r="HP91" s="164">
        <f>+'1912 Hacienda'!B31</f>
        <v>46655</v>
      </c>
      <c r="HQ91" s="185">
        <f>+'1912 Hacienda'!C31</f>
        <v>1</v>
      </c>
      <c r="HR91" s="164"/>
      <c r="HS91" s="185"/>
      <c r="HT91" s="164">
        <f>+'1915 Hacienda'!B31</f>
        <v>68445</v>
      </c>
      <c r="HU91" s="185">
        <f>+'1915 Hacienda'!C31</f>
        <v>35</v>
      </c>
    </row>
    <row r="92" spans="1:229" ht="30" x14ac:dyDescent="0.2">
      <c r="A92" s="178" t="s">
        <v>6062</v>
      </c>
      <c r="B92" s="131"/>
      <c r="C92" s="134"/>
      <c r="D92" s="133"/>
      <c r="E92" s="131"/>
      <c r="F92" s="134"/>
      <c r="G92" s="133"/>
      <c r="H92" s="131"/>
      <c r="I92" s="134"/>
      <c r="J92" s="133"/>
      <c r="K92" s="131"/>
      <c r="L92" s="134"/>
      <c r="M92" s="133"/>
      <c r="N92" s="131"/>
      <c r="O92" s="134"/>
      <c r="P92" s="133"/>
      <c r="Q92" s="131"/>
      <c r="R92" s="134"/>
      <c r="S92" s="133"/>
      <c r="T92" s="131"/>
      <c r="U92" s="134"/>
      <c r="V92" s="133"/>
      <c r="W92" s="131"/>
      <c r="X92" s="134"/>
      <c r="Y92" s="133"/>
      <c r="Z92" s="131"/>
      <c r="AA92" s="134"/>
      <c r="AB92" s="133"/>
      <c r="AC92" s="131"/>
      <c r="AD92" s="134"/>
      <c r="AE92" s="133"/>
      <c r="AF92" s="131"/>
      <c r="AG92" s="134"/>
      <c r="AH92" s="133"/>
      <c r="AI92" s="145"/>
      <c r="AJ92" s="134"/>
      <c r="AK92" s="133"/>
      <c r="AL92" s="131"/>
      <c r="AM92" s="134"/>
      <c r="AN92" s="133"/>
      <c r="AO92" s="131"/>
      <c r="AP92" s="134"/>
      <c r="AQ92" s="133"/>
      <c r="AR92" s="131"/>
      <c r="AS92" s="134"/>
      <c r="AT92" s="180"/>
      <c r="AU92" s="131"/>
      <c r="AV92" s="185"/>
      <c r="AW92" s="131"/>
      <c r="AX92" s="185"/>
      <c r="AY92" s="131"/>
      <c r="AZ92" s="185"/>
      <c r="BA92" s="131"/>
      <c r="BB92" s="185"/>
      <c r="BC92" s="131"/>
      <c r="BD92" s="185"/>
      <c r="BE92" s="131"/>
      <c r="BF92" s="185"/>
      <c r="BG92" s="131"/>
      <c r="BH92" s="185"/>
      <c r="BI92" s="131"/>
      <c r="BJ92" s="185"/>
      <c r="BK92" s="131"/>
      <c r="BL92" s="185"/>
      <c r="BM92" s="131"/>
      <c r="BN92" s="185"/>
      <c r="BO92" s="131"/>
      <c r="BP92" s="134"/>
      <c r="BQ92" s="131"/>
      <c r="BR92" s="134"/>
      <c r="BS92" s="133"/>
      <c r="BT92" s="145"/>
      <c r="BU92" s="134"/>
      <c r="BV92" s="131"/>
      <c r="BW92" s="134"/>
      <c r="BX92" s="131"/>
      <c r="BY92" s="134"/>
      <c r="BZ92" s="131"/>
      <c r="CA92" s="134"/>
      <c r="CB92" s="133"/>
      <c r="CC92" s="131"/>
      <c r="CD92" s="134"/>
      <c r="CE92" s="133"/>
      <c r="CF92" s="131"/>
      <c r="CG92" s="134"/>
      <c r="CH92" s="133"/>
      <c r="CI92" s="131"/>
      <c r="CJ92" s="134"/>
      <c r="CK92" s="133"/>
      <c r="CL92" s="131"/>
      <c r="CM92" s="134"/>
      <c r="CN92" s="133"/>
      <c r="CO92" s="131"/>
      <c r="CP92" s="134"/>
      <c r="CQ92" s="133"/>
      <c r="CR92" s="131"/>
      <c r="CS92" s="134"/>
      <c r="CT92" s="133"/>
      <c r="CU92" s="131"/>
      <c r="CV92" s="134"/>
      <c r="CW92" s="133"/>
      <c r="CX92" s="131"/>
      <c r="CY92" s="134"/>
      <c r="CZ92" s="133"/>
      <c r="DA92" s="140"/>
      <c r="DB92" s="141"/>
      <c r="DC92" s="142"/>
      <c r="DD92" s="140"/>
      <c r="DE92" s="141"/>
      <c r="DF92" s="142"/>
      <c r="DG92" s="140"/>
      <c r="DH92" s="141"/>
      <c r="DI92" s="142"/>
      <c r="DJ92" s="140"/>
      <c r="DK92" s="141"/>
      <c r="DL92" s="142"/>
      <c r="DM92" s="140"/>
      <c r="DN92" s="141"/>
      <c r="DO92" s="142"/>
      <c r="DP92" s="140"/>
      <c r="DQ92" s="141"/>
      <c r="DR92" s="142"/>
      <c r="DS92" s="140"/>
      <c r="DT92" s="141"/>
      <c r="DU92" s="142"/>
      <c r="DV92" s="140"/>
      <c r="DW92" s="141"/>
      <c r="DX92" s="142"/>
      <c r="DY92" s="140"/>
      <c r="DZ92" s="141"/>
      <c r="EA92" s="142"/>
      <c r="EB92" s="140"/>
      <c r="EC92" s="141"/>
      <c r="ED92" s="142"/>
      <c r="EE92" s="140"/>
      <c r="EF92" s="141"/>
      <c r="EG92" s="142"/>
      <c r="EH92" s="140"/>
      <c r="EI92" s="141"/>
      <c r="EJ92" s="142"/>
      <c r="EK92" s="140"/>
      <c r="EL92" s="141"/>
      <c r="EM92" s="142"/>
      <c r="EN92" s="140"/>
      <c r="EO92" s="141"/>
      <c r="EP92" s="142"/>
      <c r="EQ92" s="140"/>
      <c r="ER92" s="141"/>
      <c r="ES92" s="142"/>
      <c r="ET92" s="140"/>
      <c r="EU92" s="141"/>
      <c r="EV92" s="142"/>
      <c r="EW92" s="140"/>
      <c r="EX92" s="141"/>
      <c r="EY92" s="142"/>
      <c r="EZ92" s="140"/>
      <c r="FA92" s="141"/>
      <c r="FB92" s="142"/>
      <c r="FC92" s="140"/>
      <c r="FD92" s="141"/>
      <c r="FE92" s="142"/>
      <c r="FF92" s="140"/>
      <c r="FG92" s="141"/>
      <c r="FH92" s="142"/>
      <c r="FI92" s="140"/>
      <c r="FJ92" s="141"/>
      <c r="FK92" s="142"/>
      <c r="FL92" s="140"/>
      <c r="FM92" s="141"/>
      <c r="FN92" s="142"/>
      <c r="FO92" s="140"/>
      <c r="FP92" s="141"/>
      <c r="FQ92" s="142"/>
      <c r="FR92" s="140"/>
      <c r="FS92" s="141"/>
      <c r="FT92" s="142"/>
      <c r="FU92" s="140"/>
      <c r="FV92" s="141"/>
      <c r="FW92" s="142"/>
      <c r="FX92" s="140"/>
      <c r="FY92" s="141"/>
      <c r="FZ92" s="142"/>
      <c r="GA92" s="140"/>
      <c r="GB92" s="141"/>
      <c r="GC92" s="142"/>
      <c r="GD92" s="140"/>
      <c r="GE92" s="141"/>
      <c r="GF92" s="142"/>
      <c r="GG92" s="140"/>
      <c r="GH92" s="141"/>
      <c r="GI92" s="142"/>
      <c r="GJ92" s="140"/>
      <c r="GK92" s="141"/>
      <c r="GL92" s="142"/>
      <c r="GM92" s="140"/>
      <c r="GN92" s="141"/>
      <c r="GO92" s="142"/>
      <c r="GP92" s="140"/>
      <c r="GQ92" s="141"/>
      <c r="GR92" s="142"/>
      <c r="GS92" s="140"/>
      <c r="GT92" s="141"/>
      <c r="GU92" s="142"/>
      <c r="GV92" s="140"/>
      <c r="GW92" s="141"/>
      <c r="GX92" s="142"/>
      <c r="GY92" s="164"/>
      <c r="GZ92" s="134"/>
      <c r="HA92" s="185"/>
      <c r="HB92" s="164"/>
      <c r="HC92" s="185"/>
      <c r="HD92" s="164"/>
      <c r="HE92" s="185"/>
      <c r="HF92" s="164"/>
      <c r="HG92" s="185"/>
      <c r="HH92" s="164"/>
      <c r="HI92" s="185"/>
      <c r="HJ92" s="164"/>
      <c r="HK92" s="185"/>
      <c r="HL92" s="164">
        <f>+'1911 Hacienda'!B47</f>
        <v>75418</v>
      </c>
      <c r="HM92" s="185">
        <f>+'1911 Hacienda'!C47</f>
        <v>77</v>
      </c>
      <c r="HN92" s="164"/>
      <c r="HO92" s="185"/>
      <c r="HP92" s="164"/>
      <c r="HQ92" s="185"/>
      <c r="HR92" s="164"/>
      <c r="HS92" s="185"/>
      <c r="HT92" s="164"/>
      <c r="HU92" s="185"/>
    </row>
    <row r="93" spans="1:229" ht="30" x14ac:dyDescent="0.2">
      <c r="A93" s="178" t="s">
        <v>6063</v>
      </c>
      <c r="B93" s="131"/>
      <c r="C93" s="134"/>
      <c r="D93" s="133"/>
      <c r="E93" s="131"/>
      <c r="F93" s="134"/>
      <c r="G93" s="133"/>
      <c r="H93" s="131"/>
      <c r="I93" s="134"/>
      <c r="J93" s="133"/>
      <c r="K93" s="131"/>
      <c r="L93" s="134"/>
      <c r="M93" s="133"/>
      <c r="N93" s="131"/>
      <c r="O93" s="134"/>
      <c r="P93" s="133"/>
      <c r="Q93" s="131"/>
      <c r="R93" s="134"/>
      <c r="S93" s="133"/>
      <c r="T93" s="131"/>
      <c r="U93" s="134"/>
      <c r="V93" s="133"/>
      <c r="W93" s="131"/>
      <c r="X93" s="134"/>
      <c r="Y93" s="133"/>
      <c r="Z93" s="131"/>
      <c r="AA93" s="134"/>
      <c r="AB93" s="133"/>
      <c r="AC93" s="131"/>
      <c r="AD93" s="134"/>
      <c r="AE93" s="133"/>
      <c r="AF93" s="131"/>
      <c r="AG93" s="134"/>
      <c r="AH93" s="133"/>
      <c r="AI93" s="145"/>
      <c r="AJ93" s="134"/>
      <c r="AK93" s="133"/>
      <c r="AL93" s="131"/>
      <c r="AM93" s="134"/>
      <c r="AN93" s="133"/>
      <c r="AO93" s="131"/>
      <c r="AP93" s="134"/>
      <c r="AQ93" s="133"/>
      <c r="AR93" s="131"/>
      <c r="AS93" s="134"/>
      <c r="AT93" s="180"/>
      <c r="AU93" s="131"/>
      <c r="AV93" s="185"/>
      <c r="AW93" s="131"/>
      <c r="AX93" s="185"/>
      <c r="AY93" s="131"/>
      <c r="AZ93" s="185"/>
      <c r="BA93" s="131"/>
      <c r="BB93" s="185"/>
      <c r="BC93" s="131"/>
      <c r="BD93" s="185"/>
      <c r="BE93" s="131"/>
      <c r="BF93" s="185"/>
      <c r="BG93" s="131"/>
      <c r="BH93" s="185"/>
      <c r="BI93" s="131"/>
      <c r="BJ93" s="185"/>
      <c r="BK93" s="131"/>
      <c r="BL93" s="185"/>
      <c r="BM93" s="131"/>
      <c r="BN93" s="185"/>
      <c r="BO93" s="131"/>
      <c r="BP93" s="134"/>
      <c r="BQ93" s="131"/>
      <c r="BR93" s="134"/>
      <c r="BS93" s="133"/>
      <c r="BT93" s="145"/>
      <c r="BU93" s="134"/>
      <c r="BV93" s="131"/>
      <c r="BW93" s="134"/>
      <c r="BX93" s="131"/>
      <c r="BY93" s="134"/>
      <c r="BZ93" s="131"/>
      <c r="CA93" s="134"/>
      <c r="CB93" s="133"/>
      <c r="CC93" s="131"/>
      <c r="CD93" s="134"/>
      <c r="CE93" s="133"/>
      <c r="CF93" s="131"/>
      <c r="CG93" s="134"/>
      <c r="CH93" s="133"/>
      <c r="CI93" s="131"/>
      <c r="CJ93" s="134"/>
      <c r="CK93" s="133"/>
      <c r="CL93" s="131"/>
      <c r="CM93" s="134"/>
      <c r="CN93" s="133"/>
      <c r="CO93" s="131"/>
      <c r="CP93" s="134"/>
      <c r="CQ93" s="133"/>
      <c r="CR93" s="131"/>
      <c r="CS93" s="134"/>
      <c r="CT93" s="133"/>
      <c r="CU93" s="131"/>
      <c r="CV93" s="134"/>
      <c r="CW93" s="133"/>
      <c r="CX93" s="131"/>
      <c r="CY93" s="134"/>
      <c r="CZ93" s="133"/>
      <c r="DA93" s="140"/>
      <c r="DB93" s="141"/>
      <c r="DC93" s="142"/>
      <c r="DD93" s="140"/>
      <c r="DE93" s="141"/>
      <c r="DF93" s="142"/>
      <c r="DG93" s="140"/>
      <c r="DH93" s="141"/>
      <c r="DI93" s="142"/>
      <c r="DJ93" s="140"/>
      <c r="DK93" s="141"/>
      <c r="DL93" s="142"/>
      <c r="DM93" s="140"/>
      <c r="DN93" s="141"/>
      <c r="DO93" s="142"/>
      <c r="DP93" s="140"/>
      <c r="DQ93" s="141"/>
      <c r="DR93" s="142"/>
      <c r="DS93" s="140"/>
      <c r="DT93" s="141"/>
      <c r="DU93" s="142"/>
      <c r="DV93" s="140"/>
      <c r="DW93" s="141"/>
      <c r="DX93" s="142"/>
      <c r="DY93" s="140"/>
      <c r="DZ93" s="141"/>
      <c r="EA93" s="142"/>
      <c r="EB93" s="140"/>
      <c r="EC93" s="141"/>
      <c r="ED93" s="142"/>
      <c r="EE93" s="140"/>
      <c r="EF93" s="141"/>
      <c r="EG93" s="142"/>
      <c r="EH93" s="140"/>
      <c r="EI93" s="141"/>
      <c r="EJ93" s="142"/>
      <c r="EK93" s="140"/>
      <c r="EL93" s="141"/>
      <c r="EM93" s="142"/>
      <c r="EN93" s="140"/>
      <c r="EO93" s="141"/>
      <c r="EP93" s="142"/>
      <c r="EQ93" s="140"/>
      <c r="ER93" s="141"/>
      <c r="ES93" s="142"/>
      <c r="ET93" s="140"/>
      <c r="EU93" s="141"/>
      <c r="EV93" s="142"/>
      <c r="EW93" s="140"/>
      <c r="EX93" s="141"/>
      <c r="EY93" s="142"/>
      <c r="EZ93" s="140"/>
      <c r="FA93" s="141"/>
      <c r="FB93" s="142"/>
      <c r="FC93" s="140"/>
      <c r="FD93" s="141"/>
      <c r="FE93" s="142"/>
      <c r="FF93" s="140"/>
      <c r="FG93" s="141"/>
      <c r="FH93" s="142"/>
      <c r="FI93" s="140"/>
      <c r="FJ93" s="141"/>
      <c r="FK93" s="142"/>
      <c r="FL93" s="140"/>
      <c r="FM93" s="141"/>
      <c r="FN93" s="142"/>
      <c r="FO93" s="140"/>
      <c r="FP93" s="141"/>
      <c r="FQ93" s="142"/>
      <c r="FR93" s="140"/>
      <c r="FS93" s="141"/>
      <c r="FT93" s="142"/>
      <c r="FU93" s="140"/>
      <c r="FV93" s="141"/>
      <c r="FW93" s="142"/>
      <c r="FX93" s="140"/>
      <c r="FY93" s="141"/>
      <c r="FZ93" s="142"/>
      <c r="GA93" s="140"/>
      <c r="GB93" s="141"/>
      <c r="GC93" s="142"/>
      <c r="GD93" s="140"/>
      <c r="GE93" s="141"/>
      <c r="GF93" s="142"/>
      <c r="GG93" s="140"/>
      <c r="GH93" s="141"/>
      <c r="GI93" s="142"/>
      <c r="GJ93" s="140"/>
      <c r="GK93" s="141"/>
      <c r="GL93" s="142"/>
      <c r="GM93" s="140"/>
      <c r="GN93" s="141"/>
      <c r="GO93" s="142"/>
      <c r="GP93" s="140"/>
      <c r="GQ93" s="141"/>
      <c r="GR93" s="142"/>
      <c r="GS93" s="140"/>
      <c r="GT93" s="141"/>
      <c r="GU93" s="142"/>
      <c r="GV93" s="140"/>
      <c r="GW93" s="141"/>
      <c r="GX93" s="142"/>
      <c r="GY93" s="164"/>
      <c r="GZ93" s="134"/>
      <c r="HA93" s="185"/>
      <c r="HB93" s="164"/>
      <c r="HC93" s="185"/>
      <c r="HD93" s="164"/>
      <c r="HE93" s="185"/>
      <c r="HF93" s="164"/>
      <c r="HG93" s="185"/>
      <c r="HH93" s="164"/>
      <c r="HI93" s="185"/>
      <c r="HJ93" s="164"/>
      <c r="HK93" s="185"/>
      <c r="HL93" s="164"/>
      <c r="HM93" s="185"/>
      <c r="HN93" s="164"/>
      <c r="HO93" s="185"/>
      <c r="HP93" s="164">
        <f>+'1912 Hacienda'!B30</f>
        <v>257682</v>
      </c>
      <c r="HQ93" s="185">
        <f>+'1912 Hacienda'!C30</f>
        <v>5</v>
      </c>
      <c r="HR93" s="164"/>
      <c r="HS93" s="185"/>
      <c r="HT93" s="164"/>
      <c r="HU93" s="185"/>
    </row>
    <row r="94" spans="1:229" x14ac:dyDescent="0.2">
      <c r="A94" s="178" t="s">
        <v>5628</v>
      </c>
      <c r="B94" s="131"/>
      <c r="C94" s="134"/>
      <c r="D94" s="133"/>
      <c r="E94" s="131"/>
      <c r="F94" s="134"/>
      <c r="G94" s="133"/>
      <c r="H94" s="131"/>
      <c r="I94" s="134"/>
      <c r="J94" s="133"/>
      <c r="K94" s="131"/>
      <c r="L94" s="134"/>
      <c r="M94" s="133"/>
      <c r="N94" s="131"/>
      <c r="O94" s="134"/>
      <c r="P94" s="133"/>
      <c r="Q94" s="131"/>
      <c r="R94" s="134"/>
      <c r="S94" s="133"/>
      <c r="T94" s="131"/>
      <c r="U94" s="134"/>
      <c r="V94" s="133"/>
      <c r="W94" s="131"/>
      <c r="X94" s="134"/>
      <c r="Y94" s="133"/>
      <c r="Z94" s="131"/>
      <c r="AA94" s="134"/>
      <c r="AB94" s="133"/>
      <c r="AC94" s="131"/>
      <c r="AD94" s="134"/>
      <c r="AE94" s="133"/>
      <c r="AF94" s="131"/>
      <c r="AG94" s="134"/>
      <c r="AH94" s="133"/>
      <c r="AI94" s="145"/>
      <c r="AJ94" s="134"/>
      <c r="AK94" s="133"/>
      <c r="AL94" s="131"/>
      <c r="AM94" s="134"/>
      <c r="AN94" s="133"/>
      <c r="AO94" s="131"/>
      <c r="AP94" s="134"/>
      <c r="AQ94" s="133"/>
      <c r="AR94" s="131"/>
      <c r="AS94" s="134"/>
      <c r="AT94" s="180"/>
      <c r="AU94" s="131"/>
      <c r="AV94" s="185"/>
      <c r="AW94" s="131"/>
      <c r="AX94" s="185"/>
      <c r="AY94" s="131"/>
      <c r="AZ94" s="185"/>
      <c r="BA94" s="131"/>
      <c r="BB94" s="185"/>
      <c r="BC94" s="131"/>
      <c r="BD94" s="185"/>
      <c r="BE94" s="131"/>
      <c r="BF94" s="185"/>
      <c r="BG94" s="131"/>
      <c r="BH94" s="185"/>
      <c r="BI94" s="131"/>
      <c r="BJ94" s="185"/>
      <c r="BK94" s="131"/>
      <c r="BL94" s="185"/>
      <c r="BM94" s="131"/>
      <c r="BN94" s="185"/>
      <c r="BO94" s="131"/>
      <c r="BP94" s="134"/>
      <c r="BQ94" s="131"/>
      <c r="BR94" s="134"/>
      <c r="BS94" s="133"/>
      <c r="BT94" s="145"/>
      <c r="BU94" s="134"/>
      <c r="BV94" s="131"/>
      <c r="BW94" s="134"/>
      <c r="BX94" s="131"/>
      <c r="BY94" s="134"/>
      <c r="BZ94" s="131"/>
      <c r="CA94" s="134"/>
      <c r="CB94" s="133"/>
      <c r="CC94" s="131"/>
      <c r="CD94" s="134"/>
      <c r="CE94" s="133"/>
      <c r="CF94" s="131"/>
      <c r="CG94" s="134"/>
      <c r="CH94" s="133"/>
      <c r="CI94" s="131"/>
      <c r="CJ94" s="134"/>
      <c r="CK94" s="133"/>
      <c r="CL94" s="131"/>
      <c r="CM94" s="134"/>
      <c r="CN94" s="133"/>
      <c r="CO94" s="131"/>
      <c r="CP94" s="134"/>
      <c r="CQ94" s="133"/>
      <c r="CR94" s="131"/>
      <c r="CS94" s="134"/>
      <c r="CT94" s="133"/>
      <c r="CU94" s="131"/>
      <c r="CV94" s="134"/>
      <c r="CW94" s="133"/>
      <c r="CX94" s="131"/>
      <c r="CY94" s="134"/>
      <c r="CZ94" s="133"/>
      <c r="DA94" s="140"/>
      <c r="DB94" s="141"/>
      <c r="DC94" s="142"/>
      <c r="DD94" s="140"/>
      <c r="DE94" s="141"/>
      <c r="DF94" s="142"/>
      <c r="DG94" s="140"/>
      <c r="DH94" s="141"/>
      <c r="DI94" s="142"/>
      <c r="DJ94" s="140"/>
      <c r="DK94" s="141"/>
      <c r="DL94" s="142"/>
      <c r="DM94" s="140"/>
      <c r="DN94" s="141"/>
      <c r="DO94" s="142"/>
      <c r="DP94" s="140"/>
      <c r="DQ94" s="141"/>
      <c r="DR94" s="142"/>
      <c r="DS94" s="140"/>
      <c r="DT94" s="141"/>
      <c r="DU94" s="142"/>
      <c r="DV94" s="140"/>
      <c r="DW94" s="141"/>
      <c r="DX94" s="142"/>
      <c r="DY94" s="140"/>
      <c r="DZ94" s="141"/>
      <c r="EA94" s="142"/>
      <c r="EB94" s="140"/>
      <c r="EC94" s="141"/>
      <c r="ED94" s="142"/>
      <c r="EE94" s="140"/>
      <c r="EF94" s="141"/>
      <c r="EG94" s="142"/>
      <c r="EH94" s="140"/>
      <c r="EI94" s="141"/>
      <c r="EJ94" s="142"/>
      <c r="EK94" s="140"/>
      <c r="EL94" s="141"/>
      <c r="EM94" s="142"/>
      <c r="EN94" s="140"/>
      <c r="EO94" s="141"/>
      <c r="EP94" s="142"/>
      <c r="EQ94" s="140"/>
      <c r="ER94" s="141"/>
      <c r="ES94" s="142"/>
      <c r="ET94" s="140"/>
      <c r="EU94" s="141"/>
      <c r="EV94" s="142"/>
      <c r="EW94" s="140"/>
      <c r="EX94" s="141"/>
      <c r="EY94" s="142"/>
      <c r="EZ94" s="140"/>
      <c r="FA94" s="141"/>
      <c r="FB94" s="142"/>
      <c r="FC94" s="140"/>
      <c r="FD94" s="141"/>
      <c r="FE94" s="142"/>
      <c r="FF94" s="140"/>
      <c r="FG94" s="141"/>
      <c r="FH94" s="142"/>
      <c r="FI94" s="140"/>
      <c r="FJ94" s="141"/>
      <c r="FK94" s="142"/>
      <c r="FL94" s="140"/>
      <c r="FM94" s="141"/>
      <c r="FN94" s="142"/>
      <c r="FO94" s="140"/>
      <c r="FP94" s="141"/>
      <c r="FQ94" s="142"/>
      <c r="FR94" s="140"/>
      <c r="FS94" s="141"/>
      <c r="FT94" s="142"/>
      <c r="FU94" s="140"/>
      <c r="FV94" s="141"/>
      <c r="FW94" s="142"/>
      <c r="FX94" s="140"/>
      <c r="FY94" s="141"/>
      <c r="FZ94" s="142"/>
      <c r="GA94" s="140"/>
      <c r="GB94" s="141"/>
      <c r="GC94" s="142"/>
      <c r="GD94" s="140"/>
      <c r="GE94" s="141"/>
      <c r="GF94" s="142"/>
      <c r="GG94" s="140"/>
      <c r="GH94" s="141"/>
      <c r="GI94" s="142"/>
      <c r="GJ94" s="140"/>
      <c r="GK94" s="141"/>
      <c r="GL94" s="142"/>
      <c r="GM94" s="140"/>
      <c r="GN94" s="141"/>
      <c r="GO94" s="142"/>
      <c r="GP94" s="140"/>
      <c r="GQ94" s="141"/>
      <c r="GR94" s="142"/>
      <c r="GS94" s="140"/>
      <c r="GT94" s="141"/>
      <c r="GU94" s="142"/>
      <c r="GV94" s="140"/>
      <c r="GW94" s="141"/>
      <c r="GX94" s="142"/>
      <c r="GY94" s="164"/>
      <c r="GZ94" s="134"/>
      <c r="HA94" s="185"/>
      <c r="HB94" s="164"/>
      <c r="HC94" s="185"/>
      <c r="HD94" s="164"/>
      <c r="HE94" s="185"/>
      <c r="HF94" s="164"/>
      <c r="HG94" s="185"/>
      <c r="HH94" s="164"/>
      <c r="HI94" s="185"/>
      <c r="HJ94" s="164"/>
      <c r="HK94" s="185"/>
      <c r="HL94" s="164"/>
      <c r="HM94" s="185"/>
      <c r="HN94" s="164"/>
      <c r="HO94" s="185"/>
      <c r="HP94" s="164">
        <f>+'1912 Hacienda'!B33</f>
        <v>10000</v>
      </c>
      <c r="HQ94" s="185">
        <f>+'1912 Hacienda'!C33</f>
        <v>0</v>
      </c>
      <c r="HR94" s="164"/>
      <c r="HS94" s="185"/>
      <c r="HT94" s="164"/>
      <c r="HU94" s="185"/>
    </row>
    <row r="95" spans="1:229" ht="30" x14ac:dyDescent="0.2">
      <c r="A95" s="178" t="s">
        <v>6064</v>
      </c>
      <c r="B95" s="131"/>
      <c r="C95" s="134"/>
      <c r="D95" s="133"/>
      <c r="E95" s="131"/>
      <c r="F95" s="134"/>
      <c r="G95" s="133"/>
      <c r="H95" s="131"/>
      <c r="I95" s="134"/>
      <c r="J95" s="133"/>
      <c r="K95" s="131"/>
      <c r="L95" s="134"/>
      <c r="M95" s="133"/>
      <c r="N95" s="131"/>
      <c r="O95" s="134"/>
      <c r="P95" s="133"/>
      <c r="Q95" s="131"/>
      <c r="R95" s="134"/>
      <c r="S95" s="133"/>
      <c r="T95" s="131"/>
      <c r="U95" s="134"/>
      <c r="V95" s="133"/>
      <c r="W95" s="131"/>
      <c r="X95" s="134"/>
      <c r="Y95" s="133"/>
      <c r="Z95" s="131"/>
      <c r="AA95" s="134"/>
      <c r="AB95" s="133"/>
      <c r="AC95" s="131"/>
      <c r="AD95" s="134"/>
      <c r="AE95" s="133"/>
      <c r="AF95" s="131"/>
      <c r="AG95" s="134"/>
      <c r="AH95" s="133"/>
      <c r="AI95" s="145"/>
      <c r="AJ95" s="134"/>
      <c r="AK95" s="133"/>
      <c r="AL95" s="131"/>
      <c r="AM95" s="134"/>
      <c r="AN95" s="133"/>
      <c r="AO95" s="131"/>
      <c r="AP95" s="134"/>
      <c r="AQ95" s="133"/>
      <c r="AR95" s="131"/>
      <c r="AS95" s="134"/>
      <c r="AT95" s="180"/>
      <c r="AU95" s="131"/>
      <c r="AV95" s="185"/>
      <c r="AW95" s="131"/>
      <c r="AX95" s="185"/>
      <c r="AY95" s="131"/>
      <c r="AZ95" s="185"/>
      <c r="BA95" s="131"/>
      <c r="BB95" s="185"/>
      <c r="BC95" s="131"/>
      <c r="BD95" s="185"/>
      <c r="BE95" s="131"/>
      <c r="BF95" s="185"/>
      <c r="BG95" s="131"/>
      <c r="BH95" s="185"/>
      <c r="BI95" s="131"/>
      <c r="BJ95" s="185"/>
      <c r="BK95" s="131"/>
      <c r="BL95" s="185"/>
      <c r="BM95" s="131"/>
      <c r="BN95" s="185"/>
      <c r="BO95" s="131"/>
      <c r="BP95" s="134"/>
      <c r="BQ95" s="131"/>
      <c r="BR95" s="134"/>
      <c r="BS95" s="133"/>
      <c r="BT95" s="145"/>
      <c r="BU95" s="134"/>
      <c r="BV95" s="131"/>
      <c r="BW95" s="134"/>
      <c r="BX95" s="131"/>
      <c r="BY95" s="134"/>
      <c r="BZ95" s="131"/>
      <c r="CA95" s="134"/>
      <c r="CB95" s="133"/>
      <c r="CC95" s="131"/>
      <c r="CD95" s="134"/>
      <c r="CE95" s="133"/>
      <c r="CF95" s="131"/>
      <c r="CG95" s="134"/>
      <c r="CH95" s="133"/>
      <c r="CI95" s="131"/>
      <c r="CJ95" s="134"/>
      <c r="CK95" s="133"/>
      <c r="CL95" s="131"/>
      <c r="CM95" s="134"/>
      <c r="CN95" s="133"/>
      <c r="CO95" s="131"/>
      <c r="CP95" s="134"/>
      <c r="CQ95" s="133"/>
      <c r="CR95" s="131"/>
      <c r="CS95" s="134"/>
      <c r="CT95" s="133"/>
      <c r="CU95" s="131"/>
      <c r="CV95" s="134"/>
      <c r="CW95" s="133"/>
      <c r="CX95" s="131"/>
      <c r="CY95" s="134"/>
      <c r="CZ95" s="133"/>
      <c r="DA95" s="140">
        <f>+'1872 Hacienda'!B17</f>
        <v>8909</v>
      </c>
      <c r="DB95" s="141">
        <f>+'1872 Hacienda'!C17</f>
        <v>65</v>
      </c>
      <c r="DC95" s="142">
        <f>+'1872 Hacienda'!D17</f>
        <v>0</v>
      </c>
      <c r="DD95" s="140"/>
      <c r="DE95" s="141"/>
      <c r="DF95" s="142"/>
      <c r="DG95" s="140"/>
      <c r="DH95" s="141"/>
      <c r="DI95" s="142"/>
      <c r="DJ95" s="140">
        <f>+'1875 Hacienda'!B17</f>
        <v>8000</v>
      </c>
      <c r="DK95" s="141"/>
      <c r="DL95" s="142"/>
      <c r="DM95" s="140"/>
      <c r="DN95" s="141"/>
      <c r="DO95" s="142"/>
      <c r="DP95" s="140"/>
      <c r="DQ95" s="141"/>
      <c r="DR95" s="142"/>
      <c r="DS95" s="140"/>
      <c r="DT95" s="141"/>
      <c r="DU95" s="142"/>
      <c r="DV95" s="140"/>
      <c r="DW95" s="141"/>
      <c r="DX95" s="142"/>
      <c r="DY95" s="140"/>
      <c r="DZ95" s="141"/>
      <c r="EA95" s="142"/>
      <c r="EB95" s="140"/>
      <c r="EC95" s="141"/>
      <c r="ED95" s="142"/>
      <c r="EE95" s="140"/>
      <c r="EF95" s="141"/>
      <c r="EG95" s="142"/>
      <c r="EH95" s="140"/>
      <c r="EI95" s="141"/>
      <c r="EJ95" s="142"/>
      <c r="EK95" s="219"/>
      <c r="EL95" s="184"/>
      <c r="EM95" s="381"/>
      <c r="EN95" s="219"/>
      <c r="EO95" s="184"/>
      <c r="EP95" s="381"/>
      <c r="EQ95" s="219"/>
      <c r="ER95" s="184"/>
      <c r="ES95" s="381"/>
      <c r="ET95" s="219"/>
      <c r="EU95" s="184"/>
      <c r="EV95" s="381"/>
      <c r="EW95" s="219"/>
      <c r="EX95" s="184"/>
      <c r="EY95" s="381"/>
      <c r="EZ95" s="219"/>
      <c r="FA95" s="184"/>
      <c r="FB95" s="381"/>
      <c r="FC95" s="219"/>
      <c r="FD95" s="184"/>
      <c r="FE95" s="381"/>
      <c r="FF95" s="219"/>
      <c r="FG95" s="184"/>
      <c r="FH95" s="381"/>
      <c r="FI95" s="219"/>
      <c r="FJ95" s="184"/>
      <c r="FK95" s="381"/>
      <c r="FL95" s="219"/>
      <c r="FM95" s="184"/>
      <c r="FN95" s="381"/>
      <c r="FO95" s="219"/>
      <c r="FP95" s="184"/>
      <c r="FQ95" s="381"/>
      <c r="FR95" s="219"/>
      <c r="FS95" s="184"/>
      <c r="FT95" s="381"/>
      <c r="FU95" s="219"/>
      <c r="FV95" s="184"/>
      <c r="FW95" s="381"/>
      <c r="FX95" s="219"/>
      <c r="FY95" s="184"/>
      <c r="FZ95" s="381"/>
      <c r="GA95" s="219"/>
      <c r="GB95" s="184"/>
      <c r="GC95" s="381"/>
      <c r="GD95" s="219"/>
      <c r="GE95" s="184"/>
      <c r="GF95" s="381"/>
      <c r="GG95" s="219"/>
      <c r="GH95" s="184"/>
      <c r="GI95" s="381"/>
      <c r="GJ95" s="219"/>
      <c r="GK95" s="184"/>
      <c r="GL95" s="381"/>
      <c r="GM95" s="219"/>
      <c r="GN95" s="184"/>
      <c r="GO95" s="381"/>
      <c r="GP95" s="219"/>
      <c r="GQ95" s="184"/>
      <c r="GR95" s="381"/>
      <c r="GS95" s="219"/>
      <c r="GT95" s="184"/>
      <c r="GU95" s="381"/>
      <c r="GV95" s="219"/>
      <c r="GW95" s="184"/>
      <c r="GX95" s="381"/>
      <c r="GY95" s="164"/>
      <c r="GZ95" s="134"/>
      <c r="HA95" s="185"/>
      <c r="HB95" s="164"/>
      <c r="HC95" s="185"/>
      <c r="HD95" s="164"/>
      <c r="HE95" s="185"/>
      <c r="HF95" s="164"/>
      <c r="HG95" s="185"/>
      <c r="HH95" s="164"/>
      <c r="HI95" s="185"/>
      <c r="HJ95" s="164"/>
      <c r="HK95" s="185"/>
      <c r="HL95" s="164"/>
      <c r="HM95" s="185"/>
      <c r="HN95" s="164"/>
      <c r="HO95" s="185"/>
      <c r="HP95" s="164">
        <f>+'1912 Hacienda'!B34</f>
        <v>116561</v>
      </c>
      <c r="HQ95" s="185">
        <f>+'1912 Hacienda'!C34</f>
        <v>32</v>
      </c>
      <c r="HR95" s="164"/>
      <c r="HS95" s="185"/>
      <c r="HT95" s="164"/>
      <c r="HU95" s="185"/>
    </row>
    <row r="96" spans="1:229" x14ac:dyDescent="0.2">
      <c r="A96" s="164" t="s">
        <v>5466</v>
      </c>
      <c r="B96" s="131"/>
      <c r="C96" s="134"/>
      <c r="D96" s="133"/>
      <c r="E96" s="131"/>
      <c r="F96" s="134"/>
      <c r="G96" s="133"/>
      <c r="H96" s="131"/>
      <c r="I96" s="134"/>
      <c r="J96" s="133"/>
      <c r="K96" s="131"/>
      <c r="L96" s="134"/>
      <c r="M96" s="133"/>
      <c r="N96" s="131"/>
      <c r="O96" s="134"/>
      <c r="P96" s="133"/>
      <c r="Q96" s="131"/>
      <c r="R96" s="134"/>
      <c r="S96" s="133"/>
      <c r="T96" s="131"/>
      <c r="U96" s="134"/>
      <c r="V96" s="133"/>
      <c r="W96" s="131"/>
      <c r="X96" s="134"/>
      <c r="Y96" s="133"/>
      <c r="Z96" s="131"/>
      <c r="AA96" s="134"/>
      <c r="AB96" s="133"/>
      <c r="AC96" s="131"/>
      <c r="AD96" s="134"/>
      <c r="AE96" s="133"/>
      <c r="AF96" s="131"/>
      <c r="AG96" s="134"/>
      <c r="AH96" s="133"/>
      <c r="AI96" s="145"/>
      <c r="AJ96" s="134"/>
      <c r="AK96" s="133"/>
      <c r="AL96" s="131"/>
      <c r="AM96" s="134"/>
      <c r="AN96" s="133"/>
      <c r="AO96" s="131"/>
      <c r="AP96" s="134"/>
      <c r="AQ96" s="133"/>
      <c r="AR96" s="131"/>
      <c r="AS96" s="134"/>
      <c r="AT96" s="180"/>
      <c r="AU96" s="131"/>
      <c r="AV96" s="185"/>
      <c r="AW96" s="131"/>
      <c r="AX96" s="185"/>
      <c r="AY96" s="131"/>
      <c r="AZ96" s="185"/>
      <c r="BA96" s="131"/>
      <c r="BB96" s="185"/>
      <c r="BC96" s="131"/>
      <c r="BD96" s="185"/>
      <c r="BE96" s="131"/>
      <c r="BF96" s="185"/>
      <c r="BG96" s="131"/>
      <c r="BH96" s="185"/>
      <c r="BI96" s="131"/>
      <c r="BJ96" s="185"/>
      <c r="BK96" s="131"/>
      <c r="BL96" s="185"/>
      <c r="BM96" s="131"/>
      <c r="BN96" s="185"/>
      <c r="BO96" s="131"/>
      <c r="BP96" s="134"/>
      <c r="BQ96" s="131"/>
      <c r="BR96" s="134"/>
      <c r="BS96" s="133"/>
      <c r="BT96" s="145"/>
      <c r="BU96" s="134"/>
      <c r="BV96" s="131"/>
      <c r="BW96" s="134"/>
      <c r="BX96" s="131"/>
      <c r="BY96" s="134"/>
      <c r="BZ96" s="131"/>
      <c r="CA96" s="134"/>
      <c r="CB96" s="133"/>
      <c r="CC96" s="131"/>
      <c r="CD96" s="134"/>
      <c r="CE96" s="133"/>
      <c r="CF96" s="131"/>
      <c r="CG96" s="134"/>
      <c r="CH96" s="133"/>
      <c r="CI96" s="131"/>
      <c r="CJ96" s="134"/>
      <c r="CK96" s="133"/>
      <c r="CL96" s="131"/>
      <c r="CM96" s="134"/>
      <c r="CN96" s="133"/>
      <c r="CO96" s="131"/>
      <c r="CP96" s="134"/>
      <c r="CQ96" s="133"/>
      <c r="CR96" s="131"/>
      <c r="CS96" s="134"/>
      <c r="CT96" s="133"/>
      <c r="CU96" s="131"/>
      <c r="CV96" s="134"/>
      <c r="CW96" s="133"/>
      <c r="CX96" s="131"/>
      <c r="CY96" s="134"/>
      <c r="CZ96" s="133"/>
      <c r="DA96" s="140"/>
      <c r="DB96" s="141"/>
      <c r="DC96" s="142"/>
      <c r="DD96" s="140"/>
      <c r="DE96" s="141"/>
      <c r="DF96" s="142"/>
      <c r="DG96" s="140"/>
      <c r="DH96" s="141"/>
      <c r="DI96" s="142"/>
      <c r="DJ96" s="140"/>
      <c r="DK96" s="141"/>
      <c r="DL96" s="142"/>
      <c r="DM96" s="140"/>
      <c r="DN96" s="141"/>
      <c r="DO96" s="142"/>
      <c r="DP96" s="140"/>
      <c r="DQ96" s="141"/>
      <c r="DR96" s="142"/>
      <c r="DS96" s="140"/>
      <c r="DT96" s="141"/>
      <c r="DU96" s="142"/>
      <c r="DV96" s="140"/>
      <c r="DW96" s="141"/>
      <c r="DX96" s="142"/>
      <c r="DY96" s="140"/>
      <c r="DZ96" s="141"/>
      <c r="EA96" s="142"/>
      <c r="EB96" s="140"/>
      <c r="EC96" s="141"/>
      <c r="ED96" s="142"/>
      <c r="EE96" s="140"/>
      <c r="EF96" s="141"/>
      <c r="EG96" s="142"/>
      <c r="EH96" s="140"/>
      <c r="EI96" s="141"/>
      <c r="EJ96" s="142"/>
      <c r="EK96" s="140"/>
      <c r="EL96" s="141"/>
      <c r="EM96" s="142"/>
      <c r="EN96" s="140"/>
      <c r="EO96" s="141"/>
      <c r="EP96" s="142"/>
      <c r="EQ96" s="140"/>
      <c r="ER96" s="141"/>
      <c r="ES96" s="142"/>
      <c r="ET96" s="140"/>
      <c r="EU96" s="141"/>
      <c r="EV96" s="142"/>
      <c r="EW96" s="140"/>
      <c r="EX96" s="141"/>
      <c r="EY96" s="142"/>
      <c r="EZ96" s="140"/>
      <c r="FA96" s="141"/>
      <c r="FB96" s="142"/>
      <c r="FC96" s="140"/>
      <c r="FD96" s="141"/>
      <c r="FE96" s="142"/>
      <c r="FF96" s="140"/>
      <c r="FG96" s="141"/>
      <c r="FH96" s="142"/>
      <c r="FI96" s="140"/>
      <c r="FJ96" s="141"/>
      <c r="FK96" s="142"/>
      <c r="FL96" s="140"/>
      <c r="FM96" s="141"/>
      <c r="FN96" s="142"/>
      <c r="FO96" s="140"/>
      <c r="FP96" s="141"/>
      <c r="FQ96" s="142"/>
      <c r="FR96" s="140"/>
      <c r="FS96" s="141"/>
      <c r="FT96" s="142"/>
      <c r="FU96" s="140"/>
      <c r="FV96" s="141"/>
      <c r="FW96" s="142"/>
      <c r="FX96" s="140"/>
      <c r="FY96" s="141"/>
      <c r="FZ96" s="142"/>
      <c r="GA96" s="140"/>
      <c r="GB96" s="141"/>
      <c r="GC96" s="142"/>
      <c r="GD96" s="140"/>
      <c r="GE96" s="141"/>
      <c r="GF96" s="142"/>
      <c r="GG96" s="140"/>
      <c r="GH96" s="141"/>
      <c r="GI96" s="142"/>
      <c r="GJ96" s="140"/>
      <c r="GK96" s="141"/>
      <c r="GL96" s="142"/>
      <c r="GM96" s="140"/>
      <c r="GN96" s="141"/>
      <c r="GO96" s="142"/>
      <c r="GP96" s="140"/>
      <c r="GQ96" s="141"/>
      <c r="GR96" s="142"/>
      <c r="GS96" s="140"/>
      <c r="GT96" s="141"/>
      <c r="GU96" s="142"/>
      <c r="GV96" s="140"/>
      <c r="GW96" s="141"/>
      <c r="GX96" s="142"/>
      <c r="GY96" s="164"/>
      <c r="GZ96" s="134"/>
      <c r="HA96" s="185"/>
      <c r="HB96" s="164"/>
      <c r="HC96" s="185"/>
      <c r="HD96" s="164"/>
      <c r="HE96" s="185"/>
      <c r="HF96" s="164"/>
      <c r="HG96" s="185"/>
      <c r="HH96" s="164"/>
      <c r="HI96" s="185"/>
      <c r="HJ96" s="164"/>
      <c r="HK96" s="185"/>
      <c r="HL96" s="164"/>
      <c r="HM96" s="185"/>
      <c r="HN96" s="164"/>
      <c r="HO96" s="185"/>
      <c r="HP96" s="164"/>
      <c r="HQ96" s="185"/>
      <c r="HR96" s="164"/>
      <c r="HS96" s="185"/>
      <c r="HT96" s="164">
        <f>+'1915 Hacienda'!D21</f>
        <v>2127</v>
      </c>
      <c r="HU96" s="185">
        <f>+'1915 Hacienda'!E21</f>
        <v>59</v>
      </c>
    </row>
    <row r="97" spans="1:229" x14ac:dyDescent="0.2">
      <c r="A97" s="164" t="s">
        <v>5898</v>
      </c>
      <c r="B97" s="131"/>
      <c r="C97" s="134"/>
      <c r="D97" s="133"/>
      <c r="E97" s="131"/>
      <c r="F97" s="134"/>
      <c r="G97" s="133"/>
      <c r="H97" s="131"/>
      <c r="I97" s="134"/>
      <c r="J97" s="133"/>
      <c r="K97" s="131"/>
      <c r="L97" s="134"/>
      <c r="M97" s="133"/>
      <c r="N97" s="131"/>
      <c r="O97" s="134"/>
      <c r="P97" s="133"/>
      <c r="Q97" s="131"/>
      <c r="R97" s="134"/>
      <c r="S97" s="133"/>
      <c r="T97" s="131"/>
      <c r="U97" s="134"/>
      <c r="V97" s="133"/>
      <c r="W97" s="131"/>
      <c r="X97" s="134"/>
      <c r="Y97" s="133"/>
      <c r="Z97" s="131"/>
      <c r="AA97" s="134"/>
      <c r="AB97" s="133"/>
      <c r="AC97" s="131"/>
      <c r="AD97" s="134"/>
      <c r="AE97" s="133"/>
      <c r="AF97" s="131"/>
      <c r="AG97" s="134"/>
      <c r="AH97" s="133"/>
      <c r="AI97" s="145"/>
      <c r="AJ97" s="134"/>
      <c r="AK97" s="133"/>
      <c r="AL97" s="131"/>
      <c r="AM97" s="134"/>
      <c r="AN97" s="133"/>
      <c r="AO97" s="131"/>
      <c r="AP97" s="134"/>
      <c r="AQ97" s="133"/>
      <c r="AR97" s="131"/>
      <c r="AS97" s="134"/>
      <c r="AT97" s="180"/>
      <c r="AU97" s="131"/>
      <c r="AV97" s="185"/>
      <c r="AW97" s="131"/>
      <c r="AX97" s="185"/>
      <c r="AY97" s="131"/>
      <c r="AZ97" s="185"/>
      <c r="BA97" s="131"/>
      <c r="BB97" s="185"/>
      <c r="BC97" s="131"/>
      <c r="BD97" s="185"/>
      <c r="BE97" s="131"/>
      <c r="BF97" s="185"/>
      <c r="BG97" s="131"/>
      <c r="BH97" s="185"/>
      <c r="BI97" s="131"/>
      <c r="BJ97" s="185"/>
      <c r="BK97" s="131"/>
      <c r="BL97" s="185"/>
      <c r="BM97" s="131"/>
      <c r="BN97" s="185"/>
      <c r="BO97" s="131"/>
      <c r="BP97" s="134"/>
      <c r="BQ97" s="131"/>
      <c r="BR97" s="134"/>
      <c r="BS97" s="133"/>
      <c r="BT97" s="145"/>
      <c r="BU97" s="134"/>
      <c r="BV97" s="131"/>
      <c r="BW97" s="134"/>
      <c r="BX97" s="131"/>
      <c r="BY97" s="134"/>
      <c r="BZ97" s="131"/>
      <c r="CA97" s="134"/>
      <c r="CB97" s="133"/>
      <c r="CC97" s="131"/>
      <c r="CD97" s="134"/>
      <c r="CE97" s="133"/>
      <c r="CF97" s="131"/>
      <c r="CG97" s="134"/>
      <c r="CH97" s="133"/>
      <c r="CI97" s="131"/>
      <c r="CJ97" s="134"/>
      <c r="CK97" s="133"/>
      <c r="CL97" s="131"/>
      <c r="CM97" s="134"/>
      <c r="CN97" s="133"/>
      <c r="CO97" s="131"/>
      <c r="CP97" s="134"/>
      <c r="CQ97" s="133"/>
      <c r="CR97" s="131"/>
      <c r="CS97" s="134"/>
      <c r="CT97" s="133"/>
      <c r="CU97" s="131"/>
      <c r="CV97" s="134"/>
      <c r="CW97" s="133"/>
      <c r="CX97" s="131"/>
      <c r="CY97" s="134"/>
      <c r="CZ97" s="133"/>
      <c r="DA97" s="140"/>
      <c r="DB97" s="141"/>
      <c r="DC97" s="142"/>
      <c r="DD97" s="140"/>
      <c r="DE97" s="141"/>
      <c r="DF97" s="142"/>
      <c r="DG97" s="140"/>
      <c r="DH97" s="141"/>
      <c r="DI97" s="142"/>
      <c r="DJ97" s="140"/>
      <c r="DK97" s="141"/>
      <c r="DL97" s="142"/>
      <c r="DM97" s="140"/>
      <c r="DN97" s="141"/>
      <c r="DO97" s="142"/>
      <c r="DP97" s="140"/>
      <c r="DQ97" s="141"/>
      <c r="DR97" s="142"/>
      <c r="DS97" s="140"/>
      <c r="DT97" s="141"/>
      <c r="DU97" s="142"/>
      <c r="DV97" s="140"/>
      <c r="DW97" s="141"/>
      <c r="DX97" s="142"/>
      <c r="DY97" s="140"/>
      <c r="DZ97" s="141"/>
      <c r="EA97" s="142"/>
      <c r="EB97" s="140"/>
      <c r="EC97" s="141"/>
      <c r="ED97" s="142"/>
      <c r="EE97" s="140"/>
      <c r="EF97" s="141"/>
      <c r="EG97" s="142"/>
      <c r="EH97" s="140"/>
      <c r="EI97" s="141"/>
      <c r="EJ97" s="142"/>
      <c r="EK97" s="140"/>
      <c r="EL97" s="141"/>
      <c r="EM97" s="142"/>
      <c r="EN97" s="140"/>
      <c r="EO97" s="141"/>
      <c r="EP97" s="142"/>
      <c r="EQ97" s="140"/>
      <c r="ER97" s="141"/>
      <c r="ES97" s="142"/>
      <c r="ET97" s="140"/>
      <c r="EU97" s="141"/>
      <c r="EV97" s="142"/>
      <c r="EW97" s="140"/>
      <c r="EX97" s="141"/>
      <c r="EY97" s="142"/>
      <c r="EZ97" s="140"/>
      <c r="FA97" s="141"/>
      <c r="FB97" s="142"/>
      <c r="FC97" s="140"/>
      <c r="FD97" s="141"/>
      <c r="FE97" s="142"/>
      <c r="FF97" s="140"/>
      <c r="FG97" s="141"/>
      <c r="FH97" s="142"/>
      <c r="FI97" s="140"/>
      <c r="FJ97" s="141"/>
      <c r="FK97" s="142"/>
      <c r="FL97" s="140"/>
      <c r="FM97" s="141"/>
      <c r="FN97" s="142"/>
      <c r="FO97" s="140"/>
      <c r="FP97" s="141"/>
      <c r="FQ97" s="142"/>
      <c r="FR97" s="140"/>
      <c r="FS97" s="141"/>
      <c r="FT97" s="142"/>
      <c r="FU97" s="140"/>
      <c r="FV97" s="141"/>
      <c r="FW97" s="142"/>
      <c r="FX97" s="140"/>
      <c r="FY97" s="141"/>
      <c r="FZ97" s="142"/>
      <c r="GA97" s="140"/>
      <c r="GB97" s="141"/>
      <c r="GC97" s="142"/>
      <c r="GD97" s="140"/>
      <c r="GE97" s="141"/>
      <c r="GF97" s="142"/>
      <c r="GG97" s="140"/>
      <c r="GH97" s="141"/>
      <c r="GI97" s="142"/>
      <c r="GJ97" s="140"/>
      <c r="GK97" s="141"/>
      <c r="GL97" s="142"/>
      <c r="GM97" s="140"/>
      <c r="GN97" s="141"/>
      <c r="GO97" s="142"/>
      <c r="GP97" s="140"/>
      <c r="GQ97" s="141"/>
      <c r="GR97" s="142"/>
      <c r="GS97" s="140"/>
      <c r="GT97" s="141"/>
      <c r="GU97" s="142"/>
      <c r="GV97" s="140"/>
      <c r="GW97" s="141"/>
      <c r="GX97" s="142"/>
      <c r="GY97" s="164"/>
      <c r="GZ97" s="134"/>
      <c r="HA97" s="185"/>
      <c r="HB97" s="164"/>
      <c r="HC97" s="185"/>
      <c r="HD97" s="164"/>
      <c r="HE97" s="185"/>
      <c r="HF97" s="164"/>
      <c r="HG97" s="185"/>
      <c r="HH97" s="164"/>
      <c r="HI97" s="185"/>
      <c r="HJ97" s="164"/>
      <c r="HK97" s="185"/>
      <c r="HL97" s="164"/>
      <c r="HM97" s="185"/>
      <c r="HN97" s="164"/>
      <c r="HO97" s="185"/>
      <c r="HP97" s="164"/>
      <c r="HQ97" s="185"/>
      <c r="HR97" s="164"/>
      <c r="HS97" s="185"/>
      <c r="HT97" s="164">
        <f>+'1915 Hacienda'!B34</f>
        <v>12500</v>
      </c>
      <c r="HU97" s="185">
        <f>+'1915 Hacienda'!C34</f>
        <v>70</v>
      </c>
    </row>
    <row r="98" spans="1:229" x14ac:dyDescent="0.2">
      <c r="A98" s="164" t="s">
        <v>5899</v>
      </c>
      <c r="B98" s="131"/>
      <c r="C98" s="134"/>
      <c r="D98" s="133"/>
      <c r="E98" s="131"/>
      <c r="F98" s="134"/>
      <c r="G98" s="133"/>
      <c r="H98" s="131"/>
      <c r="I98" s="134"/>
      <c r="J98" s="133"/>
      <c r="K98" s="131"/>
      <c r="L98" s="134"/>
      <c r="M98" s="133"/>
      <c r="N98" s="131"/>
      <c r="O98" s="134"/>
      <c r="P98" s="133"/>
      <c r="Q98" s="131"/>
      <c r="R98" s="134"/>
      <c r="S98" s="133"/>
      <c r="T98" s="131"/>
      <c r="U98" s="134"/>
      <c r="V98" s="133"/>
      <c r="W98" s="131"/>
      <c r="X98" s="134"/>
      <c r="Y98" s="133"/>
      <c r="Z98" s="131"/>
      <c r="AA98" s="134"/>
      <c r="AB98" s="133"/>
      <c r="AC98" s="131"/>
      <c r="AD98" s="134"/>
      <c r="AE98" s="133"/>
      <c r="AF98" s="131"/>
      <c r="AG98" s="134"/>
      <c r="AH98" s="133"/>
      <c r="AI98" s="145"/>
      <c r="AJ98" s="134"/>
      <c r="AK98" s="133"/>
      <c r="AL98" s="131"/>
      <c r="AM98" s="134"/>
      <c r="AN98" s="133"/>
      <c r="AO98" s="131"/>
      <c r="AP98" s="134"/>
      <c r="AQ98" s="133"/>
      <c r="AR98" s="131"/>
      <c r="AS98" s="134"/>
      <c r="AT98" s="180"/>
      <c r="AU98" s="131"/>
      <c r="AV98" s="185"/>
      <c r="AW98" s="131"/>
      <c r="AX98" s="185"/>
      <c r="AY98" s="131"/>
      <c r="AZ98" s="185"/>
      <c r="BA98" s="131"/>
      <c r="BB98" s="185"/>
      <c r="BC98" s="131"/>
      <c r="BD98" s="185"/>
      <c r="BE98" s="131"/>
      <c r="BF98" s="185"/>
      <c r="BG98" s="131"/>
      <c r="BH98" s="185"/>
      <c r="BI98" s="131"/>
      <c r="BJ98" s="185"/>
      <c r="BK98" s="131"/>
      <c r="BL98" s="185"/>
      <c r="BM98" s="131"/>
      <c r="BN98" s="185"/>
      <c r="BO98" s="131"/>
      <c r="BP98" s="134"/>
      <c r="BQ98" s="131"/>
      <c r="BR98" s="134"/>
      <c r="BS98" s="133"/>
      <c r="BT98" s="145"/>
      <c r="BU98" s="134"/>
      <c r="BV98" s="131"/>
      <c r="BW98" s="134"/>
      <c r="BX98" s="131"/>
      <c r="BY98" s="134"/>
      <c r="BZ98" s="131"/>
      <c r="CA98" s="134"/>
      <c r="CB98" s="133"/>
      <c r="CC98" s="131"/>
      <c r="CD98" s="134"/>
      <c r="CE98" s="133"/>
      <c r="CF98" s="131"/>
      <c r="CG98" s="134"/>
      <c r="CH98" s="133"/>
      <c r="CI98" s="131"/>
      <c r="CJ98" s="134"/>
      <c r="CK98" s="133"/>
      <c r="CL98" s="131"/>
      <c r="CM98" s="134"/>
      <c r="CN98" s="133"/>
      <c r="CO98" s="131"/>
      <c r="CP98" s="134"/>
      <c r="CQ98" s="133"/>
      <c r="CR98" s="131"/>
      <c r="CS98" s="134"/>
      <c r="CT98" s="133"/>
      <c r="CU98" s="131"/>
      <c r="CV98" s="134"/>
      <c r="CW98" s="133"/>
      <c r="CX98" s="131"/>
      <c r="CY98" s="134"/>
      <c r="CZ98" s="133"/>
      <c r="DA98" s="140"/>
      <c r="DB98" s="141"/>
      <c r="DC98" s="142"/>
      <c r="DD98" s="140"/>
      <c r="DE98" s="141"/>
      <c r="DF98" s="142"/>
      <c r="DG98" s="140"/>
      <c r="DH98" s="141"/>
      <c r="DI98" s="142"/>
      <c r="DJ98" s="140"/>
      <c r="DK98" s="141"/>
      <c r="DL98" s="142"/>
      <c r="DM98" s="140"/>
      <c r="DN98" s="141"/>
      <c r="DO98" s="142"/>
      <c r="DP98" s="140"/>
      <c r="DQ98" s="141"/>
      <c r="DR98" s="142"/>
      <c r="DS98" s="140"/>
      <c r="DT98" s="141"/>
      <c r="DU98" s="142"/>
      <c r="DV98" s="140"/>
      <c r="DW98" s="141"/>
      <c r="DX98" s="142"/>
      <c r="DY98" s="140"/>
      <c r="DZ98" s="141"/>
      <c r="EA98" s="142"/>
      <c r="EB98" s="140"/>
      <c r="EC98" s="141"/>
      <c r="ED98" s="142"/>
      <c r="EE98" s="140"/>
      <c r="EF98" s="141"/>
      <c r="EG98" s="142"/>
      <c r="EH98" s="140"/>
      <c r="EI98" s="141"/>
      <c r="EJ98" s="142"/>
      <c r="EK98" s="140"/>
      <c r="EL98" s="141"/>
      <c r="EM98" s="142"/>
      <c r="EN98" s="140"/>
      <c r="EO98" s="141"/>
      <c r="EP98" s="142"/>
      <c r="EQ98" s="140"/>
      <c r="ER98" s="141"/>
      <c r="ES98" s="142"/>
      <c r="ET98" s="140"/>
      <c r="EU98" s="141"/>
      <c r="EV98" s="142"/>
      <c r="EW98" s="140"/>
      <c r="EX98" s="141"/>
      <c r="EY98" s="142"/>
      <c r="EZ98" s="140"/>
      <c r="FA98" s="141"/>
      <c r="FB98" s="142"/>
      <c r="FC98" s="140"/>
      <c r="FD98" s="141"/>
      <c r="FE98" s="142"/>
      <c r="FF98" s="140"/>
      <c r="FG98" s="141"/>
      <c r="FH98" s="142"/>
      <c r="FI98" s="140"/>
      <c r="FJ98" s="141"/>
      <c r="FK98" s="142"/>
      <c r="FL98" s="140"/>
      <c r="FM98" s="141"/>
      <c r="FN98" s="142"/>
      <c r="FO98" s="140"/>
      <c r="FP98" s="141"/>
      <c r="FQ98" s="142"/>
      <c r="FR98" s="140"/>
      <c r="FS98" s="141"/>
      <c r="FT98" s="142"/>
      <c r="FU98" s="140"/>
      <c r="FV98" s="141"/>
      <c r="FW98" s="142"/>
      <c r="FX98" s="140"/>
      <c r="FY98" s="141"/>
      <c r="FZ98" s="142"/>
      <c r="GA98" s="140"/>
      <c r="GB98" s="141"/>
      <c r="GC98" s="142"/>
      <c r="GD98" s="140"/>
      <c r="GE98" s="141"/>
      <c r="GF98" s="142"/>
      <c r="GG98" s="140"/>
      <c r="GH98" s="141"/>
      <c r="GI98" s="142"/>
      <c r="GJ98" s="140"/>
      <c r="GK98" s="141"/>
      <c r="GL98" s="142"/>
      <c r="GM98" s="140"/>
      <c r="GN98" s="141"/>
      <c r="GO98" s="142"/>
      <c r="GP98" s="140"/>
      <c r="GQ98" s="141"/>
      <c r="GR98" s="142"/>
      <c r="GS98" s="140"/>
      <c r="GT98" s="141"/>
      <c r="GU98" s="142"/>
      <c r="GV98" s="140"/>
      <c r="GW98" s="141"/>
      <c r="GX98" s="142"/>
      <c r="GY98" s="164"/>
      <c r="GZ98" s="134"/>
      <c r="HA98" s="185"/>
      <c r="HB98" s="164"/>
      <c r="HC98" s="185"/>
      <c r="HD98" s="164"/>
      <c r="HE98" s="185"/>
      <c r="HF98" s="164"/>
      <c r="HG98" s="185"/>
      <c r="HH98" s="164"/>
      <c r="HI98" s="185"/>
      <c r="HJ98" s="164"/>
      <c r="HK98" s="185"/>
      <c r="HL98" s="164"/>
      <c r="HM98" s="185"/>
      <c r="HN98" s="164"/>
      <c r="HO98" s="185"/>
      <c r="HP98" s="164"/>
      <c r="HQ98" s="185"/>
      <c r="HR98" s="164"/>
      <c r="HS98" s="185"/>
      <c r="HT98" s="164">
        <f>+'1915 Hacienda'!B35</f>
        <v>2911</v>
      </c>
      <c r="HU98" s="185">
        <f>+'1915 Hacienda'!C35</f>
        <v>75</v>
      </c>
    </row>
    <row r="99" spans="1:229" x14ac:dyDescent="0.2">
      <c r="A99" s="164" t="s">
        <v>5900</v>
      </c>
      <c r="B99" s="131"/>
      <c r="C99" s="134"/>
      <c r="D99" s="133"/>
      <c r="E99" s="131"/>
      <c r="F99" s="134"/>
      <c r="G99" s="133"/>
      <c r="H99" s="131"/>
      <c r="I99" s="134"/>
      <c r="J99" s="133"/>
      <c r="K99" s="131"/>
      <c r="L99" s="134"/>
      <c r="M99" s="133"/>
      <c r="N99" s="131"/>
      <c r="O99" s="134"/>
      <c r="P99" s="133"/>
      <c r="Q99" s="131"/>
      <c r="R99" s="134"/>
      <c r="S99" s="133"/>
      <c r="T99" s="131"/>
      <c r="U99" s="134"/>
      <c r="V99" s="133"/>
      <c r="W99" s="131"/>
      <c r="X99" s="134"/>
      <c r="Y99" s="133"/>
      <c r="Z99" s="131"/>
      <c r="AA99" s="134"/>
      <c r="AB99" s="133"/>
      <c r="AC99" s="131"/>
      <c r="AD99" s="134"/>
      <c r="AE99" s="133"/>
      <c r="AF99" s="131"/>
      <c r="AG99" s="134"/>
      <c r="AH99" s="133"/>
      <c r="AI99" s="145"/>
      <c r="AJ99" s="134"/>
      <c r="AK99" s="133"/>
      <c r="AL99" s="131"/>
      <c r="AM99" s="134"/>
      <c r="AN99" s="133"/>
      <c r="AO99" s="131"/>
      <c r="AP99" s="134"/>
      <c r="AQ99" s="133"/>
      <c r="AR99" s="131"/>
      <c r="AS99" s="134"/>
      <c r="AT99" s="180"/>
      <c r="AU99" s="131"/>
      <c r="AV99" s="185"/>
      <c r="AW99" s="131"/>
      <c r="AX99" s="185"/>
      <c r="AY99" s="131"/>
      <c r="AZ99" s="185"/>
      <c r="BA99" s="131"/>
      <c r="BB99" s="185"/>
      <c r="BC99" s="131"/>
      <c r="BD99" s="185"/>
      <c r="BE99" s="131"/>
      <c r="BF99" s="185"/>
      <c r="BG99" s="131"/>
      <c r="BH99" s="185"/>
      <c r="BI99" s="131"/>
      <c r="BJ99" s="185"/>
      <c r="BK99" s="131"/>
      <c r="BL99" s="185"/>
      <c r="BM99" s="131"/>
      <c r="BN99" s="185"/>
      <c r="BO99" s="131"/>
      <c r="BP99" s="134"/>
      <c r="BQ99" s="131"/>
      <c r="BR99" s="134"/>
      <c r="BS99" s="133"/>
      <c r="BT99" s="145"/>
      <c r="BU99" s="134"/>
      <c r="BV99" s="131"/>
      <c r="BW99" s="134"/>
      <c r="BX99" s="131"/>
      <c r="BY99" s="134"/>
      <c r="BZ99" s="131"/>
      <c r="CA99" s="134"/>
      <c r="CB99" s="133"/>
      <c r="CC99" s="131"/>
      <c r="CD99" s="134"/>
      <c r="CE99" s="133"/>
      <c r="CF99" s="131"/>
      <c r="CG99" s="134"/>
      <c r="CH99" s="133"/>
      <c r="CI99" s="131"/>
      <c r="CJ99" s="134"/>
      <c r="CK99" s="133"/>
      <c r="CL99" s="131"/>
      <c r="CM99" s="134"/>
      <c r="CN99" s="133"/>
      <c r="CO99" s="131"/>
      <c r="CP99" s="134"/>
      <c r="CQ99" s="133"/>
      <c r="CR99" s="131"/>
      <c r="CS99" s="134"/>
      <c r="CT99" s="133"/>
      <c r="CU99" s="131"/>
      <c r="CV99" s="134"/>
      <c r="CW99" s="133"/>
      <c r="CX99" s="131"/>
      <c r="CY99" s="134"/>
      <c r="CZ99" s="133"/>
      <c r="DA99" s="140"/>
      <c r="DB99" s="141"/>
      <c r="DC99" s="142"/>
      <c r="DD99" s="140"/>
      <c r="DE99" s="141"/>
      <c r="DF99" s="142"/>
      <c r="DG99" s="140"/>
      <c r="DH99" s="141"/>
      <c r="DI99" s="142"/>
      <c r="DJ99" s="140"/>
      <c r="DK99" s="141"/>
      <c r="DL99" s="142"/>
      <c r="DM99" s="140"/>
      <c r="DN99" s="141"/>
      <c r="DO99" s="142"/>
      <c r="DP99" s="140"/>
      <c r="DQ99" s="141"/>
      <c r="DR99" s="142"/>
      <c r="DS99" s="140"/>
      <c r="DT99" s="141"/>
      <c r="DU99" s="142"/>
      <c r="DV99" s="140"/>
      <c r="DW99" s="141"/>
      <c r="DX99" s="142"/>
      <c r="DY99" s="140"/>
      <c r="DZ99" s="141"/>
      <c r="EA99" s="142"/>
      <c r="EB99" s="140"/>
      <c r="EC99" s="141"/>
      <c r="ED99" s="142"/>
      <c r="EE99" s="140"/>
      <c r="EF99" s="141"/>
      <c r="EG99" s="142"/>
      <c r="EH99" s="140"/>
      <c r="EI99" s="141"/>
      <c r="EJ99" s="142"/>
      <c r="EK99" s="140"/>
      <c r="EL99" s="141"/>
      <c r="EM99" s="142"/>
      <c r="EN99" s="140"/>
      <c r="EO99" s="141"/>
      <c r="EP99" s="142"/>
      <c r="EQ99" s="140"/>
      <c r="ER99" s="141"/>
      <c r="ES99" s="142"/>
      <c r="ET99" s="140"/>
      <c r="EU99" s="141"/>
      <c r="EV99" s="142"/>
      <c r="EW99" s="140"/>
      <c r="EX99" s="141"/>
      <c r="EY99" s="142"/>
      <c r="EZ99" s="140"/>
      <c r="FA99" s="141"/>
      <c r="FB99" s="142"/>
      <c r="FC99" s="140"/>
      <c r="FD99" s="141"/>
      <c r="FE99" s="142"/>
      <c r="FF99" s="140"/>
      <c r="FG99" s="141"/>
      <c r="FH99" s="142"/>
      <c r="FI99" s="140"/>
      <c r="FJ99" s="141"/>
      <c r="FK99" s="142"/>
      <c r="FL99" s="140"/>
      <c r="FM99" s="141"/>
      <c r="FN99" s="142"/>
      <c r="FO99" s="140"/>
      <c r="FP99" s="141"/>
      <c r="FQ99" s="142"/>
      <c r="FR99" s="140"/>
      <c r="FS99" s="141"/>
      <c r="FT99" s="142"/>
      <c r="FU99" s="140"/>
      <c r="FV99" s="141"/>
      <c r="FW99" s="142"/>
      <c r="FX99" s="140"/>
      <c r="FY99" s="141"/>
      <c r="FZ99" s="142"/>
      <c r="GA99" s="140"/>
      <c r="GB99" s="141"/>
      <c r="GC99" s="142"/>
      <c r="GD99" s="140"/>
      <c r="GE99" s="141"/>
      <c r="GF99" s="142"/>
      <c r="GG99" s="140"/>
      <c r="GH99" s="141"/>
      <c r="GI99" s="142"/>
      <c r="GJ99" s="140"/>
      <c r="GK99" s="141"/>
      <c r="GL99" s="142"/>
      <c r="GM99" s="140"/>
      <c r="GN99" s="141"/>
      <c r="GO99" s="142"/>
      <c r="GP99" s="140"/>
      <c r="GQ99" s="141"/>
      <c r="GR99" s="142"/>
      <c r="GS99" s="140"/>
      <c r="GT99" s="141"/>
      <c r="GU99" s="142"/>
      <c r="GV99" s="140"/>
      <c r="GW99" s="141"/>
      <c r="GX99" s="142"/>
      <c r="GY99" s="164"/>
      <c r="GZ99" s="134"/>
      <c r="HA99" s="185"/>
      <c r="HB99" s="164"/>
      <c r="HC99" s="185"/>
      <c r="HD99" s="164"/>
      <c r="HE99" s="185"/>
      <c r="HF99" s="164"/>
      <c r="HG99" s="185"/>
      <c r="HH99" s="164"/>
      <c r="HI99" s="185"/>
      <c r="HJ99" s="164"/>
      <c r="HK99" s="185"/>
      <c r="HL99" s="164"/>
      <c r="HM99" s="185"/>
      <c r="HN99" s="164"/>
      <c r="HO99" s="185"/>
      <c r="HP99" s="164"/>
      <c r="HQ99" s="185"/>
      <c r="HR99" s="164"/>
      <c r="HS99" s="185"/>
      <c r="HT99" s="164">
        <f>+'1915 Hacienda'!B36</f>
        <v>45</v>
      </c>
      <c r="HU99" s="185">
        <f>+'1915 Hacienda'!C36</f>
        <v>40</v>
      </c>
    </row>
    <row r="100" spans="1:229" x14ac:dyDescent="0.2">
      <c r="A100" s="1756" t="str">
        <f>+'1858 Hacienda'!A496</f>
        <v>Censos, alquileres i premios</v>
      </c>
      <c r="B100" s="131"/>
      <c r="C100" s="134"/>
      <c r="D100" s="133"/>
      <c r="E100" s="131"/>
      <c r="F100" s="134"/>
      <c r="G100" s="133"/>
      <c r="H100" s="131"/>
      <c r="I100" s="134"/>
      <c r="J100" s="133"/>
      <c r="K100" s="131"/>
      <c r="L100" s="134"/>
      <c r="M100" s="133"/>
      <c r="N100" s="131"/>
      <c r="O100" s="134"/>
      <c r="P100" s="133"/>
      <c r="Q100" s="131"/>
      <c r="R100" s="134"/>
      <c r="S100" s="133"/>
      <c r="T100" s="131"/>
      <c r="U100" s="134"/>
      <c r="V100" s="133"/>
      <c r="W100" s="131"/>
      <c r="X100" s="134"/>
      <c r="Y100" s="133"/>
      <c r="Z100" s="131"/>
      <c r="AA100" s="134"/>
      <c r="AB100" s="133"/>
      <c r="AC100" s="131"/>
      <c r="AD100" s="134"/>
      <c r="AE100" s="133"/>
      <c r="AF100" s="131"/>
      <c r="AG100" s="134"/>
      <c r="AH100" s="133"/>
      <c r="AI100" s="145"/>
      <c r="AJ100" s="134"/>
      <c r="AK100" s="133"/>
      <c r="AL100" s="131"/>
      <c r="AM100" s="134"/>
      <c r="AN100" s="133"/>
      <c r="AO100" s="131"/>
      <c r="AP100" s="134"/>
      <c r="AQ100" s="133"/>
      <c r="AR100" s="131"/>
      <c r="AS100" s="134"/>
      <c r="AT100" s="180"/>
      <c r="AU100" s="131"/>
      <c r="AV100" s="185"/>
      <c r="AW100" s="131">
        <f>+'1858 Hacienda'!D556</f>
        <v>5028</v>
      </c>
      <c r="AX100" s="185">
        <f>+'1858 Hacienda'!E556</f>
        <v>254</v>
      </c>
      <c r="AY100" s="131">
        <f>+'1858 Hacienda'!D613</f>
        <v>2595</v>
      </c>
      <c r="AZ100" s="185">
        <f>+'1858 Hacienda'!E613</f>
        <v>557</v>
      </c>
      <c r="BA100" s="131">
        <f>+'1858 Hacienda'!B496</f>
        <v>2339</v>
      </c>
      <c r="BB100" s="185">
        <f>+'1858 Hacienda'!C496</f>
        <v>226</v>
      </c>
      <c r="BC100" s="131">
        <f>+'1858 Hacienda'!B1028</f>
        <v>4578</v>
      </c>
      <c r="BD100" s="185">
        <f>+'1858 Hacienda'!C1028</f>
        <v>747</v>
      </c>
      <c r="BE100" s="131">
        <f>+'1858 Hacienda'!B1051</f>
        <v>19581</v>
      </c>
      <c r="BF100" s="185">
        <f>+'1858 Hacienda'!C1051</f>
        <v>33</v>
      </c>
      <c r="BG100" s="131">
        <f>+'1858 Hacienda'!B1071</f>
        <v>14510</v>
      </c>
      <c r="BH100" s="185">
        <f>+'1858 Hacienda'!C1071</f>
        <v>21</v>
      </c>
      <c r="BI100" s="131">
        <f>+'1858 Hacienda'!B1091</f>
        <v>21423</v>
      </c>
      <c r="BJ100" s="185">
        <f>+'1858 Hacienda'!C1091</f>
        <v>765</v>
      </c>
      <c r="BK100" s="131">
        <f>+'1858 Hacienda'!B1111</f>
        <v>11083</v>
      </c>
      <c r="BL100" s="185">
        <f>+'1858 Hacienda'!C1111</f>
        <v>275</v>
      </c>
      <c r="BM100" s="131">
        <f>+'1858 Hacienda'!B1124</f>
        <v>10380</v>
      </c>
      <c r="BN100" s="185">
        <f>+'1858 Hacienda'!C1124</f>
        <v>60</v>
      </c>
      <c r="BO100" s="131"/>
      <c r="BP100" s="134"/>
      <c r="BQ100" s="131"/>
      <c r="BR100" s="134"/>
      <c r="BS100" s="133"/>
      <c r="BT100" s="145"/>
      <c r="BU100" s="134"/>
      <c r="BV100" s="131"/>
      <c r="BW100" s="134"/>
      <c r="BX100" s="131"/>
      <c r="BY100" s="134"/>
      <c r="BZ100" s="131"/>
      <c r="CA100" s="134"/>
      <c r="CB100" s="133"/>
      <c r="CC100" s="131"/>
      <c r="CD100" s="134"/>
      <c r="CE100" s="133"/>
      <c r="CF100" s="131"/>
      <c r="CG100" s="134"/>
      <c r="CH100" s="133"/>
      <c r="CI100" s="131"/>
      <c r="CJ100" s="134"/>
      <c r="CK100" s="133"/>
      <c r="CL100" s="131"/>
      <c r="CM100" s="134"/>
      <c r="CN100" s="133"/>
      <c r="CO100" s="131"/>
      <c r="CP100" s="134"/>
      <c r="CQ100" s="133"/>
      <c r="CR100" s="131"/>
      <c r="CS100" s="134"/>
      <c r="CT100" s="133"/>
      <c r="CU100" s="131"/>
      <c r="CV100" s="134"/>
      <c r="CW100" s="133"/>
      <c r="CX100" s="131"/>
      <c r="CY100" s="134"/>
      <c r="CZ100" s="133"/>
      <c r="DA100" s="140"/>
      <c r="DB100" s="141"/>
      <c r="DC100" s="142"/>
      <c r="DD100" s="140"/>
      <c r="DE100" s="141"/>
      <c r="DF100" s="142"/>
      <c r="DG100" s="140"/>
      <c r="DH100" s="141"/>
      <c r="DI100" s="142"/>
      <c r="DJ100" s="140"/>
      <c r="DK100" s="141"/>
      <c r="DL100" s="142"/>
      <c r="DM100" s="140"/>
      <c r="DN100" s="141"/>
      <c r="DO100" s="142"/>
      <c r="DP100" s="140"/>
      <c r="DQ100" s="141"/>
      <c r="DR100" s="142"/>
      <c r="DS100" s="140"/>
      <c r="DT100" s="141"/>
      <c r="DU100" s="142"/>
      <c r="DV100" s="140"/>
      <c r="DW100" s="141"/>
      <c r="DX100" s="142"/>
      <c r="DY100" s="140"/>
      <c r="DZ100" s="141"/>
      <c r="EA100" s="142"/>
      <c r="EB100" s="140"/>
      <c r="EC100" s="141"/>
      <c r="ED100" s="142"/>
      <c r="EE100" s="140"/>
      <c r="EF100" s="141"/>
      <c r="EG100" s="142"/>
      <c r="EH100" s="140"/>
      <c r="EI100" s="141"/>
      <c r="EJ100" s="142"/>
      <c r="EK100" s="140"/>
      <c r="EL100" s="141"/>
      <c r="EM100" s="142"/>
      <c r="EN100" s="140"/>
      <c r="EO100" s="141"/>
      <c r="EP100" s="142"/>
      <c r="EQ100" s="140"/>
      <c r="ER100" s="141"/>
      <c r="ES100" s="142"/>
      <c r="ET100" s="140"/>
      <c r="EU100" s="141"/>
      <c r="EV100" s="142"/>
      <c r="EW100" s="140"/>
      <c r="EX100" s="141"/>
      <c r="EY100" s="142"/>
      <c r="EZ100" s="140"/>
      <c r="FA100" s="141"/>
      <c r="FB100" s="142"/>
      <c r="FC100" s="140"/>
      <c r="FD100" s="141"/>
      <c r="FE100" s="142"/>
      <c r="FF100" s="140"/>
      <c r="FG100" s="141"/>
      <c r="FH100" s="142"/>
      <c r="FI100" s="140"/>
      <c r="FJ100" s="141"/>
      <c r="FK100" s="142"/>
      <c r="FL100" s="140"/>
      <c r="FM100" s="141"/>
      <c r="FN100" s="142"/>
      <c r="FO100" s="140"/>
      <c r="FP100" s="141"/>
      <c r="FQ100" s="142"/>
      <c r="FR100" s="140"/>
      <c r="FS100" s="141"/>
      <c r="FT100" s="142"/>
      <c r="FU100" s="140"/>
      <c r="FV100" s="141"/>
      <c r="FW100" s="142"/>
      <c r="FX100" s="140"/>
      <c r="FY100" s="141"/>
      <c r="FZ100" s="142"/>
      <c r="GA100" s="140"/>
      <c r="GB100" s="141"/>
      <c r="GC100" s="142"/>
      <c r="GD100" s="140"/>
      <c r="GE100" s="141"/>
      <c r="GF100" s="142"/>
      <c r="GG100" s="140"/>
      <c r="GH100" s="141"/>
      <c r="GI100" s="142"/>
      <c r="GJ100" s="140"/>
      <c r="GK100" s="141"/>
      <c r="GL100" s="142"/>
      <c r="GM100" s="140"/>
      <c r="GN100" s="141"/>
      <c r="GO100" s="142"/>
      <c r="GP100" s="140"/>
      <c r="GQ100" s="141"/>
      <c r="GR100" s="142"/>
      <c r="GS100" s="140"/>
      <c r="GT100" s="141"/>
      <c r="GU100" s="142"/>
      <c r="GV100" s="140"/>
      <c r="GW100" s="141"/>
      <c r="GX100" s="142"/>
      <c r="GY100" s="164"/>
      <c r="GZ100" s="134"/>
      <c r="HA100" s="185"/>
      <c r="HB100" s="164"/>
      <c r="HC100" s="185"/>
      <c r="HD100" s="164"/>
      <c r="HE100" s="185"/>
      <c r="HF100" s="164"/>
      <c r="HG100" s="185"/>
      <c r="HH100" s="164"/>
      <c r="HI100" s="185"/>
      <c r="HJ100" s="164"/>
      <c r="HK100" s="185"/>
      <c r="HL100" s="164"/>
      <c r="HM100" s="185"/>
      <c r="HN100" s="164"/>
      <c r="HO100" s="185"/>
      <c r="HP100" s="164"/>
      <c r="HQ100" s="185"/>
      <c r="HR100" s="164"/>
      <c r="HS100" s="185"/>
      <c r="HT100" s="164"/>
      <c r="HU100" s="185"/>
    </row>
    <row r="101" spans="1:229" x14ac:dyDescent="0.2">
      <c r="A101" s="1756" t="str">
        <f>+'1858 Hacienda'!A497</f>
        <v>Dos por ciento para pensiones civiles</v>
      </c>
      <c r="B101" s="131"/>
      <c r="C101" s="134"/>
      <c r="D101" s="133"/>
      <c r="E101" s="131"/>
      <c r="F101" s="134"/>
      <c r="G101" s="133"/>
      <c r="H101" s="131"/>
      <c r="I101" s="134"/>
      <c r="J101" s="133"/>
      <c r="K101" s="131"/>
      <c r="L101" s="134"/>
      <c r="M101" s="133"/>
      <c r="N101" s="131"/>
      <c r="O101" s="134"/>
      <c r="P101" s="133"/>
      <c r="Q101" s="131"/>
      <c r="R101" s="134"/>
      <c r="S101" s="133"/>
      <c r="T101" s="131"/>
      <c r="U101" s="134"/>
      <c r="V101" s="133"/>
      <c r="W101" s="131"/>
      <c r="X101" s="134"/>
      <c r="Y101" s="133"/>
      <c r="Z101" s="131"/>
      <c r="AA101" s="134"/>
      <c r="AB101" s="133"/>
      <c r="AC101" s="131"/>
      <c r="AD101" s="134"/>
      <c r="AE101" s="133"/>
      <c r="AF101" s="131"/>
      <c r="AG101" s="134"/>
      <c r="AH101" s="133"/>
      <c r="AI101" s="145"/>
      <c r="AJ101" s="134"/>
      <c r="AK101" s="133"/>
      <c r="AL101" s="131"/>
      <c r="AM101" s="134"/>
      <c r="AN101" s="133"/>
      <c r="AO101" s="131"/>
      <c r="AP101" s="134"/>
      <c r="AQ101" s="133"/>
      <c r="AR101" s="131"/>
      <c r="AS101" s="134"/>
      <c r="AT101" s="180"/>
      <c r="AU101" s="131"/>
      <c r="AV101" s="185"/>
      <c r="AW101" s="131">
        <f>+'1858 Hacienda'!D557</f>
        <v>10339</v>
      </c>
      <c r="AX101" s="185">
        <f>+'1858 Hacienda'!E557</f>
        <v>137</v>
      </c>
      <c r="AY101" s="131">
        <f>+'1858 Hacienda'!D614</f>
        <v>6727</v>
      </c>
      <c r="AZ101" s="185">
        <f>+'1858 Hacienda'!E614</f>
        <v>429</v>
      </c>
      <c r="BA101" s="131">
        <f>+'1858 Hacienda'!B497</f>
        <v>10072</v>
      </c>
      <c r="BB101" s="185">
        <f>+'1858 Hacienda'!C497</f>
        <v>165</v>
      </c>
      <c r="BC101" s="131">
        <f>+'1858 Hacienda'!B1029</f>
        <v>6292</v>
      </c>
      <c r="BD101" s="185">
        <f>+'1858 Hacienda'!C1029</f>
        <v>361</v>
      </c>
      <c r="BE101" s="131">
        <f>+'1858 Hacienda'!B1056</f>
        <v>4467</v>
      </c>
      <c r="BF101" s="185">
        <f>+'1858 Hacienda'!C1056</f>
        <v>906</v>
      </c>
      <c r="BG101" s="131">
        <f>+'1858 Hacienda'!B1072</f>
        <v>4473</v>
      </c>
      <c r="BH101" s="185">
        <f>+'1858 Hacienda'!C1072</f>
        <v>320</v>
      </c>
      <c r="BI101" s="131">
        <f>+'1858 Hacienda'!B1092</f>
        <v>7</v>
      </c>
      <c r="BJ101" s="185">
        <f>+'1858 Hacienda'!C1092</f>
        <v>45</v>
      </c>
      <c r="BK101" s="131"/>
      <c r="BL101" s="185"/>
      <c r="BM101" s="131"/>
      <c r="BN101" s="185"/>
      <c r="BO101" s="131"/>
      <c r="BP101" s="134"/>
      <c r="BQ101" s="131"/>
      <c r="BR101" s="134"/>
      <c r="BS101" s="133"/>
      <c r="BT101" s="145"/>
      <c r="BU101" s="134"/>
      <c r="BV101" s="131"/>
      <c r="BW101" s="134"/>
      <c r="BX101" s="131"/>
      <c r="BY101" s="134"/>
      <c r="BZ101" s="131"/>
      <c r="CA101" s="134"/>
      <c r="CB101" s="133"/>
      <c r="CC101" s="131"/>
      <c r="CD101" s="134"/>
      <c r="CE101" s="133"/>
      <c r="CF101" s="131"/>
      <c r="CG101" s="134"/>
      <c r="CH101" s="133"/>
      <c r="CI101" s="131"/>
      <c r="CJ101" s="134"/>
      <c r="CK101" s="133"/>
      <c r="CL101" s="131"/>
      <c r="CM101" s="134"/>
      <c r="CN101" s="133"/>
      <c r="CO101" s="131"/>
      <c r="CP101" s="134"/>
      <c r="CQ101" s="133"/>
      <c r="CR101" s="131"/>
      <c r="CS101" s="134"/>
      <c r="CT101" s="133"/>
      <c r="CU101" s="131"/>
      <c r="CV101" s="134"/>
      <c r="CW101" s="133"/>
      <c r="CX101" s="131"/>
      <c r="CY101" s="134"/>
      <c r="CZ101" s="133"/>
      <c r="DA101" s="140"/>
      <c r="DB101" s="141"/>
      <c r="DC101" s="142"/>
      <c r="DD101" s="140"/>
      <c r="DE101" s="141"/>
      <c r="DF101" s="142"/>
      <c r="DG101" s="140"/>
      <c r="DH101" s="141"/>
      <c r="DI101" s="142"/>
      <c r="DJ101" s="140"/>
      <c r="DK101" s="141"/>
      <c r="DL101" s="142"/>
      <c r="DM101" s="140"/>
      <c r="DN101" s="141"/>
      <c r="DO101" s="142"/>
      <c r="DP101" s="140"/>
      <c r="DQ101" s="141"/>
      <c r="DR101" s="142"/>
      <c r="DS101" s="140"/>
      <c r="DT101" s="141"/>
      <c r="DU101" s="142"/>
      <c r="DV101" s="140"/>
      <c r="DW101" s="141"/>
      <c r="DX101" s="142"/>
      <c r="DY101" s="140"/>
      <c r="DZ101" s="141"/>
      <c r="EA101" s="142"/>
      <c r="EB101" s="140"/>
      <c r="EC101" s="141"/>
      <c r="ED101" s="142"/>
      <c r="EE101" s="140"/>
      <c r="EF101" s="141"/>
      <c r="EG101" s="142"/>
      <c r="EH101" s="140"/>
      <c r="EI101" s="141"/>
      <c r="EJ101" s="142"/>
      <c r="EK101" s="140"/>
      <c r="EL101" s="141"/>
      <c r="EM101" s="142"/>
      <c r="EN101" s="140"/>
      <c r="EO101" s="141"/>
      <c r="EP101" s="142"/>
      <c r="EQ101" s="140"/>
      <c r="ER101" s="141"/>
      <c r="ES101" s="142"/>
      <c r="ET101" s="140"/>
      <c r="EU101" s="141"/>
      <c r="EV101" s="142"/>
      <c r="EW101" s="140"/>
      <c r="EX101" s="141"/>
      <c r="EY101" s="142"/>
      <c r="EZ101" s="140"/>
      <c r="FA101" s="141"/>
      <c r="FB101" s="142"/>
      <c r="FC101" s="140"/>
      <c r="FD101" s="141"/>
      <c r="FE101" s="142"/>
      <c r="FF101" s="140"/>
      <c r="FG101" s="141"/>
      <c r="FH101" s="142"/>
      <c r="FI101" s="140"/>
      <c r="FJ101" s="141"/>
      <c r="FK101" s="142"/>
      <c r="FL101" s="140"/>
      <c r="FM101" s="141"/>
      <c r="FN101" s="142"/>
      <c r="FO101" s="140"/>
      <c r="FP101" s="141"/>
      <c r="FQ101" s="142"/>
      <c r="FR101" s="140"/>
      <c r="FS101" s="141"/>
      <c r="FT101" s="142"/>
      <c r="FU101" s="140"/>
      <c r="FV101" s="141"/>
      <c r="FW101" s="142"/>
      <c r="FX101" s="140"/>
      <c r="FY101" s="141"/>
      <c r="FZ101" s="142"/>
      <c r="GA101" s="140"/>
      <c r="GB101" s="141"/>
      <c r="GC101" s="142"/>
      <c r="GD101" s="140"/>
      <c r="GE101" s="141"/>
      <c r="GF101" s="142"/>
      <c r="GG101" s="140"/>
      <c r="GH101" s="141"/>
      <c r="GI101" s="142"/>
      <c r="GJ101" s="140"/>
      <c r="GK101" s="141"/>
      <c r="GL101" s="142"/>
      <c r="GM101" s="140"/>
      <c r="GN101" s="141"/>
      <c r="GO101" s="142"/>
      <c r="GP101" s="140"/>
      <c r="GQ101" s="141"/>
      <c r="GR101" s="142"/>
      <c r="GS101" s="140"/>
      <c r="GT101" s="141"/>
      <c r="GU101" s="142"/>
      <c r="GV101" s="140"/>
      <c r="GW101" s="141"/>
      <c r="GX101" s="142"/>
      <c r="GY101" s="164"/>
      <c r="GZ101" s="134"/>
      <c r="HA101" s="185"/>
      <c r="HB101" s="164"/>
      <c r="HC101" s="185"/>
      <c r="HD101" s="164"/>
      <c r="HE101" s="185"/>
      <c r="HF101" s="164"/>
      <c r="HG101" s="185"/>
      <c r="HH101" s="164"/>
      <c r="HI101" s="185"/>
      <c r="HJ101" s="164"/>
      <c r="HK101" s="185"/>
      <c r="HL101" s="164"/>
      <c r="HM101" s="185"/>
      <c r="HN101" s="164"/>
      <c r="HO101" s="185"/>
      <c r="HP101" s="164"/>
      <c r="HQ101" s="185"/>
      <c r="HR101" s="164"/>
      <c r="HS101" s="185"/>
      <c r="HT101" s="164"/>
      <c r="HU101" s="185"/>
    </row>
    <row r="102" spans="1:229" x14ac:dyDescent="0.2">
      <c r="A102" s="1756" t="str">
        <f>+'1858 Hacienda'!A507</f>
        <v>Manumision</v>
      </c>
      <c r="B102" s="131"/>
      <c r="C102" s="134"/>
      <c r="D102" s="133"/>
      <c r="E102" s="131"/>
      <c r="F102" s="134"/>
      <c r="G102" s="133"/>
      <c r="H102" s="131"/>
      <c r="I102" s="134"/>
      <c r="J102" s="133"/>
      <c r="K102" s="131"/>
      <c r="L102" s="134"/>
      <c r="M102" s="133"/>
      <c r="N102" s="131"/>
      <c r="O102" s="134"/>
      <c r="P102" s="133"/>
      <c r="Q102" s="131"/>
      <c r="R102" s="134"/>
      <c r="S102" s="133"/>
      <c r="T102" s="131"/>
      <c r="U102" s="134"/>
      <c r="V102" s="133"/>
      <c r="W102" s="131"/>
      <c r="X102" s="134"/>
      <c r="Y102" s="133"/>
      <c r="Z102" s="131"/>
      <c r="AA102" s="134"/>
      <c r="AB102" s="133"/>
      <c r="AC102" s="131"/>
      <c r="AD102" s="134"/>
      <c r="AE102" s="133"/>
      <c r="AF102" s="131"/>
      <c r="AG102" s="134"/>
      <c r="AH102" s="133"/>
      <c r="AI102" s="145"/>
      <c r="AJ102" s="134"/>
      <c r="AK102" s="133"/>
      <c r="AL102" s="131"/>
      <c r="AM102" s="134"/>
      <c r="AN102" s="133"/>
      <c r="AO102" s="131"/>
      <c r="AP102" s="134"/>
      <c r="AQ102" s="133"/>
      <c r="AR102" s="131"/>
      <c r="AS102" s="134"/>
      <c r="AT102" s="180"/>
      <c r="AU102" s="131"/>
      <c r="AV102" s="185"/>
      <c r="AW102" s="131">
        <f>+'1858 Hacienda'!D566</f>
        <v>8722</v>
      </c>
      <c r="AX102" s="185">
        <f>+'1858 Hacienda'!E566</f>
        <v>773</v>
      </c>
      <c r="AY102" s="131">
        <f>+'1858 Hacienda'!D624</f>
        <v>11320</v>
      </c>
      <c r="AZ102" s="185">
        <f>+'1858 Hacienda'!E624</f>
        <v>173</v>
      </c>
      <c r="BA102" s="131">
        <f>+'1858 Hacienda'!B507</f>
        <v>11846</v>
      </c>
      <c r="BB102" s="185">
        <f>+'1858 Hacienda'!C507</f>
        <v>899</v>
      </c>
      <c r="BC102" s="131"/>
      <c r="BD102" s="185"/>
      <c r="BE102" s="131"/>
      <c r="BF102" s="185"/>
      <c r="BG102" s="131"/>
      <c r="BH102" s="185"/>
      <c r="BI102" s="131"/>
      <c r="BJ102" s="185"/>
      <c r="BK102" s="131"/>
      <c r="BL102" s="185"/>
      <c r="BM102" s="131"/>
      <c r="BN102" s="185"/>
      <c r="BO102" s="131"/>
      <c r="BP102" s="134"/>
      <c r="BQ102" s="131"/>
      <c r="BR102" s="134"/>
      <c r="BS102" s="133"/>
      <c r="BT102" s="145"/>
      <c r="BU102" s="134"/>
      <c r="BV102" s="131"/>
      <c r="BW102" s="134"/>
      <c r="BX102" s="131"/>
      <c r="BY102" s="134"/>
      <c r="BZ102" s="131"/>
      <c r="CA102" s="134"/>
      <c r="CB102" s="133"/>
      <c r="CC102" s="131"/>
      <c r="CD102" s="134"/>
      <c r="CE102" s="133"/>
      <c r="CF102" s="131"/>
      <c r="CG102" s="134"/>
      <c r="CH102" s="133"/>
      <c r="CI102" s="131"/>
      <c r="CJ102" s="134"/>
      <c r="CK102" s="133"/>
      <c r="CL102" s="131"/>
      <c r="CM102" s="134"/>
      <c r="CN102" s="133"/>
      <c r="CO102" s="131"/>
      <c r="CP102" s="134"/>
      <c r="CQ102" s="133"/>
      <c r="CR102" s="131"/>
      <c r="CS102" s="134"/>
      <c r="CT102" s="133"/>
      <c r="CU102" s="131"/>
      <c r="CV102" s="134"/>
      <c r="CW102" s="133"/>
      <c r="CX102" s="131"/>
      <c r="CY102" s="134"/>
      <c r="CZ102" s="133"/>
      <c r="DA102" s="140"/>
      <c r="DB102" s="141"/>
      <c r="DC102" s="142"/>
      <c r="DD102" s="140"/>
      <c r="DE102" s="141"/>
      <c r="DF102" s="142"/>
      <c r="DG102" s="140"/>
      <c r="DH102" s="141"/>
      <c r="DI102" s="142"/>
      <c r="DJ102" s="140"/>
      <c r="DK102" s="141"/>
      <c r="DL102" s="142"/>
      <c r="DM102" s="140"/>
      <c r="DN102" s="141"/>
      <c r="DO102" s="142"/>
      <c r="DP102" s="140"/>
      <c r="DQ102" s="141"/>
      <c r="DR102" s="142"/>
      <c r="DS102" s="140"/>
      <c r="DT102" s="141"/>
      <c r="DU102" s="142"/>
      <c r="DV102" s="140"/>
      <c r="DW102" s="141"/>
      <c r="DX102" s="142"/>
      <c r="DY102" s="140"/>
      <c r="DZ102" s="141"/>
      <c r="EA102" s="142"/>
      <c r="EB102" s="140"/>
      <c r="EC102" s="141"/>
      <c r="ED102" s="142"/>
      <c r="EE102" s="140"/>
      <c r="EF102" s="141"/>
      <c r="EG102" s="142"/>
      <c r="EH102" s="140"/>
      <c r="EI102" s="141"/>
      <c r="EJ102" s="142"/>
      <c r="EK102" s="140"/>
      <c r="EL102" s="141"/>
      <c r="EM102" s="142"/>
      <c r="EN102" s="140"/>
      <c r="EO102" s="141"/>
      <c r="EP102" s="142"/>
      <c r="EQ102" s="140"/>
      <c r="ER102" s="141"/>
      <c r="ES102" s="142"/>
      <c r="ET102" s="140"/>
      <c r="EU102" s="141"/>
      <c r="EV102" s="142"/>
      <c r="EW102" s="140"/>
      <c r="EX102" s="141"/>
      <c r="EY102" s="142"/>
      <c r="EZ102" s="140"/>
      <c r="FA102" s="141"/>
      <c r="FB102" s="142"/>
      <c r="FC102" s="140"/>
      <c r="FD102" s="141"/>
      <c r="FE102" s="142"/>
      <c r="FF102" s="140"/>
      <c r="FG102" s="141"/>
      <c r="FH102" s="142"/>
      <c r="FI102" s="140"/>
      <c r="FJ102" s="141"/>
      <c r="FK102" s="142"/>
      <c r="FL102" s="140"/>
      <c r="FM102" s="141"/>
      <c r="FN102" s="142"/>
      <c r="FO102" s="140"/>
      <c r="FP102" s="141"/>
      <c r="FQ102" s="142"/>
      <c r="FR102" s="140"/>
      <c r="FS102" s="141"/>
      <c r="FT102" s="142"/>
      <c r="FU102" s="140"/>
      <c r="FV102" s="141"/>
      <c r="FW102" s="142"/>
      <c r="FX102" s="140"/>
      <c r="FY102" s="141"/>
      <c r="FZ102" s="142"/>
      <c r="GA102" s="140"/>
      <c r="GB102" s="141"/>
      <c r="GC102" s="142"/>
      <c r="GD102" s="140"/>
      <c r="GE102" s="141"/>
      <c r="GF102" s="142"/>
      <c r="GG102" s="140"/>
      <c r="GH102" s="141"/>
      <c r="GI102" s="142"/>
      <c r="GJ102" s="140"/>
      <c r="GK102" s="141"/>
      <c r="GL102" s="142"/>
      <c r="GM102" s="140"/>
      <c r="GN102" s="141"/>
      <c r="GO102" s="142"/>
      <c r="GP102" s="140"/>
      <c r="GQ102" s="141"/>
      <c r="GR102" s="142"/>
      <c r="GS102" s="140"/>
      <c r="GT102" s="141"/>
      <c r="GU102" s="142"/>
      <c r="GV102" s="140"/>
      <c r="GW102" s="141"/>
      <c r="GX102" s="142"/>
      <c r="GY102" s="164"/>
      <c r="GZ102" s="134"/>
      <c r="HA102" s="185"/>
      <c r="HB102" s="164"/>
      <c r="HC102" s="185"/>
      <c r="HD102" s="164"/>
      <c r="HE102" s="185"/>
      <c r="HF102" s="164"/>
      <c r="HG102" s="185"/>
      <c r="HH102" s="164"/>
      <c r="HI102" s="185"/>
      <c r="HJ102" s="164"/>
      <c r="HK102" s="185"/>
      <c r="HL102" s="164"/>
      <c r="HM102" s="185"/>
      <c r="HN102" s="164"/>
      <c r="HO102" s="185"/>
      <c r="HP102" s="164"/>
      <c r="HQ102" s="185"/>
      <c r="HR102" s="164"/>
      <c r="HS102" s="185"/>
      <c r="HT102" s="164"/>
      <c r="HU102" s="185"/>
    </row>
    <row r="103" spans="1:229" x14ac:dyDescent="0.2">
      <c r="A103" s="1756" t="str">
        <f>+'1858 Hacienda'!A509</f>
        <v>Impuestos varios o rentas de producto accidental</v>
      </c>
      <c r="B103" s="131"/>
      <c r="C103" s="134"/>
      <c r="D103" s="133"/>
      <c r="E103" s="131"/>
      <c r="F103" s="134"/>
      <c r="G103" s="133"/>
      <c r="H103" s="131"/>
      <c r="I103" s="134"/>
      <c r="J103" s="133"/>
      <c r="K103" s="131"/>
      <c r="L103" s="134"/>
      <c r="M103" s="133"/>
      <c r="N103" s="131"/>
      <c r="O103" s="134"/>
      <c r="P103" s="133"/>
      <c r="Q103" s="131"/>
      <c r="R103" s="134"/>
      <c r="S103" s="133"/>
      <c r="T103" s="131"/>
      <c r="U103" s="134"/>
      <c r="V103" s="133"/>
      <c r="W103" s="131"/>
      <c r="X103" s="134"/>
      <c r="Y103" s="133"/>
      <c r="Z103" s="131"/>
      <c r="AA103" s="134"/>
      <c r="AB103" s="133"/>
      <c r="AC103" s="131"/>
      <c r="AD103" s="134"/>
      <c r="AE103" s="133"/>
      <c r="AF103" s="131"/>
      <c r="AG103" s="134"/>
      <c r="AH103" s="133"/>
      <c r="AI103" s="145"/>
      <c r="AJ103" s="134"/>
      <c r="AK103" s="133"/>
      <c r="AL103" s="131"/>
      <c r="AM103" s="134"/>
      <c r="AN103" s="133"/>
      <c r="AO103" s="131"/>
      <c r="AP103" s="134"/>
      <c r="AQ103" s="133"/>
      <c r="AR103" s="131"/>
      <c r="AS103" s="134"/>
      <c r="AT103" s="180"/>
      <c r="AU103" s="131"/>
      <c r="AV103" s="185"/>
      <c r="AW103" s="131">
        <f>+'1858 Hacienda'!D558</f>
        <v>69778</v>
      </c>
      <c r="AX103" s="185">
        <f>+'1858 Hacienda'!E558</f>
        <v>841</v>
      </c>
      <c r="AY103" s="131">
        <f>+'1858 Hacienda'!D626</f>
        <v>132910</v>
      </c>
      <c r="AZ103" s="185">
        <f>+'1858 Hacienda'!E626</f>
        <v>984</v>
      </c>
      <c r="BA103" s="131">
        <f>+'1858 Hacienda'!B509</f>
        <v>105346</v>
      </c>
      <c r="BB103" s="185">
        <f>+'1858 Hacienda'!C509</f>
        <v>176</v>
      </c>
      <c r="BC103" s="131">
        <f>+'1858 Hacienda'!B1040</f>
        <v>9330</v>
      </c>
      <c r="BD103" s="185">
        <f>+'1858 Hacienda'!C1040</f>
        <v>834</v>
      </c>
      <c r="BE103" s="131">
        <f>+'1858 Hacienda'!B1058</f>
        <v>1636</v>
      </c>
      <c r="BF103" s="185">
        <f>+'1858 Hacienda'!C1058</f>
        <v>713</v>
      </c>
      <c r="BG103" s="131">
        <f>+'1858 Hacienda'!B1081</f>
        <v>523</v>
      </c>
      <c r="BH103" s="185">
        <f>+'1858 Hacienda'!C1081</f>
        <v>975</v>
      </c>
      <c r="BI103" s="131">
        <f>+'1858 Hacienda'!B1099</f>
        <v>1419</v>
      </c>
      <c r="BJ103" s="185">
        <f>+'1858 Hacienda'!C1099</f>
        <v>75</v>
      </c>
      <c r="BK103" s="131">
        <f>+'1858 Hacienda'!B1104</f>
        <v>2310</v>
      </c>
      <c r="BL103" s="185">
        <f>+'1858 Hacienda'!C1104</f>
        <v>190</v>
      </c>
      <c r="BM103" s="131">
        <f>+'1858 Hacienda'!B1131</f>
        <v>2392</v>
      </c>
      <c r="BN103" s="185">
        <f>+'1858 Hacienda'!C1131</f>
        <v>955</v>
      </c>
      <c r="BO103" s="131"/>
      <c r="BP103" s="134"/>
      <c r="BQ103" s="131"/>
      <c r="BR103" s="134"/>
      <c r="BS103" s="133"/>
      <c r="BT103" s="145"/>
      <c r="BU103" s="134"/>
      <c r="BV103" s="131"/>
      <c r="BW103" s="134"/>
      <c r="BX103" s="131"/>
      <c r="BY103" s="134"/>
      <c r="BZ103" s="131"/>
      <c r="CA103" s="134"/>
      <c r="CB103" s="133"/>
      <c r="CC103" s="131"/>
      <c r="CD103" s="134"/>
      <c r="CE103" s="133"/>
      <c r="CF103" s="131"/>
      <c r="CG103" s="134"/>
      <c r="CH103" s="133"/>
      <c r="CI103" s="131"/>
      <c r="CJ103" s="134"/>
      <c r="CK103" s="133"/>
      <c r="CL103" s="131"/>
      <c r="CM103" s="134"/>
      <c r="CN103" s="133"/>
      <c r="CO103" s="131"/>
      <c r="CP103" s="134"/>
      <c r="CQ103" s="133"/>
      <c r="CR103" s="131"/>
      <c r="CS103" s="134"/>
      <c r="CT103" s="133"/>
      <c r="CU103" s="131"/>
      <c r="CV103" s="134"/>
      <c r="CW103" s="133"/>
      <c r="CX103" s="131"/>
      <c r="CY103" s="134"/>
      <c r="CZ103" s="133"/>
      <c r="DA103" s="140"/>
      <c r="DB103" s="141"/>
      <c r="DC103" s="142"/>
      <c r="DD103" s="140"/>
      <c r="DE103" s="141"/>
      <c r="DF103" s="142"/>
      <c r="DG103" s="140"/>
      <c r="DH103" s="141"/>
      <c r="DI103" s="142"/>
      <c r="DJ103" s="140"/>
      <c r="DK103" s="141"/>
      <c r="DL103" s="142"/>
      <c r="DM103" s="140"/>
      <c r="DN103" s="141"/>
      <c r="DO103" s="142"/>
      <c r="DP103" s="140"/>
      <c r="DQ103" s="141"/>
      <c r="DR103" s="142"/>
      <c r="DS103" s="140"/>
      <c r="DT103" s="141"/>
      <c r="DU103" s="142"/>
      <c r="DV103" s="140"/>
      <c r="DW103" s="141"/>
      <c r="DX103" s="142"/>
      <c r="DY103" s="140"/>
      <c r="DZ103" s="141"/>
      <c r="EA103" s="142"/>
      <c r="EB103" s="140"/>
      <c r="EC103" s="141"/>
      <c r="ED103" s="142"/>
      <c r="EE103" s="140"/>
      <c r="EF103" s="141"/>
      <c r="EG103" s="142"/>
      <c r="EH103" s="140"/>
      <c r="EI103" s="141"/>
      <c r="EJ103" s="142"/>
      <c r="EK103" s="140"/>
      <c r="EL103" s="141"/>
      <c r="EM103" s="142"/>
      <c r="EN103" s="140"/>
      <c r="EO103" s="141"/>
      <c r="EP103" s="142"/>
      <c r="EQ103" s="140"/>
      <c r="ER103" s="141"/>
      <c r="ES103" s="142"/>
      <c r="ET103" s="140"/>
      <c r="EU103" s="141"/>
      <c r="EV103" s="142"/>
      <c r="EW103" s="140"/>
      <c r="EX103" s="141"/>
      <c r="EY103" s="142"/>
      <c r="EZ103" s="140"/>
      <c r="FA103" s="141"/>
      <c r="FB103" s="142"/>
      <c r="FC103" s="140"/>
      <c r="FD103" s="141"/>
      <c r="FE103" s="142"/>
      <c r="FF103" s="140"/>
      <c r="FG103" s="141"/>
      <c r="FH103" s="142"/>
      <c r="FI103" s="140"/>
      <c r="FJ103" s="141"/>
      <c r="FK103" s="142"/>
      <c r="FL103" s="140"/>
      <c r="FM103" s="141"/>
      <c r="FN103" s="142"/>
      <c r="FO103" s="140"/>
      <c r="FP103" s="141"/>
      <c r="FQ103" s="142"/>
      <c r="FR103" s="140"/>
      <c r="FS103" s="141"/>
      <c r="FT103" s="142"/>
      <c r="FU103" s="140"/>
      <c r="FV103" s="141"/>
      <c r="FW103" s="142"/>
      <c r="FX103" s="140"/>
      <c r="FY103" s="141"/>
      <c r="FZ103" s="142"/>
      <c r="GA103" s="140"/>
      <c r="GB103" s="141"/>
      <c r="GC103" s="142"/>
      <c r="GD103" s="140"/>
      <c r="GE103" s="141"/>
      <c r="GF103" s="142"/>
      <c r="GG103" s="140"/>
      <c r="GH103" s="141"/>
      <c r="GI103" s="142"/>
      <c r="GJ103" s="140"/>
      <c r="GK103" s="141"/>
      <c r="GL103" s="142"/>
      <c r="GM103" s="140"/>
      <c r="GN103" s="141"/>
      <c r="GO103" s="142"/>
      <c r="GP103" s="140"/>
      <c r="GQ103" s="141"/>
      <c r="GR103" s="142"/>
      <c r="GS103" s="140"/>
      <c r="GT103" s="141"/>
      <c r="GU103" s="142"/>
      <c r="GV103" s="140"/>
      <c r="GW103" s="141"/>
      <c r="GX103" s="142"/>
      <c r="GY103" s="164"/>
      <c r="GZ103" s="134"/>
      <c r="HA103" s="185"/>
      <c r="HB103" s="164"/>
      <c r="HC103" s="185"/>
      <c r="HD103" s="164"/>
      <c r="HE103" s="185"/>
      <c r="HF103" s="164"/>
      <c r="HG103" s="185"/>
      <c r="HH103" s="164"/>
      <c r="HI103" s="185"/>
      <c r="HJ103" s="164"/>
      <c r="HK103" s="185"/>
      <c r="HL103" s="164"/>
      <c r="HM103" s="185"/>
      <c r="HN103" s="164"/>
      <c r="HO103" s="185"/>
      <c r="HP103" s="164"/>
      <c r="HQ103" s="185"/>
      <c r="HR103" s="164"/>
      <c r="HS103" s="185"/>
      <c r="HT103" s="164"/>
      <c r="HU103" s="185"/>
    </row>
    <row r="104" spans="1:229" x14ac:dyDescent="0.2">
      <c r="A104" s="1756" t="s">
        <v>1812</v>
      </c>
      <c r="B104" s="131"/>
      <c r="C104" s="134"/>
      <c r="D104" s="133"/>
      <c r="E104" s="131"/>
      <c r="F104" s="134"/>
      <c r="G104" s="133"/>
      <c r="H104" s="131"/>
      <c r="I104" s="134"/>
      <c r="J104" s="133"/>
      <c r="K104" s="131"/>
      <c r="L104" s="134"/>
      <c r="M104" s="133"/>
      <c r="N104" s="131"/>
      <c r="O104" s="134"/>
      <c r="P104" s="133"/>
      <c r="Q104" s="131"/>
      <c r="R104" s="134"/>
      <c r="S104" s="133"/>
      <c r="T104" s="131"/>
      <c r="U104" s="134"/>
      <c r="V104" s="133"/>
      <c r="W104" s="131"/>
      <c r="X104" s="134"/>
      <c r="Y104" s="133"/>
      <c r="Z104" s="131"/>
      <c r="AA104" s="134"/>
      <c r="AB104" s="133"/>
      <c r="AC104" s="131"/>
      <c r="AD104" s="134"/>
      <c r="AE104" s="133"/>
      <c r="AF104" s="131"/>
      <c r="AG104" s="134"/>
      <c r="AH104" s="133"/>
      <c r="AI104" s="145"/>
      <c r="AJ104" s="134"/>
      <c r="AK104" s="133"/>
      <c r="AL104" s="131"/>
      <c r="AM104" s="134"/>
      <c r="AN104" s="133"/>
      <c r="AO104" s="131"/>
      <c r="AP104" s="134"/>
      <c r="AQ104" s="133"/>
      <c r="AR104" s="131"/>
      <c r="AS104" s="134"/>
      <c r="AT104" s="180"/>
      <c r="AU104" s="131"/>
      <c r="AV104" s="185"/>
      <c r="AW104" s="131"/>
      <c r="AX104" s="185"/>
      <c r="AY104" s="131"/>
      <c r="AZ104" s="185"/>
      <c r="BA104" s="131"/>
      <c r="BB104" s="185"/>
      <c r="BC104" s="131">
        <f>+'1858 Hacienda'!B1039</f>
        <v>22119</v>
      </c>
      <c r="BD104" s="185">
        <f>+'1858 Hacienda'!C1039</f>
        <v>713</v>
      </c>
      <c r="BE104" s="131">
        <f>+'1858 Hacienda'!B1060</f>
        <v>39994</v>
      </c>
      <c r="BF104" s="185">
        <f>+'1858 Hacienda'!C1060</f>
        <v>229</v>
      </c>
      <c r="BG104" s="131">
        <f>+'1858 Hacienda'!B1079</f>
        <v>5097</v>
      </c>
      <c r="BH104" s="185">
        <f>+'1858 Hacienda'!C1079</f>
        <v>374</v>
      </c>
      <c r="BI104" s="131">
        <f>+'1858 Hacienda'!B1101</f>
        <v>15539</v>
      </c>
      <c r="BJ104" s="185">
        <f>+'1858 Hacienda'!C1101</f>
        <v>965</v>
      </c>
      <c r="BK104" s="131">
        <f>+'1858 Hacienda'!B1115</f>
        <v>20725</v>
      </c>
      <c r="BL104" s="185">
        <f>+'1858 Hacienda'!C1115</f>
        <v>165</v>
      </c>
      <c r="BM104" s="131">
        <f>+'1858 Hacienda'!B1129</f>
        <v>3774</v>
      </c>
      <c r="BN104" s="185">
        <f>+'1858 Hacienda'!C1129</f>
        <v>875</v>
      </c>
      <c r="BO104" s="131"/>
      <c r="BP104" s="134"/>
      <c r="BQ104" s="131"/>
      <c r="BR104" s="134"/>
      <c r="BS104" s="133"/>
      <c r="BT104" s="145"/>
      <c r="BU104" s="134"/>
      <c r="BV104" s="131"/>
      <c r="BW104" s="134"/>
      <c r="BX104" s="131"/>
      <c r="BY104" s="134"/>
      <c r="BZ104" s="131"/>
      <c r="CA104" s="134"/>
      <c r="CB104" s="133"/>
      <c r="CC104" s="131"/>
      <c r="CD104" s="134"/>
      <c r="CE104" s="133"/>
      <c r="CF104" s="131"/>
      <c r="CG104" s="134"/>
      <c r="CH104" s="133"/>
      <c r="CI104" s="131"/>
      <c r="CJ104" s="134"/>
      <c r="CK104" s="133"/>
      <c r="CL104" s="131"/>
      <c r="CM104" s="134"/>
      <c r="CN104" s="133"/>
      <c r="CO104" s="131"/>
      <c r="CP104" s="134"/>
      <c r="CQ104" s="133"/>
      <c r="CR104" s="131"/>
      <c r="CS104" s="134"/>
      <c r="CT104" s="133"/>
      <c r="CU104" s="131"/>
      <c r="CV104" s="134"/>
      <c r="CW104" s="133"/>
      <c r="CX104" s="131"/>
      <c r="CY104" s="134"/>
      <c r="CZ104" s="133"/>
      <c r="DA104" s="140"/>
      <c r="DB104" s="141"/>
      <c r="DC104" s="142"/>
      <c r="DD104" s="140"/>
      <c r="DE104" s="141"/>
      <c r="DF104" s="142"/>
      <c r="DG104" s="140"/>
      <c r="DH104" s="141"/>
      <c r="DI104" s="142"/>
      <c r="DJ104" s="140"/>
      <c r="DK104" s="141"/>
      <c r="DL104" s="142"/>
      <c r="DM104" s="140"/>
      <c r="DN104" s="141"/>
      <c r="DO104" s="142"/>
      <c r="DP104" s="140"/>
      <c r="DQ104" s="141"/>
      <c r="DR104" s="142"/>
      <c r="DS104" s="140"/>
      <c r="DT104" s="141"/>
      <c r="DU104" s="142"/>
      <c r="DV104" s="140"/>
      <c r="DW104" s="141"/>
      <c r="DX104" s="142"/>
      <c r="DY104" s="140"/>
      <c r="DZ104" s="141"/>
      <c r="EA104" s="142"/>
      <c r="EB104" s="140"/>
      <c r="EC104" s="141"/>
      <c r="ED104" s="142"/>
      <c r="EE104" s="140"/>
      <c r="EF104" s="141"/>
      <c r="EG104" s="142"/>
      <c r="EH104" s="140"/>
      <c r="EI104" s="141"/>
      <c r="EJ104" s="142"/>
      <c r="EK104" s="140"/>
      <c r="EL104" s="141"/>
      <c r="EM104" s="142"/>
      <c r="EN104" s="140"/>
      <c r="EO104" s="141"/>
      <c r="EP104" s="142"/>
      <c r="EQ104" s="140"/>
      <c r="ER104" s="141"/>
      <c r="ES104" s="142"/>
      <c r="ET104" s="140"/>
      <c r="EU104" s="141"/>
      <c r="EV104" s="142"/>
      <c r="EW104" s="140"/>
      <c r="EX104" s="141"/>
      <c r="EY104" s="142"/>
      <c r="EZ104" s="140"/>
      <c r="FA104" s="141"/>
      <c r="FB104" s="142"/>
      <c r="FC104" s="140"/>
      <c r="FD104" s="141"/>
      <c r="FE104" s="142"/>
      <c r="FF104" s="140"/>
      <c r="FG104" s="141"/>
      <c r="FH104" s="142"/>
      <c r="FI104" s="140"/>
      <c r="FJ104" s="141"/>
      <c r="FK104" s="142"/>
      <c r="FL104" s="140"/>
      <c r="FM104" s="141"/>
      <c r="FN104" s="142"/>
      <c r="FO104" s="140"/>
      <c r="FP104" s="141"/>
      <c r="FQ104" s="142"/>
      <c r="FR104" s="140"/>
      <c r="FS104" s="141"/>
      <c r="FT104" s="142"/>
      <c r="FU104" s="140"/>
      <c r="FV104" s="141"/>
      <c r="FW104" s="142"/>
      <c r="FX104" s="140"/>
      <c r="FY104" s="141"/>
      <c r="FZ104" s="142"/>
      <c r="GA104" s="140"/>
      <c r="GB104" s="141"/>
      <c r="GC104" s="142"/>
      <c r="GD104" s="140"/>
      <c r="GE104" s="141"/>
      <c r="GF104" s="142"/>
      <c r="GG104" s="140"/>
      <c r="GH104" s="141"/>
      <c r="GI104" s="142"/>
      <c r="GJ104" s="140"/>
      <c r="GK104" s="141"/>
      <c r="GL104" s="142"/>
      <c r="GM104" s="140"/>
      <c r="GN104" s="141"/>
      <c r="GO104" s="142"/>
      <c r="GP104" s="140"/>
      <c r="GQ104" s="141"/>
      <c r="GR104" s="142"/>
      <c r="GS104" s="140"/>
      <c r="GT104" s="141"/>
      <c r="GU104" s="142"/>
      <c r="GV104" s="140"/>
      <c r="GW104" s="141"/>
      <c r="GX104" s="142"/>
      <c r="GY104" s="164"/>
      <c r="GZ104" s="134"/>
      <c r="HA104" s="185"/>
      <c r="HB104" s="164"/>
      <c r="HC104" s="185"/>
      <c r="HD104" s="164"/>
      <c r="HE104" s="185"/>
      <c r="HF104" s="164"/>
      <c r="HG104" s="185"/>
      <c r="HH104" s="164"/>
      <c r="HI104" s="185"/>
      <c r="HJ104" s="164"/>
      <c r="HK104" s="185"/>
      <c r="HL104" s="164"/>
      <c r="HM104" s="185"/>
      <c r="HN104" s="164"/>
      <c r="HO104" s="185"/>
      <c r="HP104" s="164"/>
      <c r="HQ104" s="185"/>
      <c r="HR104" s="164"/>
      <c r="HS104" s="185"/>
      <c r="HT104" s="164"/>
      <c r="HU104" s="185"/>
    </row>
    <row r="105" spans="1:229" x14ac:dyDescent="0.2">
      <c r="A105" s="1756" t="str">
        <f>+'1858 Hacienda'!A511</f>
        <v>Arriendo de salinas</v>
      </c>
      <c r="B105" s="131"/>
      <c r="C105" s="134"/>
      <c r="D105" s="133"/>
      <c r="E105" s="131"/>
      <c r="F105" s="134"/>
      <c r="G105" s="133"/>
      <c r="H105" s="131"/>
      <c r="I105" s="134"/>
      <c r="J105" s="133"/>
      <c r="K105" s="131"/>
      <c r="L105" s="134"/>
      <c r="M105" s="133"/>
      <c r="N105" s="131"/>
      <c r="O105" s="134"/>
      <c r="P105" s="133"/>
      <c r="Q105" s="131"/>
      <c r="R105" s="134"/>
      <c r="S105" s="133"/>
      <c r="T105" s="131"/>
      <c r="U105" s="134"/>
      <c r="V105" s="133"/>
      <c r="W105" s="131"/>
      <c r="X105" s="134"/>
      <c r="Y105" s="133"/>
      <c r="Z105" s="131"/>
      <c r="AA105" s="134"/>
      <c r="AB105" s="133"/>
      <c r="AC105" s="131"/>
      <c r="AD105" s="134"/>
      <c r="AE105" s="133"/>
      <c r="AF105" s="131"/>
      <c r="AG105" s="134"/>
      <c r="AH105" s="133"/>
      <c r="AI105" s="145"/>
      <c r="AJ105" s="134"/>
      <c r="AK105" s="133"/>
      <c r="AL105" s="131"/>
      <c r="AM105" s="134"/>
      <c r="AN105" s="133"/>
      <c r="AO105" s="131"/>
      <c r="AP105" s="134"/>
      <c r="AQ105" s="133"/>
      <c r="AR105" s="131"/>
      <c r="AS105" s="134"/>
      <c r="AT105" s="180"/>
      <c r="AU105" s="131"/>
      <c r="AV105" s="185"/>
      <c r="AW105" s="131">
        <f>+'1858 Hacienda'!D562</f>
        <v>2258</v>
      </c>
      <c r="AX105" s="185">
        <f>+'1858 Hacienda'!E562</f>
        <v>936</v>
      </c>
      <c r="AY105" s="131">
        <f>+'1858 Hacienda'!D612</f>
        <v>2020</v>
      </c>
      <c r="AZ105" s="185">
        <f>+'1858 Hacienda'!E612</f>
        <v>808</v>
      </c>
      <c r="BA105" s="131">
        <f>+'1858 Hacienda'!B511</f>
        <v>1628</v>
      </c>
      <c r="BB105" s="185">
        <f>+'1858 Hacienda'!C511</f>
        <v>66</v>
      </c>
      <c r="BC105" s="131"/>
      <c r="BD105" s="185"/>
      <c r="BE105" s="131"/>
      <c r="BF105" s="185"/>
      <c r="BG105" s="131"/>
      <c r="BH105" s="185"/>
      <c r="BI105" s="131"/>
      <c r="BJ105" s="185"/>
      <c r="BK105" s="131"/>
      <c r="BL105" s="185"/>
      <c r="BM105" s="131"/>
      <c r="BN105" s="185"/>
      <c r="BO105" s="131"/>
      <c r="BP105" s="134"/>
      <c r="BQ105" s="131"/>
      <c r="BR105" s="134"/>
      <c r="BS105" s="133"/>
      <c r="BT105" s="145"/>
      <c r="BU105" s="134"/>
      <c r="BV105" s="131"/>
      <c r="BW105" s="134"/>
      <c r="BX105" s="131"/>
      <c r="BY105" s="134"/>
      <c r="BZ105" s="131"/>
      <c r="CA105" s="134"/>
      <c r="CB105" s="133"/>
      <c r="CC105" s="131"/>
      <c r="CD105" s="134"/>
      <c r="CE105" s="133"/>
      <c r="CF105" s="131"/>
      <c r="CG105" s="134"/>
      <c r="CH105" s="133"/>
      <c r="CI105" s="131"/>
      <c r="CJ105" s="134"/>
      <c r="CK105" s="133"/>
      <c r="CL105" s="131"/>
      <c r="CM105" s="134"/>
      <c r="CN105" s="133"/>
      <c r="CO105" s="131"/>
      <c r="CP105" s="134"/>
      <c r="CQ105" s="133"/>
      <c r="CR105" s="131"/>
      <c r="CS105" s="134"/>
      <c r="CT105" s="133"/>
      <c r="CU105" s="131"/>
      <c r="CV105" s="134"/>
      <c r="CW105" s="133"/>
      <c r="CX105" s="131"/>
      <c r="CY105" s="134"/>
      <c r="CZ105" s="133"/>
      <c r="DA105" s="140"/>
      <c r="DB105" s="141"/>
      <c r="DC105" s="142"/>
      <c r="DD105" s="140"/>
      <c r="DE105" s="141"/>
      <c r="DF105" s="142"/>
      <c r="DG105" s="140"/>
      <c r="DH105" s="141"/>
      <c r="DI105" s="142"/>
      <c r="DJ105" s="140"/>
      <c r="DK105" s="141"/>
      <c r="DL105" s="142"/>
      <c r="DM105" s="140"/>
      <c r="DN105" s="141"/>
      <c r="DO105" s="142"/>
      <c r="DP105" s="140"/>
      <c r="DQ105" s="141"/>
      <c r="DR105" s="142"/>
      <c r="DS105" s="140"/>
      <c r="DT105" s="141"/>
      <c r="DU105" s="142"/>
      <c r="DV105" s="140"/>
      <c r="DW105" s="141"/>
      <c r="DX105" s="142"/>
      <c r="DY105" s="140"/>
      <c r="DZ105" s="141"/>
      <c r="EA105" s="142"/>
      <c r="EB105" s="140"/>
      <c r="EC105" s="141"/>
      <c r="ED105" s="142"/>
      <c r="EE105" s="140"/>
      <c r="EF105" s="141"/>
      <c r="EG105" s="142"/>
      <c r="EH105" s="140"/>
      <c r="EI105" s="141"/>
      <c r="EJ105" s="142"/>
      <c r="EK105" s="140"/>
      <c r="EL105" s="141"/>
      <c r="EM105" s="142"/>
      <c r="EN105" s="140"/>
      <c r="EO105" s="141"/>
      <c r="EP105" s="142"/>
      <c r="EQ105" s="140"/>
      <c r="ER105" s="141"/>
      <c r="ES105" s="142"/>
      <c r="ET105" s="140"/>
      <c r="EU105" s="141"/>
      <c r="EV105" s="142"/>
      <c r="EW105" s="140"/>
      <c r="EX105" s="141"/>
      <c r="EY105" s="142"/>
      <c r="EZ105" s="140"/>
      <c r="FA105" s="141"/>
      <c r="FB105" s="142"/>
      <c r="FC105" s="140"/>
      <c r="FD105" s="141"/>
      <c r="FE105" s="142"/>
      <c r="FF105" s="140"/>
      <c r="FG105" s="141"/>
      <c r="FH105" s="142"/>
      <c r="FI105" s="140"/>
      <c r="FJ105" s="141"/>
      <c r="FK105" s="142"/>
      <c r="FL105" s="140"/>
      <c r="FM105" s="141"/>
      <c r="FN105" s="142"/>
      <c r="FO105" s="140"/>
      <c r="FP105" s="141"/>
      <c r="FQ105" s="142"/>
      <c r="FR105" s="140"/>
      <c r="FS105" s="141"/>
      <c r="FT105" s="142"/>
      <c r="FU105" s="140"/>
      <c r="FV105" s="141"/>
      <c r="FW105" s="142"/>
      <c r="FX105" s="140"/>
      <c r="FY105" s="141"/>
      <c r="FZ105" s="142"/>
      <c r="GA105" s="140"/>
      <c r="GB105" s="141"/>
      <c r="GC105" s="142"/>
      <c r="GD105" s="140"/>
      <c r="GE105" s="141"/>
      <c r="GF105" s="142"/>
      <c r="GG105" s="140"/>
      <c r="GH105" s="141"/>
      <c r="GI105" s="142"/>
      <c r="GJ105" s="140"/>
      <c r="GK105" s="141"/>
      <c r="GL105" s="142"/>
      <c r="GM105" s="140"/>
      <c r="GN105" s="141"/>
      <c r="GO105" s="142"/>
      <c r="GP105" s="140"/>
      <c r="GQ105" s="141"/>
      <c r="GR105" s="142"/>
      <c r="GS105" s="140"/>
      <c r="GT105" s="141"/>
      <c r="GU105" s="142"/>
      <c r="GV105" s="140"/>
      <c r="GW105" s="141"/>
      <c r="GX105" s="142"/>
      <c r="GY105" s="164"/>
      <c r="GZ105" s="134"/>
      <c r="HA105" s="185"/>
      <c r="HB105" s="164"/>
      <c r="HC105" s="185"/>
      <c r="HD105" s="164"/>
      <c r="HE105" s="185"/>
      <c r="HF105" s="164"/>
      <c r="HG105" s="185"/>
      <c r="HH105" s="164"/>
      <c r="HI105" s="185"/>
      <c r="HJ105" s="164"/>
      <c r="HK105" s="185"/>
      <c r="HL105" s="164"/>
      <c r="HM105" s="185"/>
      <c r="HN105" s="164"/>
      <c r="HO105" s="185"/>
      <c r="HP105" s="164"/>
      <c r="HQ105" s="185"/>
      <c r="HR105" s="164"/>
      <c r="HS105" s="185"/>
      <c r="HT105" s="164"/>
      <c r="HU105" s="185"/>
    </row>
    <row r="106" spans="1:229" x14ac:dyDescent="0.2">
      <c r="A106" s="1756" t="str">
        <f>+'1858 Hacienda'!A512</f>
        <v>Arriendo de minas</v>
      </c>
      <c r="B106" s="131"/>
      <c r="C106" s="134"/>
      <c r="D106" s="133"/>
      <c r="E106" s="131"/>
      <c r="F106" s="134"/>
      <c r="G106" s="133"/>
      <c r="H106" s="131"/>
      <c r="I106" s="134"/>
      <c r="J106" s="133"/>
      <c r="K106" s="131"/>
      <c r="L106" s="134"/>
      <c r="M106" s="133"/>
      <c r="N106" s="131"/>
      <c r="O106" s="134"/>
      <c r="P106" s="133"/>
      <c r="Q106" s="131"/>
      <c r="R106" s="134"/>
      <c r="S106" s="133"/>
      <c r="T106" s="131"/>
      <c r="U106" s="134"/>
      <c r="V106" s="133"/>
      <c r="W106" s="131"/>
      <c r="X106" s="134"/>
      <c r="Y106" s="133"/>
      <c r="Z106" s="131"/>
      <c r="AA106" s="134"/>
      <c r="AB106" s="133"/>
      <c r="AC106" s="131"/>
      <c r="AD106" s="134"/>
      <c r="AE106" s="133"/>
      <c r="AF106" s="131"/>
      <c r="AG106" s="134"/>
      <c r="AH106" s="133"/>
      <c r="AI106" s="145"/>
      <c r="AJ106" s="134"/>
      <c r="AK106" s="133"/>
      <c r="AL106" s="131"/>
      <c r="AM106" s="134"/>
      <c r="AN106" s="133"/>
      <c r="AO106" s="131"/>
      <c r="AP106" s="134"/>
      <c r="AQ106" s="133"/>
      <c r="AR106" s="131"/>
      <c r="AS106" s="134"/>
      <c r="AT106" s="180"/>
      <c r="AU106" s="131"/>
      <c r="AV106" s="185"/>
      <c r="AW106" s="131">
        <f>+'1858 Hacienda'!D563</f>
        <v>5298</v>
      </c>
      <c r="AX106" s="185">
        <f>+'1858 Hacienda'!E563</f>
        <v>400</v>
      </c>
      <c r="AY106" s="131">
        <f>+'1858 Hacienda'!D611</f>
        <v>3351</v>
      </c>
      <c r="AZ106" s="185">
        <f>+'1858 Hacienda'!E611</f>
        <v>0</v>
      </c>
      <c r="BA106" s="131">
        <f>+'1858 Hacienda'!B512</f>
        <v>35335</v>
      </c>
      <c r="BB106" s="185">
        <f>+'1858 Hacienda'!C512</f>
        <v>90</v>
      </c>
      <c r="BC106" s="131">
        <f>+'1858 Hacienda'!B1026</f>
        <v>15949</v>
      </c>
      <c r="BD106" s="185">
        <f>+'1858 Hacienda'!C1026</f>
        <v>650</v>
      </c>
      <c r="BE106" s="131"/>
      <c r="BF106" s="185"/>
      <c r="BG106" s="131">
        <f>+'1858 Hacienda'!B1070</f>
        <v>14316</v>
      </c>
      <c r="BH106" s="185">
        <f>+'1858 Hacienda'!C1070</f>
        <v>825</v>
      </c>
      <c r="BI106" s="131">
        <f>+'1858 Hacienda'!B1090</f>
        <v>12366</v>
      </c>
      <c r="BJ106" s="185">
        <f>+'1858 Hacienda'!C1090</f>
        <v>825</v>
      </c>
      <c r="BK106" s="131">
        <f>+'1858 Hacienda'!B1117</f>
        <v>12319</v>
      </c>
      <c r="BL106" s="185">
        <f>+'1858 Hacienda'!C1117</f>
        <v>525</v>
      </c>
      <c r="BM106" s="131">
        <f>+'1858 Hacienda'!B1128</f>
        <v>24247</v>
      </c>
      <c r="BN106" s="185">
        <f>+'1858 Hacienda'!C1128</f>
        <v>725</v>
      </c>
      <c r="BO106" s="131"/>
      <c r="BP106" s="134"/>
      <c r="BQ106" s="131"/>
      <c r="BR106" s="134"/>
      <c r="BS106" s="133"/>
      <c r="BT106" s="145"/>
      <c r="BU106" s="134"/>
      <c r="BV106" s="131"/>
      <c r="BW106" s="134"/>
      <c r="BX106" s="131"/>
      <c r="BY106" s="134"/>
      <c r="BZ106" s="131"/>
      <c r="CA106" s="134"/>
      <c r="CB106" s="133"/>
      <c r="CC106" s="131"/>
      <c r="CD106" s="134"/>
      <c r="CE106" s="133"/>
      <c r="CF106" s="131"/>
      <c r="CG106" s="134"/>
      <c r="CH106" s="133"/>
      <c r="CI106" s="131"/>
      <c r="CJ106" s="134"/>
      <c r="CK106" s="133"/>
      <c r="CL106" s="131"/>
      <c r="CM106" s="134"/>
      <c r="CN106" s="133"/>
      <c r="CO106" s="131"/>
      <c r="CP106" s="134"/>
      <c r="CQ106" s="133"/>
      <c r="CR106" s="131"/>
      <c r="CS106" s="134"/>
      <c r="CT106" s="133"/>
      <c r="CU106" s="131"/>
      <c r="CV106" s="134"/>
      <c r="CW106" s="133"/>
      <c r="CX106" s="131"/>
      <c r="CY106" s="134"/>
      <c r="CZ106" s="133"/>
      <c r="DA106" s="140"/>
      <c r="DB106" s="141"/>
      <c r="DC106" s="142"/>
      <c r="DD106" s="140"/>
      <c r="DE106" s="141"/>
      <c r="DF106" s="142"/>
      <c r="DG106" s="140"/>
      <c r="DH106" s="141"/>
      <c r="DI106" s="142"/>
      <c r="DJ106" s="140"/>
      <c r="DK106" s="141"/>
      <c r="DL106" s="142"/>
      <c r="DM106" s="140"/>
      <c r="DN106" s="141"/>
      <c r="DO106" s="142"/>
      <c r="DP106" s="140"/>
      <c r="DQ106" s="141"/>
      <c r="DR106" s="142"/>
      <c r="DS106" s="140"/>
      <c r="DT106" s="141"/>
      <c r="DU106" s="142"/>
      <c r="DV106" s="140"/>
      <c r="DW106" s="141"/>
      <c r="DX106" s="142"/>
      <c r="DY106" s="140"/>
      <c r="DZ106" s="141"/>
      <c r="EA106" s="142"/>
      <c r="EB106" s="140"/>
      <c r="EC106" s="141"/>
      <c r="ED106" s="142"/>
      <c r="EE106" s="140"/>
      <c r="EF106" s="141"/>
      <c r="EG106" s="142"/>
      <c r="EH106" s="140"/>
      <c r="EI106" s="141"/>
      <c r="EJ106" s="142"/>
      <c r="EK106" s="140"/>
      <c r="EL106" s="141"/>
      <c r="EM106" s="142"/>
      <c r="EN106" s="140"/>
      <c r="EO106" s="141"/>
      <c r="EP106" s="142"/>
      <c r="EQ106" s="140"/>
      <c r="ER106" s="141"/>
      <c r="ES106" s="142"/>
      <c r="ET106" s="140"/>
      <c r="EU106" s="141"/>
      <c r="EV106" s="142"/>
      <c r="EW106" s="140"/>
      <c r="EX106" s="141"/>
      <c r="EY106" s="142"/>
      <c r="EZ106" s="140"/>
      <c r="FA106" s="141"/>
      <c r="FB106" s="142"/>
      <c r="FC106" s="140"/>
      <c r="FD106" s="141"/>
      <c r="FE106" s="142"/>
      <c r="FF106" s="140"/>
      <c r="FG106" s="141"/>
      <c r="FH106" s="142"/>
      <c r="FI106" s="140"/>
      <c r="FJ106" s="141"/>
      <c r="FK106" s="142"/>
      <c r="FL106" s="140"/>
      <c r="FM106" s="141"/>
      <c r="FN106" s="142"/>
      <c r="FO106" s="140"/>
      <c r="FP106" s="141"/>
      <c r="FQ106" s="142"/>
      <c r="FR106" s="140"/>
      <c r="FS106" s="141"/>
      <c r="FT106" s="142"/>
      <c r="FU106" s="140"/>
      <c r="FV106" s="141"/>
      <c r="FW106" s="142"/>
      <c r="FX106" s="140"/>
      <c r="FY106" s="141"/>
      <c r="FZ106" s="142"/>
      <c r="GA106" s="140"/>
      <c r="GB106" s="141"/>
      <c r="GC106" s="142"/>
      <c r="GD106" s="140"/>
      <c r="GE106" s="141"/>
      <c r="GF106" s="142"/>
      <c r="GG106" s="140"/>
      <c r="GH106" s="141"/>
      <c r="GI106" s="142"/>
      <c r="GJ106" s="140"/>
      <c r="GK106" s="141"/>
      <c r="GL106" s="142"/>
      <c r="GM106" s="140"/>
      <c r="GN106" s="141"/>
      <c r="GO106" s="142"/>
      <c r="GP106" s="140"/>
      <c r="GQ106" s="141"/>
      <c r="GR106" s="142"/>
      <c r="GS106" s="140"/>
      <c r="GT106" s="141"/>
      <c r="GU106" s="142"/>
      <c r="GV106" s="140"/>
      <c r="GW106" s="141"/>
      <c r="GX106" s="142"/>
      <c r="GY106" s="164"/>
      <c r="GZ106" s="134"/>
      <c r="HA106" s="185"/>
      <c r="HB106" s="164"/>
      <c r="HC106" s="185"/>
      <c r="HD106" s="164"/>
      <c r="HE106" s="185"/>
      <c r="HF106" s="164"/>
      <c r="HG106" s="185"/>
      <c r="HH106" s="164"/>
      <c r="HI106" s="185"/>
      <c r="HJ106" s="164"/>
      <c r="HK106" s="185"/>
      <c r="HL106" s="164"/>
      <c r="HM106" s="185"/>
      <c r="HN106" s="164"/>
      <c r="HO106" s="185"/>
      <c r="HP106" s="164"/>
      <c r="HQ106" s="185"/>
      <c r="HR106" s="164"/>
      <c r="HS106" s="185"/>
      <c r="HT106" s="164"/>
      <c r="HU106" s="185"/>
    </row>
    <row r="107" spans="1:229" x14ac:dyDescent="0.2">
      <c r="A107" s="1756" t="str">
        <f>+'1858 Hacienda'!A565</f>
        <v>Venta de edificios del Estado</v>
      </c>
      <c r="B107" s="131"/>
      <c r="C107" s="134"/>
      <c r="D107" s="133"/>
      <c r="E107" s="131"/>
      <c r="F107" s="134"/>
      <c r="G107" s="133"/>
      <c r="H107" s="131"/>
      <c r="I107" s="134"/>
      <c r="J107" s="133"/>
      <c r="K107" s="131"/>
      <c r="L107" s="134"/>
      <c r="M107" s="133"/>
      <c r="N107" s="131"/>
      <c r="O107" s="134"/>
      <c r="P107" s="133"/>
      <c r="Q107" s="131"/>
      <c r="R107" s="134"/>
      <c r="S107" s="133"/>
      <c r="T107" s="131"/>
      <c r="U107" s="134"/>
      <c r="V107" s="133"/>
      <c r="W107" s="131"/>
      <c r="X107" s="134"/>
      <c r="Y107" s="133"/>
      <c r="Z107" s="131"/>
      <c r="AA107" s="134"/>
      <c r="AB107" s="133"/>
      <c r="AC107" s="131"/>
      <c r="AD107" s="134"/>
      <c r="AE107" s="133"/>
      <c r="AF107" s="131"/>
      <c r="AG107" s="134"/>
      <c r="AH107" s="133"/>
      <c r="AI107" s="145"/>
      <c r="AJ107" s="134"/>
      <c r="AK107" s="133"/>
      <c r="AL107" s="131"/>
      <c r="AM107" s="134"/>
      <c r="AN107" s="133"/>
      <c r="AO107" s="131"/>
      <c r="AP107" s="134"/>
      <c r="AQ107" s="133"/>
      <c r="AR107" s="131"/>
      <c r="AS107" s="134"/>
      <c r="AT107" s="180"/>
      <c r="AU107" s="131"/>
      <c r="AV107" s="185"/>
      <c r="AW107" s="131">
        <f>+'1858 Hacienda'!D565</f>
        <v>5067</v>
      </c>
      <c r="AX107" s="185">
        <f>+'1858 Hacienda'!E565</f>
        <v>200</v>
      </c>
      <c r="AY107" s="131">
        <f>+'1858 Hacienda'!D610</f>
        <v>12800</v>
      </c>
      <c r="AZ107" s="185">
        <f>+'1858 Hacienda'!E610</f>
        <v>0</v>
      </c>
      <c r="BA107" s="131"/>
      <c r="BB107" s="185"/>
      <c r="BC107" s="131"/>
      <c r="BD107" s="185"/>
      <c r="BE107" s="131"/>
      <c r="BF107" s="185"/>
      <c r="BG107" s="131"/>
      <c r="BH107" s="185"/>
      <c r="BI107" s="131"/>
      <c r="BJ107" s="185"/>
      <c r="BK107" s="131"/>
      <c r="BL107" s="185"/>
      <c r="BM107" s="131"/>
      <c r="BN107" s="185"/>
      <c r="BO107" s="131"/>
      <c r="BP107" s="134"/>
      <c r="BQ107" s="131"/>
      <c r="BR107" s="134"/>
      <c r="BS107" s="133"/>
      <c r="BT107" s="145"/>
      <c r="BU107" s="134"/>
      <c r="BV107" s="131"/>
      <c r="BW107" s="134"/>
      <c r="BX107" s="131"/>
      <c r="BY107" s="134"/>
      <c r="BZ107" s="131"/>
      <c r="CA107" s="134"/>
      <c r="CB107" s="133"/>
      <c r="CC107" s="131"/>
      <c r="CD107" s="134"/>
      <c r="CE107" s="133"/>
      <c r="CF107" s="131"/>
      <c r="CG107" s="134"/>
      <c r="CH107" s="133"/>
      <c r="CI107" s="131"/>
      <c r="CJ107" s="134"/>
      <c r="CK107" s="133"/>
      <c r="CL107" s="131"/>
      <c r="CM107" s="134"/>
      <c r="CN107" s="133"/>
      <c r="CO107" s="131"/>
      <c r="CP107" s="134"/>
      <c r="CQ107" s="133"/>
      <c r="CR107" s="131"/>
      <c r="CS107" s="134"/>
      <c r="CT107" s="133"/>
      <c r="CU107" s="131"/>
      <c r="CV107" s="134"/>
      <c r="CW107" s="133"/>
      <c r="CX107" s="131"/>
      <c r="CY107" s="134"/>
      <c r="CZ107" s="133"/>
      <c r="DA107" s="140"/>
      <c r="DB107" s="141"/>
      <c r="DC107" s="142"/>
      <c r="DD107" s="140"/>
      <c r="DE107" s="141"/>
      <c r="DF107" s="142"/>
      <c r="DG107" s="140"/>
      <c r="DH107" s="141"/>
      <c r="DI107" s="142"/>
      <c r="DJ107" s="140"/>
      <c r="DK107" s="141"/>
      <c r="DL107" s="142"/>
      <c r="DM107" s="140"/>
      <c r="DN107" s="141"/>
      <c r="DO107" s="142"/>
      <c r="DP107" s="140"/>
      <c r="DQ107" s="141"/>
      <c r="DR107" s="142"/>
      <c r="DS107" s="140"/>
      <c r="DT107" s="141"/>
      <c r="DU107" s="142"/>
      <c r="DV107" s="140"/>
      <c r="DW107" s="141"/>
      <c r="DX107" s="142"/>
      <c r="DY107" s="140"/>
      <c r="DZ107" s="141"/>
      <c r="EA107" s="142"/>
      <c r="EB107" s="140"/>
      <c r="EC107" s="141"/>
      <c r="ED107" s="142"/>
      <c r="EE107" s="140"/>
      <c r="EF107" s="141"/>
      <c r="EG107" s="142"/>
      <c r="EH107" s="140"/>
      <c r="EI107" s="141"/>
      <c r="EJ107" s="142"/>
      <c r="EK107" s="140"/>
      <c r="EL107" s="141"/>
      <c r="EM107" s="142"/>
      <c r="EN107" s="140"/>
      <c r="EO107" s="141"/>
      <c r="EP107" s="142"/>
      <c r="EQ107" s="140"/>
      <c r="ER107" s="141"/>
      <c r="ES107" s="142"/>
      <c r="ET107" s="140"/>
      <c r="EU107" s="141"/>
      <c r="EV107" s="142"/>
      <c r="EW107" s="140"/>
      <c r="EX107" s="141"/>
      <c r="EY107" s="142"/>
      <c r="EZ107" s="140"/>
      <c r="FA107" s="141"/>
      <c r="FB107" s="142"/>
      <c r="FC107" s="140"/>
      <c r="FD107" s="141"/>
      <c r="FE107" s="142"/>
      <c r="FF107" s="140"/>
      <c r="FG107" s="141"/>
      <c r="FH107" s="142"/>
      <c r="FI107" s="140"/>
      <c r="FJ107" s="141"/>
      <c r="FK107" s="142"/>
      <c r="FL107" s="140"/>
      <c r="FM107" s="141"/>
      <c r="FN107" s="142"/>
      <c r="FO107" s="140"/>
      <c r="FP107" s="141"/>
      <c r="FQ107" s="142"/>
      <c r="FR107" s="140"/>
      <c r="FS107" s="141"/>
      <c r="FT107" s="142"/>
      <c r="FU107" s="140"/>
      <c r="FV107" s="141"/>
      <c r="FW107" s="142"/>
      <c r="FX107" s="140"/>
      <c r="FY107" s="141"/>
      <c r="FZ107" s="142"/>
      <c r="GA107" s="140"/>
      <c r="GB107" s="141"/>
      <c r="GC107" s="142"/>
      <c r="GD107" s="140"/>
      <c r="GE107" s="141"/>
      <c r="GF107" s="142"/>
      <c r="GG107" s="140"/>
      <c r="GH107" s="141"/>
      <c r="GI107" s="142"/>
      <c r="GJ107" s="140"/>
      <c r="GK107" s="141"/>
      <c r="GL107" s="142"/>
      <c r="GM107" s="140"/>
      <c r="GN107" s="141"/>
      <c r="GO107" s="142"/>
      <c r="GP107" s="140"/>
      <c r="GQ107" s="141"/>
      <c r="GR107" s="142"/>
      <c r="GS107" s="140"/>
      <c r="GT107" s="141"/>
      <c r="GU107" s="142"/>
      <c r="GV107" s="140"/>
      <c r="GW107" s="141"/>
      <c r="GX107" s="142"/>
      <c r="GY107" s="164"/>
      <c r="GZ107" s="134"/>
      <c r="HA107" s="185"/>
      <c r="HB107" s="164"/>
      <c r="HC107" s="185"/>
      <c r="HD107" s="164"/>
      <c r="HE107" s="185"/>
      <c r="HF107" s="164"/>
      <c r="HG107" s="185"/>
      <c r="HH107" s="164"/>
      <c r="HI107" s="185"/>
      <c r="HJ107" s="164"/>
      <c r="HK107" s="185"/>
      <c r="HL107" s="164"/>
      <c r="HM107" s="185"/>
      <c r="HN107" s="164"/>
      <c r="HO107" s="185"/>
      <c r="HP107" s="164"/>
      <c r="HQ107" s="185"/>
      <c r="HR107" s="164"/>
      <c r="HS107" s="185"/>
      <c r="HT107" s="164"/>
      <c r="HU107" s="185"/>
    </row>
    <row r="108" spans="1:229" x14ac:dyDescent="0.2">
      <c r="A108" s="1756" t="str">
        <f>+'1858 Hacienda'!A567</f>
        <v>Rentas abolidas</v>
      </c>
      <c r="B108" s="131"/>
      <c r="C108" s="134"/>
      <c r="D108" s="133"/>
      <c r="E108" s="131"/>
      <c r="F108" s="134"/>
      <c r="G108" s="133"/>
      <c r="H108" s="131"/>
      <c r="I108" s="134"/>
      <c r="J108" s="133"/>
      <c r="K108" s="131"/>
      <c r="L108" s="134"/>
      <c r="M108" s="133"/>
      <c r="N108" s="131"/>
      <c r="O108" s="134"/>
      <c r="P108" s="133"/>
      <c r="Q108" s="131"/>
      <c r="R108" s="134"/>
      <c r="S108" s="133"/>
      <c r="T108" s="131"/>
      <c r="U108" s="134"/>
      <c r="V108" s="133"/>
      <c r="W108" s="131"/>
      <c r="X108" s="134"/>
      <c r="Y108" s="133"/>
      <c r="Z108" s="131"/>
      <c r="AA108" s="134"/>
      <c r="AB108" s="133"/>
      <c r="AC108" s="131"/>
      <c r="AD108" s="134"/>
      <c r="AE108" s="133"/>
      <c r="AF108" s="131"/>
      <c r="AG108" s="134"/>
      <c r="AH108" s="133"/>
      <c r="AI108" s="145"/>
      <c r="AJ108" s="134"/>
      <c r="AK108" s="133"/>
      <c r="AL108" s="131"/>
      <c r="AM108" s="134"/>
      <c r="AN108" s="133"/>
      <c r="AO108" s="131"/>
      <c r="AP108" s="134"/>
      <c r="AQ108" s="133"/>
      <c r="AR108" s="131"/>
      <c r="AS108" s="134"/>
      <c r="AT108" s="180"/>
      <c r="AU108" s="131"/>
      <c r="AV108" s="185"/>
      <c r="AW108" s="131">
        <f>+'1858 Hacienda'!D567</f>
        <v>7557</v>
      </c>
      <c r="AX108" s="185">
        <f>+'1858 Hacienda'!E567</f>
        <v>65</v>
      </c>
      <c r="AY108" s="131"/>
      <c r="AZ108" s="185"/>
      <c r="BA108" s="131"/>
      <c r="BB108" s="185"/>
      <c r="BC108" s="131"/>
      <c r="BD108" s="185"/>
      <c r="BE108" s="131"/>
      <c r="BF108" s="185"/>
      <c r="BG108" s="131"/>
      <c r="BH108" s="185"/>
      <c r="BI108" s="131"/>
      <c r="BJ108" s="185"/>
      <c r="BK108" s="131"/>
      <c r="BL108" s="185"/>
      <c r="BM108" s="131"/>
      <c r="BN108" s="185"/>
      <c r="BO108" s="131"/>
      <c r="BP108" s="134"/>
      <c r="BQ108" s="131"/>
      <c r="BR108" s="134"/>
      <c r="BS108" s="133"/>
      <c r="BT108" s="145"/>
      <c r="BU108" s="134"/>
      <c r="BV108" s="131"/>
      <c r="BW108" s="134"/>
      <c r="BX108" s="131"/>
      <c r="BY108" s="134"/>
      <c r="BZ108" s="131"/>
      <c r="CA108" s="134"/>
      <c r="CB108" s="133"/>
      <c r="CC108" s="131"/>
      <c r="CD108" s="134"/>
      <c r="CE108" s="133"/>
      <c r="CF108" s="131"/>
      <c r="CG108" s="134"/>
      <c r="CH108" s="133"/>
      <c r="CI108" s="131"/>
      <c r="CJ108" s="134"/>
      <c r="CK108" s="133"/>
      <c r="CL108" s="131"/>
      <c r="CM108" s="134"/>
      <c r="CN108" s="133"/>
      <c r="CO108" s="131"/>
      <c r="CP108" s="134"/>
      <c r="CQ108" s="133"/>
      <c r="CR108" s="131"/>
      <c r="CS108" s="134"/>
      <c r="CT108" s="133"/>
      <c r="CU108" s="131"/>
      <c r="CV108" s="134"/>
      <c r="CW108" s="133"/>
      <c r="CX108" s="131"/>
      <c r="CY108" s="134"/>
      <c r="CZ108" s="133"/>
      <c r="DA108" s="140"/>
      <c r="DB108" s="141"/>
      <c r="DC108" s="142"/>
      <c r="DD108" s="140"/>
      <c r="DE108" s="141"/>
      <c r="DF108" s="142"/>
      <c r="DG108" s="140"/>
      <c r="DH108" s="141"/>
      <c r="DI108" s="142"/>
      <c r="DJ108" s="140"/>
      <c r="DK108" s="141"/>
      <c r="DL108" s="142"/>
      <c r="DM108" s="140"/>
      <c r="DN108" s="141"/>
      <c r="DO108" s="142"/>
      <c r="DP108" s="140"/>
      <c r="DQ108" s="141"/>
      <c r="DR108" s="142"/>
      <c r="DS108" s="140"/>
      <c r="DT108" s="141"/>
      <c r="DU108" s="142"/>
      <c r="DV108" s="140"/>
      <c r="DW108" s="141"/>
      <c r="DX108" s="142"/>
      <c r="DY108" s="140"/>
      <c r="DZ108" s="141"/>
      <c r="EA108" s="142"/>
      <c r="EB108" s="140"/>
      <c r="EC108" s="141"/>
      <c r="ED108" s="142"/>
      <c r="EE108" s="140"/>
      <c r="EF108" s="141"/>
      <c r="EG108" s="142"/>
      <c r="EH108" s="140"/>
      <c r="EI108" s="141"/>
      <c r="EJ108" s="142"/>
      <c r="EK108" s="140"/>
      <c r="EL108" s="141"/>
      <c r="EM108" s="142"/>
      <c r="EN108" s="140"/>
      <c r="EO108" s="141"/>
      <c r="EP108" s="142"/>
      <c r="EQ108" s="140"/>
      <c r="ER108" s="141"/>
      <c r="ES108" s="142"/>
      <c r="ET108" s="140"/>
      <c r="EU108" s="141"/>
      <c r="EV108" s="142"/>
      <c r="EW108" s="140"/>
      <c r="EX108" s="141"/>
      <c r="EY108" s="142"/>
      <c r="EZ108" s="140"/>
      <c r="FA108" s="141"/>
      <c r="FB108" s="142"/>
      <c r="FC108" s="140"/>
      <c r="FD108" s="141"/>
      <c r="FE108" s="142"/>
      <c r="FF108" s="140"/>
      <c r="FG108" s="141"/>
      <c r="FH108" s="142"/>
      <c r="FI108" s="140"/>
      <c r="FJ108" s="141"/>
      <c r="FK108" s="142"/>
      <c r="FL108" s="140"/>
      <c r="FM108" s="141"/>
      <c r="FN108" s="142"/>
      <c r="FO108" s="140"/>
      <c r="FP108" s="141"/>
      <c r="FQ108" s="142"/>
      <c r="FR108" s="140"/>
      <c r="FS108" s="141"/>
      <c r="FT108" s="142"/>
      <c r="FU108" s="140"/>
      <c r="FV108" s="141"/>
      <c r="FW108" s="142"/>
      <c r="FX108" s="140"/>
      <c r="FY108" s="141"/>
      <c r="FZ108" s="142"/>
      <c r="GA108" s="140"/>
      <c r="GB108" s="141"/>
      <c r="GC108" s="142"/>
      <c r="GD108" s="140"/>
      <c r="GE108" s="141"/>
      <c r="GF108" s="142"/>
      <c r="GG108" s="140"/>
      <c r="GH108" s="141"/>
      <c r="GI108" s="142"/>
      <c r="GJ108" s="140"/>
      <c r="GK108" s="141"/>
      <c r="GL108" s="142"/>
      <c r="GM108" s="140"/>
      <c r="GN108" s="141"/>
      <c r="GO108" s="142"/>
      <c r="GP108" s="140"/>
      <c r="GQ108" s="141"/>
      <c r="GR108" s="142"/>
      <c r="GS108" s="140"/>
      <c r="GT108" s="141"/>
      <c r="GU108" s="142"/>
      <c r="GV108" s="140"/>
      <c r="GW108" s="141"/>
      <c r="GX108" s="142"/>
      <c r="GY108" s="164"/>
      <c r="GZ108" s="134"/>
      <c r="HA108" s="185"/>
      <c r="HB108" s="164"/>
      <c r="HC108" s="185"/>
      <c r="HD108" s="164"/>
      <c r="HE108" s="185"/>
      <c r="HF108" s="164"/>
      <c r="HG108" s="185"/>
      <c r="HH108" s="164"/>
      <c r="HI108" s="185"/>
      <c r="HJ108" s="164"/>
      <c r="HK108" s="185"/>
      <c r="HL108" s="164"/>
      <c r="HM108" s="185"/>
      <c r="HN108" s="164"/>
      <c r="HO108" s="185"/>
      <c r="HP108" s="164"/>
      <c r="HQ108" s="185"/>
      <c r="HR108" s="164"/>
      <c r="HS108" s="185"/>
      <c r="HT108" s="164"/>
      <c r="HU108" s="185"/>
    </row>
    <row r="109" spans="1:229" x14ac:dyDescent="0.2">
      <c r="A109" s="1756" t="str">
        <f>+'1858 Hacienda'!A1041</f>
        <v>Redencion de censos</v>
      </c>
      <c r="B109" s="131"/>
      <c r="C109" s="134"/>
      <c r="D109" s="133"/>
      <c r="E109" s="131"/>
      <c r="F109" s="134"/>
      <c r="G109" s="133"/>
      <c r="H109" s="131"/>
      <c r="I109" s="134"/>
      <c r="J109" s="133"/>
      <c r="K109" s="131"/>
      <c r="L109" s="134"/>
      <c r="M109" s="133"/>
      <c r="N109" s="131"/>
      <c r="O109" s="134"/>
      <c r="P109" s="133"/>
      <c r="Q109" s="131"/>
      <c r="R109" s="134"/>
      <c r="S109" s="133"/>
      <c r="T109" s="131"/>
      <c r="U109" s="134"/>
      <c r="V109" s="133"/>
      <c r="W109" s="131"/>
      <c r="X109" s="134"/>
      <c r="Y109" s="133"/>
      <c r="Z109" s="131"/>
      <c r="AA109" s="134"/>
      <c r="AB109" s="133"/>
      <c r="AC109" s="131"/>
      <c r="AD109" s="134"/>
      <c r="AE109" s="133"/>
      <c r="AF109" s="131"/>
      <c r="AG109" s="134"/>
      <c r="AH109" s="133"/>
      <c r="AI109" s="145"/>
      <c r="AJ109" s="134"/>
      <c r="AK109" s="133"/>
      <c r="AL109" s="131"/>
      <c r="AM109" s="134"/>
      <c r="AN109" s="133"/>
      <c r="AO109" s="131"/>
      <c r="AP109" s="134"/>
      <c r="AQ109" s="133"/>
      <c r="AR109" s="131"/>
      <c r="AS109" s="134"/>
      <c r="AT109" s="180"/>
      <c r="AU109" s="131"/>
      <c r="AV109" s="185"/>
      <c r="AW109" s="131"/>
      <c r="AX109" s="185"/>
      <c r="AY109" s="131"/>
      <c r="AZ109" s="185"/>
      <c r="BA109" s="131"/>
      <c r="BB109" s="185"/>
      <c r="BC109" s="131">
        <f>+'1858 Hacienda'!B1041</f>
        <v>37176</v>
      </c>
      <c r="BD109" s="185">
        <f>+'1858 Hacienda'!C1041</f>
        <v>250</v>
      </c>
      <c r="BE109" s="131">
        <f>+'1858 Hacienda'!B1052</f>
        <v>305979</v>
      </c>
      <c r="BF109" s="185">
        <f>+'1858 Hacienda'!C1052</f>
        <v>142</v>
      </c>
      <c r="BG109" s="131">
        <f>+'1858 Hacienda'!B1064</f>
        <v>235754</v>
      </c>
      <c r="BH109" s="185">
        <f>+'1858 Hacienda'!C1064</f>
        <v>875</v>
      </c>
      <c r="BI109" s="131">
        <f>+'1858 Hacienda'!B1097</f>
        <v>104302</v>
      </c>
      <c r="BJ109" s="185">
        <f>+'1858 Hacienda'!C1097</f>
        <v>710</v>
      </c>
      <c r="BK109" s="131">
        <f>+'1858 Hacienda'!B1112</f>
        <v>131226</v>
      </c>
      <c r="BL109" s="185">
        <f>+'1858 Hacienda'!C1112</f>
        <v>815</v>
      </c>
      <c r="BM109" s="131"/>
      <c r="BN109" s="185"/>
      <c r="BO109" s="131"/>
      <c r="BP109" s="134"/>
      <c r="BQ109" s="131"/>
      <c r="BR109" s="134"/>
      <c r="BS109" s="133"/>
      <c r="BT109" s="145"/>
      <c r="BU109" s="134"/>
      <c r="BV109" s="131"/>
      <c r="BW109" s="134"/>
      <c r="BX109" s="131"/>
      <c r="BY109" s="134"/>
      <c r="BZ109" s="131"/>
      <c r="CA109" s="134"/>
      <c r="CB109" s="133"/>
      <c r="CC109" s="131"/>
      <c r="CD109" s="134"/>
      <c r="CE109" s="133"/>
      <c r="CF109" s="131"/>
      <c r="CG109" s="134"/>
      <c r="CH109" s="133"/>
      <c r="CI109" s="131"/>
      <c r="CJ109" s="134"/>
      <c r="CK109" s="133"/>
      <c r="CL109" s="131"/>
      <c r="CM109" s="134"/>
      <c r="CN109" s="133"/>
      <c r="CO109" s="131"/>
      <c r="CP109" s="134"/>
      <c r="CQ109" s="133"/>
      <c r="CR109" s="131"/>
      <c r="CS109" s="134"/>
      <c r="CT109" s="133"/>
      <c r="CU109" s="131"/>
      <c r="CV109" s="134"/>
      <c r="CW109" s="133"/>
      <c r="CX109" s="131"/>
      <c r="CY109" s="134"/>
      <c r="CZ109" s="133"/>
      <c r="DA109" s="140"/>
      <c r="DB109" s="141"/>
      <c r="DC109" s="142"/>
      <c r="DD109" s="140"/>
      <c r="DE109" s="141"/>
      <c r="DF109" s="142"/>
      <c r="DG109" s="140"/>
      <c r="DH109" s="141"/>
      <c r="DI109" s="142"/>
      <c r="DJ109" s="140"/>
      <c r="DK109" s="141"/>
      <c r="DL109" s="142"/>
      <c r="DM109" s="140"/>
      <c r="DN109" s="141"/>
      <c r="DO109" s="142"/>
      <c r="DP109" s="140"/>
      <c r="DQ109" s="141"/>
      <c r="DR109" s="142"/>
      <c r="DS109" s="140"/>
      <c r="DT109" s="141"/>
      <c r="DU109" s="142"/>
      <c r="DV109" s="140"/>
      <c r="DW109" s="141"/>
      <c r="DX109" s="142"/>
      <c r="DY109" s="140"/>
      <c r="DZ109" s="141"/>
      <c r="EA109" s="142"/>
      <c r="EB109" s="140"/>
      <c r="EC109" s="141"/>
      <c r="ED109" s="142"/>
      <c r="EE109" s="140"/>
      <c r="EF109" s="141"/>
      <c r="EG109" s="142"/>
      <c r="EH109" s="140"/>
      <c r="EI109" s="141"/>
      <c r="EJ109" s="142"/>
      <c r="EK109" s="140"/>
      <c r="EL109" s="141"/>
      <c r="EM109" s="142"/>
      <c r="EN109" s="140"/>
      <c r="EO109" s="141"/>
      <c r="EP109" s="142"/>
      <c r="EQ109" s="140"/>
      <c r="ER109" s="141"/>
      <c r="ES109" s="142"/>
      <c r="ET109" s="140"/>
      <c r="EU109" s="141"/>
      <c r="EV109" s="142"/>
      <c r="EW109" s="140"/>
      <c r="EX109" s="141"/>
      <c r="EY109" s="142"/>
      <c r="EZ109" s="140"/>
      <c r="FA109" s="141"/>
      <c r="FB109" s="142"/>
      <c r="FC109" s="140"/>
      <c r="FD109" s="141"/>
      <c r="FE109" s="142"/>
      <c r="FF109" s="140"/>
      <c r="FG109" s="141"/>
      <c r="FH109" s="142"/>
      <c r="FI109" s="140"/>
      <c r="FJ109" s="141"/>
      <c r="FK109" s="142"/>
      <c r="FL109" s="140"/>
      <c r="FM109" s="141"/>
      <c r="FN109" s="142"/>
      <c r="FO109" s="140"/>
      <c r="FP109" s="141"/>
      <c r="FQ109" s="142"/>
      <c r="FR109" s="140"/>
      <c r="FS109" s="141"/>
      <c r="FT109" s="142"/>
      <c r="FU109" s="140"/>
      <c r="FV109" s="141"/>
      <c r="FW109" s="142"/>
      <c r="FX109" s="140"/>
      <c r="FY109" s="141"/>
      <c r="FZ109" s="142"/>
      <c r="GA109" s="140"/>
      <c r="GB109" s="141"/>
      <c r="GC109" s="142"/>
      <c r="GD109" s="140"/>
      <c r="GE109" s="141"/>
      <c r="GF109" s="142"/>
      <c r="GG109" s="140"/>
      <c r="GH109" s="141"/>
      <c r="GI109" s="142"/>
      <c r="GJ109" s="140"/>
      <c r="GK109" s="141"/>
      <c r="GL109" s="142"/>
      <c r="GM109" s="140"/>
      <c r="GN109" s="141"/>
      <c r="GO109" s="142"/>
      <c r="GP109" s="140"/>
      <c r="GQ109" s="141"/>
      <c r="GR109" s="142"/>
      <c r="GS109" s="140"/>
      <c r="GT109" s="141"/>
      <c r="GU109" s="142"/>
      <c r="GV109" s="140"/>
      <c r="GW109" s="141"/>
      <c r="GX109" s="142"/>
      <c r="GY109" s="164"/>
      <c r="GZ109" s="134"/>
      <c r="HA109" s="185"/>
      <c r="HB109" s="164"/>
      <c r="HC109" s="185"/>
      <c r="HD109" s="164"/>
      <c r="HE109" s="185"/>
      <c r="HF109" s="164"/>
      <c r="HG109" s="185"/>
      <c r="HH109" s="164"/>
      <c r="HI109" s="185"/>
      <c r="HJ109" s="164"/>
      <c r="HK109" s="185"/>
      <c r="HL109" s="164"/>
      <c r="HM109" s="185"/>
      <c r="HN109" s="164"/>
      <c r="HO109" s="185"/>
      <c r="HP109" s="164"/>
      <c r="HQ109" s="185"/>
      <c r="HR109" s="164"/>
      <c r="HS109" s="185"/>
      <c r="HT109" s="164"/>
      <c r="HU109" s="185"/>
    </row>
    <row r="110" spans="1:229" x14ac:dyDescent="0.2">
      <c r="A110" s="1756" t="str">
        <f>+'1858 Hacienda'!A1025</f>
        <v>Billetes nacionales</v>
      </c>
      <c r="B110" s="131"/>
      <c r="C110" s="134"/>
      <c r="D110" s="133"/>
      <c r="E110" s="131"/>
      <c r="F110" s="134"/>
      <c r="G110" s="133"/>
      <c r="H110" s="131"/>
      <c r="I110" s="134"/>
      <c r="J110" s="133"/>
      <c r="K110" s="131"/>
      <c r="L110" s="134"/>
      <c r="M110" s="133"/>
      <c r="N110" s="131"/>
      <c r="O110" s="134"/>
      <c r="P110" s="133"/>
      <c r="Q110" s="131"/>
      <c r="R110" s="134"/>
      <c r="S110" s="133"/>
      <c r="T110" s="131"/>
      <c r="U110" s="134"/>
      <c r="V110" s="133"/>
      <c r="W110" s="131"/>
      <c r="X110" s="134"/>
      <c r="Y110" s="133"/>
      <c r="Z110" s="131"/>
      <c r="AA110" s="134"/>
      <c r="AB110" s="133"/>
      <c r="AC110" s="131"/>
      <c r="AD110" s="134"/>
      <c r="AE110" s="133"/>
      <c r="AF110" s="131"/>
      <c r="AG110" s="134"/>
      <c r="AH110" s="133"/>
      <c r="AI110" s="145"/>
      <c r="AJ110" s="134"/>
      <c r="AK110" s="133"/>
      <c r="AL110" s="131"/>
      <c r="AM110" s="134"/>
      <c r="AN110" s="133"/>
      <c r="AO110" s="131"/>
      <c r="AP110" s="134"/>
      <c r="AQ110" s="133"/>
      <c r="AR110" s="131"/>
      <c r="AS110" s="134"/>
      <c r="AT110" s="180"/>
      <c r="AU110" s="131"/>
      <c r="AV110" s="185"/>
      <c r="AW110" s="131"/>
      <c r="AX110" s="185"/>
      <c r="AY110" s="131"/>
      <c r="AZ110" s="185"/>
      <c r="BA110" s="131"/>
      <c r="BB110" s="185"/>
      <c r="BC110" s="131">
        <f>+'1858 Hacienda'!B1025</f>
        <v>19373</v>
      </c>
      <c r="BD110" s="185">
        <f>+'1858 Hacienda'!C1025</f>
        <v>682</v>
      </c>
      <c r="BE110" s="131"/>
      <c r="BF110" s="185"/>
      <c r="BG110" s="131"/>
      <c r="BH110" s="185"/>
      <c r="BI110" s="131"/>
      <c r="BJ110" s="185"/>
      <c r="BK110" s="131"/>
      <c r="BL110" s="185"/>
      <c r="BM110" s="131"/>
      <c r="BN110" s="185"/>
      <c r="BO110" s="131"/>
      <c r="BP110" s="134"/>
      <c r="BQ110" s="131"/>
      <c r="BR110" s="134"/>
      <c r="BS110" s="133"/>
      <c r="BT110" s="145"/>
      <c r="BU110" s="134"/>
      <c r="BV110" s="131"/>
      <c r="BW110" s="134"/>
      <c r="BX110" s="131"/>
      <c r="BY110" s="134"/>
      <c r="BZ110" s="131"/>
      <c r="CA110" s="134"/>
      <c r="CB110" s="133"/>
      <c r="CC110" s="131"/>
      <c r="CD110" s="134"/>
      <c r="CE110" s="133"/>
      <c r="CF110" s="131"/>
      <c r="CG110" s="134"/>
      <c r="CH110" s="133"/>
      <c r="CI110" s="131"/>
      <c r="CJ110" s="134"/>
      <c r="CK110" s="133"/>
      <c r="CL110" s="131"/>
      <c r="CM110" s="134"/>
      <c r="CN110" s="133"/>
      <c r="CO110" s="131"/>
      <c r="CP110" s="134"/>
      <c r="CQ110" s="133"/>
      <c r="CR110" s="131"/>
      <c r="CS110" s="134"/>
      <c r="CT110" s="133"/>
      <c r="CU110" s="131"/>
      <c r="CV110" s="134"/>
      <c r="CW110" s="133"/>
      <c r="CX110" s="131"/>
      <c r="CY110" s="134"/>
      <c r="CZ110" s="133"/>
      <c r="DA110" s="140"/>
      <c r="DB110" s="141"/>
      <c r="DC110" s="142"/>
      <c r="DD110" s="140"/>
      <c r="DE110" s="141"/>
      <c r="DF110" s="142"/>
      <c r="DG110" s="140"/>
      <c r="DH110" s="141"/>
      <c r="DI110" s="142"/>
      <c r="DJ110" s="140"/>
      <c r="DK110" s="141"/>
      <c r="DL110" s="142"/>
      <c r="DM110" s="140"/>
      <c r="DN110" s="141"/>
      <c r="DO110" s="142"/>
      <c r="DP110" s="140"/>
      <c r="DQ110" s="141"/>
      <c r="DR110" s="142"/>
      <c r="DS110" s="140"/>
      <c r="DT110" s="141"/>
      <c r="DU110" s="142"/>
      <c r="DV110" s="140"/>
      <c r="DW110" s="141"/>
      <c r="DX110" s="142"/>
      <c r="DY110" s="140"/>
      <c r="DZ110" s="141"/>
      <c r="EA110" s="142"/>
      <c r="EB110" s="140"/>
      <c r="EC110" s="141"/>
      <c r="ED110" s="142"/>
      <c r="EE110" s="140"/>
      <c r="EF110" s="141"/>
      <c r="EG110" s="142"/>
      <c r="EH110" s="140"/>
      <c r="EI110" s="141"/>
      <c r="EJ110" s="142"/>
      <c r="EK110" s="140"/>
      <c r="EL110" s="141"/>
      <c r="EM110" s="142"/>
      <c r="EN110" s="140"/>
      <c r="EO110" s="141"/>
      <c r="EP110" s="142"/>
      <c r="EQ110" s="140"/>
      <c r="ER110" s="141"/>
      <c r="ES110" s="142"/>
      <c r="ET110" s="140"/>
      <c r="EU110" s="141"/>
      <c r="EV110" s="142"/>
      <c r="EW110" s="140"/>
      <c r="EX110" s="141"/>
      <c r="EY110" s="142"/>
      <c r="EZ110" s="140"/>
      <c r="FA110" s="141"/>
      <c r="FB110" s="142"/>
      <c r="FC110" s="140"/>
      <c r="FD110" s="141"/>
      <c r="FE110" s="142"/>
      <c r="FF110" s="140"/>
      <c r="FG110" s="141"/>
      <c r="FH110" s="142"/>
      <c r="FI110" s="140"/>
      <c r="FJ110" s="141"/>
      <c r="FK110" s="142"/>
      <c r="FL110" s="140"/>
      <c r="FM110" s="141"/>
      <c r="FN110" s="142"/>
      <c r="FO110" s="140"/>
      <c r="FP110" s="141"/>
      <c r="FQ110" s="142"/>
      <c r="FR110" s="140"/>
      <c r="FS110" s="141"/>
      <c r="FT110" s="142"/>
      <c r="FU110" s="140"/>
      <c r="FV110" s="141"/>
      <c r="FW110" s="142"/>
      <c r="FX110" s="140"/>
      <c r="FY110" s="141"/>
      <c r="FZ110" s="142"/>
      <c r="GA110" s="140"/>
      <c r="GB110" s="141"/>
      <c r="GC110" s="142"/>
      <c r="GD110" s="140"/>
      <c r="GE110" s="141"/>
      <c r="GF110" s="142"/>
      <c r="GG110" s="140"/>
      <c r="GH110" s="141"/>
      <c r="GI110" s="142"/>
      <c r="GJ110" s="140"/>
      <c r="GK110" s="141"/>
      <c r="GL110" s="142"/>
      <c r="GM110" s="140"/>
      <c r="GN110" s="141"/>
      <c r="GO110" s="142"/>
      <c r="GP110" s="140"/>
      <c r="GQ110" s="141"/>
      <c r="GR110" s="142"/>
      <c r="GS110" s="140"/>
      <c r="GT110" s="141"/>
      <c r="GU110" s="142"/>
      <c r="GV110" s="140"/>
      <c r="GW110" s="141"/>
      <c r="GX110" s="142"/>
      <c r="GY110" s="164"/>
      <c r="GZ110" s="134"/>
      <c r="HA110" s="185"/>
      <c r="HB110" s="164"/>
      <c r="HC110" s="185"/>
      <c r="HD110" s="164"/>
      <c r="HE110" s="185"/>
      <c r="HF110" s="164"/>
      <c r="HG110" s="185"/>
      <c r="HH110" s="164"/>
      <c r="HI110" s="185"/>
      <c r="HJ110" s="164"/>
      <c r="HK110" s="185"/>
      <c r="HL110" s="164"/>
      <c r="HM110" s="185"/>
      <c r="HN110" s="164"/>
      <c r="HO110" s="185"/>
      <c r="HP110" s="164"/>
      <c r="HQ110" s="185"/>
      <c r="HR110" s="164"/>
      <c r="HS110" s="185"/>
      <c r="HT110" s="164"/>
      <c r="HU110" s="185"/>
    </row>
    <row r="111" spans="1:229" x14ac:dyDescent="0.2">
      <c r="A111" s="1756" t="str">
        <f>+'1858 Hacienda'!A1042</f>
        <v>Rentas sin determinar</v>
      </c>
      <c r="B111" s="131"/>
      <c r="C111" s="134"/>
      <c r="D111" s="133"/>
      <c r="E111" s="131"/>
      <c r="F111" s="134"/>
      <c r="G111" s="133"/>
      <c r="H111" s="131"/>
      <c r="I111" s="134"/>
      <c r="J111" s="133"/>
      <c r="K111" s="131"/>
      <c r="L111" s="134"/>
      <c r="M111" s="133"/>
      <c r="N111" s="131"/>
      <c r="O111" s="134"/>
      <c r="P111" s="133"/>
      <c r="Q111" s="131"/>
      <c r="R111" s="134"/>
      <c r="S111" s="133"/>
      <c r="T111" s="131"/>
      <c r="U111" s="134"/>
      <c r="V111" s="133"/>
      <c r="W111" s="131"/>
      <c r="X111" s="134"/>
      <c r="Y111" s="133"/>
      <c r="Z111" s="131"/>
      <c r="AA111" s="134"/>
      <c r="AB111" s="133"/>
      <c r="AC111" s="131"/>
      <c r="AD111" s="134"/>
      <c r="AE111" s="133"/>
      <c r="AF111" s="131"/>
      <c r="AG111" s="134"/>
      <c r="AH111" s="133"/>
      <c r="AI111" s="145"/>
      <c r="AJ111" s="134"/>
      <c r="AK111" s="133"/>
      <c r="AL111" s="131"/>
      <c r="AM111" s="134"/>
      <c r="AN111" s="133"/>
      <c r="AO111" s="131"/>
      <c r="AP111" s="134"/>
      <c r="AQ111" s="133"/>
      <c r="AR111" s="131"/>
      <c r="AS111" s="134"/>
      <c r="AT111" s="180"/>
      <c r="AU111" s="131"/>
      <c r="AV111" s="185"/>
      <c r="AW111" s="131"/>
      <c r="AX111" s="185"/>
      <c r="AY111" s="131"/>
      <c r="AZ111" s="185"/>
      <c r="BA111" s="131"/>
      <c r="BB111" s="185"/>
      <c r="BC111" s="131">
        <f>+'1858 Hacienda'!B1042</f>
        <v>12184</v>
      </c>
      <c r="BD111" s="185">
        <f>+'1858 Hacienda'!C1042</f>
        <v>436</v>
      </c>
      <c r="BE111" s="131">
        <f>+'1858 Hacienda'!B1059</f>
        <v>38183</v>
      </c>
      <c r="BF111" s="185">
        <f>+'1858 Hacienda'!C1059</f>
        <v>670</v>
      </c>
      <c r="BG111" s="131">
        <f>+'1858 Hacienda'!B1080</f>
        <v>40043</v>
      </c>
      <c r="BH111" s="185">
        <f>+'1858 Hacienda'!C1080</f>
        <v>132</v>
      </c>
      <c r="BI111" s="131">
        <f>+'1858 Hacienda'!B1098</f>
        <v>43203</v>
      </c>
      <c r="BJ111" s="185">
        <f>+'1858 Hacienda'!C1098</f>
        <v>100</v>
      </c>
      <c r="BK111" s="131">
        <f>+'1858 Hacienda'!B1118</f>
        <v>47151</v>
      </c>
      <c r="BL111" s="185">
        <f>+'1858 Hacienda'!C1118</f>
        <v>125</v>
      </c>
      <c r="BM111" s="131">
        <f>+'1858 Hacienda'!B1132</f>
        <v>364</v>
      </c>
      <c r="BN111" s="185">
        <f>+'1858 Hacienda'!C1132</f>
        <v>695</v>
      </c>
      <c r="BO111" s="131"/>
      <c r="BP111" s="134"/>
      <c r="BQ111" s="131"/>
      <c r="BR111" s="134"/>
      <c r="BS111" s="133"/>
      <c r="BT111" s="145"/>
      <c r="BU111" s="134"/>
      <c r="BV111" s="131"/>
      <c r="BW111" s="134"/>
      <c r="BX111" s="131"/>
      <c r="BY111" s="134"/>
      <c r="BZ111" s="131"/>
      <c r="CA111" s="134"/>
      <c r="CB111" s="133"/>
      <c r="CC111" s="131"/>
      <c r="CD111" s="134"/>
      <c r="CE111" s="133"/>
      <c r="CF111" s="131"/>
      <c r="CG111" s="134"/>
      <c r="CH111" s="133"/>
      <c r="CI111" s="131"/>
      <c r="CJ111" s="134"/>
      <c r="CK111" s="133"/>
      <c r="CL111" s="131"/>
      <c r="CM111" s="134"/>
      <c r="CN111" s="133"/>
      <c r="CO111" s="131"/>
      <c r="CP111" s="134"/>
      <c r="CQ111" s="133"/>
      <c r="CR111" s="131"/>
      <c r="CS111" s="134"/>
      <c r="CT111" s="133"/>
      <c r="CU111" s="131"/>
      <c r="CV111" s="134"/>
      <c r="CW111" s="133"/>
      <c r="CX111" s="131"/>
      <c r="CY111" s="134"/>
      <c r="CZ111" s="133"/>
      <c r="DA111" s="140"/>
      <c r="DB111" s="141"/>
      <c r="DC111" s="142"/>
      <c r="DD111" s="140"/>
      <c r="DE111" s="141"/>
      <c r="DF111" s="142"/>
      <c r="DG111" s="140"/>
      <c r="DH111" s="141"/>
      <c r="DI111" s="142"/>
      <c r="DJ111" s="140"/>
      <c r="DK111" s="141"/>
      <c r="DL111" s="142"/>
      <c r="DM111" s="140"/>
      <c r="DN111" s="141"/>
      <c r="DO111" s="142"/>
      <c r="DP111" s="140"/>
      <c r="DQ111" s="141"/>
      <c r="DR111" s="142"/>
      <c r="DS111" s="140"/>
      <c r="DT111" s="141"/>
      <c r="DU111" s="142"/>
      <c r="DV111" s="140"/>
      <c r="DW111" s="141"/>
      <c r="DX111" s="142"/>
      <c r="DY111" s="140"/>
      <c r="DZ111" s="141"/>
      <c r="EA111" s="142"/>
      <c r="EB111" s="140"/>
      <c r="EC111" s="141"/>
      <c r="ED111" s="142"/>
      <c r="EE111" s="140"/>
      <c r="EF111" s="141"/>
      <c r="EG111" s="142"/>
      <c r="EH111" s="140"/>
      <c r="EI111" s="141"/>
      <c r="EJ111" s="142"/>
      <c r="EK111" s="140"/>
      <c r="EL111" s="141"/>
      <c r="EM111" s="142"/>
      <c r="EN111" s="140"/>
      <c r="EO111" s="141"/>
      <c r="EP111" s="142"/>
      <c r="EQ111" s="140"/>
      <c r="ER111" s="141"/>
      <c r="ES111" s="142"/>
      <c r="ET111" s="140"/>
      <c r="EU111" s="141"/>
      <c r="EV111" s="142"/>
      <c r="EW111" s="140"/>
      <c r="EX111" s="141"/>
      <c r="EY111" s="142"/>
      <c r="EZ111" s="140"/>
      <c r="FA111" s="141"/>
      <c r="FB111" s="142"/>
      <c r="FC111" s="140"/>
      <c r="FD111" s="141"/>
      <c r="FE111" s="142"/>
      <c r="FF111" s="140"/>
      <c r="FG111" s="141"/>
      <c r="FH111" s="142"/>
      <c r="FI111" s="140"/>
      <c r="FJ111" s="141"/>
      <c r="FK111" s="142"/>
      <c r="FL111" s="140"/>
      <c r="FM111" s="141"/>
      <c r="FN111" s="142"/>
      <c r="FO111" s="140"/>
      <c r="FP111" s="141"/>
      <c r="FQ111" s="142"/>
      <c r="FR111" s="140"/>
      <c r="FS111" s="141"/>
      <c r="FT111" s="142"/>
      <c r="FU111" s="140"/>
      <c r="FV111" s="141"/>
      <c r="FW111" s="142"/>
      <c r="FX111" s="140"/>
      <c r="FY111" s="141"/>
      <c r="FZ111" s="142"/>
      <c r="GA111" s="140"/>
      <c r="GB111" s="141"/>
      <c r="GC111" s="142"/>
      <c r="GD111" s="140"/>
      <c r="GE111" s="141"/>
      <c r="GF111" s="142"/>
      <c r="GG111" s="140"/>
      <c r="GH111" s="141"/>
      <c r="GI111" s="142"/>
      <c r="GJ111" s="140"/>
      <c r="GK111" s="141"/>
      <c r="GL111" s="142"/>
      <c r="GM111" s="140"/>
      <c r="GN111" s="141"/>
      <c r="GO111" s="142"/>
      <c r="GP111" s="140"/>
      <c r="GQ111" s="141"/>
      <c r="GR111" s="142"/>
      <c r="GS111" s="140"/>
      <c r="GT111" s="141"/>
      <c r="GU111" s="142"/>
      <c r="GV111" s="140"/>
      <c r="GW111" s="141"/>
      <c r="GX111" s="142"/>
      <c r="GY111" s="164"/>
      <c r="GZ111" s="134"/>
      <c r="HA111" s="185"/>
      <c r="HB111" s="164"/>
      <c r="HC111" s="185"/>
      <c r="HD111" s="164"/>
      <c r="HE111" s="185"/>
      <c r="HF111" s="164"/>
      <c r="HG111" s="185"/>
      <c r="HH111" s="164"/>
      <c r="HI111" s="185"/>
      <c r="HJ111" s="164"/>
      <c r="HK111" s="185"/>
      <c r="HL111" s="164"/>
      <c r="HM111" s="185"/>
      <c r="HN111" s="164"/>
      <c r="HO111" s="185"/>
      <c r="HP111" s="164"/>
      <c r="HQ111" s="185"/>
      <c r="HR111" s="164"/>
      <c r="HS111" s="185"/>
      <c r="HT111" s="164"/>
      <c r="HU111" s="185"/>
    </row>
    <row r="112" spans="1:229" x14ac:dyDescent="0.2">
      <c r="A112" s="1756" t="str">
        <f>+'1858 Hacienda'!A1061</f>
        <v>Venta de vales de nueva deuda flotante</v>
      </c>
      <c r="B112" s="131"/>
      <c r="C112" s="134"/>
      <c r="D112" s="133"/>
      <c r="E112" s="131"/>
      <c r="F112" s="134"/>
      <c r="G112" s="133"/>
      <c r="H112" s="131"/>
      <c r="I112" s="134"/>
      <c r="J112" s="133"/>
      <c r="K112" s="131"/>
      <c r="L112" s="134"/>
      <c r="M112" s="133"/>
      <c r="N112" s="131"/>
      <c r="O112" s="134"/>
      <c r="P112" s="133"/>
      <c r="Q112" s="131"/>
      <c r="R112" s="134"/>
      <c r="S112" s="133"/>
      <c r="T112" s="131"/>
      <c r="U112" s="134"/>
      <c r="V112" s="133"/>
      <c r="W112" s="131"/>
      <c r="X112" s="134"/>
      <c r="Y112" s="133"/>
      <c r="Z112" s="131"/>
      <c r="AA112" s="134"/>
      <c r="AB112" s="133"/>
      <c r="AC112" s="131"/>
      <c r="AD112" s="134"/>
      <c r="AE112" s="133"/>
      <c r="AF112" s="131"/>
      <c r="AG112" s="134"/>
      <c r="AH112" s="133"/>
      <c r="AI112" s="145"/>
      <c r="AJ112" s="134"/>
      <c r="AK112" s="133"/>
      <c r="AL112" s="131"/>
      <c r="AM112" s="134"/>
      <c r="AN112" s="133"/>
      <c r="AO112" s="131"/>
      <c r="AP112" s="134"/>
      <c r="AQ112" s="133"/>
      <c r="AR112" s="131"/>
      <c r="AS112" s="134"/>
      <c r="AT112" s="180"/>
      <c r="AU112" s="131"/>
      <c r="AV112" s="185"/>
      <c r="AW112" s="131"/>
      <c r="AX112" s="185"/>
      <c r="AY112" s="131"/>
      <c r="AZ112" s="185"/>
      <c r="BA112" s="131"/>
      <c r="BB112" s="185"/>
      <c r="BC112" s="131"/>
      <c r="BD112" s="185"/>
      <c r="BE112" s="131">
        <f>+'1858 Hacienda'!B1061</f>
        <v>25298</v>
      </c>
      <c r="BF112" s="185">
        <f>+'1858 Hacienda'!C1061</f>
        <v>0</v>
      </c>
      <c r="BG112" s="131">
        <f>+'1858 Hacienda'!B1078</f>
        <v>173800</v>
      </c>
      <c r="BH112" s="185">
        <f>+'1858 Hacienda'!C1078</f>
        <v>310</v>
      </c>
      <c r="BI112" s="131"/>
      <c r="BJ112" s="185"/>
      <c r="BK112" s="131"/>
      <c r="BL112" s="185"/>
      <c r="BM112" s="131">
        <f>+'1858 Hacienda'!B1130</f>
        <v>15838</v>
      </c>
      <c r="BN112" s="185">
        <f>+'1858 Hacienda'!C1130</f>
        <v>880</v>
      </c>
      <c r="BO112" s="131"/>
      <c r="BP112" s="134"/>
      <c r="BQ112" s="131"/>
      <c r="BR112" s="134"/>
      <c r="BS112" s="133"/>
      <c r="BT112" s="145"/>
      <c r="BU112" s="134"/>
      <c r="BV112" s="131"/>
      <c r="BW112" s="134"/>
      <c r="BX112" s="131"/>
      <c r="BY112" s="134"/>
      <c r="BZ112" s="131"/>
      <c r="CA112" s="134"/>
      <c r="CB112" s="133"/>
      <c r="CC112" s="131"/>
      <c r="CD112" s="134"/>
      <c r="CE112" s="133"/>
      <c r="CF112" s="131"/>
      <c r="CG112" s="134"/>
      <c r="CH112" s="133"/>
      <c r="CI112" s="131"/>
      <c r="CJ112" s="134"/>
      <c r="CK112" s="133"/>
      <c r="CL112" s="131"/>
      <c r="CM112" s="134"/>
      <c r="CN112" s="133"/>
      <c r="CO112" s="131"/>
      <c r="CP112" s="134"/>
      <c r="CQ112" s="133"/>
      <c r="CR112" s="131"/>
      <c r="CS112" s="134"/>
      <c r="CT112" s="133"/>
      <c r="CU112" s="131"/>
      <c r="CV112" s="134"/>
      <c r="CW112" s="133"/>
      <c r="CX112" s="131"/>
      <c r="CY112" s="134"/>
      <c r="CZ112" s="133"/>
      <c r="DA112" s="140"/>
      <c r="DB112" s="141"/>
      <c r="DC112" s="142"/>
      <c r="DD112" s="140"/>
      <c r="DE112" s="141"/>
      <c r="DF112" s="142"/>
      <c r="DG112" s="140"/>
      <c r="DH112" s="141"/>
      <c r="DI112" s="142"/>
      <c r="DJ112" s="140"/>
      <c r="DK112" s="141"/>
      <c r="DL112" s="142"/>
      <c r="DM112" s="140"/>
      <c r="DN112" s="141"/>
      <c r="DO112" s="142"/>
      <c r="DP112" s="140"/>
      <c r="DQ112" s="141"/>
      <c r="DR112" s="142"/>
      <c r="DS112" s="140"/>
      <c r="DT112" s="141"/>
      <c r="DU112" s="142"/>
      <c r="DV112" s="140"/>
      <c r="DW112" s="141"/>
      <c r="DX112" s="142"/>
      <c r="DY112" s="140"/>
      <c r="DZ112" s="141"/>
      <c r="EA112" s="142"/>
      <c r="EB112" s="140"/>
      <c r="EC112" s="141"/>
      <c r="ED112" s="142"/>
      <c r="EE112" s="140"/>
      <c r="EF112" s="141"/>
      <c r="EG112" s="142"/>
      <c r="EH112" s="140"/>
      <c r="EI112" s="141"/>
      <c r="EJ112" s="142"/>
      <c r="EK112" s="140"/>
      <c r="EL112" s="141"/>
      <c r="EM112" s="142"/>
      <c r="EN112" s="140"/>
      <c r="EO112" s="141"/>
      <c r="EP112" s="142"/>
      <c r="EQ112" s="140"/>
      <c r="ER112" s="141"/>
      <c r="ES112" s="142"/>
      <c r="ET112" s="140"/>
      <c r="EU112" s="141"/>
      <c r="EV112" s="142"/>
      <c r="EW112" s="140"/>
      <c r="EX112" s="141"/>
      <c r="EY112" s="142"/>
      <c r="EZ112" s="140"/>
      <c r="FA112" s="141"/>
      <c r="FB112" s="142"/>
      <c r="FC112" s="140"/>
      <c r="FD112" s="141"/>
      <c r="FE112" s="142"/>
      <c r="FF112" s="140"/>
      <c r="FG112" s="141"/>
      <c r="FH112" s="142"/>
      <c r="FI112" s="140"/>
      <c r="FJ112" s="141"/>
      <c r="FK112" s="142"/>
      <c r="FL112" s="140"/>
      <c r="FM112" s="141"/>
      <c r="FN112" s="142"/>
      <c r="FO112" s="140"/>
      <c r="FP112" s="141"/>
      <c r="FQ112" s="142"/>
      <c r="FR112" s="140"/>
      <c r="FS112" s="141"/>
      <c r="FT112" s="142"/>
      <c r="FU112" s="140"/>
      <c r="FV112" s="141"/>
      <c r="FW112" s="142"/>
      <c r="FX112" s="140"/>
      <c r="FY112" s="141"/>
      <c r="FZ112" s="142"/>
      <c r="GA112" s="140"/>
      <c r="GB112" s="141"/>
      <c r="GC112" s="142"/>
      <c r="GD112" s="140"/>
      <c r="GE112" s="141"/>
      <c r="GF112" s="142"/>
      <c r="GG112" s="140"/>
      <c r="GH112" s="141"/>
      <c r="GI112" s="142"/>
      <c r="GJ112" s="140"/>
      <c r="GK112" s="141"/>
      <c r="GL112" s="142"/>
      <c r="GM112" s="140"/>
      <c r="GN112" s="141"/>
      <c r="GO112" s="142"/>
      <c r="GP112" s="140"/>
      <c r="GQ112" s="141"/>
      <c r="GR112" s="142"/>
      <c r="GS112" s="140"/>
      <c r="GT112" s="141"/>
      <c r="GU112" s="142"/>
      <c r="GV112" s="140"/>
      <c r="GW112" s="141"/>
      <c r="GX112" s="142"/>
      <c r="GY112" s="164"/>
      <c r="GZ112" s="134"/>
      <c r="HA112" s="185"/>
      <c r="HB112" s="164"/>
      <c r="HC112" s="185"/>
      <c r="HD112" s="164"/>
      <c r="HE112" s="185"/>
      <c r="HF112" s="164"/>
      <c r="HG112" s="185"/>
      <c r="HH112" s="164"/>
      <c r="HI112" s="185"/>
      <c r="HJ112" s="164"/>
      <c r="HK112" s="185"/>
      <c r="HL112" s="164"/>
      <c r="HM112" s="185"/>
      <c r="HN112" s="164"/>
      <c r="HO112" s="185"/>
      <c r="HP112" s="164"/>
      <c r="HQ112" s="185"/>
      <c r="HR112" s="164"/>
      <c r="HS112" s="185"/>
      <c r="HT112" s="164"/>
      <c r="HU112" s="185"/>
    </row>
    <row r="113" spans="1:229" x14ac:dyDescent="0.2">
      <c r="A113" s="1756" t="str">
        <f>+'1858 Hacienda'!A1100</f>
        <v>Deuda del Perú</v>
      </c>
      <c r="B113" s="131"/>
      <c r="C113" s="134"/>
      <c r="D113" s="133"/>
      <c r="E113" s="131"/>
      <c r="F113" s="134"/>
      <c r="G113" s="133"/>
      <c r="H113" s="131"/>
      <c r="I113" s="134"/>
      <c r="J113" s="133"/>
      <c r="K113" s="131"/>
      <c r="L113" s="134"/>
      <c r="M113" s="133"/>
      <c r="N113" s="131"/>
      <c r="O113" s="134"/>
      <c r="P113" s="133"/>
      <c r="Q113" s="131"/>
      <c r="R113" s="134"/>
      <c r="S113" s="133"/>
      <c r="T113" s="131"/>
      <c r="U113" s="134"/>
      <c r="V113" s="133"/>
      <c r="W113" s="131"/>
      <c r="X113" s="134"/>
      <c r="Y113" s="133"/>
      <c r="Z113" s="131"/>
      <c r="AA113" s="134"/>
      <c r="AB113" s="133"/>
      <c r="AC113" s="131"/>
      <c r="AD113" s="134"/>
      <c r="AE113" s="133"/>
      <c r="AF113" s="131"/>
      <c r="AG113" s="134"/>
      <c r="AH113" s="133"/>
      <c r="AI113" s="145"/>
      <c r="AJ113" s="134"/>
      <c r="AK113" s="133"/>
      <c r="AL113" s="131"/>
      <c r="AM113" s="134"/>
      <c r="AN113" s="133"/>
      <c r="AO113" s="131"/>
      <c r="AP113" s="134"/>
      <c r="AQ113" s="133"/>
      <c r="AR113" s="131"/>
      <c r="AS113" s="134"/>
      <c r="AT113" s="180"/>
      <c r="AU113" s="131"/>
      <c r="AV113" s="185"/>
      <c r="AW113" s="131"/>
      <c r="AX113" s="185"/>
      <c r="AY113" s="131"/>
      <c r="AZ113" s="185"/>
      <c r="BA113" s="131"/>
      <c r="BB113" s="185"/>
      <c r="BC113" s="131"/>
      <c r="BD113" s="185"/>
      <c r="BE113" s="131"/>
      <c r="BF113" s="185"/>
      <c r="BG113" s="131"/>
      <c r="BH113" s="185"/>
      <c r="BI113" s="131">
        <f>+'1858 Hacienda'!B1100</f>
        <v>204000</v>
      </c>
      <c r="BJ113" s="185">
        <f>+'1858 Hacienda'!C1100</f>
        <v>0</v>
      </c>
      <c r="BK113" s="131">
        <f>+'1858 Hacienda'!B1113</f>
        <v>84852</v>
      </c>
      <c r="BL113" s="185">
        <f>+'1858 Hacienda'!C1113</f>
        <v>250</v>
      </c>
      <c r="BM113" s="131"/>
      <c r="BN113" s="185"/>
      <c r="BO113" s="131"/>
      <c r="BP113" s="134"/>
      <c r="BQ113" s="131"/>
      <c r="BR113" s="134"/>
      <c r="BS113" s="133"/>
      <c r="BT113" s="145"/>
      <c r="BU113" s="134"/>
      <c r="BV113" s="131"/>
      <c r="BW113" s="134"/>
      <c r="BX113" s="131"/>
      <c r="BY113" s="134"/>
      <c r="BZ113" s="131"/>
      <c r="CA113" s="134"/>
      <c r="CB113" s="133"/>
      <c r="CC113" s="131"/>
      <c r="CD113" s="134"/>
      <c r="CE113" s="133"/>
      <c r="CF113" s="131"/>
      <c r="CG113" s="134"/>
      <c r="CH113" s="133"/>
      <c r="CI113" s="131"/>
      <c r="CJ113" s="134"/>
      <c r="CK113" s="133"/>
      <c r="CL113" s="131"/>
      <c r="CM113" s="134"/>
      <c r="CN113" s="133"/>
      <c r="CO113" s="131"/>
      <c r="CP113" s="134"/>
      <c r="CQ113" s="133"/>
      <c r="CR113" s="131"/>
      <c r="CS113" s="134"/>
      <c r="CT113" s="133"/>
      <c r="CU113" s="131"/>
      <c r="CV113" s="134"/>
      <c r="CW113" s="133"/>
      <c r="CX113" s="131"/>
      <c r="CY113" s="134"/>
      <c r="CZ113" s="133"/>
      <c r="DA113" s="140"/>
      <c r="DB113" s="141"/>
      <c r="DC113" s="142"/>
      <c r="DD113" s="140"/>
      <c r="DE113" s="141"/>
      <c r="DF113" s="142"/>
      <c r="DG113" s="140"/>
      <c r="DH113" s="141"/>
      <c r="DI113" s="142"/>
      <c r="DJ113" s="140"/>
      <c r="DK113" s="141"/>
      <c r="DL113" s="142"/>
      <c r="DM113" s="140"/>
      <c r="DN113" s="141"/>
      <c r="DO113" s="142"/>
      <c r="DP113" s="140"/>
      <c r="DQ113" s="141"/>
      <c r="DR113" s="142"/>
      <c r="DS113" s="140"/>
      <c r="DT113" s="141"/>
      <c r="DU113" s="142"/>
      <c r="DV113" s="140"/>
      <c r="DW113" s="141"/>
      <c r="DX113" s="142"/>
      <c r="DY113" s="140"/>
      <c r="DZ113" s="141"/>
      <c r="EA113" s="142"/>
      <c r="EB113" s="140"/>
      <c r="EC113" s="141"/>
      <c r="ED113" s="142"/>
      <c r="EE113" s="140"/>
      <c r="EF113" s="141"/>
      <c r="EG113" s="142"/>
      <c r="EH113" s="140"/>
      <c r="EI113" s="141"/>
      <c r="EJ113" s="142"/>
      <c r="EK113" s="140"/>
      <c r="EL113" s="141"/>
      <c r="EM113" s="142"/>
      <c r="EN113" s="140"/>
      <c r="EO113" s="141"/>
      <c r="EP113" s="142"/>
      <c r="EQ113" s="140"/>
      <c r="ER113" s="141"/>
      <c r="ES113" s="142"/>
      <c r="ET113" s="140"/>
      <c r="EU113" s="141"/>
      <c r="EV113" s="142"/>
      <c r="EW113" s="140"/>
      <c r="EX113" s="141"/>
      <c r="EY113" s="142"/>
      <c r="EZ113" s="140"/>
      <c r="FA113" s="141"/>
      <c r="FB113" s="142"/>
      <c r="FC113" s="140"/>
      <c r="FD113" s="141"/>
      <c r="FE113" s="142"/>
      <c r="FF113" s="140"/>
      <c r="FG113" s="141"/>
      <c r="FH113" s="142"/>
      <c r="FI113" s="140"/>
      <c r="FJ113" s="141"/>
      <c r="FK113" s="142"/>
      <c r="FL113" s="140"/>
      <c r="FM113" s="141"/>
      <c r="FN113" s="142"/>
      <c r="FO113" s="140"/>
      <c r="FP113" s="141"/>
      <c r="FQ113" s="142"/>
      <c r="FR113" s="140"/>
      <c r="FS113" s="141"/>
      <c r="FT113" s="142"/>
      <c r="FU113" s="140"/>
      <c r="FV113" s="141"/>
      <c r="FW113" s="142"/>
      <c r="FX113" s="140"/>
      <c r="FY113" s="141"/>
      <c r="FZ113" s="142"/>
      <c r="GA113" s="140"/>
      <c r="GB113" s="141"/>
      <c r="GC113" s="142"/>
      <c r="GD113" s="140"/>
      <c r="GE113" s="141"/>
      <c r="GF113" s="142"/>
      <c r="GG113" s="140"/>
      <c r="GH113" s="141"/>
      <c r="GI113" s="142"/>
      <c r="GJ113" s="140"/>
      <c r="GK113" s="141"/>
      <c r="GL113" s="142"/>
      <c r="GM113" s="140"/>
      <c r="GN113" s="141"/>
      <c r="GO113" s="142"/>
      <c r="GP113" s="140"/>
      <c r="GQ113" s="141"/>
      <c r="GR113" s="142"/>
      <c r="GS113" s="140"/>
      <c r="GT113" s="141"/>
      <c r="GU113" s="142"/>
      <c r="GV113" s="140"/>
      <c r="GW113" s="141"/>
      <c r="GX113" s="142"/>
      <c r="GY113" s="164"/>
      <c r="GZ113" s="134"/>
      <c r="HA113" s="185"/>
      <c r="HB113" s="164"/>
      <c r="HC113" s="185"/>
      <c r="HD113" s="164"/>
      <c r="HE113" s="185"/>
      <c r="HF113" s="164"/>
      <c r="HG113" s="185"/>
      <c r="HH113" s="164"/>
      <c r="HI113" s="185"/>
      <c r="HJ113" s="164"/>
      <c r="HK113" s="185"/>
      <c r="HL113" s="164"/>
      <c r="HM113" s="185"/>
      <c r="HN113" s="164"/>
      <c r="HO113" s="185"/>
      <c r="HP113" s="164"/>
      <c r="HQ113" s="185"/>
      <c r="HR113" s="164"/>
      <c r="HS113" s="185"/>
      <c r="HT113" s="164"/>
      <c r="HU113" s="185"/>
    </row>
    <row r="114" spans="1:229" x14ac:dyDescent="0.2">
      <c r="A114" s="1756" t="str">
        <f>+'1858 Hacienda'!A1114</f>
        <v>Deuda del Perú, complemento de los dos millones</v>
      </c>
      <c r="B114" s="131"/>
      <c r="C114" s="134"/>
      <c r="D114" s="133"/>
      <c r="E114" s="131"/>
      <c r="F114" s="134"/>
      <c r="G114" s="133"/>
      <c r="H114" s="131"/>
      <c r="I114" s="134"/>
      <c r="J114" s="133"/>
      <c r="K114" s="131"/>
      <c r="L114" s="134"/>
      <c r="M114" s="133"/>
      <c r="N114" s="131"/>
      <c r="O114" s="134"/>
      <c r="P114" s="133"/>
      <c r="Q114" s="131"/>
      <c r="R114" s="134"/>
      <c r="S114" s="133"/>
      <c r="T114" s="131"/>
      <c r="U114" s="134"/>
      <c r="V114" s="133"/>
      <c r="W114" s="131"/>
      <c r="X114" s="134"/>
      <c r="Y114" s="133"/>
      <c r="Z114" s="131"/>
      <c r="AA114" s="134"/>
      <c r="AB114" s="133"/>
      <c r="AC114" s="131"/>
      <c r="AD114" s="134"/>
      <c r="AE114" s="133"/>
      <c r="AF114" s="131"/>
      <c r="AG114" s="134"/>
      <c r="AH114" s="133"/>
      <c r="AI114" s="145"/>
      <c r="AJ114" s="134"/>
      <c r="AK114" s="133"/>
      <c r="AL114" s="131"/>
      <c r="AM114" s="134"/>
      <c r="AN114" s="133"/>
      <c r="AO114" s="131"/>
      <c r="AP114" s="134"/>
      <c r="AQ114" s="133"/>
      <c r="AR114" s="131"/>
      <c r="AS114" s="134"/>
      <c r="AT114" s="180"/>
      <c r="AU114" s="131"/>
      <c r="AV114" s="185"/>
      <c r="AW114" s="131"/>
      <c r="AX114" s="185"/>
      <c r="AY114" s="131"/>
      <c r="AZ114" s="185"/>
      <c r="BA114" s="131"/>
      <c r="BB114" s="185"/>
      <c r="BC114" s="131"/>
      <c r="BD114" s="185"/>
      <c r="BE114" s="131"/>
      <c r="BF114" s="185"/>
      <c r="BG114" s="131"/>
      <c r="BH114" s="185"/>
      <c r="BI114" s="131"/>
      <c r="BJ114" s="185"/>
      <c r="BK114" s="131">
        <f>+'1858 Hacienda'!B1114</f>
        <v>1711147</v>
      </c>
      <c r="BL114" s="185">
        <f>+'1858 Hacienda'!C1114</f>
        <v>750</v>
      </c>
      <c r="BM114" s="131"/>
      <c r="BN114" s="185"/>
      <c r="BO114" s="131"/>
      <c r="BP114" s="134"/>
      <c r="BQ114" s="131"/>
      <c r="BR114" s="134"/>
      <c r="BS114" s="133"/>
      <c r="BT114" s="145"/>
      <c r="BU114" s="134"/>
      <c r="BV114" s="131"/>
      <c r="BW114" s="134"/>
      <c r="BX114" s="131"/>
      <c r="BY114" s="134"/>
      <c r="BZ114" s="131"/>
      <c r="CA114" s="134"/>
      <c r="CB114" s="133"/>
      <c r="CC114" s="131"/>
      <c r="CD114" s="134"/>
      <c r="CE114" s="133"/>
      <c r="CF114" s="131"/>
      <c r="CG114" s="134"/>
      <c r="CH114" s="133"/>
      <c r="CI114" s="131"/>
      <c r="CJ114" s="134"/>
      <c r="CK114" s="133"/>
      <c r="CL114" s="131"/>
      <c r="CM114" s="134"/>
      <c r="CN114" s="133"/>
      <c r="CO114" s="131"/>
      <c r="CP114" s="134"/>
      <c r="CQ114" s="133"/>
      <c r="CR114" s="131"/>
      <c r="CS114" s="134"/>
      <c r="CT114" s="133"/>
      <c r="CU114" s="131"/>
      <c r="CV114" s="134"/>
      <c r="CW114" s="133"/>
      <c r="CX114" s="131"/>
      <c r="CY114" s="134"/>
      <c r="CZ114" s="133"/>
      <c r="DA114" s="140"/>
      <c r="DB114" s="141"/>
      <c r="DC114" s="142"/>
      <c r="DD114" s="140"/>
      <c r="DE114" s="141"/>
      <c r="DF114" s="142"/>
      <c r="DG114" s="140"/>
      <c r="DH114" s="141"/>
      <c r="DI114" s="142"/>
      <c r="DJ114" s="140"/>
      <c r="DK114" s="141"/>
      <c r="DL114" s="142"/>
      <c r="DM114" s="140"/>
      <c r="DN114" s="141"/>
      <c r="DO114" s="142"/>
      <c r="DP114" s="140"/>
      <c r="DQ114" s="141"/>
      <c r="DR114" s="142"/>
      <c r="DS114" s="140"/>
      <c r="DT114" s="141"/>
      <c r="DU114" s="142"/>
      <c r="DV114" s="140"/>
      <c r="DW114" s="141"/>
      <c r="DX114" s="142"/>
      <c r="DY114" s="140"/>
      <c r="DZ114" s="141"/>
      <c r="EA114" s="142"/>
      <c r="EB114" s="140"/>
      <c r="EC114" s="141"/>
      <c r="ED114" s="142"/>
      <c r="EE114" s="140"/>
      <c r="EF114" s="141"/>
      <c r="EG114" s="142"/>
      <c r="EH114" s="140"/>
      <c r="EI114" s="141"/>
      <c r="EJ114" s="142"/>
      <c r="EK114" s="140"/>
      <c r="EL114" s="141"/>
      <c r="EM114" s="142"/>
      <c r="EN114" s="140"/>
      <c r="EO114" s="141"/>
      <c r="EP114" s="142"/>
      <c r="EQ114" s="140"/>
      <c r="ER114" s="141"/>
      <c r="ES114" s="142"/>
      <c r="ET114" s="140"/>
      <c r="EU114" s="141"/>
      <c r="EV114" s="142"/>
      <c r="EW114" s="140"/>
      <c r="EX114" s="141"/>
      <c r="EY114" s="142"/>
      <c r="EZ114" s="140"/>
      <c r="FA114" s="141"/>
      <c r="FB114" s="142"/>
      <c r="FC114" s="140"/>
      <c r="FD114" s="141"/>
      <c r="FE114" s="142"/>
      <c r="FF114" s="140"/>
      <c r="FG114" s="141"/>
      <c r="FH114" s="142"/>
      <c r="FI114" s="140"/>
      <c r="FJ114" s="141"/>
      <c r="FK114" s="142"/>
      <c r="FL114" s="140"/>
      <c r="FM114" s="141"/>
      <c r="FN114" s="142"/>
      <c r="FO114" s="140"/>
      <c r="FP114" s="141"/>
      <c r="FQ114" s="142"/>
      <c r="FR114" s="140"/>
      <c r="FS114" s="141"/>
      <c r="FT114" s="142"/>
      <c r="FU114" s="140"/>
      <c r="FV114" s="141"/>
      <c r="FW114" s="142"/>
      <c r="FX114" s="140"/>
      <c r="FY114" s="141"/>
      <c r="FZ114" s="142"/>
      <c r="GA114" s="140"/>
      <c r="GB114" s="141"/>
      <c r="GC114" s="142"/>
      <c r="GD114" s="140"/>
      <c r="GE114" s="141"/>
      <c r="GF114" s="142"/>
      <c r="GG114" s="140"/>
      <c r="GH114" s="141"/>
      <c r="GI114" s="142"/>
      <c r="GJ114" s="140"/>
      <c r="GK114" s="141"/>
      <c r="GL114" s="142"/>
      <c r="GM114" s="140"/>
      <c r="GN114" s="141"/>
      <c r="GO114" s="142"/>
      <c r="GP114" s="140"/>
      <c r="GQ114" s="141"/>
      <c r="GR114" s="142"/>
      <c r="GS114" s="140"/>
      <c r="GT114" s="141"/>
      <c r="GU114" s="142"/>
      <c r="GV114" s="140"/>
      <c r="GW114" s="141"/>
      <c r="GX114" s="142"/>
      <c r="GY114" s="164"/>
      <c r="GZ114" s="134"/>
      <c r="HA114" s="185"/>
      <c r="HB114" s="164"/>
      <c r="HC114" s="185"/>
      <c r="HD114" s="164"/>
      <c r="HE114" s="185"/>
      <c r="HF114" s="164"/>
      <c r="HG114" s="185"/>
      <c r="HH114" s="164"/>
      <c r="HI114" s="185"/>
      <c r="HJ114" s="164"/>
      <c r="HK114" s="185"/>
      <c r="HL114" s="164"/>
      <c r="HM114" s="185"/>
      <c r="HN114" s="164"/>
      <c r="HO114" s="185"/>
      <c r="HP114" s="164"/>
      <c r="HQ114" s="185"/>
      <c r="HR114" s="164"/>
      <c r="HS114" s="185"/>
      <c r="HT114" s="164"/>
      <c r="HU114" s="185"/>
    </row>
    <row r="115" spans="1:229" x14ac:dyDescent="0.2">
      <c r="A115" s="1756" t="str">
        <f>+'1869 Hacienda'!A11</f>
        <v>Tierras baldías (bosques nacionales)</v>
      </c>
      <c r="B115" s="131"/>
      <c r="C115" s="134"/>
      <c r="D115" s="133"/>
      <c r="E115" s="131"/>
      <c r="F115" s="134"/>
      <c r="G115" s="133"/>
      <c r="H115" s="131"/>
      <c r="I115" s="134"/>
      <c r="J115" s="133"/>
      <c r="K115" s="131"/>
      <c r="L115" s="134"/>
      <c r="M115" s="133"/>
      <c r="N115" s="131"/>
      <c r="O115" s="134"/>
      <c r="P115" s="133"/>
      <c r="Q115" s="131"/>
      <c r="R115" s="134"/>
      <c r="S115" s="133"/>
      <c r="T115" s="131"/>
      <c r="U115" s="134"/>
      <c r="V115" s="133"/>
      <c r="W115" s="131"/>
      <c r="X115" s="134"/>
      <c r="Y115" s="133"/>
      <c r="Z115" s="131"/>
      <c r="AA115" s="134"/>
      <c r="AB115" s="133"/>
      <c r="AC115" s="131"/>
      <c r="AD115" s="134"/>
      <c r="AE115" s="133"/>
      <c r="AF115" s="131"/>
      <c r="AG115" s="134"/>
      <c r="AH115" s="133"/>
      <c r="AI115" s="145"/>
      <c r="AJ115" s="134"/>
      <c r="AK115" s="133"/>
      <c r="AL115" s="131"/>
      <c r="AM115" s="134"/>
      <c r="AN115" s="133"/>
      <c r="AO115" s="131"/>
      <c r="AP115" s="134"/>
      <c r="AQ115" s="133"/>
      <c r="AR115" s="131"/>
      <c r="AS115" s="134"/>
      <c r="AT115" s="180"/>
      <c r="AU115" s="131"/>
      <c r="AV115" s="185"/>
      <c r="AW115" s="131"/>
      <c r="AX115" s="185"/>
      <c r="AY115" s="131"/>
      <c r="AZ115" s="185"/>
      <c r="BA115" s="131"/>
      <c r="BB115" s="185"/>
      <c r="BC115" s="131"/>
      <c r="BD115" s="185"/>
      <c r="BE115" s="131"/>
      <c r="BF115" s="185"/>
      <c r="BG115" s="131"/>
      <c r="BH115" s="185"/>
      <c r="BI115" s="131"/>
      <c r="BJ115" s="185"/>
      <c r="BK115" s="131"/>
      <c r="BL115" s="185"/>
      <c r="BM115" s="131"/>
      <c r="BN115" s="185"/>
      <c r="BO115" s="131"/>
      <c r="BP115" s="134"/>
      <c r="BQ115" s="131"/>
      <c r="BR115" s="134"/>
      <c r="BS115" s="133"/>
      <c r="BT115" s="145"/>
      <c r="BU115" s="134"/>
      <c r="BV115" s="131"/>
      <c r="BW115" s="134"/>
      <c r="BX115" s="131"/>
      <c r="BY115" s="134"/>
      <c r="BZ115" s="131"/>
      <c r="CA115" s="134"/>
      <c r="CB115" s="133"/>
      <c r="CC115" s="131"/>
      <c r="CD115" s="134"/>
      <c r="CE115" s="133"/>
      <c r="CF115" s="131"/>
      <c r="CG115" s="134"/>
      <c r="CH115" s="133"/>
      <c r="CI115" s="131">
        <f>+'1869 Hacienda'!B50</f>
        <v>23849</v>
      </c>
      <c r="CK115" s="133"/>
      <c r="CL115" s="131">
        <f>+'1869 Hacienda'!C50</f>
        <v>12264</v>
      </c>
      <c r="CN115" s="133"/>
      <c r="CO115" s="131">
        <f>+'1869 Hacienda'!D50</f>
        <v>17996</v>
      </c>
      <c r="CQ115" s="133"/>
      <c r="CR115" s="131">
        <f>+'1869 Hacienda'!E50</f>
        <v>15551</v>
      </c>
      <c r="CT115" s="133"/>
      <c r="CU115" s="107">
        <f>+'1869 Hacienda'!F50</f>
        <v>10811</v>
      </c>
      <c r="CV115" s="134"/>
      <c r="CW115" s="133"/>
      <c r="CX115" s="131">
        <f>+'1869 Hacienda'!B11</f>
        <v>6817</v>
      </c>
      <c r="CY115" s="134"/>
      <c r="CZ115" s="133"/>
      <c r="DA115" s="140">
        <f>+'1872 Hacienda'!B14</f>
        <v>1223</v>
      </c>
      <c r="DB115" s="141">
        <f>+'1872 Hacienda'!C14</f>
        <v>75</v>
      </c>
      <c r="DC115" s="142">
        <f>+'1872 Hacienda'!D14</f>
        <v>0</v>
      </c>
      <c r="DD115" s="140"/>
      <c r="DE115" s="141"/>
      <c r="DF115" s="142"/>
      <c r="DG115" s="140"/>
      <c r="DH115" s="141"/>
      <c r="DI115" s="142"/>
      <c r="DJ115" s="140"/>
      <c r="DK115" s="141"/>
      <c r="DL115" s="142"/>
      <c r="DM115" s="140"/>
      <c r="DN115" s="141"/>
      <c r="DO115" s="142"/>
      <c r="DP115" s="140"/>
      <c r="DQ115" s="141"/>
      <c r="DR115" s="142"/>
      <c r="DS115" s="140"/>
      <c r="DT115" s="141"/>
      <c r="DU115" s="142"/>
      <c r="DV115" s="140"/>
      <c r="DW115" s="141"/>
      <c r="DX115" s="142"/>
      <c r="DY115" s="140"/>
      <c r="DZ115" s="141"/>
      <c r="EA115" s="142"/>
      <c r="EB115" s="140"/>
      <c r="EC115" s="141"/>
      <c r="ED115" s="142"/>
      <c r="EE115" s="140"/>
      <c r="EF115" s="141"/>
      <c r="EG115" s="142"/>
      <c r="EH115" s="140"/>
      <c r="EI115" s="141"/>
      <c r="EJ115" s="142"/>
      <c r="EK115" s="140"/>
      <c r="EL115" s="141"/>
      <c r="EM115" s="142"/>
      <c r="EN115" s="140"/>
      <c r="EO115" s="141"/>
      <c r="EP115" s="142"/>
      <c r="EQ115" s="140"/>
      <c r="ER115" s="141"/>
      <c r="ES115" s="142"/>
      <c r="ET115" s="140"/>
      <c r="EU115" s="141"/>
      <c r="EV115" s="142"/>
      <c r="EW115" s="140"/>
      <c r="EX115" s="141"/>
      <c r="EY115" s="142"/>
      <c r="EZ115" s="140"/>
      <c r="FA115" s="141"/>
      <c r="FB115" s="142"/>
      <c r="FC115" s="140"/>
      <c r="FD115" s="141"/>
      <c r="FE115" s="142"/>
      <c r="FF115" s="140"/>
      <c r="FG115" s="141"/>
      <c r="FH115" s="142"/>
      <c r="FI115" s="140"/>
      <c r="FJ115" s="141"/>
      <c r="FK115" s="142"/>
      <c r="FL115" s="140"/>
      <c r="FM115" s="141"/>
      <c r="FN115" s="142"/>
      <c r="FO115" s="140"/>
      <c r="FP115" s="141"/>
      <c r="FQ115" s="142"/>
      <c r="FR115" s="140"/>
      <c r="FS115" s="141"/>
      <c r="FT115" s="142"/>
      <c r="FU115" s="140"/>
      <c r="FV115" s="141"/>
      <c r="FW115" s="142"/>
      <c r="FX115" s="140"/>
      <c r="FY115" s="141"/>
      <c r="FZ115" s="142"/>
      <c r="GA115" s="140"/>
      <c r="GB115" s="141"/>
      <c r="GC115" s="142"/>
      <c r="GD115" s="140"/>
      <c r="GE115" s="141"/>
      <c r="GF115" s="142"/>
      <c r="GG115" s="140"/>
      <c r="GH115" s="141"/>
      <c r="GI115" s="142"/>
      <c r="GJ115" s="140"/>
      <c r="GK115" s="141"/>
      <c r="GL115" s="142"/>
      <c r="GM115" s="140"/>
      <c r="GN115" s="141"/>
      <c r="GO115" s="142"/>
      <c r="GP115" s="140"/>
      <c r="GQ115" s="141"/>
      <c r="GR115" s="142"/>
      <c r="GS115" s="140"/>
      <c r="GT115" s="141"/>
      <c r="GU115" s="142"/>
      <c r="GV115" s="140"/>
      <c r="GW115" s="141"/>
      <c r="GX115" s="142"/>
      <c r="GY115" s="164"/>
      <c r="GZ115" s="134"/>
      <c r="HA115" s="185"/>
      <c r="HB115" s="164"/>
      <c r="HC115" s="185"/>
      <c r="HD115" s="164"/>
      <c r="HE115" s="185"/>
      <c r="HF115" s="164"/>
      <c r="HG115" s="185"/>
      <c r="HH115" s="164"/>
      <c r="HI115" s="185"/>
      <c r="HJ115" s="164"/>
      <c r="HK115" s="185"/>
      <c r="HL115" s="164"/>
      <c r="HM115" s="185"/>
      <c r="HN115" s="164"/>
      <c r="HO115" s="185"/>
      <c r="HP115" s="164"/>
      <c r="HQ115" s="185"/>
      <c r="HR115" s="164"/>
      <c r="HS115" s="185"/>
      <c r="HT115" s="164"/>
      <c r="HU115" s="185"/>
    </row>
    <row r="116" spans="1:229" x14ac:dyDescent="0.2">
      <c r="A116" s="1756" t="str">
        <f>+'1872 Hacienda'!A12</f>
        <v>Bienes desamortizados (arrendamiento)</v>
      </c>
      <c r="B116" s="131"/>
      <c r="C116" s="134"/>
      <c r="D116" s="133"/>
      <c r="E116" s="131"/>
      <c r="F116" s="134"/>
      <c r="G116" s="133"/>
      <c r="H116" s="131"/>
      <c r="I116" s="134"/>
      <c r="J116" s="133"/>
      <c r="K116" s="131"/>
      <c r="L116" s="134"/>
      <c r="M116" s="133"/>
      <c r="N116" s="131"/>
      <c r="O116" s="134"/>
      <c r="P116" s="133"/>
      <c r="Q116" s="131"/>
      <c r="R116" s="134"/>
      <c r="S116" s="133"/>
      <c r="T116" s="131"/>
      <c r="U116" s="134"/>
      <c r="V116" s="133"/>
      <c r="W116" s="131"/>
      <c r="X116" s="134"/>
      <c r="Y116" s="133"/>
      <c r="Z116" s="131"/>
      <c r="AA116" s="134"/>
      <c r="AB116" s="133"/>
      <c r="AC116" s="131"/>
      <c r="AD116" s="134"/>
      <c r="AE116" s="133"/>
      <c r="AF116" s="131"/>
      <c r="AG116" s="134"/>
      <c r="AH116" s="133"/>
      <c r="AI116" s="145"/>
      <c r="AJ116" s="134"/>
      <c r="AK116" s="133"/>
      <c r="AL116" s="131"/>
      <c r="AM116" s="134"/>
      <c r="AN116" s="133"/>
      <c r="AO116" s="131"/>
      <c r="AP116" s="134"/>
      <c r="AQ116" s="133"/>
      <c r="AR116" s="131"/>
      <c r="AS116" s="134"/>
      <c r="AT116" s="180"/>
      <c r="AU116" s="131"/>
      <c r="AV116" s="185"/>
      <c r="AW116" s="131"/>
      <c r="AX116" s="185"/>
      <c r="AY116" s="131"/>
      <c r="AZ116" s="185"/>
      <c r="BA116" s="131"/>
      <c r="BB116" s="185"/>
      <c r="BC116" s="131"/>
      <c r="BD116" s="185"/>
      <c r="BE116" s="131"/>
      <c r="BF116" s="185"/>
      <c r="BG116" s="131"/>
      <c r="BH116" s="185"/>
      <c r="BI116" s="131"/>
      <c r="BJ116" s="185"/>
      <c r="BK116" s="131"/>
      <c r="BL116" s="185"/>
      <c r="BM116" s="131"/>
      <c r="BN116" s="185"/>
      <c r="BO116" s="131"/>
      <c r="BP116" s="134"/>
      <c r="BQ116" s="131"/>
      <c r="BR116" s="134"/>
      <c r="BS116" s="133"/>
      <c r="BT116" s="145"/>
      <c r="BU116" s="134"/>
      <c r="BV116" s="131"/>
      <c r="BW116" s="134"/>
      <c r="BX116" s="131"/>
      <c r="BY116" s="134"/>
      <c r="BZ116" s="131"/>
      <c r="CA116" s="134"/>
      <c r="CB116" s="133"/>
      <c r="CC116" s="131"/>
      <c r="CD116" s="134"/>
      <c r="CE116" s="133"/>
      <c r="CF116" s="131"/>
      <c r="CG116" s="134"/>
      <c r="CH116" s="133"/>
      <c r="CI116" s="131"/>
      <c r="CK116" s="133"/>
      <c r="CL116" s="131"/>
      <c r="CN116" s="133"/>
      <c r="CO116" s="131"/>
      <c r="CQ116" s="133"/>
      <c r="CR116" s="131"/>
      <c r="CT116" s="133"/>
      <c r="CU116" s="131"/>
      <c r="CV116" s="134"/>
      <c r="CW116" s="133"/>
      <c r="CX116" s="131"/>
      <c r="CY116" s="134"/>
      <c r="CZ116" s="133"/>
      <c r="DA116" s="140">
        <f>+'1872 Hacienda'!B12</f>
        <v>15673</v>
      </c>
      <c r="DB116" s="141">
        <f>+'1872 Hacienda'!C12</f>
        <v>88</v>
      </c>
      <c r="DC116" s="142">
        <f>+'1872 Hacienda'!D12</f>
        <v>0</v>
      </c>
      <c r="DD116" s="140"/>
      <c r="DE116" s="141"/>
      <c r="DF116" s="142"/>
      <c r="DG116" s="140"/>
      <c r="DH116" s="141"/>
      <c r="DI116" s="142"/>
      <c r="DJ116" s="140"/>
      <c r="DK116" s="141"/>
      <c r="DL116" s="142"/>
      <c r="DM116" s="140"/>
      <c r="DN116" s="141"/>
      <c r="DO116" s="142"/>
      <c r="DP116" s="140"/>
      <c r="DQ116" s="141"/>
      <c r="DR116" s="142"/>
      <c r="DS116" s="140"/>
      <c r="DT116" s="141"/>
      <c r="DU116" s="142"/>
      <c r="DV116" s="140"/>
      <c r="DW116" s="141"/>
      <c r="DX116" s="142"/>
      <c r="DY116" s="140">
        <f>+'1880 Hacienda'!B11</f>
        <v>1200</v>
      </c>
      <c r="DZ116" s="141"/>
      <c r="EA116" s="142"/>
      <c r="EB116" s="140">
        <f>+'1881 Hacienda'!B10</f>
        <v>18310</v>
      </c>
      <c r="EC116" s="141">
        <f>+'1881 Hacienda'!C10</f>
        <v>800</v>
      </c>
      <c r="ED116" s="142"/>
      <c r="EE116" s="140">
        <f>+'1882 Hacienda'!B15</f>
        <v>18263</v>
      </c>
      <c r="EF116" s="141">
        <f>+'1882 Hacienda'!C15</f>
        <v>42</v>
      </c>
      <c r="EG116" s="142">
        <f>+'1882 Hacienda'!D15</f>
        <v>0.5</v>
      </c>
      <c r="EH116" s="140"/>
      <c r="EI116" s="141"/>
      <c r="EJ116" s="142"/>
      <c r="EK116" s="140"/>
      <c r="EL116" s="141"/>
      <c r="EM116" s="142"/>
      <c r="EN116" s="140"/>
      <c r="EO116" s="141"/>
      <c r="EP116" s="142"/>
      <c r="EQ116" s="140"/>
      <c r="ER116" s="141"/>
      <c r="ES116" s="142"/>
      <c r="ET116" s="140"/>
      <c r="EU116" s="141"/>
      <c r="EV116" s="142"/>
      <c r="EW116" s="140"/>
      <c r="EX116" s="141"/>
      <c r="EY116" s="142"/>
      <c r="EZ116" s="140"/>
      <c r="FA116" s="141"/>
      <c r="FB116" s="142"/>
      <c r="FC116" s="140"/>
      <c r="FD116" s="141"/>
      <c r="FE116" s="142"/>
      <c r="FF116" s="140"/>
      <c r="FG116" s="141"/>
      <c r="FH116" s="142"/>
      <c r="FI116" s="140"/>
      <c r="FJ116" s="141"/>
      <c r="FK116" s="142"/>
      <c r="FL116" s="140"/>
      <c r="FM116" s="141"/>
      <c r="FN116" s="142"/>
      <c r="FO116" s="140"/>
      <c r="FP116" s="141"/>
      <c r="FQ116" s="142"/>
      <c r="FR116" s="140"/>
      <c r="FS116" s="141"/>
      <c r="FT116" s="142"/>
      <c r="FU116" s="140"/>
      <c r="FV116" s="141"/>
      <c r="FW116" s="142"/>
      <c r="FX116" s="140"/>
      <c r="FY116" s="141"/>
      <c r="FZ116" s="142"/>
      <c r="GA116" s="140"/>
      <c r="GB116" s="141"/>
      <c r="GC116" s="142"/>
      <c r="GD116" s="140"/>
      <c r="GE116" s="141"/>
      <c r="GF116" s="142"/>
      <c r="GG116" s="140"/>
      <c r="GH116" s="141"/>
      <c r="GI116" s="142"/>
      <c r="GJ116" s="140"/>
      <c r="GK116" s="141"/>
      <c r="GL116" s="142"/>
      <c r="GM116" s="140"/>
      <c r="GN116" s="141"/>
      <c r="GO116" s="142"/>
      <c r="GP116" s="140"/>
      <c r="GQ116" s="141"/>
      <c r="GR116" s="142"/>
      <c r="GS116" s="140"/>
      <c r="GT116" s="141"/>
      <c r="GU116" s="142"/>
      <c r="GV116" s="140"/>
      <c r="GW116" s="141"/>
      <c r="GX116" s="142"/>
      <c r="GY116" s="164"/>
      <c r="GZ116" s="134"/>
      <c r="HA116" s="185"/>
      <c r="HB116" s="164"/>
      <c r="HC116" s="185"/>
      <c r="HD116" s="164"/>
      <c r="HE116" s="185"/>
      <c r="HF116" s="164"/>
      <c r="HG116" s="185"/>
      <c r="HH116" s="164"/>
      <c r="HI116" s="185"/>
      <c r="HJ116" s="164"/>
      <c r="HK116" s="185"/>
      <c r="HL116" s="164"/>
      <c r="HM116" s="185"/>
      <c r="HN116" s="164"/>
      <c r="HO116" s="185"/>
      <c r="HP116" s="164"/>
      <c r="HQ116" s="185"/>
      <c r="HR116" s="164"/>
      <c r="HS116" s="185"/>
      <c r="HT116" s="164"/>
      <c r="HU116" s="185"/>
    </row>
    <row r="117" spans="1:229" x14ac:dyDescent="0.2">
      <c r="A117" s="1756" t="str">
        <f>+'1872 Hacienda'!A13</f>
        <v>Id.           Id.                       (venta por bonos)</v>
      </c>
      <c r="B117" s="131"/>
      <c r="C117" s="134"/>
      <c r="D117" s="133"/>
      <c r="E117" s="131"/>
      <c r="F117" s="134"/>
      <c r="G117" s="133"/>
      <c r="H117" s="131"/>
      <c r="I117" s="134"/>
      <c r="J117" s="133"/>
      <c r="K117" s="131"/>
      <c r="L117" s="134"/>
      <c r="M117" s="133"/>
      <c r="N117" s="131"/>
      <c r="O117" s="134"/>
      <c r="P117" s="133"/>
      <c r="Q117" s="131"/>
      <c r="R117" s="134"/>
      <c r="S117" s="133"/>
      <c r="T117" s="131"/>
      <c r="U117" s="134"/>
      <c r="V117" s="133"/>
      <c r="W117" s="131"/>
      <c r="X117" s="134"/>
      <c r="Y117" s="133"/>
      <c r="Z117" s="131"/>
      <c r="AA117" s="134"/>
      <c r="AB117" s="133"/>
      <c r="AC117" s="131"/>
      <c r="AD117" s="134"/>
      <c r="AE117" s="133"/>
      <c r="AF117" s="131"/>
      <c r="AG117" s="134"/>
      <c r="AH117" s="133"/>
      <c r="AI117" s="145"/>
      <c r="AJ117" s="134"/>
      <c r="AK117" s="133"/>
      <c r="AL117" s="131"/>
      <c r="AM117" s="134"/>
      <c r="AN117" s="133"/>
      <c r="AO117" s="131"/>
      <c r="AP117" s="134"/>
      <c r="AQ117" s="133"/>
      <c r="AR117" s="131"/>
      <c r="AS117" s="134"/>
      <c r="AT117" s="180"/>
      <c r="AU117" s="131"/>
      <c r="AV117" s="185"/>
      <c r="AW117" s="131"/>
      <c r="AX117" s="185"/>
      <c r="AY117" s="131"/>
      <c r="AZ117" s="185"/>
      <c r="BA117" s="131"/>
      <c r="BB117" s="185"/>
      <c r="BC117" s="131"/>
      <c r="BD117" s="185"/>
      <c r="BE117" s="131"/>
      <c r="BF117" s="185"/>
      <c r="BG117" s="131"/>
      <c r="BH117" s="185"/>
      <c r="BI117" s="131"/>
      <c r="BJ117" s="185"/>
      <c r="BK117" s="131"/>
      <c r="BL117" s="185"/>
      <c r="BM117" s="131"/>
      <c r="BN117" s="185"/>
      <c r="BO117" s="131"/>
      <c r="BP117" s="134"/>
      <c r="BQ117" s="131"/>
      <c r="BR117" s="134"/>
      <c r="BS117" s="133"/>
      <c r="BT117" s="145"/>
      <c r="BU117" s="134"/>
      <c r="BV117" s="131"/>
      <c r="BW117" s="134"/>
      <c r="BX117" s="131"/>
      <c r="BY117" s="134"/>
      <c r="BZ117" s="131"/>
      <c r="CA117" s="134"/>
      <c r="CB117" s="133"/>
      <c r="CC117" s="131"/>
      <c r="CD117" s="134"/>
      <c r="CE117" s="133"/>
      <c r="CF117" s="131"/>
      <c r="CG117" s="134"/>
      <c r="CH117" s="133"/>
      <c r="CI117" s="131"/>
      <c r="CK117" s="133"/>
      <c r="CL117" s="131"/>
      <c r="CN117" s="133"/>
      <c r="CO117" s="131"/>
      <c r="CQ117" s="133"/>
      <c r="CR117" s="131"/>
      <c r="CT117" s="133"/>
      <c r="CU117" s="131"/>
      <c r="CV117" s="134"/>
      <c r="CW117" s="133"/>
      <c r="CX117" s="131"/>
      <c r="CY117" s="134"/>
      <c r="CZ117" s="133"/>
      <c r="DA117" s="140">
        <f>+'1872 Hacienda'!B13</f>
        <v>738114</v>
      </c>
      <c r="DB117" s="141">
        <f>+'1872 Hacienda'!C13</f>
        <v>0</v>
      </c>
      <c r="DC117" s="142">
        <f>+'1872 Hacienda'!D13</f>
        <v>0</v>
      </c>
      <c r="DD117" s="140"/>
      <c r="DE117" s="141"/>
      <c r="DF117" s="142"/>
      <c r="DG117" s="140"/>
      <c r="DH117" s="141"/>
      <c r="DI117" s="142"/>
      <c r="DJ117" s="140"/>
      <c r="DK117" s="141"/>
      <c r="DL117" s="142"/>
      <c r="DM117" s="140"/>
      <c r="DN117" s="141"/>
      <c r="DO117" s="142"/>
      <c r="DP117" s="140"/>
      <c r="DQ117" s="141"/>
      <c r="DR117" s="142"/>
      <c r="DS117" s="140"/>
      <c r="DT117" s="141"/>
      <c r="DU117" s="142"/>
      <c r="DV117" s="140"/>
      <c r="DW117" s="141"/>
      <c r="DX117" s="142"/>
      <c r="DY117" s="140"/>
      <c r="DZ117" s="141"/>
      <c r="EA117" s="142"/>
      <c r="EB117" s="140"/>
      <c r="EC117" s="141"/>
      <c r="ED117" s="142"/>
      <c r="EE117" s="140"/>
      <c r="EF117" s="141"/>
      <c r="EG117" s="142"/>
      <c r="EH117" s="140"/>
      <c r="EI117" s="141"/>
      <c r="EJ117" s="142"/>
      <c r="EK117" s="140"/>
      <c r="EL117" s="141"/>
      <c r="EM117" s="142"/>
      <c r="EN117" s="140"/>
      <c r="EO117" s="141"/>
      <c r="EP117" s="142"/>
      <c r="EQ117" s="140"/>
      <c r="ER117" s="141"/>
      <c r="ES117" s="142"/>
      <c r="ET117" s="140"/>
      <c r="EU117" s="141"/>
      <c r="EV117" s="142"/>
      <c r="EW117" s="140"/>
      <c r="EX117" s="141"/>
      <c r="EY117" s="142"/>
      <c r="EZ117" s="140"/>
      <c r="FA117" s="141"/>
      <c r="FB117" s="142"/>
      <c r="FC117" s="140"/>
      <c r="FD117" s="141"/>
      <c r="FE117" s="142"/>
      <c r="FF117" s="140"/>
      <c r="FG117" s="141"/>
      <c r="FH117" s="142"/>
      <c r="FI117" s="140"/>
      <c r="FJ117" s="141"/>
      <c r="FK117" s="142"/>
      <c r="FL117" s="140"/>
      <c r="FM117" s="141"/>
      <c r="FN117" s="142"/>
      <c r="FO117" s="140"/>
      <c r="FP117" s="141"/>
      <c r="FQ117" s="142"/>
      <c r="FR117" s="140"/>
      <c r="FS117" s="141"/>
      <c r="FT117" s="142"/>
      <c r="FU117" s="140"/>
      <c r="FV117" s="141"/>
      <c r="FW117" s="142"/>
      <c r="FX117" s="140"/>
      <c r="FY117" s="141"/>
      <c r="FZ117" s="142"/>
      <c r="GA117" s="140"/>
      <c r="GB117" s="141"/>
      <c r="GC117" s="142"/>
      <c r="GD117" s="140"/>
      <c r="GE117" s="141"/>
      <c r="GF117" s="142"/>
      <c r="GG117" s="140"/>
      <c r="GH117" s="141"/>
      <c r="GI117" s="142"/>
      <c r="GJ117" s="140"/>
      <c r="GK117" s="141"/>
      <c r="GL117" s="142"/>
      <c r="GM117" s="140"/>
      <c r="GN117" s="141"/>
      <c r="GO117" s="142"/>
      <c r="GP117" s="140"/>
      <c r="GQ117" s="141"/>
      <c r="GR117" s="142"/>
      <c r="GS117" s="140"/>
      <c r="GT117" s="141"/>
      <c r="GU117" s="142"/>
      <c r="GV117" s="140"/>
      <c r="GW117" s="141"/>
      <c r="GX117" s="142"/>
      <c r="GY117" s="164"/>
      <c r="GZ117" s="134"/>
      <c r="HA117" s="185"/>
      <c r="HB117" s="164"/>
      <c r="HC117" s="185"/>
      <c r="HD117" s="164"/>
      <c r="HE117" s="185"/>
      <c r="HF117" s="164"/>
      <c r="HG117" s="185"/>
      <c r="HH117" s="164"/>
      <c r="HI117" s="185"/>
      <c r="HJ117" s="164"/>
      <c r="HK117" s="185"/>
      <c r="HL117" s="164"/>
      <c r="HM117" s="185"/>
      <c r="HN117" s="164"/>
      <c r="HO117" s="185"/>
      <c r="HP117" s="164"/>
      <c r="HQ117" s="185"/>
      <c r="HR117" s="164"/>
      <c r="HS117" s="185"/>
      <c r="HT117" s="164"/>
      <c r="HU117" s="185"/>
    </row>
    <row r="118" spans="1:229" x14ac:dyDescent="0.2">
      <c r="A118" s="1756" t="str">
        <f>+'1882 Hacienda'!A9</f>
        <v>Timbre nacional</v>
      </c>
      <c r="B118" s="131"/>
      <c r="C118" s="134"/>
      <c r="D118" s="133"/>
      <c r="E118" s="131"/>
      <c r="F118" s="134"/>
      <c r="G118" s="133"/>
      <c r="H118" s="131"/>
      <c r="I118" s="134"/>
      <c r="J118" s="133"/>
      <c r="K118" s="131"/>
      <c r="L118" s="134"/>
      <c r="M118" s="133"/>
      <c r="N118" s="131"/>
      <c r="O118" s="134"/>
      <c r="P118" s="133"/>
      <c r="Q118" s="131"/>
      <c r="R118" s="134"/>
      <c r="S118" s="133"/>
      <c r="T118" s="131"/>
      <c r="U118" s="134"/>
      <c r="V118" s="133"/>
      <c r="W118" s="131"/>
      <c r="X118" s="134"/>
      <c r="Y118" s="133"/>
      <c r="Z118" s="131"/>
      <c r="AA118" s="134"/>
      <c r="AB118" s="133"/>
      <c r="AC118" s="131"/>
      <c r="AD118" s="134"/>
      <c r="AE118" s="133"/>
      <c r="AF118" s="131"/>
      <c r="AG118" s="134"/>
      <c r="AH118" s="133"/>
      <c r="AI118" s="145"/>
      <c r="AJ118" s="134"/>
      <c r="AK118" s="133"/>
      <c r="AL118" s="131"/>
      <c r="AM118" s="134"/>
      <c r="AN118" s="133"/>
      <c r="AO118" s="131"/>
      <c r="AP118" s="134"/>
      <c r="AQ118" s="133"/>
      <c r="AR118" s="131"/>
      <c r="AS118" s="134"/>
      <c r="AT118" s="180"/>
      <c r="AU118" s="131"/>
      <c r="AV118" s="185"/>
      <c r="AW118" s="131"/>
      <c r="AX118" s="185"/>
      <c r="AY118" s="131"/>
      <c r="AZ118" s="185"/>
      <c r="BA118" s="131"/>
      <c r="BB118" s="185"/>
      <c r="BC118" s="131"/>
      <c r="BD118" s="185"/>
      <c r="BE118" s="131"/>
      <c r="BF118" s="185"/>
      <c r="BG118" s="131"/>
      <c r="BH118" s="185"/>
      <c r="BI118" s="131"/>
      <c r="BJ118" s="185"/>
      <c r="BK118" s="131"/>
      <c r="BL118" s="185"/>
      <c r="BM118" s="131"/>
      <c r="BN118" s="185"/>
      <c r="BO118" s="131"/>
      <c r="BP118" s="134"/>
      <c r="BQ118" s="131"/>
      <c r="BR118" s="134"/>
      <c r="BS118" s="133"/>
      <c r="BT118" s="145"/>
      <c r="BU118" s="134"/>
      <c r="BV118" s="131"/>
      <c r="BW118" s="134"/>
      <c r="BX118" s="131"/>
      <c r="BY118" s="134"/>
      <c r="BZ118" s="131"/>
      <c r="CA118" s="134"/>
      <c r="CB118" s="133"/>
      <c r="CC118" s="131"/>
      <c r="CD118" s="134"/>
      <c r="CE118" s="133"/>
      <c r="CF118" s="131"/>
      <c r="CG118" s="134"/>
      <c r="CH118" s="133"/>
      <c r="CI118" s="131"/>
      <c r="CK118" s="133"/>
      <c r="CL118" s="131"/>
      <c r="CN118" s="133"/>
      <c r="CO118" s="131"/>
      <c r="CQ118" s="133"/>
      <c r="CR118" s="131"/>
      <c r="CT118" s="133"/>
      <c r="CU118" s="131"/>
      <c r="CV118" s="134"/>
      <c r="CW118" s="133"/>
      <c r="CX118" s="131"/>
      <c r="CY118" s="134"/>
      <c r="CZ118" s="133"/>
      <c r="DA118" s="140"/>
      <c r="DB118" s="141"/>
      <c r="DC118" s="142"/>
      <c r="DD118" s="140"/>
      <c r="DE118" s="141"/>
      <c r="DF118" s="142"/>
      <c r="DG118" s="140"/>
      <c r="DH118" s="141"/>
      <c r="DI118" s="142"/>
      <c r="DJ118" s="140"/>
      <c r="DK118" s="141"/>
      <c r="DL118" s="142"/>
      <c r="DM118" s="140"/>
      <c r="DN118" s="141"/>
      <c r="DO118" s="142"/>
      <c r="DP118" s="140"/>
      <c r="DQ118" s="141"/>
      <c r="DR118" s="142"/>
      <c r="DS118" s="140"/>
      <c r="DT118" s="141"/>
      <c r="DU118" s="142"/>
      <c r="DV118" s="140"/>
      <c r="DW118" s="141"/>
      <c r="DX118" s="142"/>
      <c r="DY118" s="140"/>
      <c r="DZ118" s="141"/>
      <c r="EA118" s="142"/>
      <c r="EB118" s="140"/>
      <c r="EC118" s="141"/>
      <c r="ED118" s="142"/>
      <c r="EE118" s="140">
        <f>+'1882 Hacienda'!B9</f>
        <v>51709</v>
      </c>
      <c r="EF118" s="141">
        <f>+'1882 Hacienda'!C9</f>
        <v>20</v>
      </c>
      <c r="EG118" s="142"/>
      <c r="EH118" s="140">
        <f>+'1883 Hacienda'!B7</f>
        <v>46982</v>
      </c>
      <c r="EI118" s="141"/>
      <c r="EJ118" s="142"/>
      <c r="EK118" s="140"/>
      <c r="EL118" s="141"/>
      <c r="EM118" s="142"/>
      <c r="EN118" s="140">
        <f>+'1885 Hacienda'!B81</f>
        <v>38723</v>
      </c>
      <c r="EO118" s="141"/>
      <c r="EP118" s="142"/>
      <c r="EQ118" s="140">
        <f>+'1888 Hacienda'!B129</f>
        <v>21523</v>
      </c>
      <c r="ER118" s="141">
        <f>+'1888 Hacienda'!C129</f>
        <v>30</v>
      </c>
      <c r="ES118" s="142"/>
      <c r="ET118" s="140">
        <f>+'1888 Hacienda'!B130</f>
        <v>27045</v>
      </c>
      <c r="EU118" s="141">
        <f>+'1888 Hacienda'!C130</f>
        <v>35</v>
      </c>
      <c r="EV118" s="142"/>
      <c r="EW118" s="140"/>
      <c r="EX118" s="141"/>
      <c r="EY118" s="142"/>
      <c r="EZ118" s="140"/>
      <c r="FA118" s="141"/>
      <c r="FB118" s="142"/>
      <c r="FC118" s="140"/>
      <c r="FD118" s="141"/>
      <c r="FE118" s="142"/>
      <c r="FF118" s="140"/>
      <c r="FG118" s="141"/>
      <c r="FH118" s="142"/>
      <c r="FI118" s="140"/>
      <c r="FJ118" s="141"/>
      <c r="FK118" s="142"/>
      <c r="FL118" s="140"/>
      <c r="FM118" s="141"/>
      <c r="FN118" s="142"/>
      <c r="FO118" s="140"/>
      <c r="FP118" s="141"/>
      <c r="FQ118" s="142"/>
      <c r="FR118" s="140"/>
      <c r="FS118" s="141"/>
      <c r="FT118" s="142"/>
      <c r="FU118" s="140"/>
      <c r="FV118" s="141"/>
      <c r="FW118" s="142"/>
      <c r="FX118" s="140"/>
      <c r="FY118" s="141"/>
      <c r="FZ118" s="142"/>
      <c r="GA118" s="140"/>
      <c r="GB118" s="141"/>
      <c r="GC118" s="142"/>
      <c r="GD118" s="140"/>
      <c r="GE118" s="141"/>
      <c r="GF118" s="142"/>
      <c r="GG118" s="140"/>
      <c r="GH118" s="141"/>
      <c r="GI118" s="142"/>
      <c r="GJ118" s="140"/>
      <c r="GK118" s="141"/>
      <c r="GL118" s="142"/>
      <c r="GM118" s="140"/>
      <c r="GN118" s="141"/>
      <c r="GO118" s="142"/>
      <c r="GP118" s="140"/>
      <c r="GQ118" s="141"/>
      <c r="GR118" s="142"/>
      <c r="GS118" s="140"/>
      <c r="GT118" s="141"/>
      <c r="GU118" s="142"/>
      <c r="GV118" s="140"/>
      <c r="GW118" s="141"/>
      <c r="GX118" s="142"/>
      <c r="GY118" s="164"/>
      <c r="GZ118" s="134"/>
      <c r="HA118" s="185"/>
      <c r="HB118" s="164"/>
      <c r="HC118" s="185"/>
      <c r="HD118" s="164"/>
      <c r="HE118" s="185"/>
      <c r="HF118" s="164"/>
      <c r="HG118" s="185"/>
      <c r="HH118" s="164"/>
      <c r="HI118" s="185"/>
      <c r="HJ118" s="164"/>
      <c r="HK118" s="185"/>
      <c r="HL118" s="164"/>
      <c r="HM118" s="185"/>
      <c r="HN118" s="164"/>
      <c r="HO118" s="185"/>
      <c r="HP118" s="164"/>
      <c r="HQ118" s="185"/>
      <c r="HR118" s="164"/>
      <c r="HS118" s="185"/>
      <c r="HT118" s="164"/>
      <c r="HU118" s="185"/>
    </row>
    <row r="119" spans="1:229" x14ac:dyDescent="0.2">
      <c r="A119" s="1756" t="str">
        <f>+'1882 Hacienda'!A18</f>
        <v>Pasajes de rios navegables</v>
      </c>
      <c r="B119" s="131"/>
      <c r="C119" s="134"/>
      <c r="D119" s="133"/>
      <c r="E119" s="131"/>
      <c r="F119" s="134"/>
      <c r="G119" s="133"/>
      <c r="H119" s="131"/>
      <c r="I119" s="134"/>
      <c r="J119" s="133"/>
      <c r="K119" s="131"/>
      <c r="L119" s="134"/>
      <c r="M119" s="133"/>
      <c r="N119" s="131"/>
      <c r="O119" s="134"/>
      <c r="P119" s="133"/>
      <c r="Q119" s="131"/>
      <c r="R119" s="134"/>
      <c r="S119" s="133"/>
      <c r="T119" s="131"/>
      <c r="U119" s="134"/>
      <c r="V119" s="133"/>
      <c r="W119" s="131"/>
      <c r="X119" s="134"/>
      <c r="Y119" s="133"/>
      <c r="Z119" s="131"/>
      <c r="AA119" s="134"/>
      <c r="AB119" s="133"/>
      <c r="AC119" s="131"/>
      <c r="AD119" s="134"/>
      <c r="AE119" s="133"/>
      <c r="AF119" s="131"/>
      <c r="AG119" s="134"/>
      <c r="AH119" s="133"/>
      <c r="AI119" s="145"/>
      <c r="AJ119" s="134"/>
      <c r="AK119" s="133"/>
      <c r="AL119" s="131"/>
      <c r="AM119" s="134"/>
      <c r="AN119" s="133"/>
      <c r="AO119" s="131"/>
      <c r="AP119" s="134"/>
      <c r="AQ119" s="133"/>
      <c r="AR119" s="131"/>
      <c r="AS119" s="134"/>
      <c r="AT119" s="180"/>
      <c r="AU119" s="131"/>
      <c r="AV119" s="185"/>
      <c r="AW119" s="131"/>
      <c r="AX119" s="185"/>
      <c r="AY119" s="131"/>
      <c r="AZ119" s="185"/>
      <c r="BA119" s="131"/>
      <c r="BB119" s="185"/>
      <c r="BC119" s="131"/>
      <c r="BD119" s="185"/>
      <c r="BE119" s="131"/>
      <c r="BF119" s="185"/>
      <c r="BG119" s="131"/>
      <c r="BH119" s="185"/>
      <c r="BI119" s="131"/>
      <c r="BJ119" s="185"/>
      <c r="BK119" s="131"/>
      <c r="BL119" s="185"/>
      <c r="BM119" s="131"/>
      <c r="BN119" s="185"/>
      <c r="BO119" s="131"/>
      <c r="BP119" s="134"/>
      <c r="BQ119" s="131"/>
      <c r="BR119" s="134"/>
      <c r="BS119" s="133"/>
      <c r="BT119" s="145"/>
      <c r="BU119" s="134"/>
      <c r="BV119" s="131"/>
      <c r="BW119" s="134"/>
      <c r="BX119" s="131"/>
      <c r="BY119" s="134"/>
      <c r="BZ119" s="131"/>
      <c r="CA119" s="134"/>
      <c r="CB119" s="133"/>
      <c r="CC119" s="131"/>
      <c r="CD119" s="134"/>
      <c r="CE119" s="133"/>
      <c r="CF119" s="131"/>
      <c r="CG119" s="134"/>
      <c r="CH119" s="133"/>
      <c r="CI119" s="131"/>
      <c r="CK119" s="133"/>
      <c r="CL119" s="131"/>
      <c r="CN119" s="133"/>
      <c r="CO119" s="131"/>
      <c r="CQ119" s="133"/>
      <c r="CR119" s="131"/>
      <c r="CT119" s="133"/>
      <c r="CU119" s="131"/>
      <c r="CV119" s="134"/>
      <c r="CW119" s="133"/>
      <c r="CX119" s="131"/>
      <c r="CY119" s="134"/>
      <c r="CZ119" s="133"/>
      <c r="DA119" s="140"/>
      <c r="DB119" s="141"/>
      <c r="DC119" s="142"/>
      <c r="DD119" s="140"/>
      <c r="DE119" s="141"/>
      <c r="DF119" s="142"/>
      <c r="DG119" s="140"/>
      <c r="DH119" s="141"/>
      <c r="DI119" s="142"/>
      <c r="DJ119" s="140"/>
      <c r="DK119" s="141"/>
      <c r="DL119" s="142"/>
      <c r="DM119" s="140"/>
      <c r="DN119" s="141"/>
      <c r="DO119" s="142"/>
      <c r="DP119" s="140"/>
      <c r="DQ119" s="141"/>
      <c r="DR119" s="142"/>
      <c r="DS119" s="140"/>
      <c r="DT119" s="141"/>
      <c r="DU119" s="142"/>
      <c r="DV119" s="140"/>
      <c r="DW119" s="141"/>
      <c r="DX119" s="142"/>
      <c r="DY119" s="140"/>
      <c r="DZ119" s="141"/>
      <c r="EA119" s="142"/>
      <c r="EB119" s="140"/>
      <c r="EC119" s="141"/>
      <c r="ED119" s="142"/>
      <c r="EE119" s="140">
        <f>+'1882 Hacienda'!B18</f>
        <v>5119</v>
      </c>
      <c r="EF119" s="141">
        <f>+'1882 Hacienda'!C18</f>
        <v>5</v>
      </c>
      <c r="EG119" s="142">
        <f>+'1882 Hacienda'!D18</f>
        <v>0</v>
      </c>
      <c r="EH119" s="140"/>
      <c r="EI119" s="141"/>
      <c r="EJ119" s="142"/>
      <c r="EK119" s="140"/>
      <c r="EL119" s="141"/>
      <c r="EM119" s="142"/>
      <c r="EN119" s="140"/>
      <c r="EO119" s="141"/>
      <c r="EP119" s="142"/>
      <c r="EQ119" s="140"/>
      <c r="ER119" s="141"/>
      <c r="ES119" s="142"/>
      <c r="ET119" s="140"/>
      <c r="EU119" s="141"/>
      <c r="EV119" s="142"/>
      <c r="EW119" s="140"/>
      <c r="EX119" s="141"/>
      <c r="EY119" s="142"/>
      <c r="EZ119" s="140"/>
      <c r="FA119" s="141"/>
      <c r="FB119" s="142"/>
      <c r="FC119" s="140"/>
      <c r="FD119" s="141"/>
      <c r="FE119" s="142"/>
      <c r="FF119" s="140"/>
      <c r="FG119" s="141"/>
      <c r="FH119" s="142"/>
      <c r="FI119" s="140"/>
      <c r="FJ119" s="141"/>
      <c r="FK119" s="142"/>
      <c r="FL119" s="140"/>
      <c r="FM119" s="141"/>
      <c r="FN119" s="142"/>
      <c r="FO119" s="140"/>
      <c r="FP119" s="141"/>
      <c r="FQ119" s="142"/>
      <c r="FR119" s="140"/>
      <c r="FS119" s="141"/>
      <c r="FT119" s="142"/>
      <c r="FU119" s="140"/>
      <c r="FV119" s="141"/>
      <c r="FW119" s="142"/>
      <c r="FX119" s="140"/>
      <c r="FY119" s="141"/>
      <c r="FZ119" s="142"/>
      <c r="GA119" s="140"/>
      <c r="GB119" s="141"/>
      <c r="GC119" s="142"/>
      <c r="GD119" s="140"/>
      <c r="GE119" s="141"/>
      <c r="GF119" s="142"/>
      <c r="GG119" s="140"/>
      <c r="GH119" s="141"/>
      <c r="GI119" s="142"/>
      <c r="GJ119" s="140"/>
      <c r="GK119" s="141"/>
      <c r="GL119" s="142"/>
      <c r="GM119" s="140"/>
      <c r="GN119" s="141"/>
      <c r="GO119" s="142"/>
      <c r="GP119" s="140"/>
      <c r="GQ119" s="141"/>
      <c r="GR119" s="142"/>
      <c r="GS119" s="140"/>
      <c r="GT119" s="141"/>
      <c r="GU119" s="142"/>
      <c r="GV119" s="140"/>
      <c r="GW119" s="141"/>
      <c r="GX119" s="142"/>
      <c r="GY119" s="164"/>
      <c r="GZ119" s="134"/>
      <c r="HA119" s="185"/>
      <c r="HB119" s="164"/>
      <c r="HC119" s="185"/>
      <c r="HD119" s="164"/>
      <c r="HE119" s="185"/>
      <c r="HF119" s="164"/>
      <c r="HG119" s="185"/>
      <c r="HH119" s="164"/>
      <c r="HI119" s="185"/>
      <c r="HJ119" s="164"/>
      <c r="HK119" s="185"/>
      <c r="HL119" s="164"/>
      <c r="HM119" s="185"/>
      <c r="HN119" s="164"/>
      <c r="HO119" s="185"/>
      <c r="HP119" s="164"/>
      <c r="HQ119" s="185"/>
      <c r="HR119" s="164"/>
      <c r="HS119" s="185"/>
      <c r="HT119" s="164"/>
      <c r="HU119" s="185"/>
    </row>
    <row r="120" spans="1:229" x14ac:dyDescent="0.2">
      <c r="A120" s="1756" t="s">
        <v>6065</v>
      </c>
      <c r="B120" s="131"/>
      <c r="C120" s="134"/>
      <c r="D120" s="133"/>
      <c r="E120" s="131"/>
      <c r="F120" s="134"/>
      <c r="G120" s="133"/>
      <c r="H120" s="131"/>
      <c r="I120" s="134"/>
      <c r="J120" s="133"/>
      <c r="K120" s="131"/>
      <c r="L120" s="134"/>
      <c r="M120" s="133"/>
      <c r="N120" s="131"/>
      <c r="O120" s="134"/>
      <c r="P120" s="133"/>
      <c r="Q120" s="131"/>
      <c r="R120" s="134"/>
      <c r="S120" s="133"/>
      <c r="T120" s="131"/>
      <c r="U120" s="134"/>
      <c r="V120" s="133"/>
      <c r="W120" s="131"/>
      <c r="X120" s="134"/>
      <c r="Y120" s="133"/>
      <c r="Z120" s="131"/>
      <c r="AA120" s="134"/>
      <c r="AB120" s="133"/>
      <c r="AC120" s="131"/>
      <c r="AD120" s="134"/>
      <c r="AE120" s="133"/>
      <c r="AF120" s="131"/>
      <c r="AG120" s="134"/>
      <c r="AH120" s="133"/>
      <c r="AI120" s="145"/>
      <c r="AJ120" s="134"/>
      <c r="AK120" s="133"/>
      <c r="AL120" s="131"/>
      <c r="AM120" s="134"/>
      <c r="AN120" s="133"/>
      <c r="AO120" s="131"/>
      <c r="AP120" s="134"/>
      <c r="AQ120" s="133"/>
      <c r="AR120" s="131"/>
      <c r="AS120" s="134"/>
      <c r="AT120" s="180"/>
      <c r="AU120" s="131"/>
      <c r="AV120" s="185"/>
      <c r="AW120" s="131"/>
      <c r="AX120" s="185"/>
      <c r="AY120" s="131"/>
      <c r="AZ120" s="185"/>
      <c r="BA120" s="131"/>
      <c r="BB120" s="185"/>
      <c r="BC120" s="131"/>
      <c r="BD120" s="185"/>
      <c r="BE120" s="131"/>
      <c r="BF120" s="185"/>
      <c r="BG120" s="131"/>
      <c r="BH120" s="185"/>
      <c r="BI120" s="131"/>
      <c r="BJ120" s="185"/>
      <c r="BK120" s="131"/>
      <c r="BL120" s="185"/>
      <c r="BM120" s="131"/>
      <c r="BN120" s="185"/>
      <c r="BO120" s="131"/>
      <c r="BP120" s="134"/>
      <c r="BQ120" s="131"/>
      <c r="BR120" s="134"/>
      <c r="BS120" s="133"/>
      <c r="BT120" s="145"/>
      <c r="BU120" s="134"/>
      <c r="BV120" s="131"/>
      <c r="BW120" s="134"/>
      <c r="BX120" s="131"/>
      <c r="BY120" s="134"/>
      <c r="BZ120" s="131"/>
      <c r="CA120" s="134"/>
      <c r="CB120" s="133"/>
      <c r="CC120" s="131"/>
      <c r="CD120" s="134"/>
      <c r="CE120" s="133"/>
      <c r="CF120" s="131"/>
      <c r="CG120" s="134"/>
      <c r="CH120" s="133"/>
      <c r="CI120" s="131"/>
      <c r="CK120" s="133"/>
      <c r="CL120" s="131"/>
      <c r="CN120" s="133"/>
      <c r="CO120" s="131"/>
      <c r="CQ120" s="133"/>
      <c r="CR120" s="131"/>
      <c r="CT120" s="133"/>
      <c r="CU120" s="131"/>
      <c r="CV120" s="134"/>
      <c r="CW120" s="133"/>
      <c r="CX120" s="131"/>
      <c r="CY120" s="134"/>
      <c r="CZ120" s="133"/>
      <c r="DA120" s="140"/>
      <c r="DB120" s="141"/>
      <c r="DC120" s="142"/>
      <c r="DD120" s="140"/>
      <c r="DE120" s="141"/>
      <c r="DF120" s="142"/>
      <c r="DG120" s="140"/>
      <c r="DH120" s="141"/>
      <c r="DI120" s="142"/>
      <c r="DJ120" s="140"/>
      <c r="DK120" s="141"/>
      <c r="DL120" s="142"/>
      <c r="DM120" s="140"/>
      <c r="DN120" s="141"/>
      <c r="DO120" s="142"/>
      <c r="DP120" s="140"/>
      <c r="DQ120" s="141"/>
      <c r="DR120" s="142"/>
      <c r="DS120" s="140"/>
      <c r="DT120" s="141"/>
      <c r="DU120" s="142"/>
      <c r="DV120" s="140"/>
      <c r="DW120" s="141"/>
      <c r="DX120" s="142"/>
      <c r="DY120" s="140"/>
      <c r="DZ120" s="141"/>
      <c r="EA120" s="142"/>
      <c r="EB120" s="140"/>
      <c r="EC120" s="141"/>
      <c r="ED120" s="142"/>
      <c r="EE120" s="140"/>
      <c r="EF120" s="141"/>
      <c r="EG120" s="142"/>
      <c r="EH120" s="140"/>
      <c r="EI120" s="141"/>
      <c r="EJ120" s="142"/>
      <c r="EK120" s="140"/>
      <c r="EL120" s="141"/>
      <c r="EM120" s="142"/>
      <c r="EN120" s="140"/>
      <c r="EO120" s="141"/>
      <c r="EP120" s="142"/>
      <c r="EQ120" s="140"/>
      <c r="ER120" s="141"/>
      <c r="ES120" s="142"/>
      <c r="ET120" s="140"/>
      <c r="EU120" s="141"/>
      <c r="EV120" s="142"/>
      <c r="EW120" s="140"/>
      <c r="EX120" s="141"/>
      <c r="EY120" s="142"/>
      <c r="EZ120" s="140"/>
      <c r="FA120" s="141"/>
      <c r="FB120" s="142"/>
      <c r="FC120" s="140">
        <f>+'1890 Hacienda'!B217</f>
        <v>130000</v>
      </c>
      <c r="FD120" s="141"/>
      <c r="FE120" s="142"/>
      <c r="FF120" s="140"/>
      <c r="FG120" s="141"/>
      <c r="FH120" s="142"/>
      <c r="FI120" s="140"/>
      <c r="FJ120" s="141"/>
      <c r="FK120" s="142"/>
      <c r="FL120" s="140"/>
      <c r="FM120" s="141"/>
      <c r="FN120" s="142"/>
      <c r="FO120" s="140"/>
      <c r="FP120" s="141"/>
      <c r="FQ120" s="142"/>
      <c r="FR120" s="140"/>
      <c r="FS120" s="141"/>
      <c r="FT120" s="142"/>
      <c r="FU120" s="140"/>
      <c r="FV120" s="141"/>
      <c r="FW120" s="142"/>
      <c r="FX120" s="140"/>
      <c r="FY120" s="141"/>
      <c r="FZ120" s="142"/>
      <c r="GA120" s="140"/>
      <c r="GB120" s="141"/>
      <c r="GC120" s="142"/>
      <c r="GD120" s="140"/>
      <c r="GE120" s="141"/>
      <c r="GF120" s="142"/>
      <c r="GG120" s="140"/>
      <c r="GH120" s="141"/>
      <c r="GI120" s="142"/>
      <c r="GJ120" s="140"/>
      <c r="GK120" s="141"/>
      <c r="GL120" s="142"/>
      <c r="GM120" s="140"/>
      <c r="GN120" s="141"/>
      <c r="GO120" s="142"/>
      <c r="GP120" s="140"/>
      <c r="GQ120" s="141"/>
      <c r="GR120" s="142"/>
      <c r="GS120" s="140"/>
      <c r="GT120" s="141"/>
      <c r="GU120" s="142"/>
      <c r="GV120" s="140"/>
      <c r="GW120" s="141"/>
      <c r="GX120" s="142"/>
      <c r="GY120" s="164"/>
      <c r="GZ120" s="134"/>
      <c r="HA120" s="185"/>
      <c r="HB120" s="164"/>
      <c r="HC120" s="185"/>
      <c r="HD120" s="164"/>
      <c r="HE120" s="185"/>
      <c r="HF120" s="164"/>
      <c r="HG120" s="185"/>
      <c r="HH120" s="164"/>
      <c r="HI120" s="185"/>
      <c r="HJ120" s="164"/>
      <c r="HK120" s="185"/>
      <c r="HL120" s="164"/>
      <c r="HM120" s="185"/>
      <c r="HN120" s="164"/>
      <c r="HO120" s="185"/>
      <c r="HP120" s="164"/>
      <c r="HQ120" s="185"/>
      <c r="HR120" s="164"/>
      <c r="HS120" s="185"/>
      <c r="HT120" s="164"/>
      <c r="HU120" s="185"/>
    </row>
    <row r="121" spans="1:229" x14ac:dyDescent="0.2">
      <c r="A121" s="1756" t="s">
        <v>6066</v>
      </c>
      <c r="B121" s="131"/>
      <c r="C121" s="134"/>
      <c r="D121" s="133"/>
      <c r="E121" s="131"/>
      <c r="F121" s="134"/>
      <c r="G121" s="133"/>
      <c r="H121" s="131"/>
      <c r="I121" s="134"/>
      <c r="J121" s="133"/>
      <c r="K121" s="131"/>
      <c r="L121" s="134"/>
      <c r="M121" s="133"/>
      <c r="N121" s="131"/>
      <c r="O121" s="134"/>
      <c r="P121" s="133"/>
      <c r="Q121" s="131"/>
      <c r="R121" s="134"/>
      <c r="S121" s="133"/>
      <c r="T121" s="131"/>
      <c r="U121" s="134"/>
      <c r="V121" s="133"/>
      <c r="W121" s="131"/>
      <c r="X121" s="134"/>
      <c r="Y121" s="133"/>
      <c r="Z121" s="131"/>
      <c r="AA121" s="134"/>
      <c r="AB121" s="133"/>
      <c r="AC121" s="131"/>
      <c r="AD121" s="134"/>
      <c r="AE121" s="133"/>
      <c r="AF121" s="131"/>
      <c r="AG121" s="134"/>
      <c r="AH121" s="133"/>
      <c r="AI121" s="145"/>
      <c r="AJ121" s="134"/>
      <c r="AK121" s="133"/>
      <c r="AL121" s="131"/>
      <c r="AM121" s="134"/>
      <c r="AN121" s="133"/>
      <c r="AO121" s="131"/>
      <c r="AP121" s="134"/>
      <c r="AQ121" s="133"/>
      <c r="AR121" s="131"/>
      <c r="AS121" s="134"/>
      <c r="AT121" s="180"/>
      <c r="AU121" s="131"/>
      <c r="AV121" s="185"/>
      <c r="AW121" s="131"/>
      <c r="AX121" s="185"/>
      <c r="AY121" s="131"/>
      <c r="AZ121" s="185"/>
      <c r="BA121" s="131"/>
      <c r="BB121" s="185"/>
      <c r="BC121" s="131"/>
      <c r="BD121" s="185"/>
      <c r="BE121" s="131"/>
      <c r="BF121" s="185"/>
      <c r="BG121" s="131"/>
      <c r="BH121" s="185"/>
      <c r="BI121" s="131"/>
      <c r="BJ121" s="185"/>
      <c r="BK121" s="131"/>
      <c r="BL121" s="185"/>
      <c r="BM121" s="131"/>
      <c r="BN121" s="185"/>
      <c r="BO121" s="131"/>
      <c r="BP121" s="134"/>
      <c r="BQ121" s="131"/>
      <c r="BR121" s="134"/>
      <c r="BS121" s="133"/>
      <c r="BT121" s="145"/>
      <c r="BU121" s="134"/>
      <c r="BV121" s="131"/>
      <c r="BW121" s="134"/>
      <c r="BX121" s="131"/>
      <c r="BY121" s="134"/>
      <c r="BZ121" s="131"/>
      <c r="CA121" s="134"/>
      <c r="CB121" s="133"/>
      <c r="CC121" s="131"/>
      <c r="CD121" s="134"/>
      <c r="CE121" s="133"/>
      <c r="CF121" s="131"/>
      <c r="CG121" s="134"/>
      <c r="CH121" s="133"/>
      <c r="CI121" s="131"/>
      <c r="CK121" s="133"/>
      <c r="CL121" s="131"/>
      <c r="CN121" s="133"/>
      <c r="CO121" s="131"/>
      <c r="CQ121" s="133"/>
      <c r="CR121" s="131"/>
      <c r="CT121" s="133"/>
      <c r="CU121" s="131"/>
      <c r="CV121" s="134"/>
      <c r="CW121" s="133"/>
      <c r="CX121" s="131"/>
      <c r="CY121" s="134"/>
      <c r="CZ121" s="133"/>
      <c r="DA121" s="140"/>
      <c r="DB121" s="141"/>
      <c r="DC121" s="142"/>
      <c r="DD121" s="140"/>
      <c r="DE121" s="141"/>
      <c r="DF121" s="142"/>
      <c r="DG121" s="140"/>
      <c r="DH121" s="141"/>
      <c r="DI121" s="142"/>
      <c r="DJ121" s="140"/>
      <c r="DK121" s="141"/>
      <c r="DL121" s="142"/>
      <c r="DM121" s="140"/>
      <c r="DN121" s="141"/>
      <c r="DO121" s="142"/>
      <c r="DP121" s="140"/>
      <c r="DQ121" s="141"/>
      <c r="DR121" s="142"/>
      <c r="DS121" s="140"/>
      <c r="DT121" s="141"/>
      <c r="DU121" s="142"/>
      <c r="DV121" s="140"/>
      <c r="DW121" s="141"/>
      <c r="DX121" s="142"/>
      <c r="DY121" s="140"/>
      <c r="DZ121" s="141"/>
      <c r="EA121" s="142"/>
      <c r="EB121" s="140"/>
      <c r="EC121" s="141"/>
      <c r="ED121" s="142"/>
      <c r="EE121" s="140"/>
      <c r="EF121" s="141"/>
      <c r="EG121" s="142"/>
      <c r="EH121" s="140"/>
      <c r="EI121" s="141"/>
      <c r="EJ121" s="142"/>
      <c r="EK121" s="140"/>
      <c r="EL121" s="141"/>
      <c r="EM121" s="142"/>
      <c r="EN121" s="140"/>
      <c r="EO121" s="141"/>
      <c r="EP121" s="142"/>
      <c r="EQ121" s="140"/>
      <c r="ER121" s="141"/>
      <c r="ES121" s="142"/>
      <c r="ET121" s="140"/>
      <c r="EU121" s="141"/>
      <c r="EV121" s="142"/>
      <c r="EW121" s="140"/>
      <c r="EX121" s="141"/>
      <c r="EY121" s="142"/>
      <c r="EZ121" s="140"/>
      <c r="FA121" s="141"/>
      <c r="FB121" s="142"/>
      <c r="FC121" s="140">
        <f>+'1890 Hacienda'!B223</f>
        <v>66500</v>
      </c>
      <c r="FD121" s="141"/>
      <c r="FE121" s="142"/>
      <c r="FF121" s="140">
        <f>+'1890 Hacienda'!E223</f>
        <v>33250</v>
      </c>
      <c r="FG121" s="141"/>
      <c r="FH121" s="142"/>
      <c r="FI121" s="140"/>
      <c r="FJ121" s="141"/>
      <c r="FK121" s="142"/>
      <c r="FL121" s="140"/>
      <c r="FM121" s="141"/>
      <c r="FN121" s="142"/>
      <c r="FO121" s="140"/>
      <c r="FP121" s="141"/>
      <c r="FQ121" s="142"/>
      <c r="FR121" s="140"/>
      <c r="FS121" s="141"/>
      <c r="FT121" s="142"/>
      <c r="FU121" s="140"/>
      <c r="FV121" s="141"/>
      <c r="FW121" s="142"/>
      <c r="FX121" s="140"/>
      <c r="FY121" s="141"/>
      <c r="FZ121" s="142"/>
      <c r="GA121" s="140"/>
      <c r="GB121" s="141"/>
      <c r="GC121" s="142"/>
      <c r="GD121" s="140"/>
      <c r="GE121" s="141"/>
      <c r="GF121" s="142"/>
      <c r="GG121" s="140"/>
      <c r="GH121" s="141"/>
      <c r="GI121" s="142"/>
      <c r="GJ121" s="140"/>
      <c r="GK121" s="141"/>
      <c r="GL121" s="142"/>
      <c r="GM121" s="140"/>
      <c r="GN121" s="141"/>
      <c r="GO121" s="142"/>
      <c r="GP121" s="140"/>
      <c r="GQ121" s="141"/>
      <c r="GR121" s="142"/>
      <c r="GS121" s="140"/>
      <c r="GT121" s="141"/>
      <c r="GU121" s="142"/>
      <c r="GV121" s="140"/>
      <c r="GW121" s="141"/>
      <c r="GX121" s="142"/>
      <c r="GY121" s="164"/>
      <c r="GZ121" s="134"/>
      <c r="HA121" s="185"/>
      <c r="HB121" s="164"/>
      <c r="HC121" s="185"/>
      <c r="HD121" s="164"/>
      <c r="HE121" s="185"/>
      <c r="HF121" s="164"/>
      <c r="HG121" s="185"/>
      <c r="HH121" s="164"/>
      <c r="HI121" s="185"/>
      <c r="HJ121" s="164"/>
      <c r="HK121" s="185"/>
      <c r="HL121" s="164"/>
      <c r="HM121" s="185"/>
      <c r="HN121" s="164"/>
      <c r="HO121" s="185"/>
      <c r="HP121" s="164"/>
      <c r="HQ121" s="185"/>
      <c r="HR121" s="164"/>
      <c r="HS121" s="185"/>
      <c r="HT121" s="164"/>
      <c r="HU121" s="185"/>
    </row>
    <row r="122" spans="1:229" x14ac:dyDescent="0.2">
      <c r="A122" s="1756" t="s">
        <v>5054</v>
      </c>
      <c r="B122" s="131"/>
      <c r="C122" s="134"/>
      <c r="D122" s="133"/>
      <c r="E122" s="131"/>
      <c r="F122" s="134"/>
      <c r="G122" s="133"/>
      <c r="H122" s="131"/>
      <c r="I122" s="134"/>
      <c r="J122" s="133"/>
      <c r="K122" s="131"/>
      <c r="L122" s="134"/>
      <c r="M122" s="133"/>
      <c r="N122" s="131"/>
      <c r="O122" s="134"/>
      <c r="P122" s="133"/>
      <c r="Q122" s="131"/>
      <c r="R122" s="134"/>
      <c r="S122" s="133"/>
      <c r="T122" s="131"/>
      <c r="U122" s="134"/>
      <c r="V122" s="133"/>
      <c r="W122" s="131"/>
      <c r="X122" s="134"/>
      <c r="Y122" s="133"/>
      <c r="Z122" s="131"/>
      <c r="AA122" s="134"/>
      <c r="AB122" s="133"/>
      <c r="AC122" s="131"/>
      <c r="AD122" s="134"/>
      <c r="AE122" s="133"/>
      <c r="AF122" s="131"/>
      <c r="AG122" s="134"/>
      <c r="AH122" s="133"/>
      <c r="AI122" s="145"/>
      <c r="AJ122" s="134"/>
      <c r="AK122" s="133"/>
      <c r="AL122" s="131"/>
      <c r="AM122" s="134"/>
      <c r="AN122" s="133"/>
      <c r="AO122" s="131"/>
      <c r="AP122" s="134"/>
      <c r="AQ122" s="133"/>
      <c r="AR122" s="131"/>
      <c r="AS122" s="134"/>
      <c r="AT122" s="180"/>
      <c r="AU122" s="131"/>
      <c r="AV122" s="185"/>
      <c r="AW122" s="131"/>
      <c r="AX122" s="185"/>
      <c r="AY122" s="131"/>
      <c r="AZ122" s="185"/>
      <c r="BA122" s="131"/>
      <c r="BB122" s="185"/>
      <c r="BC122" s="131"/>
      <c r="BD122" s="185"/>
      <c r="BE122" s="131"/>
      <c r="BF122" s="185"/>
      <c r="BG122" s="131"/>
      <c r="BH122" s="185"/>
      <c r="BI122" s="131"/>
      <c r="BJ122" s="185"/>
      <c r="BK122" s="131"/>
      <c r="BL122" s="185"/>
      <c r="BM122" s="131"/>
      <c r="BN122" s="185"/>
      <c r="BO122" s="131"/>
      <c r="BP122" s="134"/>
      <c r="BQ122" s="131"/>
      <c r="BR122" s="134"/>
      <c r="BS122" s="133"/>
      <c r="BT122" s="145"/>
      <c r="BU122" s="134"/>
      <c r="BV122" s="131"/>
      <c r="BW122" s="134"/>
      <c r="BX122" s="131"/>
      <c r="BY122" s="134"/>
      <c r="BZ122" s="131"/>
      <c r="CA122" s="134"/>
      <c r="CB122" s="133"/>
      <c r="CC122" s="131"/>
      <c r="CD122" s="134"/>
      <c r="CE122" s="133"/>
      <c r="CF122" s="131"/>
      <c r="CG122" s="134"/>
      <c r="CH122" s="133"/>
      <c r="CI122" s="131"/>
      <c r="CK122" s="133"/>
      <c r="CL122" s="131"/>
      <c r="CN122" s="133"/>
      <c r="CO122" s="131"/>
      <c r="CQ122" s="133"/>
      <c r="CR122" s="131"/>
      <c r="CT122" s="133"/>
      <c r="CU122" s="131"/>
      <c r="CV122" s="134"/>
      <c r="CW122" s="133"/>
      <c r="CX122" s="131"/>
      <c r="CY122" s="134"/>
      <c r="CZ122" s="133"/>
      <c r="DA122" s="140"/>
      <c r="DB122" s="141"/>
      <c r="DC122" s="142"/>
      <c r="DD122" s="140"/>
      <c r="DE122" s="141"/>
      <c r="DF122" s="142"/>
      <c r="DG122" s="140"/>
      <c r="DH122" s="141"/>
      <c r="DI122" s="142"/>
      <c r="DJ122" s="140"/>
      <c r="DK122" s="141"/>
      <c r="DL122" s="142"/>
      <c r="DM122" s="140"/>
      <c r="DN122" s="141"/>
      <c r="DO122" s="142"/>
      <c r="DP122" s="140"/>
      <c r="DQ122" s="141"/>
      <c r="DR122" s="142"/>
      <c r="DS122" s="140"/>
      <c r="DT122" s="141"/>
      <c r="DU122" s="142"/>
      <c r="DV122" s="140"/>
      <c r="DW122" s="141"/>
      <c r="DX122" s="142"/>
      <c r="DY122" s="140"/>
      <c r="DZ122" s="141"/>
      <c r="EA122" s="142"/>
      <c r="EB122" s="140"/>
      <c r="EC122" s="141"/>
      <c r="ED122" s="142"/>
      <c r="EE122" s="140"/>
      <c r="EF122" s="141"/>
      <c r="EG122" s="142"/>
      <c r="EH122" s="140"/>
      <c r="EI122" s="141"/>
      <c r="EJ122" s="142"/>
      <c r="EK122" s="140"/>
      <c r="EL122" s="141"/>
      <c r="EM122" s="142"/>
      <c r="EN122" s="140"/>
      <c r="EO122" s="141"/>
      <c r="EP122" s="142"/>
      <c r="EQ122" s="140"/>
      <c r="ER122" s="141"/>
      <c r="ES122" s="142"/>
      <c r="ET122" s="140"/>
      <c r="EU122" s="141"/>
      <c r="EV122" s="142"/>
      <c r="EW122" s="140"/>
      <c r="EX122" s="141"/>
      <c r="EY122" s="142"/>
      <c r="EZ122" s="140"/>
      <c r="FA122" s="141"/>
      <c r="FB122" s="142"/>
      <c r="FC122" s="140"/>
      <c r="FD122" s="141"/>
      <c r="FE122" s="142"/>
      <c r="FF122" s="140">
        <f>+'1890 Hacienda'!E235</f>
        <v>44206</v>
      </c>
      <c r="FG122" s="141">
        <f>+'1890 Hacienda'!F235</f>
        <v>80</v>
      </c>
      <c r="FH122" s="142"/>
      <c r="FI122" s="140"/>
      <c r="FJ122" s="141"/>
      <c r="FK122" s="142"/>
      <c r="FL122" s="140">
        <f>+'1894 Hacienda'!C15</f>
        <v>58064</v>
      </c>
      <c r="FM122" s="141">
        <f>+'1894 Hacienda'!D15</f>
        <v>25</v>
      </c>
      <c r="FN122" s="142"/>
      <c r="FO122" s="140">
        <f>+'1894 Hacienda'!F15</f>
        <v>59783</v>
      </c>
      <c r="FP122" s="141">
        <f>+'1894 Hacienda'!G15</f>
        <v>95</v>
      </c>
      <c r="FQ122" s="142"/>
      <c r="FR122" s="140">
        <f>+'1896 Hacienda'!C16</f>
        <v>62795</v>
      </c>
      <c r="FS122" s="141">
        <f>+'1896 Hacienda'!D16</f>
        <v>10</v>
      </c>
      <c r="FT122" s="142"/>
      <c r="FU122" s="140">
        <f>+'1896 Hacienda'!F16</f>
        <v>60000</v>
      </c>
      <c r="FV122" s="141"/>
      <c r="FW122" s="142"/>
      <c r="FX122" s="140">
        <f>+'1896 Hacienda'!L16</f>
        <v>68140</v>
      </c>
      <c r="FY122" s="141">
        <f>+'1896 Hacienda'!M16</f>
        <v>30</v>
      </c>
      <c r="FZ122" s="142"/>
      <c r="GA122" s="140">
        <f>+'1898 Hacienda'!E15</f>
        <v>58462</v>
      </c>
      <c r="GB122" s="141">
        <f>+'1898 Hacienda'!F15</f>
        <v>25</v>
      </c>
      <c r="GC122" s="142"/>
      <c r="GD122" s="140">
        <f>+'1898 Hacienda'!K15</f>
        <v>74437</v>
      </c>
      <c r="GE122" s="141">
        <f>+'1898 Hacienda'!L15</f>
        <v>5</v>
      </c>
      <c r="GF122" s="142"/>
      <c r="GG122" s="140"/>
      <c r="GH122" s="141"/>
      <c r="GI122" s="142"/>
      <c r="GJ122" s="140"/>
      <c r="GK122" s="141"/>
      <c r="GL122" s="142"/>
      <c r="GM122" s="140"/>
      <c r="GN122" s="141"/>
      <c r="GO122" s="142"/>
      <c r="GP122" s="140"/>
      <c r="GQ122" s="141"/>
      <c r="GR122" s="142"/>
      <c r="GS122" s="140"/>
      <c r="GT122" s="141"/>
      <c r="GU122" s="142"/>
      <c r="GV122" s="140"/>
      <c r="GW122" s="141"/>
      <c r="GX122" s="142"/>
      <c r="GY122" s="164"/>
      <c r="GZ122" s="134"/>
      <c r="HA122" s="185"/>
      <c r="HB122" s="164"/>
      <c r="HC122" s="185"/>
      <c r="HD122" s="164"/>
      <c r="HE122" s="185"/>
      <c r="HF122" s="164"/>
      <c r="HG122" s="185"/>
      <c r="HH122" s="164"/>
      <c r="HI122" s="185"/>
      <c r="HJ122" s="164"/>
      <c r="HK122" s="185"/>
      <c r="HL122" s="164"/>
      <c r="HM122" s="185"/>
      <c r="HN122" s="164"/>
      <c r="HO122" s="185"/>
      <c r="HP122" s="164"/>
      <c r="HQ122" s="185"/>
      <c r="HR122" s="164"/>
      <c r="HS122" s="185"/>
      <c r="HT122" s="164"/>
      <c r="HU122" s="185"/>
    </row>
    <row r="123" spans="1:229" x14ac:dyDescent="0.2">
      <c r="A123" s="1756" t="str">
        <f>+'1894 Hacienda'!B18</f>
        <v>Puente de Girardot</v>
      </c>
      <c r="B123" s="131"/>
      <c r="C123" s="134"/>
      <c r="D123" s="133"/>
      <c r="E123" s="131"/>
      <c r="F123" s="134"/>
      <c r="G123" s="133"/>
      <c r="H123" s="131"/>
      <c r="I123" s="134"/>
      <c r="J123" s="133"/>
      <c r="K123" s="131"/>
      <c r="L123" s="134"/>
      <c r="M123" s="133"/>
      <c r="N123" s="131"/>
      <c r="O123" s="134"/>
      <c r="P123" s="133"/>
      <c r="Q123" s="131"/>
      <c r="R123" s="134"/>
      <c r="S123" s="133"/>
      <c r="T123" s="131"/>
      <c r="U123" s="134"/>
      <c r="V123" s="133"/>
      <c r="W123" s="131"/>
      <c r="X123" s="134"/>
      <c r="Y123" s="133"/>
      <c r="Z123" s="131"/>
      <c r="AA123" s="134"/>
      <c r="AB123" s="133"/>
      <c r="AC123" s="131"/>
      <c r="AD123" s="134"/>
      <c r="AE123" s="133"/>
      <c r="AF123" s="131"/>
      <c r="AG123" s="134"/>
      <c r="AH123" s="133"/>
      <c r="AI123" s="145"/>
      <c r="AJ123" s="134"/>
      <c r="AK123" s="133"/>
      <c r="AL123" s="131"/>
      <c r="AM123" s="134"/>
      <c r="AN123" s="133"/>
      <c r="AO123" s="131"/>
      <c r="AP123" s="134"/>
      <c r="AQ123" s="133"/>
      <c r="AR123" s="131"/>
      <c r="AS123" s="134"/>
      <c r="AT123" s="180"/>
      <c r="AU123" s="131"/>
      <c r="AV123" s="185"/>
      <c r="AW123" s="131"/>
      <c r="AX123" s="185"/>
      <c r="AY123" s="131"/>
      <c r="AZ123" s="185"/>
      <c r="BA123" s="131"/>
      <c r="BB123" s="185"/>
      <c r="BC123" s="131"/>
      <c r="BD123" s="185"/>
      <c r="BE123" s="131"/>
      <c r="BF123" s="185"/>
      <c r="BG123" s="131"/>
      <c r="BH123" s="185"/>
      <c r="BI123" s="131"/>
      <c r="BJ123" s="185"/>
      <c r="BK123" s="131"/>
      <c r="BL123" s="185"/>
      <c r="BM123" s="131"/>
      <c r="BN123" s="185"/>
      <c r="BO123" s="131"/>
      <c r="BP123" s="134"/>
      <c r="BQ123" s="131"/>
      <c r="BR123" s="134"/>
      <c r="BS123" s="133"/>
      <c r="BT123" s="145"/>
      <c r="BU123" s="134"/>
      <c r="BV123" s="131"/>
      <c r="BW123" s="134"/>
      <c r="BX123" s="131"/>
      <c r="BY123" s="134"/>
      <c r="BZ123" s="131"/>
      <c r="CA123" s="134"/>
      <c r="CB123" s="133"/>
      <c r="CC123" s="131"/>
      <c r="CD123" s="134"/>
      <c r="CE123" s="133"/>
      <c r="CF123" s="131"/>
      <c r="CG123" s="134"/>
      <c r="CH123" s="133"/>
      <c r="CI123" s="131"/>
      <c r="CK123" s="133"/>
      <c r="CL123" s="131"/>
      <c r="CN123" s="133"/>
      <c r="CO123" s="131"/>
      <c r="CQ123" s="133"/>
      <c r="CR123" s="131"/>
      <c r="CT123" s="133"/>
      <c r="CU123" s="131"/>
      <c r="CV123" s="134"/>
      <c r="CW123" s="133"/>
      <c r="CX123" s="131"/>
      <c r="CY123" s="134"/>
      <c r="CZ123" s="133"/>
      <c r="DA123" s="140"/>
      <c r="DB123" s="141"/>
      <c r="DC123" s="142"/>
      <c r="DD123" s="140"/>
      <c r="DE123" s="141"/>
      <c r="DF123" s="142"/>
      <c r="DG123" s="140"/>
      <c r="DH123" s="141"/>
      <c r="DI123" s="142"/>
      <c r="DJ123" s="140"/>
      <c r="DK123" s="141"/>
      <c r="DL123" s="142"/>
      <c r="DM123" s="140"/>
      <c r="DN123" s="141"/>
      <c r="DO123" s="142"/>
      <c r="DP123" s="140"/>
      <c r="DQ123" s="141"/>
      <c r="DR123" s="142"/>
      <c r="DS123" s="140"/>
      <c r="DT123" s="141"/>
      <c r="DU123" s="142"/>
      <c r="DV123" s="140"/>
      <c r="DW123" s="141"/>
      <c r="DX123" s="142"/>
      <c r="DY123" s="140"/>
      <c r="DZ123" s="141"/>
      <c r="EA123" s="142"/>
      <c r="EB123" s="140"/>
      <c r="EC123" s="141"/>
      <c r="ED123" s="142"/>
      <c r="EE123" s="140"/>
      <c r="EF123" s="141"/>
      <c r="EG123" s="142"/>
      <c r="EH123" s="140"/>
      <c r="EI123" s="141"/>
      <c r="EJ123" s="142"/>
      <c r="EK123" s="140"/>
      <c r="EL123" s="141"/>
      <c r="EM123" s="142"/>
      <c r="EN123" s="140"/>
      <c r="EO123" s="141"/>
      <c r="EP123" s="142"/>
      <c r="EQ123" s="140"/>
      <c r="ER123" s="141"/>
      <c r="ES123" s="142"/>
      <c r="ET123" s="140"/>
      <c r="EU123" s="141"/>
      <c r="EV123" s="142"/>
      <c r="EW123" s="140"/>
      <c r="EX123" s="141"/>
      <c r="EY123" s="142"/>
      <c r="EZ123" s="140"/>
      <c r="FA123" s="141"/>
      <c r="FB123" s="142"/>
      <c r="FC123" s="140"/>
      <c r="FD123" s="141"/>
      <c r="FE123" s="142"/>
      <c r="FF123" s="140"/>
      <c r="FG123" s="141"/>
      <c r="FH123" s="142"/>
      <c r="FI123" s="140"/>
      <c r="FJ123" s="141"/>
      <c r="FK123" s="142"/>
      <c r="FL123" s="140">
        <f>+'1894 Hacienda'!C18</f>
        <v>6600</v>
      </c>
      <c r="FM123" s="141"/>
      <c r="FN123" s="142"/>
      <c r="FO123" s="140">
        <f>+'1894 Hacienda'!F18</f>
        <v>6600</v>
      </c>
      <c r="FP123" s="141"/>
      <c r="FQ123" s="142"/>
      <c r="FR123" s="140">
        <f>+'1896 Hacienda'!C19</f>
        <v>6660</v>
      </c>
      <c r="FS123" s="141"/>
      <c r="FT123" s="142"/>
      <c r="FU123" s="140"/>
      <c r="FV123" s="141"/>
      <c r="FW123" s="142"/>
      <c r="FX123" s="140"/>
      <c r="FY123" s="141"/>
      <c r="FZ123" s="142"/>
      <c r="GA123" s="140"/>
      <c r="GB123" s="141"/>
      <c r="GC123" s="142"/>
      <c r="GD123" s="140"/>
      <c r="GE123" s="141"/>
      <c r="GF123" s="142"/>
      <c r="GG123" s="140"/>
      <c r="GH123" s="141"/>
      <c r="GI123" s="142"/>
      <c r="GJ123" s="140"/>
      <c r="GK123" s="141"/>
      <c r="GL123" s="142"/>
      <c r="GM123" s="140"/>
      <c r="GN123" s="141"/>
      <c r="GO123" s="142"/>
      <c r="GP123" s="140"/>
      <c r="GQ123" s="141"/>
      <c r="GR123" s="142"/>
      <c r="GS123" s="140"/>
      <c r="GT123" s="141"/>
      <c r="GU123" s="142"/>
      <c r="GV123" s="140"/>
      <c r="GW123" s="141"/>
      <c r="GX123" s="142"/>
      <c r="GY123" s="164"/>
      <c r="GZ123" s="134"/>
      <c r="HA123" s="185"/>
      <c r="HB123" s="164"/>
      <c r="HC123" s="185"/>
      <c r="HD123" s="164"/>
      <c r="HE123" s="185"/>
      <c r="HF123" s="164"/>
      <c r="HG123" s="185"/>
      <c r="HH123" s="164"/>
      <c r="HI123" s="185"/>
      <c r="HJ123" s="164"/>
      <c r="HK123" s="185"/>
      <c r="HL123" s="164"/>
      <c r="HM123" s="185"/>
      <c r="HN123" s="164"/>
      <c r="HO123" s="185"/>
      <c r="HP123" s="164"/>
      <c r="HQ123" s="185"/>
      <c r="HR123" s="164"/>
      <c r="HS123" s="185"/>
      <c r="HT123" s="164"/>
      <c r="HU123" s="185"/>
    </row>
    <row r="124" spans="1:229" x14ac:dyDescent="0.2">
      <c r="A124" s="1756" t="str">
        <f>+'1894 Hacienda'!B23</f>
        <v>Carboneras de San Jorge</v>
      </c>
      <c r="B124" s="131"/>
      <c r="C124" s="134"/>
      <c r="D124" s="133"/>
      <c r="E124" s="131"/>
      <c r="F124" s="134"/>
      <c r="G124" s="133"/>
      <c r="H124" s="131"/>
      <c r="I124" s="134"/>
      <c r="J124" s="133"/>
      <c r="K124" s="131"/>
      <c r="L124" s="134"/>
      <c r="M124" s="133"/>
      <c r="N124" s="131"/>
      <c r="O124" s="134"/>
      <c r="P124" s="133"/>
      <c r="Q124" s="131"/>
      <c r="R124" s="134"/>
      <c r="S124" s="133"/>
      <c r="T124" s="131"/>
      <c r="U124" s="134"/>
      <c r="V124" s="133"/>
      <c r="W124" s="131"/>
      <c r="X124" s="134"/>
      <c r="Y124" s="133"/>
      <c r="Z124" s="131"/>
      <c r="AA124" s="134"/>
      <c r="AB124" s="133"/>
      <c r="AC124" s="131"/>
      <c r="AD124" s="134"/>
      <c r="AE124" s="133"/>
      <c r="AF124" s="131"/>
      <c r="AG124" s="134"/>
      <c r="AH124" s="133"/>
      <c r="AI124" s="145"/>
      <c r="AJ124" s="134"/>
      <c r="AK124" s="133"/>
      <c r="AL124" s="131"/>
      <c r="AM124" s="134"/>
      <c r="AN124" s="133"/>
      <c r="AO124" s="131"/>
      <c r="AP124" s="134"/>
      <c r="AQ124" s="133"/>
      <c r="AR124" s="131"/>
      <c r="AS124" s="134"/>
      <c r="AT124" s="180"/>
      <c r="AU124" s="131"/>
      <c r="AV124" s="185"/>
      <c r="AW124" s="131"/>
      <c r="AX124" s="185"/>
      <c r="AY124" s="131"/>
      <c r="AZ124" s="185"/>
      <c r="BA124" s="131"/>
      <c r="BB124" s="185"/>
      <c r="BC124" s="131"/>
      <c r="BD124" s="185"/>
      <c r="BE124" s="131"/>
      <c r="BF124" s="185"/>
      <c r="BG124" s="131"/>
      <c r="BH124" s="185"/>
      <c r="BI124" s="131"/>
      <c r="BJ124" s="185"/>
      <c r="BK124" s="131"/>
      <c r="BL124" s="185"/>
      <c r="BM124" s="131"/>
      <c r="BN124" s="185"/>
      <c r="BO124" s="131"/>
      <c r="BP124" s="134"/>
      <c r="BQ124" s="131"/>
      <c r="BR124" s="134"/>
      <c r="BS124" s="133"/>
      <c r="BT124" s="145"/>
      <c r="BU124" s="134"/>
      <c r="BV124" s="131"/>
      <c r="BW124" s="134"/>
      <c r="BX124" s="131"/>
      <c r="BY124" s="134"/>
      <c r="BZ124" s="131"/>
      <c r="CA124" s="134"/>
      <c r="CB124" s="133"/>
      <c r="CC124" s="131"/>
      <c r="CD124" s="134"/>
      <c r="CE124" s="133"/>
      <c r="CF124" s="131"/>
      <c r="CG124" s="134"/>
      <c r="CH124" s="133"/>
      <c r="CI124" s="131"/>
      <c r="CK124" s="133"/>
      <c r="CL124" s="131"/>
      <c r="CN124" s="133"/>
      <c r="CO124" s="131"/>
      <c r="CQ124" s="133"/>
      <c r="CR124" s="131"/>
      <c r="CT124" s="133"/>
      <c r="CU124" s="131"/>
      <c r="CV124" s="134"/>
      <c r="CW124" s="133"/>
      <c r="CX124" s="131"/>
      <c r="CY124" s="134"/>
      <c r="CZ124" s="133"/>
      <c r="DA124" s="140"/>
      <c r="DB124" s="141"/>
      <c r="DC124" s="142"/>
      <c r="DD124" s="140"/>
      <c r="DE124" s="141"/>
      <c r="DF124" s="142"/>
      <c r="DG124" s="140"/>
      <c r="DH124" s="141"/>
      <c r="DI124" s="142"/>
      <c r="DJ124" s="140"/>
      <c r="DK124" s="141"/>
      <c r="DL124" s="142"/>
      <c r="DM124" s="140"/>
      <c r="DN124" s="141"/>
      <c r="DO124" s="142"/>
      <c r="DP124" s="140"/>
      <c r="DQ124" s="141"/>
      <c r="DR124" s="142"/>
      <c r="DS124" s="140"/>
      <c r="DT124" s="141"/>
      <c r="DU124" s="142"/>
      <c r="DV124" s="140"/>
      <c r="DW124" s="141"/>
      <c r="DX124" s="142"/>
      <c r="DY124" s="140"/>
      <c r="DZ124" s="141"/>
      <c r="EA124" s="142"/>
      <c r="EB124" s="140"/>
      <c r="EC124" s="141"/>
      <c r="ED124" s="142"/>
      <c r="EE124" s="140"/>
      <c r="EF124" s="141"/>
      <c r="EG124" s="142"/>
      <c r="EH124" s="140"/>
      <c r="EI124" s="141"/>
      <c r="EJ124" s="142"/>
      <c r="EK124" s="140"/>
      <c r="EL124" s="141"/>
      <c r="EM124" s="142"/>
      <c r="EN124" s="140"/>
      <c r="EO124" s="141"/>
      <c r="EP124" s="142"/>
      <c r="EQ124" s="140"/>
      <c r="ER124" s="141"/>
      <c r="ES124" s="142"/>
      <c r="ET124" s="140"/>
      <c r="EU124" s="141"/>
      <c r="EV124" s="142"/>
      <c r="EW124" s="140"/>
      <c r="EX124" s="141"/>
      <c r="EY124" s="142"/>
      <c r="EZ124" s="140"/>
      <c r="FA124" s="141"/>
      <c r="FB124" s="142"/>
      <c r="FC124" s="140"/>
      <c r="FD124" s="141"/>
      <c r="FE124" s="142"/>
      <c r="FF124" s="140"/>
      <c r="FG124" s="141"/>
      <c r="FH124" s="142"/>
      <c r="FI124" s="140"/>
      <c r="FJ124" s="141"/>
      <c r="FK124" s="142"/>
      <c r="FL124" s="140">
        <f>+'1894 Hacienda'!C23</f>
        <v>8311</v>
      </c>
      <c r="FM124" s="141"/>
      <c r="FN124" s="142"/>
      <c r="FO124" s="140">
        <f>+'1894 Hacienda'!F23</f>
        <v>16964</v>
      </c>
      <c r="FP124" s="141">
        <f>+'1894 Hacienda'!G23</f>
        <v>70</v>
      </c>
      <c r="FQ124" s="142"/>
      <c r="FR124" s="140">
        <f>+'1896 Hacienda'!C24</f>
        <v>16246</v>
      </c>
      <c r="FS124" s="141">
        <f>+'1896 Hacienda'!D24</f>
        <v>25</v>
      </c>
      <c r="FT124" s="142"/>
      <c r="FU124" s="140">
        <f>+'1896 Hacienda'!F24</f>
        <v>20124</v>
      </c>
      <c r="FV124" s="141">
        <f>+'1896 Hacienda'!G24</f>
        <v>70</v>
      </c>
      <c r="FW124" s="142"/>
      <c r="FX124" s="140">
        <f>+'1896 Hacienda'!L24</f>
        <v>20437</v>
      </c>
      <c r="FY124" s="141">
        <f>+'1896 Hacienda'!M24</f>
        <v>25</v>
      </c>
      <c r="FZ124" s="142"/>
      <c r="GA124" s="140">
        <f>+'1898 Hacienda'!E22</f>
        <v>11676</v>
      </c>
      <c r="GB124" s="141">
        <f>+'1898 Hacienda'!F22</f>
        <v>50</v>
      </c>
      <c r="GC124" s="142"/>
      <c r="GD124" s="140">
        <f>+'1898 Hacienda'!K22</f>
        <v>14568</v>
      </c>
      <c r="GE124" s="141">
        <f>+'1898 Hacienda'!L22</f>
        <v>50</v>
      </c>
      <c r="GF124" s="142"/>
      <c r="GG124" s="140"/>
      <c r="GH124" s="141"/>
      <c r="GI124" s="142"/>
      <c r="GJ124" s="140"/>
      <c r="GK124" s="141"/>
      <c r="GL124" s="142"/>
      <c r="GM124" s="140"/>
      <c r="GN124" s="141"/>
      <c r="GO124" s="142"/>
      <c r="GP124" s="140"/>
      <c r="GQ124" s="141"/>
      <c r="GR124" s="142"/>
      <c r="GS124" s="140"/>
      <c r="GT124" s="141"/>
      <c r="GU124" s="142"/>
      <c r="GV124" s="140"/>
      <c r="GW124" s="141"/>
      <c r="GX124" s="142"/>
      <c r="GY124" s="164"/>
      <c r="GZ124" s="134"/>
      <c r="HA124" s="185"/>
      <c r="HB124" s="164"/>
      <c r="HC124" s="185"/>
      <c r="HD124" s="164"/>
      <c r="HE124" s="185"/>
      <c r="HF124" s="164"/>
      <c r="HG124" s="185"/>
      <c r="HH124" s="164"/>
      <c r="HI124" s="185"/>
      <c r="HJ124" s="164"/>
      <c r="HK124" s="185"/>
      <c r="HL124" s="164"/>
      <c r="HM124" s="185"/>
      <c r="HN124" s="164"/>
      <c r="HO124" s="185"/>
      <c r="HP124" s="164"/>
      <c r="HQ124" s="185"/>
      <c r="HR124" s="164"/>
      <c r="HS124" s="185"/>
      <c r="HT124" s="164"/>
      <c r="HU124" s="185"/>
    </row>
    <row r="125" spans="1:229" x14ac:dyDescent="0.2">
      <c r="A125" s="1756" t="str">
        <f>+'1894 Hacienda'!B27</f>
        <v>Multas nacionales en Panamá</v>
      </c>
      <c r="B125" s="131"/>
      <c r="C125" s="134"/>
      <c r="D125" s="133"/>
      <c r="E125" s="131"/>
      <c r="F125" s="134"/>
      <c r="G125" s="133"/>
      <c r="H125" s="131"/>
      <c r="I125" s="134"/>
      <c r="J125" s="133"/>
      <c r="K125" s="131"/>
      <c r="L125" s="134"/>
      <c r="M125" s="133"/>
      <c r="N125" s="131"/>
      <c r="O125" s="134"/>
      <c r="P125" s="133"/>
      <c r="Q125" s="131"/>
      <c r="R125" s="134"/>
      <c r="S125" s="133"/>
      <c r="T125" s="131"/>
      <c r="U125" s="134"/>
      <c r="V125" s="133"/>
      <c r="W125" s="131"/>
      <c r="X125" s="134"/>
      <c r="Y125" s="133"/>
      <c r="Z125" s="131"/>
      <c r="AA125" s="134"/>
      <c r="AB125" s="133"/>
      <c r="AC125" s="131"/>
      <c r="AD125" s="134"/>
      <c r="AE125" s="133"/>
      <c r="AF125" s="131"/>
      <c r="AG125" s="134"/>
      <c r="AH125" s="133"/>
      <c r="AI125" s="145"/>
      <c r="AJ125" s="134"/>
      <c r="AK125" s="133"/>
      <c r="AL125" s="131"/>
      <c r="AM125" s="134"/>
      <c r="AN125" s="133"/>
      <c r="AO125" s="131"/>
      <c r="AP125" s="134"/>
      <c r="AQ125" s="133"/>
      <c r="AR125" s="131"/>
      <c r="AS125" s="134"/>
      <c r="AT125" s="180"/>
      <c r="AU125" s="131"/>
      <c r="AV125" s="185"/>
      <c r="AW125" s="131"/>
      <c r="AX125" s="185"/>
      <c r="AY125" s="131"/>
      <c r="AZ125" s="185"/>
      <c r="BA125" s="131"/>
      <c r="BB125" s="185"/>
      <c r="BC125" s="131"/>
      <c r="BD125" s="185"/>
      <c r="BE125" s="131"/>
      <c r="BF125" s="185"/>
      <c r="BG125" s="131"/>
      <c r="BH125" s="185"/>
      <c r="BI125" s="131"/>
      <c r="BJ125" s="185"/>
      <c r="BK125" s="131"/>
      <c r="BL125" s="185"/>
      <c r="BM125" s="131"/>
      <c r="BN125" s="185"/>
      <c r="BO125" s="131"/>
      <c r="BP125" s="134"/>
      <c r="BQ125" s="131"/>
      <c r="BR125" s="134"/>
      <c r="BS125" s="133"/>
      <c r="BT125" s="145"/>
      <c r="BU125" s="134"/>
      <c r="BV125" s="131"/>
      <c r="BW125" s="134"/>
      <c r="BX125" s="131"/>
      <c r="BY125" s="134"/>
      <c r="BZ125" s="131"/>
      <c r="CA125" s="134"/>
      <c r="CB125" s="133"/>
      <c r="CC125" s="131"/>
      <c r="CD125" s="134"/>
      <c r="CE125" s="133"/>
      <c r="CF125" s="131"/>
      <c r="CG125" s="134"/>
      <c r="CH125" s="133"/>
      <c r="CI125" s="131"/>
      <c r="CK125" s="133"/>
      <c r="CL125" s="131"/>
      <c r="CN125" s="133"/>
      <c r="CO125" s="131"/>
      <c r="CQ125" s="133"/>
      <c r="CR125" s="131"/>
      <c r="CT125" s="133"/>
      <c r="CU125" s="131"/>
      <c r="CV125" s="134"/>
      <c r="CW125" s="133"/>
      <c r="CX125" s="131"/>
      <c r="CY125" s="134"/>
      <c r="CZ125" s="133"/>
      <c r="DA125" s="140"/>
      <c r="DB125" s="141"/>
      <c r="DC125" s="142"/>
      <c r="DD125" s="140"/>
      <c r="DE125" s="141"/>
      <c r="DF125" s="142"/>
      <c r="DG125" s="140"/>
      <c r="DH125" s="141"/>
      <c r="DI125" s="142"/>
      <c r="DJ125" s="140"/>
      <c r="DK125" s="141"/>
      <c r="DL125" s="142"/>
      <c r="DM125" s="140"/>
      <c r="DN125" s="141"/>
      <c r="DO125" s="142"/>
      <c r="DP125" s="140"/>
      <c r="DQ125" s="141"/>
      <c r="DR125" s="142"/>
      <c r="DS125" s="140"/>
      <c r="DT125" s="141"/>
      <c r="DU125" s="142"/>
      <c r="DV125" s="140"/>
      <c r="DW125" s="141"/>
      <c r="DX125" s="142"/>
      <c r="DY125" s="140"/>
      <c r="DZ125" s="141"/>
      <c r="EA125" s="142"/>
      <c r="EB125" s="140"/>
      <c r="EC125" s="141"/>
      <c r="ED125" s="142"/>
      <c r="EE125" s="140"/>
      <c r="EF125" s="141"/>
      <c r="EG125" s="142"/>
      <c r="EH125" s="140"/>
      <c r="EI125" s="141"/>
      <c r="EJ125" s="142"/>
      <c r="EK125" s="140"/>
      <c r="EL125" s="141"/>
      <c r="EM125" s="142"/>
      <c r="EN125" s="140"/>
      <c r="EO125" s="141"/>
      <c r="EP125" s="142"/>
      <c r="EQ125" s="140"/>
      <c r="ER125" s="141"/>
      <c r="ES125" s="142"/>
      <c r="ET125" s="140"/>
      <c r="EU125" s="141"/>
      <c r="EV125" s="142"/>
      <c r="EW125" s="140"/>
      <c r="EX125" s="141"/>
      <c r="EY125" s="142"/>
      <c r="EZ125" s="140"/>
      <c r="FA125" s="141"/>
      <c r="FB125" s="142"/>
      <c r="FC125" s="140"/>
      <c r="FD125" s="141"/>
      <c r="FE125" s="142"/>
      <c r="FF125" s="140"/>
      <c r="FG125" s="141"/>
      <c r="FH125" s="142"/>
      <c r="FI125" s="140"/>
      <c r="FJ125" s="141"/>
      <c r="FK125" s="142"/>
      <c r="FL125" s="140"/>
      <c r="FM125" s="141"/>
      <c r="FN125" s="142"/>
      <c r="FO125" s="140">
        <f>+'1894 Hacienda'!F27</f>
        <v>799</v>
      </c>
      <c r="FP125" s="141"/>
      <c r="FQ125" s="142"/>
      <c r="FR125" s="140">
        <f>+'1896 Hacienda'!C28</f>
        <v>1265</v>
      </c>
      <c r="FS125" s="141">
        <f>+'1896 Hacienda'!D28</f>
        <v>60</v>
      </c>
      <c r="FT125" s="142"/>
      <c r="FU125" s="140">
        <f>+'1896 Hacienda'!F28</f>
        <v>931</v>
      </c>
      <c r="FV125" s="141">
        <f>+'1896 Hacienda'!G28</f>
        <v>20</v>
      </c>
      <c r="FW125" s="142"/>
      <c r="FX125" s="140">
        <f>+'1896 Hacienda'!L28</f>
        <v>1040</v>
      </c>
      <c r="FY125" s="141">
        <f>+'1896 Hacienda'!M28</f>
        <v>50</v>
      </c>
      <c r="FZ125" s="142"/>
      <c r="GA125" s="140">
        <f>+'1898 Hacienda'!E26</f>
        <v>315</v>
      </c>
      <c r="GB125" s="141"/>
      <c r="GC125" s="142"/>
      <c r="GD125" s="140">
        <f>+'1898 Hacienda'!K26</f>
        <v>235</v>
      </c>
      <c r="GE125" s="141">
        <f>+'1898 Hacienda'!L26</f>
        <v>70</v>
      </c>
      <c r="GF125" s="142"/>
      <c r="GG125" s="140"/>
      <c r="GH125" s="141"/>
      <c r="GI125" s="142"/>
      <c r="GJ125" s="140"/>
      <c r="GK125" s="141"/>
      <c r="GL125" s="142"/>
      <c r="GM125" s="140"/>
      <c r="GN125" s="141"/>
      <c r="GO125" s="142"/>
      <c r="GP125" s="140"/>
      <c r="GQ125" s="141"/>
      <c r="GR125" s="142"/>
      <c r="GS125" s="140"/>
      <c r="GT125" s="141"/>
      <c r="GU125" s="142"/>
      <c r="GV125" s="140"/>
      <c r="GW125" s="141"/>
      <c r="GX125" s="142"/>
      <c r="GY125" s="164"/>
      <c r="GZ125" s="134"/>
      <c r="HA125" s="185"/>
      <c r="HB125" s="164"/>
      <c r="HC125" s="185"/>
      <c r="HD125" s="164"/>
      <c r="HE125" s="185"/>
      <c r="HF125" s="164"/>
      <c r="HG125" s="185"/>
      <c r="HH125" s="164"/>
      <c r="HI125" s="185"/>
      <c r="HJ125" s="164"/>
      <c r="HK125" s="185"/>
      <c r="HL125" s="164"/>
      <c r="HM125" s="185"/>
      <c r="HN125" s="164"/>
      <c r="HO125" s="185"/>
      <c r="HP125" s="164"/>
      <c r="HQ125" s="185"/>
      <c r="HR125" s="164"/>
      <c r="HS125" s="185"/>
      <c r="HT125" s="164"/>
      <c r="HU125" s="185"/>
    </row>
    <row r="126" spans="1:229" x14ac:dyDescent="0.2">
      <c r="A126" s="1756" t="str">
        <f>+'1896 Hacienda'!B17</f>
        <v>Canal de Panamá</v>
      </c>
      <c r="B126" s="131"/>
      <c r="C126" s="134"/>
      <c r="D126" s="133"/>
      <c r="E126" s="131"/>
      <c r="F126" s="134"/>
      <c r="G126" s="133"/>
      <c r="H126" s="131"/>
      <c r="I126" s="134"/>
      <c r="J126" s="133"/>
      <c r="K126" s="131"/>
      <c r="L126" s="134"/>
      <c r="M126" s="133"/>
      <c r="N126" s="131"/>
      <c r="O126" s="134"/>
      <c r="P126" s="133"/>
      <c r="Q126" s="131"/>
      <c r="R126" s="134"/>
      <c r="S126" s="133"/>
      <c r="T126" s="131"/>
      <c r="U126" s="134"/>
      <c r="V126" s="133"/>
      <c r="W126" s="131"/>
      <c r="X126" s="134"/>
      <c r="Y126" s="133"/>
      <c r="Z126" s="131"/>
      <c r="AA126" s="134"/>
      <c r="AB126" s="133"/>
      <c r="AC126" s="131"/>
      <c r="AD126" s="134"/>
      <c r="AE126" s="133"/>
      <c r="AF126" s="131"/>
      <c r="AG126" s="134"/>
      <c r="AH126" s="133"/>
      <c r="AI126" s="145"/>
      <c r="AJ126" s="134"/>
      <c r="AK126" s="133"/>
      <c r="AL126" s="131"/>
      <c r="AM126" s="134"/>
      <c r="AN126" s="133"/>
      <c r="AO126" s="131"/>
      <c r="AP126" s="134"/>
      <c r="AQ126" s="133"/>
      <c r="AR126" s="131"/>
      <c r="AS126" s="134"/>
      <c r="AT126" s="180"/>
      <c r="AU126" s="131"/>
      <c r="AV126" s="185"/>
      <c r="AW126" s="131"/>
      <c r="AX126" s="185"/>
      <c r="AY126" s="131"/>
      <c r="AZ126" s="185"/>
      <c r="BA126" s="131"/>
      <c r="BB126" s="185"/>
      <c r="BC126" s="131"/>
      <c r="BD126" s="185"/>
      <c r="BE126" s="131"/>
      <c r="BF126" s="185"/>
      <c r="BG126" s="131"/>
      <c r="BH126" s="185"/>
      <c r="BI126" s="131"/>
      <c r="BJ126" s="185"/>
      <c r="BK126" s="131"/>
      <c r="BL126" s="185"/>
      <c r="BM126" s="131"/>
      <c r="BN126" s="185"/>
      <c r="BO126" s="131"/>
      <c r="BP126" s="134"/>
      <c r="BQ126" s="131"/>
      <c r="BR126" s="134"/>
      <c r="BS126" s="133"/>
      <c r="BT126" s="145"/>
      <c r="BU126" s="134"/>
      <c r="BV126" s="131"/>
      <c r="BW126" s="134"/>
      <c r="BX126" s="131"/>
      <c r="BY126" s="134"/>
      <c r="BZ126" s="131"/>
      <c r="CA126" s="134"/>
      <c r="CB126" s="133"/>
      <c r="CC126" s="131"/>
      <c r="CD126" s="134"/>
      <c r="CE126" s="133"/>
      <c r="CF126" s="131"/>
      <c r="CG126" s="134"/>
      <c r="CH126" s="133"/>
      <c r="CI126" s="131"/>
      <c r="CK126" s="133"/>
      <c r="CL126" s="131"/>
      <c r="CN126" s="133"/>
      <c r="CO126" s="131"/>
      <c r="CQ126" s="133"/>
      <c r="CR126" s="131"/>
      <c r="CT126" s="133"/>
      <c r="CU126" s="131"/>
      <c r="CV126" s="134"/>
      <c r="CW126" s="133"/>
      <c r="CX126" s="131"/>
      <c r="CY126" s="134"/>
      <c r="CZ126" s="133"/>
      <c r="DA126" s="140"/>
      <c r="DB126" s="141"/>
      <c r="DC126" s="142"/>
      <c r="DD126" s="140"/>
      <c r="DE126" s="141"/>
      <c r="DF126" s="142"/>
      <c r="DG126" s="140"/>
      <c r="DH126" s="141"/>
      <c r="DI126" s="142"/>
      <c r="DJ126" s="140"/>
      <c r="DK126" s="141"/>
      <c r="DL126" s="142"/>
      <c r="DM126" s="140"/>
      <c r="DN126" s="141"/>
      <c r="DO126" s="142"/>
      <c r="DP126" s="140"/>
      <c r="DQ126" s="141"/>
      <c r="DR126" s="142"/>
      <c r="DS126" s="140"/>
      <c r="DT126" s="141"/>
      <c r="DU126" s="142"/>
      <c r="DV126" s="140"/>
      <c r="DW126" s="141"/>
      <c r="DX126" s="142"/>
      <c r="DY126" s="140"/>
      <c r="DZ126" s="141"/>
      <c r="EA126" s="142"/>
      <c r="EB126" s="140"/>
      <c r="EC126" s="141"/>
      <c r="ED126" s="142"/>
      <c r="EE126" s="140"/>
      <c r="EF126" s="141"/>
      <c r="EG126" s="142"/>
      <c r="EH126" s="140"/>
      <c r="EI126" s="141"/>
      <c r="EJ126" s="142"/>
      <c r="EK126" s="140"/>
      <c r="EL126" s="141"/>
      <c r="EM126" s="142"/>
      <c r="EN126" s="140"/>
      <c r="EO126" s="141"/>
      <c r="EP126" s="142"/>
      <c r="EQ126" s="140"/>
      <c r="ER126" s="141"/>
      <c r="ES126" s="142"/>
      <c r="ET126" s="140"/>
      <c r="EU126" s="141"/>
      <c r="EV126" s="142"/>
      <c r="EW126" s="140"/>
      <c r="EX126" s="141"/>
      <c r="EY126" s="142"/>
      <c r="EZ126" s="140"/>
      <c r="FA126" s="141"/>
      <c r="FB126" s="142"/>
      <c r="FC126" s="140"/>
      <c r="FD126" s="141"/>
      <c r="FE126" s="142"/>
      <c r="FF126" s="140"/>
      <c r="FG126" s="141"/>
      <c r="FH126" s="142"/>
      <c r="FI126" s="140"/>
      <c r="FJ126" s="141"/>
      <c r="FK126" s="142"/>
      <c r="FL126" s="140"/>
      <c r="FM126" s="141"/>
      <c r="FN126" s="142"/>
      <c r="FO126" s="140"/>
      <c r="FP126" s="141"/>
      <c r="FQ126" s="142"/>
      <c r="FR126" s="140">
        <f>+'1896 Hacienda'!C17</f>
        <v>100000</v>
      </c>
      <c r="FS126" s="141"/>
      <c r="FT126" s="142"/>
      <c r="FU126" s="140"/>
      <c r="FV126" s="141"/>
      <c r="FW126" s="142"/>
      <c r="FX126" s="140">
        <f>+'1896 Hacienda'!L17</f>
        <v>60000</v>
      </c>
      <c r="FY126" s="141"/>
      <c r="FZ126" s="142"/>
      <c r="GA126" s="140">
        <f>+'1898 Hacienda'!E16</f>
        <v>953031</v>
      </c>
      <c r="GB126" s="141">
        <f>+'1898 Hacienda'!F16</f>
        <v>90</v>
      </c>
      <c r="GC126" s="142"/>
      <c r="GD126" s="140">
        <f>+'1898 Hacienda'!K16</f>
        <v>942589</v>
      </c>
      <c r="GE126" s="141">
        <f>+'1898 Hacienda'!L16</f>
        <v>55</v>
      </c>
      <c r="GF126" s="142"/>
      <c r="GG126" s="140"/>
      <c r="GH126" s="141"/>
      <c r="GI126" s="142"/>
      <c r="GJ126" s="140"/>
      <c r="GK126" s="141"/>
      <c r="GL126" s="142"/>
      <c r="GM126" s="140"/>
      <c r="GN126" s="141"/>
      <c r="GO126" s="142"/>
      <c r="GP126" s="140"/>
      <c r="GQ126" s="141"/>
      <c r="GR126" s="142"/>
      <c r="GS126" s="140"/>
      <c r="GT126" s="141"/>
      <c r="GU126" s="142"/>
      <c r="GV126" s="140"/>
      <c r="GW126" s="141"/>
      <c r="GX126" s="142"/>
      <c r="GY126" s="164"/>
      <c r="GZ126" s="134"/>
      <c r="HA126" s="185"/>
      <c r="HB126" s="164"/>
      <c r="HC126" s="185"/>
      <c r="HD126" s="164"/>
      <c r="HE126" s="185"/>
      <c r="HF126" s="164"/>
      <c r="HG126" s="185"/>
      <c r="HH126" s="164"/>
      <c r="HI126" s="185"/>
      <c r="HJ126" s="164"/>
      <c r="HK126" s="185"/>
      <c r="HL126" s="164"/>
      <c r="HM126" s="185"/>
      <c r="HN126" s="164"/>
      <c r="HO126" s="185"/>
      <c r="HP126" s="164"/>
      <c r="HQ126" s="185"/>
      <c r="HR126" s="164"/>
      <c r="HS126" s="185"/>
      <c r="HT126" s="164"/>
      <c r="HU126" s="185"/>
    </row>
    <row r="127" spans="1:229" x14ac:dyDescent="0.2">
      <c r="A127" s="1756" t="str">
        <f>+'1896 Hacienda'!B29</f>
        <v>Extracción de lastre en las playas de Panamá</v>
      </c>
      <c r="B127" s="131"/>
      <c r="C127" s="134"/>
      <c r="D127" s="133"/>
      <c r="E127" s="131"/>
      <c r="F127" s="134"/>
      <c r="G127" s="133"/>
      <c r="H127" s="131"/>
      <c r="I127" s="134"/>
      <c r="J127" s="133"/>
      <c r="K127" s="131"/>
      <c r="L127" s="134"/>
      <c r="M127" s="133"/>
      <c r="N127" s="131"/>
      <c r="O127" s="134"/>
      <c r="P127" s="133"/>
      <c r="Q127" s="131"/>
      <c r="R127" s="134"/>
      <c r="S127" s="133"/>
      <c r="T127" s="131"/>
      <c r="U127" s="134"/>
      <c r="V127" s="133"/>
      <c r="W127" s="131"/>
      <c r="X127" s="134"/>
      <c r="Y127" s="133"/>
      <c r="Z127" s="131"/>
      <c r="AA127" s="134"/>
      <c r="AB127" s="133"/>
      <c r="AC127" s="131"/>
      <c r="AD127" s="134"/>
      <c r="AE127" s="133"/>
      <c r="AF127" s="131"/>
      <c r="AG127" s="134"/>
      <c r="AH127" s="133"/>
      <c r="AI127" s="145"/>
      <c r="AJ127" s="134"/>
      <c r="AK127" s="133"/>
      <c r="AL127" s="131"/>
      <c r="AM127" s="134"/>
      <c r="AN127" s="133"/>
      <c r="AO127" s="131"/>
      <c r="AP127" s="134"/>
      <c r="AQ127" s="133"/>
      <c r="AR127" s="131"/>
      <c r="AS127" s="134"/>
      <c r="AT127" s="180"/>
      <c r="AU127" s="131"/>
      <c r="AV127" s="185"/>
      <c r="AW127" s="131"/>
      <c r="AX127" s="185"/>
      <c r="AY127" s="131"/>
      <c r="AZ127" s="185"/>
      <c r="BA127" s="131"/>
      <c r="BB127" s="185"/>
      <c r="BC127" s="131"/>
      <c r="BD127" s="185"/>
      <c r="BE127" s="131"/>
      <c r="BF127" s="185"/>
      <c r="BG127" s="131"/>
      <c r="BH127" s="185"/>
      <c r="BI127" s="131"/>
      <c r="BJ127" s="185"/>
      <c r="BK127" s="131"/>
      <c r="BL127" s="185"/>
      <c r="BM127" s="131"/>
      <c r="BN127" s="185"/>
      <c r="BO127" s="131"/>
      <c r="BP127" s="134"/>
      <c r="BQ127" s="131"/>
      <c r="BR127" s="134"/>
      <c r="BS127" s="133"/>
      <c r="BT127" s="145"/>
      <c r="BU127" s="134"/>
      <c r="BV127" s="131"/>
      <c r="BW127" s="134"/>
      <c r="BX127" s="131"/>
      <c r="BY127" s="134"/>
      <c r="BZ127" s="131"/>
      <c r="CA127" s="134"/>
      <c r="CB127" s="133"/>
      <c r="CC127" s="131"/>
      <c r="CD127" s="134"/>
      <c r="CE127" s="133"/>
      <c r="CF127" s="131"/>
      <c r="CG127" s="134"/>
      <c r="CH127" s="133"/>
      <c r="CI127" s="131"/>
      <c r="CK127" s="133"/>
      <c r="CL127" s="131"/>
      <c r="CN127" s="133"/>
      <c r="CO127" s="131"/>
      <c r="CQ127" s="133"/>
      <c r="CR127" s="131"/>
      <c r="CT127" s="133"/>
      <c r="CU127" s="131"/>
      <c r="CV127" s="134"/>
      <c r="CW127" s="133"/>
      <c r="CX127" s="131"/>
      <c r="CY127" s="134"/>
      <c r="CZ127" s="133"/>
      <c r="DA127" s="140"/>
      <c r="DB127" s="141"/>
      <c r="DC127" s="142"/>
      <c r="DD127" s="140"/>
      <c r="DE127" s="141"/>
      <c r="DF127" s="142"/>
      <c r="DG127" s="140"/>
      <c r="DH127" s="141"/>
      <c r="DI127" s="142"/>
      <c r="DJ127" s="140"/>
      <c r="DK127" s="141"/>
      <c r="DL127" s="142"/>
      <c r="DM127" s="140"/>
      <c r="DN127" s="141"/>
      <c r="DO127" s="142"/>
      <c r="DP127" s="140"/>
      <c r="DQ127" s="141"/>
      <c r="DR127" s="142"/>
      <c r="DS127" s="140"/>
      <c r="DT127" s="141"/>
      <c r="DU127" s="142"/>
      <c r="DV127" s="140"/>
      <c r="DW127" s="141"/>
      <c r="DX127" s="142"/>
      <c r="DY127" s="140"/>
      <c r="DZ127" s="141"/>
      <c r="EA127" s="142"/>
      <c r="EB127" s="140"/>
      <c r="EC127" s="141"/>
      <c r="ED127" s="142"/>
      <c r="EE127" s="140"/>
      <c r="EF127" s="141"/>
      <c r="EG127" s="142"/>
      <c r="EH127" s="140"/>
      <c r="EI127" s="141"/>
      <c r="EJ127" s="142"/>
      <c r="EK127" s="140"/>
      <c r="EL127" s="141"/>
      <c r="EM127" s="142"/>
      <c r="EN127" s="140"/>
      <c r="EO127" s="141"/>
      <c r="EP127" s="142"/>
      <c r="EQ127" s="140"/>
      <c r="ER127" s="141"/>
      <c r="ES127" s="142"/>
      <c r="ET127" s="140"/>
      <c r="EU127" s="141"/>
      <c r="EV127" s="142"/>
      <c r="EW127" s="140"/>
      <c r="EX127" s="141"/>
      <c r="EY127" s="142"/>
      <c r="EZ127" s="140"/>
      <c r="FA127" s="141"/>
      <c r="FB127" s="142"/>
      <c r="FC127" s="140"/>
      <c r="FD127" s="141"/>
      <c r="FE127" s="142"/>
      <c r="FF127" s="140"/>
      <c r="FG127" s="141"/>
      <c r="FH127" s="142"/>
      <c r="FI127" s="140"/>
      <c r="FJ127" s="141"/>
      <c r="FK127" s="142"/>
      <c r="FL127" s="140"/>
      <c r="FM127" s="141"/>
      <c r="FN127" s="142"/>
      <c r="FO127" s="140"/>
      <c r="FP127" s="141"/>
      <c r="FQ127" s="142"/>
      <c r="FR127" s="140">
        <f>+'1896 Hacienda'!C29</f>
        <v>1120</v>
      </c>
      <c r="FS127" s="141">
        <f>+'1896 Hacienda'!D29</f>
        <v>50</v>
      </c>
      <c r="FT127" s="142"/>
      <c r="FU127" s="140">
        <f>+'1896 Hacienda'!F29</f>
        <v>2890</v>
      </c>
      <c r="FV127" s="141"/>
      <c r="FW127" s="142"/>
      <c r="FX127" s="140">
        <f>+'1896 Hacienda'!L29</f>
        <v>1367</v>
      </c>
      <c r="FY127" s="141">
        <f>+'1896 Hacienda'!M29</f>
        <v>50</v>
      </c>
      <c r="FZ127" s="142"/>
      <c r="GA127" s="140">
        <f>+'1898 Hacienda'!E27</f>
        <v>4166</v>
      </c>
      <c r="GB127" s="141">
        <f>+'1898 Hacienda'!F27</f>
        <v>50</v>
      </c>
      <c r="GC127" s="142"/>
      <c r="GD127" s="140">
        <f>+'1898 Hacienda'!K27</f>
        <v>4071</v>
      </c>
      <c r="GE127" s="141">
        <f>+'1898 Hacienda'!L27</f>
        <v>50</v>
      </c>
      <c r="GF127" s="142"/>
      <c r="GG127" s="140"/>
      <c r="GH127" s="141"/>
      <c r="GI127" s="142"/>
      <c r="GJ127" s="140"/>
      <c r="GK127" s="141"/>
      <c r="GL127" s="142"/>
      <c r="GM127" s="140"/>
      <c r="GN127" s="141"/>
      <c r="GO127" s="142"/>
      <c r="GP127" s="140"/>
      <c r="GQ127" s="141"/>
      <c r="GR127" s="142"/>
      <c r="GS127" s="140"/>
      <c r="GT127" s="141"/>
      <c r="GU127" s="142"/>
      <c r="GV127" s="140"/>
      <c r="GW127" s="141"/>
      <c r="GX127" s="142"/>
      <c r="GY127" s="164"/>
      <c r="GZ127" s="134"/>
      <c r="HA127" s="185"/>
      <c r="HB127" s="164"/>
      <c r="HC127" s="185"/>
      <c r="HD127" s="164"/>
      <c r="HE127" s="185"/>
      <c r="HF127" s="164"/>
      <c r="HG127" s="185"/>
      <c r="HH127" s="164"/>
      <c r="HI127" s="185"/>
      <c r="HJ127" s="164"/>
      <c r="HK127" s="185"/>
      <c r="HL127" s="164"/>
      <c r="HM127" s="185"/>
      <c r="HN127" s="164"/>
      <c r="HO127" s="185"/>
      <c r="HP127" s="164"/>
      <c r="HQ127" s="185"/>
      <c r="HR127" s="164"/>
      <c r="HS127" s="185"/>
      <c r="HT127" s="164"/>
      <c r="HU127" s="185"/>
    </row>
    <row r="128" spans="1:229" x14ac:dyDescent="0.2">
      <c r="A128" s="1756" t="str">
        <f>+'1896 Hacienda'!B32</f>
        <v>Barca de Arranca-plumas</v>
      </c>
      <c r="B128" s="131"/>
      <c r="C128" s="134"/>
      <c r="D128" s="133"/>
      <c r="E128" s="131"/>
      <c r="F128" s="134"/>
      <c r="G128" s="133"/>
      <c r="H128" s="131"/>
      <c r="I128" s="134"/>
      <c r="J128" s="133"/>
      <c r="K128" s="131"/>
      <c r="L128" s="134"/>
      <c r="M128" s="133"/>
      <c r="N128" s="131"/>
      <c r="O128" s="134"/>
      <c r="P128" s="133"/>
      <c r="Q128" s="131"/>
      <c r="R128" s="134"/>
      <c r="S128" s="133"/>
      <c r="T128" s="131"/>
      <c r="U128" s="134"/>
      <c r="V128" s="133"/>
      <c r="W128" s="131"/>
      <c r="X128" s="134"/>
      <c r="Y128" s="133"/>
      <c r="Z128" s="131"/>
      <c r="AA128" s="134"/>
      <c r="AB128" s="133"/>
      <c r="AC128" s="131"/>
      <c r="AD128" s="134"/>
      <c r="AE128" s="133"/>
      <c r="AF128" s="131"/>
      <c r="AG128" s="134"/>
      <c r="AH128" s="133"/>
      <c r="AI128" s="145"/>
      <c r="AJ128" s="134"/>
      <c r="AK128" s="133"/>
      <c r="AL128" s="131"/>
      <c r="AM128" s="134"/>
      <c r="AN128" s="133"/>
      <c r="AO128" s="131"/>
      <c r="AP128" s="134"/>
      <c r="AQ128" s="133"/>
      <c r="AR128" s="131"/>
      <c r="AS128" s="134"/>
      <c r="AT128" s="180"/>
      <c r="AU128" s="131"/>
      <c r="AV128" s="185"/>
      <c r="AW128" s="131"/>
      <c r="AX128" s="185"/>
      <c r="AY128" s="131"/>
      <c r="AZ128" s="185"/>
      <c r="BA128" s="131"/>
      <c r="BB128" s="185"/>
      <c r="BC128" s="131"/>
      <c r="BD128" s="185"/>
      <c r="BE128" s="131"/>
      <c r="BF128" s="185"/>
      <c r="BG128" s="131"/>
      <c r="BH128" s="185"/>
      <c r="BI128" s="131"/>
      <c r="BJ128" s="185"/>
      <c r="BK128" s="131"/>
      <c r="BL128" s="185"/>
      <c r="BM128" s="131"/>
      <c r="BN128" s="185"/>
      <c r="BO128" s="131"/>
      <c r="BP128" s="134"/>
      <c r="BQ128" s="131"/>
      <c r="BR128" s="134"/>
      <c r="BS128" s="133"/>
      <c r="BT128" s="145"/>
      <c r="BU128" s="134"/>
      <c r="BV128" s="131"/>
      <c r="BW128" s="134"/>
      <c r="BX128" s="131"/>
      <c r="BY128" s="134"/>
      <c r="BZ128" s="131"/>
      <c r="CA128" s="134"/>
      <c r="CB128" s="133"/>
      <c r="CC128" s="131"/>
      <c r="CD128" s="134"/>
      <c r="CE128" s="133"/>
      <c r="CF128" s="131"/>
      <c r="CG128" s="134"/>
      <c r="CH128" s="133"/>
      <c r="CI128" s="131"/>
      <c r="CK128" s="133"/>
      <c r="CL128" s="131"/>
      <c r="CN128" s="133"/>
      <c r="CO128" s="131"/>
      <c r="CQ128" s="133"/>
      <c r="CR128" s="131"/>
      <c r="CT128" s="133"/>
      <c r="CU128" s="131"/>
      <c r="CV128" s="134"/>
      <c r="CW128" s="133"/>
      <c r="CX128" s="131"/>
      <c r="CY128" s="134"/>
      <c r="CZ128" s="133"/>
      <c r="DA128" s="140"/>
      <c r="DB128" s="141"/>
      <c r="DC128" s="142"/>
      <c r="DD128" s="140"/>
      <c r="DE128" s="141"/>
      <c r="DF128" s="142"/>
      <c r="DG128" s="140"/>
      <c r="DH128" s="141"/>
      <c r="DI128" s="142"/>
      <c r="DJ128" s="140"/>
      <c r="DK128" s="141"/>
      <c r="DL128" s="142"/>
      <c r="DM128" s="140"/>
      <c r="DN128" s="141"/>
      <c r="DO128" s="142"/>
      <c r="DP128" s="140"/>
      <c r="DQ128" s="141"/>
      <c r="DR128" s="142"/>
      <c r="DS128" s="140"/>
      <c r="DT128" s="141"/>
      <c r="DU128" s="142"/>
      <c r="DV128" s="140"/>
      <c r="DW128" s="141"/>
      <c r="DX128" s="142"/>
      <c r="DY128" s="140"/>
      <c r="DZ128" s="141"/>
      <c r="EA128" s="142"/>
      <c r="EB128" s="140"/>
      <c r="EC128" s="141"/>
      <c r="ED128" s="142"/>
      <c r="EE128" s="140"/>
      <c r="EF128" s="141"/>
      <c r="EG128" s="142"/>
      <c r="EH128" s="140"/>
      <c r="EI128" s="141"/>
      <c r="EJ128" s="142"/>
      <c r="EK128" s="140"/>
      <c r="EL128" s="141"/>
      <c r="EM128" s="142"/>
      <c r="EN128" s="140"/>
      <c r="EO128" s="141"/>
      <c r="EP128" s="142"/>
      <c r="EQ128" s="140"/>
      <c r="ER128" s="141"/>
      <c r="ES128" s="142"/>
      <c r="ET128" s="140"/>
      <c r="EU128" s="141"/>
      <c r="EV128" s="142"/>
      <c r="EW128" s="140"/>
      <c r="EX128" s="141"/>
      <c r="EY128" s="142"/>
      <c r="EZ128" s="140"/>
      <c r="FA128" s="141"/>
      <c r="FB128" s="142"/>
      <c r="FC128" s="140"/>
      <c r="FD128" s="141"/>
      <c r="FE128" s="142"/>
      <c r="FF128" s="140"/>
      <c r="FG128" s="141"/>
      <c r="FH128" s="142"/>
      <c r="FI128" s="140"/>
      <c r="FJ128" s="141"/>
      <c r="FK128" s="142"/>
      <c r="FL128" s="140"/>
      <c r="FM128" s="141"/>
      <c r="FN128" s="142"/>
      <c r="FO128" s="140"/>
      <c r="FP128" s="141"/>
      <c r="FQ128" s="142"/>
      <c r="FR128" s="140">
        <f>+'1896 Hacienda'!C32</f>
        <v>3605</v>
      </c>
      <c r="FS128" s="141">
        <f>+'1896 Hacienda'!D32</f>
        <v>87</v>
      </c>
      <c r="FT128" s="142">
        <f>+'1896 Hacienda'!E32</f>
        <v>0.5</v>
      </c>
      <c r="FU128" s="140">
        <f>+'1896 Hacienda'!F32</f>
        <v>3066</v>
      </c>
      <c r="FV128" s="141">
        <f>+'1896 Hacienda'!G32</f>
        <v>65</v>
      </c>
      <c r="FW128" s="142"/>
      <c r="FX128" s="140">
        <f>+'1896 Hacienda'!L32</f>
        <v>7250</v>
      </c>
      <c r="FY128" s="141">
        <f>+'1896 Hacienda'!M32</f>
        <v>70</v>
      </c>
      <c r="FZ128" s="142"/>
      <c r="GA128" s="140">
        <f>+'1898 Hacienda'!E30</f>
        <v>960</v>
      </c>
      <c r="GB128" s="141"/>
      <c r="GC128" s="142"/>
      <c r="GD128" s="140">
        <f>+'1898 Hacienda'!K30</f>
        <v>4800</v>
      </c>
      <c r="GE128" s="141"/>
      <c r="GF128" s="142"/>
      <c r="GG128" s="140"/>
      <c r="GH128" s="141"/>
      <c r="GI128" s="142"/>
      <c r="GJ128" s="140"/>
      <c r="GK128" s="141"/>
      <c r="GL128" s="142"/>
      <c r="GM128" s="140"/>
      <c r="GN128" s="141"/>
      <c r="GO128" s="142"/>
      <c r="GP128" s="140"/>
      <c r="GQ128" s="141"/>
      <c r="GR128" s="142"/>
      <c r="GS128" s="140"/>
      <c r="GT128" s="141"/>
      <c r="GU128" s="142"/>
      <c r="GV128" s="140"/>
      <c r="GW128" s="141"/>
      <c r="GX128" s="142"/>
      <c r="GY128" s="164"/>
      <c r="GZ128" s="134"/>
      <c r="HA128" s="185"/>
      <c r="HB128" s="164"/>
      <c r="HC128" s="185"/>
      <c r="HD128" s="164"/>
      <c r="HE128" s="185"/>
      <c r="HF128" s="164"/>
      <c r="HG128" s="185"/>
      <c r="HH128" s="164"/>
      <c r="HI128" s="185"/>
      <c r="HJ128" s="164"/>
      <c r="HK128" s="185"/>
      <c r="HL128" s="164"/>
      <c r="HM128" s="185"/>
      <c r="HN128" s="164"/>
      <c r="HO128" s="185"/>
      <c r="HP128" s="164"/>
      <c r="HQ128" s="185"/>
      <c r="HR128" s="164"/>
      <c r="HS128" s="185"/>
      <c r="HT128" s="164"/>
      <c r="HU128" s="185"/>
    </row>
    <row r="129" spans="1:229" s="1729" customFormat="1" ht="29.5" customHeight="1" x14ac:dyDescent="0.2">
      <c r="A129" s="272" t="s">
        <v>1170</v>
      </c>
      <c r="B129" s="1757"/>
      <c r="C129" s="1758"/>
      <c r="D129" s="1759"/>
      <c r="E129" s="1757"/>
      <c r="F129" s="1758"/>
      <c r="G129" s="1759"/>
      <c r="H129" s="1757"/>
      <c r="I129" s="1758"/>
      <c r="J129" s="1759"/>
      <c r="K129" s="1757"/>
      <c r="L129" s="1758"/>
      <c r="M129" s="1759"/>
      <c r="N129" s="1757"/>
      <c r="O129" s="1758"/>
      <c r="P129" s="1759"/>
      <c r="Q129" s="1757"/>
      <c r="R129" s="1758"/>
      <c r="S129" s="1759"/>
      <c r="T129" s="1757"/>
      <c r="U129" s="1758"/>
      <c r="V129" s="1759"/>
      <c r="W129" s="1757"/>
      <c r="X129" s="1758"/>
      <c r="Y129" s="1759"/>
      <c r="Z129" s="1757"/>
      <c r="AA129" s="1758"/>
      <c r="AB129" s="1759"/>
      <c r="AC129" s="1757"/>
      <c r="AD129" s="1758"/>
      <c r="AE129" s="1759"/>
      <c r="AF129" s="1757"/>
      <c r="AG129" s="1758"/>
      <c r="AH129" s="1759"/>
      <c r="AI129" s="1760">
        <v>2972549</v>
      </c>
      <c r="AJ129" s="1758">
        <v>1</v>
      </c>
      <c r="AK129" s="1759">
        <f>3/4</f>
        <v>0.75</v>
      </c>
      <c r="AL129" s="1757">
        <v>2972751</v>
      </c>
      <c r="AM129" s="1758">
        <v>7</v>
      </c>
      <c r="AN129" s="1759">
        <v>0.75</v>
      </c>
      <c r="AO129" s="1757">
        <f>'1846 Hacienda'!E69</f>
        <v>4716177</v>
      </c>
      <c r="AP129" s="1758">
        <f>'1846 Hacienda'!F69</f>
        <v>6</v>
      </c>
      <c r="AQ129" s="1759">
        <f>'1846 Hacienda'!G69</f>
        <v>0.75</v>
      </c>
      <c r="AR129" s="1757"/>
      <c r="AS129" s="1758"/>
      <c r="AT129" s="1761"/>
      <c r="AU129" s="1757">
        <f>+'1858 Hacienda'!B118</f>
        <v>2829230</v>
      </c>
      <c r="AV129" s="1762">
        <f>+'1858 Hacienda'!C118</f>
        <v>899</v>
      </c>
      <c r="AW129" s="1757">
        <f>+'1858 Hacienda'!B119</f>
        <v>2705061</v>
      </c>
      <c r="AX129" s="1762">
        <f>+'1858 Hacienda'!C119</f>
        <v>590</v>
      </c>
      <c r="AY129" s="1757">
        <f>+'1858 Hacienda'!B120</f>
        <v>2775508</v>
      </c>
      <c r="AZ129" s="1762">
        <f>+'1858 Hacienda'!C120</f>
        <v>598</v>
      </c>
      <c r="BA129" s="1757">
        <f>+'1858 Hacienda'!B121</f>
        <v>3340131</v>
      </c>
      <c r="BB129" s="1762">
        <f>+'1858 Hacienda'!C121</f>
        <v>249</v>
      </c>
      <c r="BC129" s="1757">
        <f>+'1858 Hacienda'!B122</f>
        <v>1803272</v>
      </c>
      <c r="BD129" s="1762">
        <f>+'1858 Hacienda'!C122</f>
        <v>153</v>
      </c>
      <c r="BE129" s="1757">
        <f>+'1858 Hacienda'!B123</f>
        <v>1766916</v>
      </c>
      <c r="BF129" s="1762">
        <f>+'1858 Hacienda'!C123</f>
        <v>667</v>
      </c>
      <c r="BG129" s="1757">
        <f>+'1858 Hacienda'!B124</f>
        <v>2123485</v>
      </c>
      <c r="BH129" s="1762">
        <f>+'1858 Hacienda'!C124</f>
        <v>705</v>
      </c>
      <c r="BI129" s="1757">
        <f>+'1858 Hacienda'!B125</f>
        <v>1790926</v>
      </c>
      <c r="BJ129" s="1762">
        <f>+'1858 Hacienda'!C125</f>
        <v>139</v>
      </c>
      <c r="BK129" s="1757">
        <f>+'1858 Hacienda'!B126</f>
        <v>3377223</v>
      </c>
      <c r="BL129" s="1762">
        <f>+'1858 Hacienda'!C126</f>
        <v>673</v>
      </c>
      <c r="BM129" s="1757">
        <f>+'1858 Hacienda'!B127</f>
        <v>1880213</v>
      </c>
      <c r="BN129" s="1762">
        <f>+'1858 Hacienda'!C127</f>
        <v>581</v>
      </c>
      <c r="BO129" s="1757">
        <f>+'1858 Hacienda'!B128</f>
        <v>1937053</v>
      </c>
      <c r="BP129" s="1762">
        <f>+'1858 Hacienda'!C128</f>
        <v>395</v>
      </c>
      <c r="BQ129" s="1757">
        <f>+'1858 Hacienda'!B286</f>
        <v>1689065</v>
      </c>
      <c r="BR129" s="1758">
        <f>+'1858 Hacienda'!C286</f>
        <v>23</v>
      </c>
      <c r="BS129" s="1759">
        <f>+'1858 Hacienda'!D286</f>
        <v>0.375</v>
      </c>
      <c r="BT129" s="1760"/>
      <c r="BU129" s="1758"/>
      <c r="BV129" s="1757"/>
      <c r="BW129" s="1758"/>
      <c r="BX129" s="1757"/>
      <c r="BY129" s="1758"/>
      <c r="BZ129" s="1757"/>
      <c r="CA129" s="1758"/>
      <c r="CB129" s="1759"/>
      <c r="CC129" s="1757"/>
      <c r="CD129" s="1758"/>
      <c r="CE129" s="1759"/>
      <c r="CF129" s="1757"/>
      <c r="CG129" s="1758"/>
      <c r="CH129" s="1759"/>
      <c r="CI129" s="1757">
        <f>+'1869 Hacienda'!B52</f>
        <v>2106891</v>
      </c>
      <c r="CJ129" s="1758"/>
      <c r="CK129" s="1759"/>
      <c r="CL129" s="1757">
        <f>+'1869 Hacienda'!C52</f>
        <v>2139651</v>
      </c>
      <c r="CM129" s="1758"/>
      <c r="CN129" s="1759"/>
      <c r="CO129" s="1757">
        <f>+'1869 Hacienda'!D52</f>
        <v>3381621</v>
      </c>
      <c r="CP129" s="1758"/>
      <c r="CQ129" s="1759"/>
      <c r="CR129" s="1757">
        <f>+'1869 Hacienda'!E52</f>
        <v>3065720</v>
      </c>
      <c r="CS129" s="1758"/>
      <c r="CT129" s="1759"/>
      <c r="CU129" s="1757">
        <f>+'1869 Hacienda'!F52</f>
        <v>3297579</v>
      </c>
      <c r="CV129" s="1758"/>
      <c r="CW129" s="1759"/>
      <c r="CX129" s="1757">
        <f>+'1869 Hacienda'!B13</f>
        <v>2883758</v>
      </c>
      <c r="CY129" s="1758"/>
      <c r="CZ129" s="1759"/>
      <c r="DA129" s="1757">
        <f>+'1872 Hacienda'!B18</f>
        <v>3570580</v>
      </c>
      <c r="DB129" s="1758">
        <f>+'1872 Hacienda'!C18</f>
        <v>21</v>
      </c>
      <c r="DC129" s="1759">
        <f>+'1872 Hacienda'!D18</f>
        <v>0.5</v>
      </c>
      <c r="DD129" s="1757"/>
      <c r="DE129" s="1758"/>
      <c r="DF129" s="1759"/>
      <c r="DG129" s="1757"/>
      <c r="DH129" s="1758"/>
      <c r="DI129" s="1759"/>
      <c r="DJ129" s="1757">
        <f>+'1875 Hacienda'!B18</f>
        <v>3921000</v>
      </c>
      <c r="DK129" s="1758"/>
      <c r="DL129" s="1759"/>
      <c r="DM129" s="1757"/>
      <c r="DN129" s="1758"/>
      <c r="DO129" s="1759"/>
      <c r="DP129" s="1757"/>
      <c r="DQ129" s="1758"/>
      <c r="DR129" s="1759"/>
      <c r="DS129" s="1757"/>
      <c r="DT129" s="1758"/>
      <c r="DU129" s="1759"/>
      <c r="DV129" s="1757">
        <f>+'1879 Hacienda'!B54</f>
        <v>4025112</v>
      </c>
      <c r="DW129" s="1758">
        <f>+'1879 Hacienda'!C54</f>
        <v>15</v>
      </c>
      <c r="DX129" s="1759"/>
      <c r="DY129" s="1757">
        <f>+'1880 Hacienda'!B18</f>
        <v>5919547</v>
      </c>
      <c r="DZ129" s="1758">
        <f>+'1880 Hacienda'!C18</f>
        <v>98</v>
      </c>
      <c r="EA129" s="1759">
        <f>+'1880 Hacienda'!D18</f>
        <v>0.5</v>
      </c>
      <c r="EB129" s="1757">
        <f>+'1881 Hacienda'!B18</f>
        <v>6025835</v>
      </c>
      <c r="EC129" s="1758">
        <f>+'1881 Hacienda'!C18</f>
        <v>959</v>
      </c>
      <c r="ED129" s="1759">
        <f>+'1881 Hacienda'!D18</f>
        <v>0.5</v>
      </c>
      <c r="EE129" s="1757">
        <f>+'1882 Hacienda'!B19</f>
        <v>7019094</v>
      </c>
      <c r="EF129" s="1758">
        <f>+'1882 Hacienda'!C19</f>
        <v>33</v>
      </c>
      <c r="EG129" s="1759">
        <f>+'1882 Hacienda'!D19</f>
        <v>0.5</v>
      </c>
      <c r="EH129" s="1757">
        <f>+'1883 Hacienda'!B12</f>
        <v>5810890</v>
      </c>
      <c r="EI129" s="1758">
        <f>+'1883 Hacienda'!C12</f>
        <v>57</v>
      </c>
      <c r="EJ129" s="1759">
        <f>+'1883 Hacienda'!D12</f>
        <v>0.5</v>
      </c>
      <c r="EK129" s="1757"/>
      <c r="EL129" s="1760"/>
      <c r="EM129" s="1759"/>
      <c r="EN129" s="1757"/>
      <c r="EO129" s="1760"/>
      <c r="EP129" s="1759"/>
      <c r="EQ129" s="1757"/>
      <c r="ER129" s="1760"/>
      <c r="ES129" s="1759"/>
      <c r="ET129" s="1757"/>
      <c r="EU129" s="1760"/>
      <c r="EV129" s="1759"/>
      <c r="EW129" s="1757"/>
      <c r="EX129" s="1760"/>
      <c r="EY129" s="1759"/>
      <c r="EZ129" s="1757"/>
      <c r="FA129" s="1760"/>
      <c r="FB129" s="1759"/>
      <c r="FC129" s="1757">
        <f>+'1890 Hacienda'!B238</f>
        <v>25375705</v>
      </c>
      <c r="FD129" s="1760">
        <f>+'1890 Hacienda'!C238</f>
        <v>73</v>
      </c>
      <c r="FE129" s="1759">
        <f>+'1890 Hacienda'!D238</f>
        <v>0.25</v>
      </c>
      <c r="FF129" s="1757">
        <f>+'1890 Hacienda'!E238</f>
        <v>14014543</v>
      </c>
      <c r="FG129" s="1760">
        <f>+'1890 Hacienda'!F238</f>
        <v>93</v>
      </c>
      <c r="FH129" s="1759">
        <f>+'1890 Hacienda'!G238</f>
        <v>0.5</v>
      </c>
      <c r="FI129" s="1757"/>
      <c r="FJ129" s="1760"/>
      <c r="FK129" s="1759"/>
      <c r="FL129" s="1757">
        <f>+'1894 Hacienda'!C31</f>
        <v>13557646</v>
      </c>
      <c r="FM129" s="1760">
        <f>+'1894 Hacienda'!D31</f>
        <v>56</v>
      </c>
      <c r="FN129" s="1759"/>
      <c r="FO129" s="1757">
        <f>+'1894 Hacienda'!F31</f>
        <v>12465513</v>
      </c>
      <c r="FP129" s="1760">
        <f>+'1894 Hacienda'!G31</f>
        <v>67</v>
      </c>
      <c r="FQ129" s="1759"/>
      <c r="FR129" s="1757">
        <f>+'1896 Hacienda'!C33</f>
        <v>14038788</v>
      </c>
      <c r="FS129" s="1760">
        <f>+'1896 Hacienda'!D33</f>
        <v>5</v>
      </c>
      <c r="FT129" s="1759">
        <f>+'1896 Hacienda'!E33</f>
        <v>0.5</v>
      </c>
      <c r="FU129" s="1757">
        <f>+'1896 Hacienda'!F33</f>
        <v>13273592</v>
      </c>
      <c r="FV129" s="1760">
        <f>+'1896 Hacienda'!G33</f>
        <v>96</v>
      </c>
      <c r="FW129" s="1759">
        <f>+'1896 Hacienda'!H33</f>
        <v>0.5</v>
      </c>
      <c r="FX129" s="1757">
        <f>+'1896 Hacienda'!L33</f>
        <v>16242784</v>
      </c>
      <c r="FY129" s="1760">
        <f>+'1896 Hacienda'!M33</f>
        <v>39</v>
      </c>
      <c r="FZ129" s="1759">
        <f>+'1896 Hacienda'!N33</f>
        <v>0.5</v>
      </c>
      <c r="GA129" s="1757">
        <f>+'1898 Hacienda'!E31</f>
        <v>20444489</v>
      </c>
      <c r="GB129" s="1760">
        <f>+'1898 Hacienda'!F31</f>
        <v>40</v>
      </c>
      <c r="GC129" s="1759">
        <f>+'1898 Hacienda'!G31</f>
        <v>0.5</v>
      </c>
      <c r="GD129" s="1757">
        <f>+'1898 Hacienda'!K31</f>
        <v>19519431</v>
      </c>
      <c r="GE129" s="1760">
        <f>+'1898 Hacienda'!L31</f>
        <v>46</v>
      </c>
      <c r="GF129" s="1759">
        <f>+'1898 Hacienda'!M31</f>
        <v>0.5</v>
      </c>
      <c r="GG129" s="1757"/>
      <c r="GH129" s="1760"/>
      <c r="GI129" s="1759"/>
      <c r="GJ129" s="1757"/>
      <c r="GK129" s="1760"/>
      <c r="GL129" s="1759"/>
      <c r="GM129" s="1757"/>
      <c r="GN129" s="1760"/>
      <c r="GO129" s="1759"/>
      <c r="GP129" s="1757"/>
      <c r="GQ129" s="1760"/>
      <c r="GR129" s="1759"/>
      <c r="GS129" s="1757"/>
      <c r="GT129" s="1760"/>
      <c r="GU129" s="1759"/>
      <c r="GV129" s="1757"/>
      <c r="GW129" s="1760"/>
      <c r="GX129" s="1759"/>
      <c r="GY129" s="1763"/>
      <c r="HA129" s="1764"/>
      <c r="HB129" s="1757">
        <f>'1910 Hacienda'!C22</f>
        <v>9149012</v>
      </c>
      <c r="HC129" s="1762">
        <f>'1910 Hacienda'!D22</f>
        <v>20</v>
      </c>
      <c r="HD129" s="1757">
        <f>'1910 Hacienda'!C50</f>
        <v>13935674</v>
      </c>
      <c r="HE129" s="1762">
        <f>'1910 Hacienda'!D50</f>
        <v>22</v>
      </c>
      <c r="HF129" s="1757">
        <f>'1910 Hacienda'!C80</f>
        <v>15829655</v>
      </c>
      <c r="HG129" s="1762">
        <f>'1910 Hacienda'!D80</f>
        <v>59</v>
      </c>
      <c r="HH129" s="1757">
        <f>'1910 Hacienda'!C121</f>
        <v>16138444</v>
      </c>
      <c r="HI129" s="1762">
        <f>'1910 Hacienda'!D121</f>
        <v>48</v>
      </c>
      <c r="HJ129" s="1757">
        <f>+'1910 Hacienda'!C158</f>
        <v>14437100</v>
      </c>
      <c r="HK129" s="1762">
        <f>+'1910 Hacienda'!D158</f>
        <v>4</v>
      </c>
      <c r="HL129" s="1757">
        <f>+'1911 Hacienda'!B49</f>
        <v>12220760</v>
      </c>
      <c r="HM129" s="1762">
        <f>+'1911 Hacienda'!C49</f>
        <v>44</v>
      </c>
      <c r="HN129" s="1757">
        <f>+'1912 Hacienda'!B66</f>
        <v>12450489</v>
      </c>
      <c r="HO129" s="1762">
        <f>+'1912 Hacienda'!C66</f>
        <v>46</v>
      </c>
      <c r="HP129" s="1757">
        <f>+'1912 Hacienda'!B35</f>
        <v>13862317</v>
      </c>
      <c r="HQ129" s="1762">
        <f>+'1912 Hacienda'!C35</f>
        <v>37</v>
      </c>
      <c r="HR129" s="1757">
        <f>+'1915 Hacienda'!D42</f>
        <v>17385921</v>
      </c>
      <c r="HS129" s="1762">
        <f>+'1915 Hacienda'!E42</f>
        <v>58</v>
      </c>
      <c r="HT129" s="1757">
        <f>+'1915 Hacienda'!D39</f>
        <v>13649582</v>
      </c>
      <c r="HU129" s="1762">
        <f>+'1915 Hacienda'!E39</f>
        <v>6</v>
      </c>
    </row>
    <row r="130" spans="1:229" s="1732" customFormat="1" x14ac:dyDescent="0.2">
      <c r="B130" s="434"/>
      <c r="C130" s="435"/>
      <c r="D130" s="1765"/>
      <c r="E130" s="434"/>
      <c r="F130" s="435"/>
      <c r="G130" s="1765"/>
      <c r="H130" s="434"/>
      <c r="I130" s="435"/>
      <c r="J130" s="1765"/>
      <c r="K130" s="434"/>
      <c r="L130" s="435"/>
      <c r="M130" s="1765"/>
      <c r="N130" s="434"/>
      <c r="O130" s="435"/>
      <c r="P130" s="1765"/>
      <c r="Q130" s="434"/>
      <c r="R130" s="435"/>
      <c r="S130" s="1765"/>
      <c r="T130" s="434"/>
      <c r="U130" s="435"/>
      <c r="V130" s="1765"/>
      <c r="W130" s="434"/>
      <c r="X130" s="435"/>
      <c r="Y130" s="1765"/>
      <c r="Z130" s="434"/>
      <c r="AA130" s="435"/>
      <c r="AB130" s="1765"/>
      <c r="AC130" s="434"/>
      <c r="AD130" s="435"/>
      <c r="AE130" s="1765"/>
      <c r="AF130" s="434"/>
      <c r="AG130" s="435"/>
      <c r="AH130" s="1765"/>
      <c r="AI130" s="435">
        <f>AI2+AI9+AI10+AI12+AI14+AI32</f>
        <v>2972547</v>
      </c>
      <c r="AJ130" s="435">
        <f>AJ2+AJ9+AJ10+AJ12+AJ14+AJ32</f>
        <v>18</v>
      </c>
      <c r="AK130" s="1765">
        <f>AK2+AK9+AK10+AK12+AK14+AK32</f>
        <v>1.75</v>
      </c>
      <c r="AL130" s="434">
        <f t="shared" ref="AL130:AQ130" si="0">AL2+AL9+AL10+AL12+AL15+AL16+AL19+AL20+AL21+AL22+AL23+AL24+AL27+AL28+AL29+AL30+AL31+AL33</f>
        <v>2972742</v>
      </c>
      <c r="AM130" s="435">
        <f t="shared" si="0"/>
        <v>75</v>
      </c>
      <c r="AN130" s="1765">
        <f t="shared" si="0"/>
        <v>8.75</v>
      </c>
      <c r="AO130" s="434">
        <f t="shared" si="0"/>
        <v>4716170</v>
      </c>
      <c r="AP130" s="435">
        <f t="shared" si="0"/>
        <v>58</v>
      </c>
      <c r="AQ130" s="1765">
        <f t="shared" si="0"/>
        <v>7.5</v>
      </c>
      <c r="AR130" s="434"/>
      <c r="AS130" s="435"/>
      <c r="AT130" s="1765"/>
      <c r="AU130" s="434"/>
      <c r="AV130" s="435"/>
      <c r="AW130" s="434">
        <f>+SUM(AW2:AW108)</f>
        <v>2705050</v>
      </c>
      <c r="AX130" s="434">
        <f>+SUM(AX2:AX108)</f>
        <v>11590</v>
      </c>
      <c r="AY130" s="1766">
        <f>+SUM(AY2:AY108)</f>
        <v>2775498</v>
      </c>
      <c r="AZ130" s="1766">
        <f>+SUM(AZ2:AZ106)</f>
        <v>10598</v>
      </c>
      <c r="BA130" s="1766">
        <f>+SUM(BA2:BA106)</f>
        <v>3340122</v>
      </c>
      <c r="BB130" s="1766">
        <f>+SUM(BB2:BB106)</f>
        <v>9249</v>
      </c>
      <c r="BC130" s="434">
        <f>+SUM(BC2:BC111)</f>
        <v>1803261</v>
      </c>
      <c r="BD130" s="434">
        <f>+SUM(BD2:BD111)</f>
        <v>11153</v>
      </c>
      <c r="BE130" s="434">
        <f>+SUM(BE2:BE112)</f>
        <v>1766911</v>
      </c>
      <c r="BF130" s="434">
        <f>+SUM(BF2:BF112)</f>
        <v>5667</v>
      </c>
      <c r="BG130" s="434">
        <f>+SUM(BG2:BG112)</f>
        <v>2123477</v>
      </c>
      <c r="BH130" s="434">
        <f>+SUM(BH2:BH112)</f>
        <v>8705</v>
      </c>
      <c r="BI130" s="434">
        <f>+SUM(BI2:BI113)</f>
        <v>1790819</v>
      </c>
      <c r="BJ130" s="434">
        <f>+SUM(BJ2:BJ112)</f>
        <v>7139</v>
      </c>
      <c r="BK130" s="434">
        <f>+SUM(BK2:BK114)</f>
        <v>3377217</v>
      </c>
      <c r="BL130" s="434">
        <f>+SUM(BL2:BL112)</f>
        <v>5678</v>
      </c>
      <c r="BM130" s="1767">
        <f>+SUM(BM2:BM114)</f>
        <v>1880206</v>
      </c>
      <c r="BN130" s="1767">
        <f>+SUM(BN2:BN112)</f>
        <v>7581</v>
      </c>
      <c r="BO130" s="434"/>
      <c r="BP130" s="435"/>
      <c r="BQ130" s="434">
        <f>+SUM(BQ2:BQ114)</f>
        <v>1689061</v>
      </c>
      <c r="BR130" s="435">
        <f>+SUM(BR2:BR114)</f>
        <v>420</v>
      </c>
      <c r="BS130" s="1765">
        <f>+SUM(BS2:BS114)</f>
        <v>2.375</v>
      </c>
      <c r="BT130" s="434"/>
      <c r="BU130" s="435"/>
      <c r="BV130" s="434"/>
      <c r="BW130" s="435"/>
      <c r="BX130" s="434"/>
      <c r="BY130" s="435"/>
      <c r="BZ130" s="434"/>
      <c r="CA130" s="435"/>
      <c r="CB130" s="1765"/>
      <c r="CC130" s="434"/>
      <c r="CD130" s="435"/>
      <c r="CE130" s="1765"/>
      <c r="CF130" s="434"/>
      <c r="CG130" s="435"/>
      <c r="CH130" s="1765"/>
      <c r="CI130" s="434">
        <f>+SUM(CI2:CI115)</f>
        <v>2106891</v>
      </c>
      <c r="CJ130" s="435"/>
      <c r="CK130" s="1765"/>
      <c r="CL130" s="1768">
        <f>+SUM(CL2:CL115)</f>
        <v>2138651</v>
      </c>
      <c r="CM130" s="1175"/>
      <c r="CN130" s="1769"/>
      <c r="CO130" s="1768">
        <f>+SUM(CO2:CO115)</f>
        <v>3381421</v>
      </c>
      <c r="CP130" s="1175"/>
      <c r="CQ130" s="1769"/>
      <c r="CR130" s="1768">
        <f>+SUM(CR2:CR115)</f>
        <v>2965610</v>
      </c>
      <c r="CS130" s="1175"/>
      <c r="CT130" s="1769"/>
      <c r="CU130" s="1768">
        <f>+SUM(CU2:CU117)</f>
        <v>3288379</v>
      </c>
      <c r="CV130" s="1175"/>
      <c r="CW130" s="1769"/>
      <c r="CX130" s="434">
        <f>+SUM(CX2:CX115)</f>
        <v>2883758</v>
      </c>
      <c r="CY130" s="435">
        <f>+SUM(CY2:CY115)</f>
        <v>0</v>
      </c>
      <c r="CZ130" s="1765">
        <f>+SUM(CZ2:CZ115)</f>
        <v>0</v>
      </c>
      <c r="DA130" s="434">
        <f>+SUM(DA2:DA117)</f>
        <v>3570575</v>
      </c>
      <c r="DB130" s="435">
        <f>+SUM(DB2:DB117)</f>
        <v>520</v>
      </c>
      <c r="DC130" s="1765">
        <f>+SUM(DC2:DC117)</f>
        <v>1.5</v>
      </c>
      <c r="DD130" s="434"/>
      <c r="DE130" s="435"/>
      <c r="DF130" s="1765"/>
      <c r="DG130" s="434"/>
      <c r="DH130" s="435"/>
      <c r="DI130" s="1765"/>
      <c r="DJ130" s="434">
        <f>+SUM(DJ2:DJ117)</f>
        <v>3921000</v>
      </c>
      <c r="DK130" s="435"/>
      <c r="DL130" s="1765"/>
      <c r="DM130" s="434"/>
      <c r="DN130" s="435"/>
      <c r="DO130" s="1765"/>
      <c r="DP130" s="434"/>
      <c r="DQ130" s="435"/>
      <c r="DR130" s="1765"/>
      <c r="DS130" s="434"/>
      <c r="DT130" s="435"/>
      <c r="DU130" s="1765"/>
      <c r="DV130" s="434"/>
      <c r="DW130" s="435"/>
      <c r="DX130" s="1765"/>
      <c r="DY130" s="434">
        <f t="shared" ref="DY130:ED130" si="1">+SUM(DY2:DY117)</f>
        <v>5919544</v>
      </c>
      <c r="DZ130" s="435">
        <f t="shared" si="1"/>
        <v>398</v>
      </c>
      <c r="EA130" s="1765">
        <f t="shared" si="1"/>
        <v>0.5</v>
      </c>
      <c r="EB130" s="434">
        <f t="shared" si="1"/>
        <v>6025830</v>
      </c>
      <c r="EC130" s="435">
        <f t="shared" si="1"/>
        <v>5959</v>
      </c>
      <c r="ED130" s="1765">
        <f t="shared" si="1"/>
        <v>0.5</v>
      </c>
      <c r="EE130" s="434">
        <f t="shared" ref="EE130:EJ130" si="2">+SUM(EE2:EE119)</f>
        <v>7019090</v>
      </c>
      <c r="EF130" s="435">
        <f t="shared" si="2"/>
        <v>432</v>
      </c>
      <c r="EG130" s="1765">
        <f t="shared" si="2"/>
        <v>1.5</v>
      </c>
      <c r="EH130" s="434">
        <f t="shared" si="2"/>
        <v>5810889</v>
      </c>
      <c r="EI130" s="435">
        <f t="shared" si="2"/>
        <v>157</v>
      </c>
      <c r="EJ130" s="1765">
        <f t="shared" si="2"/>
        <v>0.5</v>
      </c>
      <c r="EK130" s="246"/>
      <c r="EL130" s="1117"/>
      <c r="EM130" s="1770"/>
      <c r="EN130" s="246"/>
      <c r="EO130" s="1117"/>
      <c r="EP130" s="1770"/>
      <c r="EQ130" s="246"/>
      <c r="ER130" s="1117"/>
      <c r="ES130" s="1770"/>
      <c r="ET130" s="246"/>
      <c r="EU130" s="1117"/>
      <c r="EV130" s="1770"/>
      <c r="EW130" s="246"/>
      <c r="EX130" s="1117"/>
      <c r="EY130" s="1770"/>
      <c r="EZ130" s="246"/>
      <c r="FA130" s="1117"/>
      <c r="FB130" s="1770"/>
      <c r="FC130" s="246">
        <f>+SUM(FC2:FC122)</f>
        <v>25375700</v>
      </c>
      <c r="FD130" s="1117">
        <f>+SUM(FD2:FD122)</f>
        <v>572</v>
      </c>
      <c r="FE130" s="1770">
        <f>+SUM(FE2:FE122)</f>
        <v>1.25</v>
      </c>
      <c r="FF130" s="246">
        <f>+SUM(FF2:FF122)-(FF17+FF18)</f>
        <v>14014538</v>
      </c>
      <c r="FG130" s="1117">
        <f>+SUM(FG2:FG122)</f>
        <v>633</v>
      </c>
      <c r="FH130" s="1770">
        <f>+SUM(FH2:FH122)</f>
        <v>0.5</v>
      </c>
      <c r="FI130" s="246"/>
      <c r="FJ130" s="1117"/>
      <c r="FK130" s="1770"/>
      <c r="FL130" s="246">
        <f>+SUM(FL2:FL125)</f>
        <v>13557641</v>
      </c>
      <c r="FM130" s="1117">
        <f t="shared" ref="FM130:FQ130" si="3">+SUM(FM2:FM125)</f>
        <v>555</v>
      </c>
      <c r="FN130" s="1770">
        <f t="shared" si="3"/>
        <v>1</v>
      </c>
      <c r="FO130" s="246">
        <f>+SUM(FO2:FO125)</f>
        <v>12465505</v>
      </c>
      <c r="FP130" s="1117">
        <f t="shared" si="3"/>
        <v>865</v>
      </c>
      <c r="FQ130" s="1770">
        <f t="shared" si="3"/>
        <v>2</v>
      </c>
      <c r="FR130" s="246">
        <f>+SUM(FR2:FR128)</f>
        <v>14038781</v>
      </c>
      <c r="FS130" s="1117">
        <f t="shared" ref="FS130:FW130" si="4">+SUM(FS2:FS128)</f>
        <v>703</v>
      </c>
      <c r="FT130" s="1770">
        <f t="shared" si="4"/>
        <v>2.5</v>
      </c>
      <c r="FU130" s="246">
        <f t="shared" si="4"/>
        <v>13273585</v>
      </c>
      <c r="FV130" s="1117">
        <f t="shared" si="4"/>
        <v>796</v>
      </c>
      <c r="FW130" s="1770">
        <f t="shared" si="4"/>
        <v>0.5</v>
      </c>
      <c r="FX130" s="246">
        <f>+SUM(FX2:FX128)-(FX66+FX62)</f>
        <v>16242776</v>
      </c>
      <c r="FY130" s="1117">
        <f>+SUM(FY2:FY128)-(FY66+FY62)</f>
        <v>839</v>
      </c>
      <c r="FZ130" s="1770">
        <f>+SUM(FZ2:FZ128)-(FZ66+FZ62)</f>
        <v>0.5</v>
      </c>
      <c r="GA130" s="246">
        <f>+SUM(GA2:GA128)</f>
        <v>20444481</v>
      </c>
      <c r="GB130" s="1117">
        <f t="shared" ref="GB130:GC130" si="5">+SUM(GB2:GB128)</f>
        <v>839</v>
      </c>
      <c r="GC130" s="1770">
        <f t="shared" si="5"/>
        <v>1.5</v>
      </c>
      <c r="GD130" s="246">
        <f>+SUM(GD2:GD128)</f>
        <v>19519421</v>
      </c>
      <c r="GE130" s="1117">
        <f>+SUM(GE2:GE128)</f>
        <v>1046</v>
      </c>
      <c r="GF130" s="1770">
        <f>+SUM(GF2:GF128)</f>
        <v>0.5</v>
      </c>
      <c r="GG130" s="246"/>
      <c r="GH130" s="1117"/>
      <c r="GI130" s="1770"/>
      <c r="GJ130" s="246"/>
      <c r="GK130" s="1117"/>
      <c r="GL130" s="1770"/>
      <c r="GM130" s="246"/>
      <c r="GN130" s="1117"/>
      <c r="GO130" s="1770"/>
      <c r="GP130" s="246"/>
      <c r="GQ130" s="1117"/>
      <c r="GR130" s="1770"/>
      <c r="GS130" s="246"/>
      <c r="GT130" s="1117"/>
      <c r="GU130" s="1770"/>
      <c r="GV130" s="246"/>
      <c r="GW130" s="1117"/>
      <c r="GX130" s="1770"/>
      <c r="HB130" s="393">
        <f>+SUM(HB2:HB57)</f>
        <v>9149004</v>
      </c>
      <c r="HC130" s="393">
        <f>+SUM(HC2:HC57)</f>
        <v>820</v>
      </c>
      <c r="HD130" s="393">
        <f>SUM(HD2:HD69)</f>
        <v>13935665</v>
      </c>
      <c r="HE130" s="393">
        <f>SUM(HE2:HE69)</f>
        <v>922</v>
      </c>
      <c r="HF130" s="393">
        <f>+SUM(HF2:HF71)</f>
        <v>15829645</v>
      </c>
      <c r="HG130" s="393">
        <f>+SUM(HG2:HG71)</f>
        <v>1059</v>
      </c>
      <c r="HH130" s="393">
        <f>+SUM(HH2:HH85)</f>
        <v>16138397</v>
      </c>
      <c r="HI130" s="393">
        <f>+SUM(HI2:HI85)</f>
        <v>1748</v>
      </c>
      <c r="HJ130" s="393">
        <f>+SUM(HJ2:HJ88)</f>
        <v>14437087</v>
      </c>
      <c r="HK130" s="393">
        <f>+SUM(HK2:HK88)</f>
        <v>1304</v>
      </c>
      <c r="HL130" s="393">
        <f>+SUM(HL2:HL92)</f>
        <v>12529547</v>
      </c>
      <c r="HM130" s="393">
        <f>+SUM(HM7:HM92)</f>
        <v>1226</v>
      </c>
      <c r="HP130" s="393">
        <f>+HP2+HP3+HP9+HP17+HP18+HP19+HP34+HP35+HP36+HP39+HP43+HP46+HP47+HP53+HP55+HP68+HP88+HP90+HP91+HP93+HP94+HP95</f>
        <v>13862308</v>
      </c>
      <c r="HQ130" s="393">
        <f>+SUM(HQ2:HQ95)</f>
        <v>937</v>
      </c>
      <c r="HT130" s="393">
        <f>+HT4+HT5+HT6+HT7+HT9+HT17+HT18+HT19+HT34+HT35+HT36+HT39+HT42+HT44+HT45+HT46+HT47+HT53+HT55+HT68+HT88+HT90+HT91+HT96+HT97+HT98+HT99</f>
        <v>13649570</v>
      </c>
      <c r="HU130" s="393">
        <f>+SUM(HU4:HV99)</f>
        <v>1206</v>
      </c>
    </row>
    <row r="131" spans="1:229" x14ac:dyDescent="0.2">
      <c r="B131" s="107"/>
      <c r="D131" s="555"/>
      <c r="E131" s="107"/>
      <c r="G131" s="555"/>
      <c r="H131" s="107"/>
      <c r="J131" s="555"/>
      <c r="K131" s="107"/>
      <c r="M131" s="555"/>
      <c r="N131" s="107"/>
      <c r="P131" s="555"/>
      <c r="Q131" s="107"/>
      <c r="S131" s="555"/>
      <c r="T131" s="107"/>
      <c r="V131" s="555"/>
      <c r="W131" s="107"/>
      <c r="Y131" s="555"/>
      <c r="Z131" s="107"/>
      <c r="AB131" s="555"/>
      <c r="AC131" s="107"/>
      <c r="AE131" s="555"/>
      <c r="AF131" s="107"/>
      <c r="AH131" s="555"/>
      <c r="AI131" s="107"/>
      <c r="AK131" s="555"/>
      <c r="AL131" s="107"/>
      <c r="AN131" s="555"/>
      <c r="AO131" s="107"/>
      <c r="AQ131" s="555"/>
      <c r="AR131" s="107"/>
      <c r="AT131" s="555"/>
      <c r="AU131" s="107"/>
      <c r="AW131" s="107"/>
      <c r="AY131" s="107"/>
      <c r="BA131" s="107"/>
      <c r="BC131" s="107"/>
      <c r="BE131" s="107"/>
      <c r="BG131" s="107"/>
      <c r="BI131" s="107"/>
      <c r="BK131" s="107"/>
      <c r="BM131" s="107"/>
      <c r="BO131" s="107"/>
      <c r="BQ131" s="107"/>
      <c r="BS131" s="555"/>
      <c r="BT131" s="107"/>
      <c r="BV131" s="107"/>
      <c r="BX131" s="107"/>
      <c r="BZ131" s="107"/>
      <c r="CB131" s="555"/>
      <c r="CC131" s="107"/>
      <c r="CE131" s="555"/>
      <c r="CF131" s="107"/>
      <c r="CH131" s="555"/>
      <c r="CI131" s="107"/>
      <c r="CK131" s="555"/>
      <c r="CL131" s="107"/>
      <c r="CN131" s="555"/>
      <c r="CO131" s="107"/>
      <c r="CQ131" s="555"/>
      <c r="CR131" s="107"/>
      <c r="CT131" s="555"/>
      <c r="CU131" s="107"/>
      <c r="CW131" s="555"/>
      <c r="CX131" s="107"/>
      <c r="CZ131" s="555"/>
      <c r="EK131" s="107"/>
      <c r="EL131" s="107"/>
      <c r="EN131" s="107"/>
      <c r="EO131" s="107"/>
      <c r="EQ131" s="107"/>
      <c r="ER131" s="107"/>
      <c r="ET131" s="107"/>
      <c r="EU131" s="107"/>
      <c r="EW131" s="107"/>
      <c r="EX131" s="107"/>
      <c r="EZ131" s="107"/>
      <c r="FA131" s="107"/>
      <c r="FC131" s="107"/>
      <c r="FD131" s="107"/>
      <c r="FF131" s="107"/>
      <c r="FG131" s="107"/>
      <c r="FI131" s="107"/>
      <c r="FJ131" s="107"/>
      <c r="FL131" s="107"/>
      <c r="FM131" s="107"/>
      <c r="FO131" s="107"/>
      <c r="FP131" s="107"/>
      <c r="FR131" s="107"/>
      <c r="FS131" s="107"/>
      <c r="FU131" s="107"/>
      <c r="FV131" s="107"/>
      <c r="FX131" s="107"/>
      <c r="FY131" s="107"/>
      <c r="GA131" s="107"/>
      <c r="GB131" s="107"/>
      <c r="GD131" s="107"/>
      <c r="GE131" s="107"/>
      <c r="GG131" s="107"/>
      <c r="GH131" s="107"/>
      <c r="GJ131" s="107"/>
      <c r="GK131" s="107"/>
      <c r="GM131" s="107"/>
      <c r="GN131" s="107"/>
      <c r="GP131" s="107"/>
      <c r="GQ131" s="107"/>
      <c r="GS131" s="107"/>
      <c r="GT131" s="107"/>
      <c r="GV131" s="107"/>
      <c r="GW131" s="107"/>
    </row>
  </sheetData>
  <mergeCells count="84">
    <mergeCell ref="HJ1:HK1"/>
    <mergeCell ref="HL1:HM1"/>
    <mergeCell ref="HN1:HO1"/>
    <mergeCell ref="HP1:HQ1"/>
    <mergeCell ref="HR1:HS1"/>
    <mergeCell ref="HT1:HU1"/>
    <mergeCell ref="GV1:GX1"/>
    <mergeCell ref="GY1:HA1"/>
    <mergeCell ref="HB1:HC1"/>
    <mergeCell ref="HD1:HE1"/>
    <mergeCell ref="HF1:HG1"/>
    <mergeCell ref="HH1:HI1"/>
    <mergeCell ref="GD1:GF1"/>
    <mergeCell ref="GG1:GI1"/>
    <mergeCell ref="GJ1:GL1"/>
    <mergeCell ref="GM1:GO1"/>
    <mergeCell ref="GP1:GR1"/>
    <mergeCell ref="GS1:GU1"/>
    <mergeCell ref="FL1:FN1"/>
    <mergeCell ref="FO1:FQ1"/>
    <mergeCell ref="FR1:FT1"/>
    <mergeCell ref="FU1:FW1"/>
    <mergeCell ref="FX1:FZ1"/>
    <mergeCell ref="GA1:GC1"/>
    <mergeCell ref="ET1:EV1"/>
    <mergeCell ref="EW1:EY1"/>
    <mergeCell ref="EZ1:FB1"/>
    <mergeCell ref="FC1:FE1"/>
    <mergeCell ref="FF1:FH1"/>
    <mergeCell ref="FI1:FK1"/>
    <mergeCell ref="EB1:ED1"/>
    <mergeCell ref="EE1:EG1"/>
    <mergeCell ref="EH1:EJ1"/>
    <mergeCell ref="EK1:EM1"/>
    <mergeCell ref="EN1:EP1"/>
    <mergeCell ref="EQ1:ES1"/>
    <mergeCell ref="DJ1:DL1"/>
    <mergeCell ref="DM1:DO1"/>
    <mergeCell ref="DP1:DR1"/>
    <mergeCell ref="DS1:DU1"/>
    <mergeCell ref="DV1:DX1"/>
    <mergeCell ref="DY1:EA1"/>
    <mergeCell ref="CR1:CT1"/>
    <mergeCell ref="CU1:CW1"/>
    <mergeCell ref="CX1:CZ1"/>
    <mergeCell ref="DA1:DC1"/>
    <mergeCell ref="DD1:DF1"/>
    <mergeCell ref="DG1:DI1"/>
    <mergeCell ref="BZ1:CB1"/>
    <mergeCell ref="CC1:CE1"/>
    <mergeCell ref="CF1:CH1"/>
    <mergeCell ref="CI1:CK1"/>
    <mergeCell ref="CL1:CN1"/>
    <mergeCell ref="CO1:CQ1"/>
    <mergeCell ref="BM1:BN1"/>
    <mergeCell ref="BO1:BP1"/>
    <mergeCell ref="BQ1:BS1"/>
    <mergeCell ref="BT1:BU1"/>
    <mergeCell ref="BV1:BW1"/>
    <mergeCell ref="BX1:BY1"/>
    <mergeCell ref="BA1:BB1"/>
    <mergeCell ref="BC1:BD1"/>
    <mergeCell ref="BE1:BF1"/>
    <mergeCell ref="BG1:BH1"/>
    <mergeCell ref="BI1:BJ1"/>
    <mergeCell ref="BK1:BL1"/>
    <mergeCell ref="AL1:AN1"/>
    <mergeCell ref="AO1:AQ1"/>
    <mergeCell ref="AR1:AT1"/>
    <mergeCell ref="AU1:AV1"/>
    <mergeCell ref="AW1:AX1"/>
    <mergeCell ref="AY1:AZ1"/>
    <mergeCell ref="T1:V1"/>
    <mergeCell ref="W1:Y1"/>
    <mergeCell ref="Z1:AB1"/>
    <mergeCell ref="AC1:AE1"/>
    <mergeCell ref="AF1:AH1"/>
    <mergeCell ref="AI1:AK1"/>
    <mergeCell ref="B1:D1"/>
    <mergeCell ref="E1:G1"/>
    <mergeCell ref="H1:J1"/>
    <mergeCell ref="K1:M1"/>
    <mergeCell ref="N1:P1"/>
    <mergeCell ref="Q1:S1"/>
  </mergeCells>
  <pageMargins left="0.7" right="0.7" top="0.75" bottom="0.75" header="0.3" footer="0.3"/>
  <legacyDrawing r:id="rId1"/>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5" tint="0.39997558519241921"/>
  </sheetPr>
  <dimension ref="A1:GL43"/>
  <sheetViews>
    <sheetView workbookViewId="0">
      <pane xSplit="1" topLeftCell="B1" activePane="topRight" state="frozenSplit"/>
      <selection activeCell="B1" sqref="B1"/>
      <selection pane="topRight" activeCell="B1" sqref="B1"/>
    </sheetView>
  </sheetViews>
  <sheetFormatPr baseColWidth="10" defaultRowHeight="15" x14ac:dyDescent="0.2"/>
  <cols>
    <col min="1" max="1" width="38.6640625" style="106" customWidth="1"/>
    <col min="2" max="2" width="11.83203125" style="106" customWidth="1"/>
    <col min="3" max="3" width="5" style="106" customWidth="1"/>
    <col min="4" max="4" width="6.5" style="106" customWidth="1"/>
    <col min="5" max="5" width="10.83203125" style="106"/>
    <col min="6" max="6" width="5.6640625" style="106" customWidth="1"/>
    <col min="7" max="7" width="5.33203125" style="106" customWidth="1"/>
    <col min="8" max="8" width="10.83203125" style="106"/>
    <col min="9" max="9" width="5.33203125" style="106" customWidth="1"/>
    <col min="10" max="10" width="5.1640625" style="106" customWidth="1"/>
    <col min="11" max="11" width="10.83203125" style="106"/>
    <col min="12" max="12" width="5.33203125" style="106" customWidth="1"/>
    <col min="13" max="13" width="4.83203125" style="106" customWidth="1"/>
    <col min="14" max="14" width="10.83203125" style="106"/>
    <col min="15" max="15" width="5.33203125" style="106" customWidth="1"/>
    <col min="16" max="16" width="4.83203125" style="106" customWidth="1"/>
    <col min="17" max="17" width="10.83203125" style="106"/>
    <col min="18" max="18" width="5.33203125" style="106" customWidth="1"/>
    <col min="19" max="19" width="10.83203125" style="106"/>
    <col min="20" max="20" width="5.33203125" style="106" customWidth="1"/>
    <col min="21" max="21" width="10.83203125" style="106"/>
    <col min="22" max="22" width="5.33203125" style="106" customWidth="1"/>
    <col min="23" max="23" width="10.83203125" style="106"/>
    <col min="24" max="24" width="5.33203125" style="106" customWidth="1"/>
    <col min="25" max="25" width="10.83203125" style="106"/>
    <col min="26" max="26" width="5.33203125" style="106" customWidth="1"/>
    <col min="27" max="27" width="10.83203125" style="106"/>
    <col min="28" max="28" width="5.33203125" style="106" customWidth="1"/>
    <col min="29" max="29" width="10.83203125" style="106"/>
    <col min="30" max="30" width="5.33203125" style="106" customWidth="1"/>
    <col min="31" max="31" width="10.83203125" style="106"/>
    <col min="32" max="32" width="5.33203125" style="106" customWidth="1"/>
    <col min="33" max="33" width="10.83203125" style="106"/>
    <col min="34" max="34" width="5.33203125" style="106" customWidth="1"/>
    <col min="35" max="35" width="10.83203125" style="106"/>
    <col min="36" max="36" width="5.33203125" style="106" customWidth="1"/>
    <col min="37" max="37" width="10.83203125" style="106"/>
    <col min="38" max="38" width="5.33203125" style="106" customWidth="1"/>
    <col min="39" max="39" width="10.83203125" style="106"/>
    <col min="40" max="40" width="5.33203125" style="106" customWidth="1"/>
    <col min="41" max="41" width="4.83203125" style="106" customWidth="1"/>
    <col min="42" max="42" width="10.83203125" style="106"/>
    <col min="43" max="43" width="5.33203125" style="106" customWidth="1"/>
    <col min="44" max="44" width="4.83203125" style="106" customWidth="1"/>
    <col min="45" max="45" width="10.83203125" style="106"/>
    <col min="46" max="46" width="5.33203125" style="106" customWidth="1"/>
    <col min="47" max="47" width="4.83203125" style="106" customWidth="1"/>
    <col min="48" max="48" width="10.83203125" style="106"/>
    <col min="49" max="49" width="5.33203125" style="106" customWidth="1"/>
    <col min="50" max="50" width="4.83203125" style="106" customWidth="1"/>
    <col min="51" max="51" width="10.83203125" style="106"/>
    <col min="52" max="52" width="5.33203125" style="106" customWidth="1"/>
    <col min="53" max="53" width="4.83203125" style="106" customWidth="1"/>
    <col min="54" max="54" width="10.83203125" style="106"/>
    <col min="55" max="55" width="5.33203125" style="106" customWidth="1"/>
    <col min="56" max="56" width="4.83203125" style="106" customWidth="1"/>
    <col min="57" max="57" width="10.83203125" style="106"/>
    <col min="58" max="58" width="5.33203125" style="106" customWidth="1"/>
    <col min="59" max="59" width="4.83203125" style="106" customWidth="1"/>
    <col min="60" max="60" width="10.83203125" style="106"/>
    <col min="61" max="61" width="5.33203125" style="106" customWidth="1"/>
    <col min="62" max="62" width="4.83203125" style="106" customWidth="1"/>
    <col min="63" max="63" width="10.83203125" style="106"/>
    <col min="64" max="64" width="5.33203125" style="106" customWidth="1"/>
    <col min="65" max="65" width="4.83203125" style="106" customWidth="1"/>
    <col min="66" max="66" width="10.83203125" style="106"/>
    <col min="67" max="67" width="5.33203125" style="106" customWidth="1"/>
    <col min="68" max="68" width="4.83203125" style="106" customWidth="1"/>
    <col min="69" max="69" width="10.83203125" style="106"/>
    <col min="70" max="70" width="5.33203125" style="106" customWidth="1"/>
    <col min="71" max="71" width="4.83203125" style="106" customWidth="1"/>
    <col min="72" max="72" width="10.83203125" style="106"/>
    <col min="73" max="73" width="5.33203125" style="106" customWidth="1"/>
    <col min="74" max="74" width="4.83203125" style="106" customWidth="1"/>
    <col min="75" max="75" width="10.83203125" style="106"/>
    <col min="76" max="76" width="5.33203125" style="106" customWidth="1"/>
    <col min="77" max="77" width="4.83203125" style="106" customWidth="1"/>
    <col min="78" max="78" width="10.83203125" style="106"/>
    <col min="79" max="79" width="5.33203125" style="106" customWidth="1"/>
    <col min="80" max="80" width="4.83203125" style="106" customWidth="1"/>
    <col min="81" max="81" width="10.83203125" style="106"/>
    <col min="82" max="82" width="5.33203125" style="106" customWidth="1"/>
    <col min="83" max="83" width="4.83203125" style="106" customWidth="1"/>
    <col min="84" max="84" width="10.83203125" style="106"/>
    <col min="85" max="85" width="5.33203125" style="106" customWidth="1"/>
    <col min="86" max="86" width="4.83203125" style="106" customWidth="1"/>
    <col min="87" max="87" width="10.83203125" style="106"/>
    <col min="88" max="88" width="5.33203125" style="106" customWidth="1"/>
    <col min="89" max="89" width="4.83203125" style="106" customWidth="1"/>
    <col min="90" max="90" width="10.83203125" style="106"/>
    <col min="91" max="91" width="5.33203125" style="106" customWidth="1"/>
    <col min="92" max="92" width="4.83203125" style="106" customWidth="1"/>
    <col min="93" max="93" width="10.83203125" style="106"/>
    <col min="94" max="94" width="5.33203125" style="106" customWidth="1"/>
    <col min="95" max="95" width="4.83203125" style="106" customWidth="1"/>
    <col min="96" max="96" width="10.83203125" style="106"/>
    <col min="97" max="97" width="5.33203125" style="106" customWidth="1"/>
    <col min="98" max="98" width="4.83203125" style="106" customWidth="1"/>
    <col min="99" max="99" width="10.83203125" style="106"/>
    <col min="100" max="100" width="5.33203125" style="106" customWidth="1"/>
    <col min="101" max="101" width="4.83203125" style="106" customWidth="1"/>
    <col min="102" max="102" width="10.83203125" style="106"/>
    <col min="103" max="103" width="5.33203125" style="106" customWidth="1"/>
    <col min="104" max="104" width="4.83203125" style="106" customWidth="1"/>
    <col min="105" max="105" width="10.83203125" style="106"/>
    <col min="106" max="106" width="5.33203125" style="106" customWidth="1"/>
    <col min="107" max="107" width="4.83203125" style="106" customWidth="1"/>
    <col min="108" max="108" width="10.83203125" style="106"/>
    <col min="109" max="109" width="5.33203125" style="106" customWidth="1"/>
    <col min="110" max="110" width="4.83203125" style="106" customWidth="1"/>
    <col min="111" max="111" width="10.83203125" style="106"/>
    <col min="112" max="112" width="5.33203125" style="106" customWidth="1"/>
    <col min="113" max="113" width="4.83203125" style="106" customWidth="1"/>
    <col min="114" max="114" width="10.83203125" style="106"/>
    <col min="115" max="115" width="5.33203125" style="106" customWidth="1"/>
    <col min="116" max="116" width="4.83203125" style="106" customWidth="1"/>
    <col min="117" max="117" width="10.83203125" style="106"/>
    <col min="118" max="118" width="5.33203125" style="106" customWidth="1"/>
    <col min="119" max="119" width="4.83203125" style="106" customWidth="1"/>
    <col min="120" max="120" width="10.83203125" style="106"/>
    <col min="121" max="121" width="5.33203125" style="106" customWidth="1"/>
    <col min="122" max="122" width="4.83203125" style="106" customWidth="1"/>
    <col min="123" max="123" width="10.83203125" style="106"/>
    <col min="124" max="124" width="5.33203125" style="106" customWidth="1"/>
    <col min="125" max="125" width="4.83203125" style="106" customWidth="1"/>
    <col min="126" max="126" width="10.83203125" style="106"/>
    <col min="127" max="127" width="5.33203125" style="106" customWidth="1"/>
    <col min="128" max="128" width="4.83203125" style="106" customWidth="1"/>
    <col min="129" max="129" width="10.83203125" style="106"/>
    <col min="130" max="130" width="5.33203125" style="106" customWidth="1"/>
    <col min="131" max="131" width="4.83203125" style="106" customWidth="1"/>
    <col min="132" max="132" width="10.83203125" style="106"/>
    <col min="133" max="133" width="5.33203125" style="106" customWidth="1"/>
    <col min="134" max="134" width="4.83203125" style="106" customWidth="1"/>
    <col min="135" max="135" width="10.83203125" style="106"/>
    <col min="136" max="136" width="5.33203125" style="106" customWidth="1"/>
    <col min="137" max="137" width="4.83203125" style="106" customWidth="1"/>
    <col min="138" max="138" width="10.83203125" style="106"/>
    <col min="139" max="139" width="5.33203125" style="106" customWidth="1"/>
    <col min="140" max="140" width="4.83203125" style="106" customWidth="1"/>
    <col min="141" max="141" width="10.83203125" style="106"/>
    <col min="142" max="142" width="5.33203125" style="106" customWidth="1"/>
    <col min="143" max="143" width="4.83203125" style="106" customWidth="1"/>
    <col min="144" max="144" width="10.83203125" style="106"/>
    <col min="145" max="145" width="5.33203125" style="106" customWidth="1"/>
    <col min="146" max="146" width="4.83203125" style="106" customWidth="1"/>
    <col min="147" max="147" width="10.83203125" style="106"/>
    <col min="148" max="148" width="5.33203125" style="106" customWidth="1"/>
    <col min="149" max="149" width="4.83203125" style="106" customWidth="1"/>
    <col min="150" max="150" width="10.83203125" style="106"/>
    <col min="151" max="151" width="5.33203125" style="106" customWidth="1"/>
    <col min="152" max="152" width="4.83203125" style="106" customWidth="1"/>
    <col min="153" max="153" width="10.83203125" style="106"/>
    <col min="154" max="154" width="5.33203125" style="106" customWidth="1"/>
    <col min="155" max="155" width="4.83203125" style="106" customWidth="1"/>
    <col min="156" max="156" width="10.83203125" style="106"/>
    <col min="157" max="157" width="5.33203125" style="106" customWidth="1"/>
    <col min="158" max="158" width="4.83203125" style="106" customWidth="1"/>
    <col min="159" max="159" width="10.83203125" style="106"/>
    <col min="160" max="160" width="5.33203125" style="106" customWidth="1"/>
    <col min="161" max="161" width="4.83203125" style="106" customWidth="1"/>
    <col min="162" max="162" width="10.83203125" style="106"/>
    <col min="163" max="163" width="5.33203125" style="106" customWidth="1"/>
    <col min="164" max="164" width="4.83203125" style="106" customWidth="1"/>
    <col min="165" max="165" width="10.83203125" style="106"/>
    <col min="166" max="166" width="5.33203125" style="106" customWidth="1"/>
    <col min="167" max="167" width="4.83203125" style="106" customWidth="1"/>
    <col min="168" max="168" width="10.83203125" style="106"/>
    <col min="169" max="169" width="5.33203125" style="106" customWidth="1"/>
    <col min="170" max="170" width="4.83203125" style="106" customWidth="1"/>
    <col min="171" max="171" width="10.83203125" style="106"/>
    <col min="172" max="172" width="5.33203125" style="106" customWidth="1"/>
    <col min="173" max="173" width="4.83203125" style="106" customWidth="1"/>
    <col min="174" max="174" width="10.83203125" style="106"/>
    <col min="175" max="175" width="5.33203125" style="106" customWidth="1"/>
    <col min="176" max="176" width="4.83203125" style="106" customWidth="1"/>
    <col min="177" max="177" width="10.83203125" style="106"/>
    <col min="178" max="178" width="5.33203125" style="106" customWidth="1"/>
    <col min="179" max="179" width="10.83203125" style="106"/>
    <col min="180" max="180" width="5.33203125" style="106" customWidth="1"/>
    <col min="181" max="181" width="10.83203125" style="106"/>
    <col min="182" max="182" width="5.33203125" style="106" customWidth="1"/>
    <col min="183" max="183" width="10.83203125" style="106"/>
    <col min="184" max="184" width="5.33203125" style="106" customWidth="1"/>
    <col min="185" max="185" width="10.83203125" style="106"/>
    <col min="186" max="186" width="5.33203125" style="106" customWidth="1"/>
    <col min="187" max="187" width="10.83203125" style="106"/>
    <col min="188" max="188" width="5.33203125" style="106" customWidth="1"/>
    <col min="189" max="189" width="10.83203125" style="106"/>
    <col min="190" max="190" width="5.33203125" style="106" customWidth="1"/>
    <col min="191" max="191" width="10.83203125" style="106"/>
    <col min="192" max="192" width="5.33203125" style="106" customWidth="1"/>
    <col min="193" max="193" width="10.83203125" style="106"/>
    <col min="194" max="194" width="5.33203125" style="106" customWidth="1"/>
    <col min="195" max="16384" width="10.83203125" style="106"/>
  </cols>
  <sheetData>
    <row r="1" spans="1:194" s="1721" customFormat="1" ht="61.5" customHeight="1" x14ac:dyDescent="0.15">
      <c r="A1" s="1725" t="s">
        <v>1935</v>
      </c>
      <c r="B1" s="1722" t="s">
        <v>1173</v>
      </c>
      <c r="C1" s="1723"/>
      <c r="D1" s="1724"/>
      <c r="E1" s="1722" t="s">
        <v>6022</v>
      </c>
      <c r="F1" s="1723"/>
      <c r="G1" s="1724"/>
      <c r="H1" s="1722" t="s">
        <v>6023</v>
      </c>
      <c r="I1" s="1723"/>
      <c r="J1" s="1724"/>
      <c r="K1" s="1722" t="s">
        <v>6024</v>
      </c>
      <c r="L1" s="1723"/>
      <c r="M1" s="1724"/>
      <c r="N1" s="1722" t="s">
        <v>6025</v>
      </c>
      <c r="O1" s="1723"/>
      <c r="P1" s="1724"/>
      <c r="Q1" s="1722" t="s">
        <v>6026</v>
      </c>
      <c r="R1" s="1723"/>
      <c r="S1" s="1722" t="s">
        <v>6027</v>
      </c>
      <c r="T1" s="1723"/>
      <c r="U1" s="1771" t="s">
        <v>6028</v>
      </c>
      <c r="V1" s="1772"/>
      <c r="W1" s="1773" t="s">
        <v>6029</v>
      </c>
      <c r="X1" s="1774"/>
      <c r="Y1" s="1773" t="s">
        <v>6030</v>
      </c>
      <c r="Z1" s="1774"/>
      <c r="AA1" s="1773" t="s">
        <v>6031</v>
      </c>
      <c r="AB1" s="1774"/>
      <c r="AC1" s="1773" t="s">
        <v>6032</v>
      </c>
      <c r="AD1" s="1774"/>
      <c r="AE1" s="1773" t="s">
        <v>6033</v>
      </c>
      <c r="AF1" s="1774"/>
      <c r="AG1" s="1773" t="s">
        <v>6034</v>
      </c>
      <c r="AH1" s="1774"/>
      <c r="AI1" s="1773" t="s">
        <v>6035</v>
      </c>
      <c r="AJ1" s="1774"/>
      <c r="AK1" s="1722" t="s">
        <v>6036</v>
      </c>
      <c r="AL1" s="1723"/>
      <c r="AM1" s="1722" t="s">
        <v>6037</v>
      </c>
      <c r="AN1" s="1723"/>
      <c r="AO1" s="1724"/>
      <c r="AP1" s="1722" t="s">
        <v>6038</v>
      </c>
      <c r="AQ1" s="1723"/>
      <c r="AR1" s="1724"/>
      <c r="AS1" s="1722" t="s">
        <v>6039</v>
      </c>
      <c r="AT1" s="1723"/>
      <c r="AU1" s="1724"/>
      <c r="AV1" s="1722" t="s">
        <v>6040</v>
      </c>
      <c r="AW1" s="1723"/>
      <c r="AX1" s="1724"/>
      <c r="AY1" s="1722" t="s">
        <v>6041</v>
      </c>
      <c r="AZ1" s="1723"/>
      <c r="BA1" s="1724"/>
      <c r="BB1" s="1722" t="s">
        <v>5963</v>
      </c>
      <c r="BC1" s="1723"/>
      <c r="BD1" s="1724"/>
      <c r="BE1" s="1722" t="s">
        <v>5964</v>
      </c>
      <c r="BF1" s="1723"/>
      <c r="BG1" s="1724"/>
      <c r="BH1" s="1722" t="s">
        <v>5965</v>
      </c>
      <c r="BI1" s="1723"/>
      <c r="BJ1" s="1724"/>
      <c r="BK1" s="1722" t="s">
        <v>5966</v>
      </c>
      <c r="BL1" s="1723"/>
      <c r="BM1" s="1724"/>
      <c r="BN1" s="1722" t="s">
        <v>5967</v>
      </c>
      <c r="BO1" s="1723"/>
      <c r="BP1" s="1724"/>
      <c r="BQ1" s="1722" t="s">
        <v>5968</v>
      </c>
      <c r="BR1" s="1723"/>
      <c r="BS1" s="1724"/>
      <c r="BT1" s="1722" t="s">
        <v>5969</v>
      </c>
      <c r="BU1" s="1723"/>
      <c r="BV1" s="1724"/>
      <c r="BW1" s="1722" t="s">
        <v>5970</v>
      </c>
      <c r="BX1" s="1723"/>
      <c r="BY1" s="1724"/>
      <c r="BZ1" s="1722" t="s">
        <v>5971</v>
      </c>
      <c r="CA1" s="1723"/>
      <c r="CB1" s="1724"/>
      <c r="CC1" s="1722" t="s">
        <v>5972</v>
      </c>
      <c r="CD1" s="1723"/>
      <c r="CE1" s="1724"/>
      <c r="CF1" s="1722" t="s">
        <v>5973</v>
      </c>
      <c r="CG1" s="1723"/>
      <c r="CH1" s="1724"/>
      <c r="CI1" s="1722" t="s">
        <v>5974</v>
      </c>
      <c r="CJ1" s="1723"/>
      <c r="CK1" s="1724"/>
      <c r="CL1" s="1722" t="s">
        <v>5975</v>
      </c>
      <c r="CM1" s="1723"/>
      <c r="CN1" s="1724"/>
      <c r="CO1" s="1722" t="s">
        <v>5976</v>
      </c>
      <c r="CP1" s="1723"/>
      <c r="CQ1" s="1724"/>
      <c r="CR1" s="1722" t="s">
        <v>5977</v>
      </c>
      <c r="CS1" s="1723"/>
      <c r="CT1" s="1724"/>
      <c r="CU1" s="1722" t="s">
        <v>5978</v>
      </c>
      <c r="CV1" s="1723"/>
      <c r="CW1" s="1724"/>
      <c r="CX1" s="1722" t="s">
        <v>5979</v>
      </c>
      <c r="CY1" s="1723"/>
      <c r="CZ1" s="1724"/>
      <c r="DA1" s="1722" t="s">
        <v>5980</v>
      </c>
      <c r="DB1" s="1723"/>
      <c r="DC1" s="1724"/>
      <c r="DD1" s="1722" t="s">
        <v>5981</v>
      </c>
      <c r="DE1" s="1723"/>
      <c r="DF1" s="1724"/>
      <c r="DG1" s="1722" t="s">
        <v>5982</v>
      </c>
      <c r="DH1" s="1723"/>
      <c r="DI1" s="1724"/>
      <c r="DJ1" s="1722" t="s">
        <v>5983</v>
      </c>
      <c r="DK1" s="1723"/>
      <c r="DL1" s="1724"/>
      <c r="DM1" s="1722" t="s">
        <v>5984</v>
      </c>
      <c r="DN1" s="1723"/>
      <c r="DO1" s="1724"/>
      <c r="DP1" s="1722" t="s">
        <v>5985</v>
      </c>
      <c r="DQ1" s="1723"/>
      <c r="DR1" s="1724"/>
      <c r="DS1" s="1722" t="s">
        <v>5986</v>
      </c>
      <c r="DT1" s="1723"/>
      <c r="DU1" s="1724"/>
      <c r="DV1" s="1722" t="s">
        <v>5987</v>
      </c>
      <c r="DW1" s="1723"/>
      <c r="DX1" s="1724"/>
      <c r="DY1" s="1722">
        <v>1899</v>
      </c>
      <c r="DZ1" s="1723"/>
      <c r="EA1" s="1724"/>
      <c r="EB1" s="1722">
        <v>1890</v>
      </c>
      <c r="EC1" s="1723"/>
      <c r="ED1" s="1724"/>
      <c r="EE1" s="1722">
        <v>1891</v>
      </c>
      <c r="EF1" s="1723"/>
      <c r="EG1" s="1724"/>
      <c r="EH1" s="1722">
        <v>1892</v>
      </c>
      <c r="EI1" s="1723"/>
      <c r="EJ1" s="1724"/>
      <c r="EK1" s="1722">
        <v>1893</v>
      </c>
      <c r="EL1" s="1723"/>
      <c r="EM1" s="1724"/>
      <c r="EN1" s="1722">
        <v>1894</v>
      </c>
      <c r="EO1" s="1723"/>
      <c r="EP1" s="1724"/>
      <c r="EQ1" s="1722">
        <v>1895</v>
      </c>
      <c r="ER1" s="1723"/>
      <c r="ES1" s="1724"/>
      <c r="ET1" s="1722">
        <v>1896</v>
      </c>
      <c r="EU1" s="1723"/>
      <c r="EV1" s="1724"/>
      <c r="EW1" s="1722">
        <v>1897</v>
      </c>
      <c r="EX1" s="1723"/>
      <c r="EY1" s="1724"/>
      <c r="EZ1" s="1722">
        <v>1898</v>
      </c>
      <c r="FA1" s="1723"/>
      <c r="FB1" s="1724"/>
      <c r="FC1" s="1722">
        <v>1899</v>
      </c>
      <c r="FD1" s="1723"/>
      <c r="FE1" s="1724"/>
      <c r="FF1" s="1722">
        <v>1900</v>
      </c>
      <c r="FG1" s="1723"/>
      <c r="FH1" s="1724"/>
      <c r="FI1" s="1722">
        <v>1901</v>
      </c>
      <c r="FJ1" s="1723"/>
      <c r="FK1" s="1724"/>
      <c r="FL1" s="1722">
        <v>1902</v>
      </c>
      <c r="FM1" s="1723"/>
      <c r="FN1" s="1724"/>
      <c r="FO1" s="1722">
        <v>1903</v>
      </c>
      <c r="FP1" s="1723"/>
      <c r="FQ1" s="1724"/>
      <c r="FR1" s="1722">
        <v>1904</v>
      </c>
      <c r="FS1" s="1723"/>
      <c r="FT1" s="1724"/>
      <c r="FU1" s="1773">
        <v>1905</v>
      </c>
      <c r="FV1" s="1774"/>
      <c r="FW1" s="1773">
        <v>1906</v>
      </c>
      <c r="FX1" s="1774"/>
      <c r="FY1" s="1773">
        <v>1907</v>
      </c>
      <c r="FZ1" s="1774"/>
      <c r="GA1" s="1773">
        <v>1908</v>
      </c>
      <c r="GB1" s="1774"/>
      <c r="GC1" s="1773">
        <v>1909</v>
      </c>
      <c r="GD1" s="1774"/>
      <c r="GE1" s="1773">
        <v>1910</v>
      </c>
      <c r="GF1" s="1774"/>
      <c r="GG1" s="1773">
        <v>1911</v>
      </c>
      <c r="GH1" s="1774"/>
      <c r="GI1" s="1773">
        <v>1912</v>
      </c>
      <c r="GJ1" s="1774"/>
      <c r="GK1" s="1773">
        <v>1913</v>
      </c>
      <c r="GL1" s="1774"/>
    </row>
    <row r="2" spans="1:194" s="1780" customFormat="1" ht="30.75" customHeight="1" x14ac:dyDescent="0.2">
      <c r="A2" s="1775" t="s">
        <v>6067</v>
      </c>
      <c r="B2" s="1776">
        <f>+'1843 Hacienda'!B110</f>
        <v>3131458</v>
      </c>
      <c r="C2" s="1777">
        <f>+'1843 Hacienda'!C110</f>
        <v>3</v>
      </c>
      <c r="D2" s="1778">
        <f>+'1843 Hacienda'!D110</f>
        <v>0.5</v>
      </c>
      <c r="E2" s="1776">
        <f>+'1845 Hacienda'!E83</f>
        <v>3523297</v>
      </c>
      <c r="F2" s="1777">
        <f>+'1845 Hacienda'!F83</f>
        <v>5</v>
      </c>
      <c r="G2" s="1778">
        <f>+'1845 Hacienda'!G83</f>
        <v>0.75</v>
      </c>
      <c r="H2" s="1776"/>
      <c r="I2" s="1777"/>
      <c r="J2" s="1778"/>
      <c r="K2" s="1776"/>
      <c r="L2" s="1777"/>
      <c r="M2" s="1778"/>
      <c r="N2" s="1776"/>
      <c r="O2" s="1777"/>
      <c r="P2" s="1778"/>
      <c r="Q2" s="1776"/>
      <c r="R2" s="1779"/>
      <c r="S2" s="1776"/>
      <c r="T2" s="1779"/>
      <c r="U2" s="1776"/>
      <c r="V2" s="1779"/>
      <c r="W2" s="1776"/>
      <c r="X2" s="1779"/>
      <c r="Y2" s="1776"/>
      <c r="Z2" s="1779"/>
      <c r="AA2" s="1776"/>
      <c r="AB2" s="1779"/>
      <c r="AC2" s="1776"/>
      <c r="AD2" s="1779"/>
      <c r="AE2" s="1776"/>
      <c r="AF2" s="1779"/>
      <c r="AG2" s="1776"/>
      <c r="AH2" s="1779"/>
      <c r="AI2" s="1776"/>
      <c r="AJ2" s="1779"/>
      <c r="AK2" s="1776"/>
      <c r="AL2" s="1777"/>
      <c r="AM2" s="1776"/>
      <c r="AN2" s="1777"/>
      <c r="AO2" s="1778"/>
      <c r="AP2" s="1776"/>
      <c r="AQ2" s="1777"/>
      <c r="AR2" s="1778"/>
      <c r="AS2" s="1776"/>
      <c r="AT2" s="1777"/>
      <c r="AU2" s="1778"/>
      <c r="AV2" s="1776"/>
      <c r="AW2" s="1777"/>
      <c r="AX2" s="1778"/>
      <c r="AY2" s="1776"/>
      <c r="AZ2" s="1777"/>
      <c r="BA2" s="1778"/>
      <c r="BB2" s="1776"/>
      <c r="BC2" s="1777"/>
      <c r="BD2" s="1778"/>
      <c r="BE2" s="1776"/>
      <c r="BF2" s="1777"/>
      <c r="BG2" s="1778"/>
      <c r="BH2" s="1776"/>
      <c r="BI2" s="1777"/>
      <c r="BJ2" s="1778"/>
      <c r="BK2" s="1776"/>
      <c r="BL2" s="1777"/>
      <c r="BM2" s="1778"/>
      <c r="BN2" s="1776"/>
      <c r="BO2" s="1777"/>
      <c r="BP2" s="1778"/>
      <c r="BQ2" s="1776"/>
      <c r="BR2" s="1777"/>
      <c r="BS2" s="1778"/>
      <c r="BT2" s="1776"/>
      <c r="BU2" s="1777"/>
      <c r="BV2" s="1778"/>
      <c r="BW2" s="1776"/>
      <c r="BX2" s="1777"/>
      <c r="BY2" s="1778"/>
      <c r="BZ2" s="1776"/>
      <c r="CA2" s="1777"/>
      <c r="CB2" s="1778"/>
      <c r="CC2" s="1776"/>
      <c r="CD2" s="1777"/>
      <c r="CE2" s="1778"/>
      <c r="CF2" s="1776"/>
      <c r="CG2" s="1777"/>
      <c r="CH2" s="1778"/>
      <c r="CI2" s="1776"/>
      <c r="CJ2" s="1777"/>
      <c r="CK2" s="1778"/>
      <c r="CL2" s="1776"/>
      <c r="CM2" s="1777"/>
      <c r="CN2" s="1778"/>
      <c r="CO2" s="1776"/>
      <c r="CP2" s="1777"/>
      <c r="CQ2" s="1778"/>
      <c r="CR2" s="1776"/>
      <c r="CS2" s="1777"/>
      <c r="CT2" s="1778"/>
      <c r="CU2" s="1776"/>
      <c r="CV2" s="1777"/>
      <c r="CW2" s="1778"/>
      <c r="CX2" s="1776"/>
      <c r="CY2" s="1777"/>
      <c r="CZ2" s="1778"/>
      <c r="DA2" s="1776"/>
      <c r="DB2" s="1777"/>
      <c r="DC2" s="1778"/>
      <c r="DD2" s="1776"/>
      <c r="DE2" s="1777"/>
      <c r="DF2" s="1778"/>
      <c r="DG2" s="1776"/>
      <c r="DH2" s="1777"/>
      <c r="DI2" s="1778"/>
      <c r="DJ2" s="1776"/>
      <c r="DK2" s="1777"/>
      <c r="DL2" s="1778"/>
      <c r="DM2" s="1776"/>
      <c r="DN2" s="1777"/>
      <c r="DO2" s="1778"/>
      <c r="DP2" s="1776"/>
      <c r="DQ2" s="1777"/>
      <c r="DR2" s="1778"/>
      <c r="DS2" s="1776"/>
      <c r="DT2" s="1777"/>
      <c r="DU2" s="1778"/>
      <c r="DV2" s="1776"/>
      <c r="DW2" s="1777"/>
      <c r="DX2" s="1778"/>
      <c r="DY2" s="1776"/>
      <c r="DZ2" s="1777"/>
      <c r="EA2" s="1778"/>
      <c r="EB2" s="1776"/>
      <c r="EC2" s="1777"/>
      <c r="ED2" s="1778"/>
      <c r="EE2" s="1776"/>
      <c r="EF2" s="1777"/>
      <c r="EG2" s="1778"/>
      <c r="EH2" s="1776"/>
      <c r="EI2" s="1777"/>
      <c r="EJ2" s="1778"/>
      <c r="EK2" s="1776"/>
      <c r="EL2" s="1777"/>
      <c r="EM2" s="1778"/>
      <c r="EN2" s="1776"/>
      <c r="EO2" s="1777"/>
      <c r="EP2" s="1778"/>
      <c r="EQ2" s="1776"/>
      <c r="ER2" s="1777"/>
      <c r="ES2" s="1778"/>
      <c r="ET2" s="1776"/>
      <c r="EU2" s="1777"/>
      <c r="EV2" s="1778"/>
      <c r="EW2" s="1776"/>
      <c r="EX2" s="1777"/>
      <c r="EY2" s="1778"/>
      <c r="EZ2" s="1776"/>
      <c r="FA2" s="1777"/>
      <c r="FB2" s="1778"/>
      <c r="FC2" s="1776"/>
      <c r="FD2" s="1777"/>
      <c r="FE2" s="1778"/>
      <c r="FF2" s="1776"/>
      <c r="FG2" s="1777"/>
      <c r="FH2" s="1778"/>
      <c r="FI2" s="1776"/>
      <c r="FJ2" s="1777"/>
      <c r="FK2" s="1778"/>
      <c r="FL2" s="1776"/>
      <c r="FM2" s="1777"/>
      <c r="FN2" s="1778"/>
      <c r="FO2" s="1776"/>
      <c r="FP2" s="1777"/>
      <c r="FQ2" s="1778"/>
      <c r="FR2" s="1776"/>
      <c r="FS2" s="1777"/>
      <c r="FT2" s="1778"/>
      <c r="FU2" s="1776"/>
      <c r="FV2" s="1779"/>
      <c r="FW2" s="1776"/>
      <c r="FX2" s="1779"/>
      <c r="FY2" s="1776"/>
      <c r="FZ2" s="1779"/>
      <c r="GA2" s="1776"/>
      <c r="GB2" s="1779"/>
      <c r="GC2" s="1776"/>
      <c r="GD2" s="1779"/>
      <c r="GE2" s="1776"/>
      <c r="GF2" s="1779"/>
      <c r="GG2" s="1776"/>
      <c r="GH2" s="1779"/>
      <c r="GI2" s="1776"/>
      <c r="GJ2" s="1779"/>
      <c r="GK2" s="1776"/>
      <c r="GL2" s="1779"/>
    </row>
    <row r="3" spans="1:194" x14ac:dyDescent="0.2">
      <c r="A3" s="394" t="s">
        <v>5773</v>
      </c>
      <c r="B3" s="394"/>
      <c r="C3" s="384"/>
      <c r="D3" s="1781"/>
      <c r="E3" s="394"/>
      <c r="F3" s="384"/>
      <c r="G3" s="1781"/>
      <c r="H3" s="394"/>
      <c r="I3" s="384"/>
      <c r="J3" s="1781"/>
      <c r="K3" s="394"/>
      <c r="L3" s="384"/>
      <c r="M3" s="1781"/>
      <c r="N3" s="394"/>
      <c r="O3" s="384"/>
      <c r="P3" s="1781"/>
      <c r="Q3" s="576"/>
      <c r="R3" s="1782"/>
      <c r="S3" s="576"/>
      <c r="T3" s="1782"/>
      <c r="U3" s="576"/>
      <c r="V3" s="1782"/>
      <c r="W3" s="576"/>
      <c r="X3" s="1782"/>
      <c r="Y3" s="576"/>
      <c r="Z3" s="1782"/>
      <c r="AA3" s="576"/>
      <c r="AB3" s="1782"/>
      <c r="AC3" s="576"/>
      <c r="AD3" s="1782"/>
      <c r="AE3" s="576"/>
      <c r="AF3" s="1782"/>
      <c r="AG3" s="576"/>
      <c r="AH3" s="1782"/>
      <c r="AI3" s="576"/>
      <c r="AJ3" s="1782"/>
      <c r="AK3" s="394"/>
      <c r="AL3" s="384"/>
      <c r="AM3" s="394"/>
      <c r="AN3" s="384"/>
      <c r="AO3" s="1781"/>
      <c r="AP3" s="394"/>
      <c r="AQ3" s="384"/>
      <c r="AR3" s="1781"/>
      <c r="AS3" s="394"/>
      <c r="AT3" s="384"/>
      <c r="AU3" s="1781"/>
      <c r="AV3" s="394"/>
      <c r="AW3" s="384"/>
      <c r="AX3" s="1781"/>
      <c r="AY3" s="394"/>
      <c r="AZ3" s="384"/>
      <c r="BA3" s="1781"/>
      <c r="BB3" s="394"/>
      <c r="BC3" s="384"/>
      <c r="BD3" s="1781"/>
      <c r="BE3" s="394"/>
      <c r="BF3" s="384"/>
      <c r="BG3" s="1781"/>
      <c r="BH3" s="394"/>
      <c r="BI3" s="384"/>
      <c r="BJ3" s="1781"/>
      <c r="BK3" s="394"/>
      <c r="BL3" s="384"/>
      <c r="BM3" s="1781"/>
      <c r="BN3" s="394"/>
      <c r="BO3" s="384"/>
      <c r="BP3" s="1781"/>
      <c r="BQ3" s="394"/>
      <c r="BR3" s="384"/>
      <c r="BS3" s="1781"/>
      <c r="BT3" s="394"/>
      <c r="BU3" s="384"/>
      <c r="BV3" s="1781"/>
      <c r="BW3" s="394"/>
      <c r="BX3" s="384"/>
      <c r="BY3" s="1781"/>
      <c r="BZ3" s="394"/>
      <c r="CA3" s="384"/>
      <c r="CB3" s="1781"/>
      <c r="CC3" s="394"/>
      <c r="CD3" s="384"/>
      <c r="CE3" s="1781"/>
      <c r="CF3" s="394"/>
      <c r="CG3" s="384"/>
      <c r="CH3" s="1781"/>
      <c r="CI3" s="394"/>
      <c r="CJ3" s="384"/>
      <c r="CK3" s="1781"/>
      <c r="CL3" s="394"/>
      <c r="CM3" s="384"/>
      <c r="CN3" s="1781"/>
      <c r="CO3" s="394"/>
      <c r="CP3" s="384"/>
      <c r="CQ3" s="1781"/>
      <c r="CR3" s="394"/>
      <c r="CS3" s="384"/>
      <c r="CT3" s="1781"/>
      <c r="CU3" s="394"/>
      <c r="CV3" s="384"/>
      <c r="CW3" s="1781"/>
      <c r="CX3" s="394"/>
      <c r="CY3" s="384"/>
      <c r="CZ3" s="1781"/>
      <c r="DA3" s="394"/>
      <c r="DB3" s="384"/>
      <c r="DC3" s="1781"/>
      <c r="DD3" s="394"/>
      <c r="DE3" s="384"/>
      <c r="DF3" s="1781"/>
      <c r="DG3" s="394"/>
      <c r="DH3" s="384"/>
      <c r="DI3" s="1781"/>
      <c r="DJ3" s="394"/>
      <c r="DK3" s="384"/>
      <c r="DL3" s="1781"/>
      <c r="DM3" s="394"/>
      <c r="DN3" s="384"/>
      <c r="DO3" s="1781"/>
      <c r="DP3" s="394"/>
      <c r="DQ3" s="384"/>
      <c r="DR3" s="1781"/>
      <c r="DS3" s="394"/>
      <c r="DT3" s="384"/>
      <c r="DU3" s="1781"/>
      <c r="DV3" s="394"/>
      <c r="DW3" s="384"/>
      <c r="DX3" s="1781"/>
      <c r="DY3" s="394"/>
      <c r="DZ3" s="384"/>
      <c r="EA3" s="1781"/>
      <c r="EB3" s="394"/>
      <c r="EC3" s="384"/>
      <c r="ED3" s="1781"/>
      <c r="EE3" s="394"/>
      <c r="EF3" s="384"/>
      <c r="EG3" s="1781"/>
      <c r="EH3" s="394"/>
      <c r="EI3" s="384"/>
      <c r="EJ3" s="1781"/>
      <c r="EK3" s="394"/>
      <c r="EL3" s="384"/>
      <c r="EM3" s="1781"/>
      <c r="EN3" s="394"/>
      <c r="EO3" s="384"/>
      <c r="EP3" s="1781"/>
      <c r="EQ3" s="394"/>
      <c r="ER3" s="384"/>
      <c r="ES3" s="1781"/>
      <c r="ET3" s="394"/>
      <c r="EU3" s="384"/>
      <c r="EV3" s="1781"/>
      <c r="EW3" s="394"/>
      <c r="EX3" s="384"/>
      <c r="EY3" s="1781"/>
      <c r="EZ3" s="394"/>
      <c r="FA3" s="384"/>
      <c r="FB3" s="1781"/>
      <c r="FC3" s="394"/>
      <c r="FD3" s="384"/>
      <c r="FE3" s="1781"/>
      <c r="FF3" s="394"/>
      <c r="FG3" s="384"/>
      <c r="FH3" s="1781"/>
      <c r="FI3" s="394"/>
      <c r="FJ3" s="384"/>
      <c r="FK3" s="1781"/>
      <c r="FL3" s="394"/>
      <c r="FM3" s="384"/>
      <c r="FN3" s="1781"/>
      <c r="FO3" s="394"/>
      <c r="FP3" s="384"/>
      <c r="FQ3" s="1781"/>
      <c r="FR3" s="394"/>
      <c r="FS3" s="384"/>
      <c r="FT3" s="1781"/>
      <c r="FU3" s="576">
        <v>1551441</v>
      </c>
      <c r="FV3" s="1782">
        <v>97</v>
      </c>
      <c r="FW3" s="576">
        <v>2521472</v>
      </c>
      <c r="FX3" s="1782">
        <v>39</v>
      </c>
      <c r="FY3" s="576">
        <v>3508117</v>
      </c>
      <c r="FZ3" s="1782">
        <v>42</v>
      </c>
      <c r="GA3" s="576">
        <v>4960896</v>
      </c>
      <c r="GB3" s="1782">
        <v>5</v>
      </c>
      <c r="GC3" s="576">
        <v>3376576</v>
      </c>
      <c r="GD3" s="1782">
        <v>22</v>
      </c>
      <c r="GE3" s="576">
        <v>1082258</v>
      </c>
      <c r="GF3" s="1782">
        <v>60</v>
      </c>
      <c r="GG3" s="576">
        <v>837582</v>
      </c>
      <c r="GH3" s="1782">
        <v>25</v>
      </c>
      <c r="GI3" s="576">
        <v>852577</v>
      </c>
      <c r="GJ3" s="1782"/>
      <c r="GK3" s="576">
        <f>+'1914 Hacienda'!D18</f>
        <v>368185</v>
      </c>
      <c r="GL3" s="1782">
        <f>+'1914 Hacienda'!E18</f>
        <v>58</v>
      </c>
    </row>
    <row r="4" spans="1:194" ht="28.75" customHeight="1" x14ac:dyDescent="0.2">
      <c r="A4" s="178" t="s">
        <v>1540</v>
      </c>
      <c r="B4" s="178"/>
      <c r="C4" s="1608"/>
      <c r="D4" s="1783"/>
      <c r="E4" s="178"/>
      <c r="F4" s="1608"/>
      <c r="G4" s="1783"/>
      <c r="H4" s="178">
        <f>'1846 Hacienda'!E17</f>
        <v>61070</v>
      </c>
      <c r="I4" s="1608">
        <f>'1846 Hacienda'!F17</f>
        <v>5</v>
      </c>
      <c r="J4" s="1783">
        <f>'1846 Hacienda'!G17</f>
        <v>1</v>
      </c>
      <c r="K4" s="178"/>
      <c r="L4" s="1608"/>
      <c r="M4" s="1783"/>
      <c r="N4" s="178"/>
      <c r="O4" s="1608"/>
      <c r="P4" s="1783"/>
      <c r="Q4" s="539"/>
      <c r="R4" s="1784"/>
      <c r="S4" s="539"/>
      <c r="T4" s="1784"/>
      <c r="U4" s="539"/>
      <c r="V4" s="1784"/>
      <c r="W4" s="539"/>
      <c r="X4" s="1784"/>
      <c r="Y4" s="539"/>
      <c r="Z4" s="1784"/>
      <c r="AA4" s="539"/>
      <c r="AB4" s="1784"/>
      <c r="AC4" s="539"/>
      <c r="AD4" s="1784"/>
      <c r="AE4" s="539"/>
      <c r="AF4" s="1784"/>
      <c r="AG4" s="539"/>
      <c r="AH4" s="1784"/>
      <c r="AI4" s="539"/>
      <c r="AJ4" s="1784"/>
      <c r="AK4" s="178"/>
      <c r="AL4" s="1608"/>
      <c r="AM4" s="178"/>
      <c r="AN4" s="1608"/>
      <c r="AO4" s="1783"/>
      <c r="AP4" s="178"/>
      <c r="AQ4" s="1608"/>
      <c r="AR4" s="1783"/>
      <c r="AS4" s="178"/>
      <c r="AT4" s="1608"/>
      <c r="AU4" s="1783"/>
      <c r="AV4" s="178"/>
      <c r="AW4" s="1608"/>
      <c r="AX4" s="1783"/>
      <c r="AY4" s="178"/>
      <c r="AZ4" s="1608"/>
      <c r="BA4" s="1783"/>
      <c r="BB4" s="178"/>
      <c r="BC4" s="1608"/>
      <c r="BD4" s="1783"/>
      <c r="BE4" s="178"/>
      <c r="BF4" s="1608"/>
      <c r="BG4" s="1783"/>
      <c r="BH4" s="178"/>
      <c r="BI4" s="1608"/>
      <c r="BJ4" s="1783"/>
      <c r="BK4" s="178"/>
      <c r="BL4" s="1608"/>
      <c r="BM4" s="1783"/>
      <c r="BN4" s="178"/>
      <c r="BO4" s="1608"/>
      <c r="BP4" s="1783"/>
      <c r="BQ4" s="178"/>
      <c r="BR4" s="1608"/>
      <c r="BS4" s="1783"/>
      <c r="BT4" s="178"/>
      <c r="BU4" s="1608"/>
      <c r="BV4" s="1783"/>
      <c r="BW4" s="178"/>
      <c r="BX4" s="1608"/>
      <c r="BY4" s="1783"/>
      <c r="BZ4" s="178"/>
      <c r="CA4" s="1608"/>
      <c r="CB4" s="1783"/>
      <c r="CC4" s="178"/>
      <c r="CD4" s="1608"/>
      <c r="CE4" s="1783"/>
      <c r="CF4" s="178"/>
      <c r="CG4" s="1608"/>
      <c r="CH4" s="1783"/>
      <c r="CI4" s="178"/>
      <c r="CJ4" s="1608"/>
      <c r="CK4" s="1783"/>
      <c r="CL4" s="178"/>
      <c r="CM4" s="1608"/>
      <c r="CN4" s="1783"/>
      <c r="CO4" s="178"/>
      <c r="CP4" s="1608"/>
      <c r="CQ4" s="1783"/>
      <c r="CR4" s="178"/>
      <c r="CS4" s="1608"/>
      <c r="CT4" s="1783"/>
      <c r="CU4" s="178"/>
      <c r="CV4" s="1608"/>
      <c r="CW4" s="1783"/>
      <c r="CX4" s="178"/>
      <c r="CY4" s="1608"/>
      <c r="CZ4" s="1783"/>
      <c r="DA4" s="178"/>
      <c r="DB4" s="1608"/>
      <c r="DC4" s="1783"/>
      <c r="DD4" s="539">
        <f>+'1883 Hacienda'!B18</f>
        <v>200000</v>
      </c>
      <c r="DE4" s="1608"/>
      <c r="DF4" s="1783"/>
      <c r="DG4" s="178"/>
      <c r="DH4" s="1608"/>
      <c r="DI4" s="1783"/>
      <c r="DJ4" s="178"/>
      <c r="DK4" s="1608"/>
      <c r="DL4" s="1783"/>
      <c r="DM4" s="178"/>
      <c r="DN4" s="1608"/>
      <c r="DO4" s="1783"/>
      <c r="DP4" s="178"/>
      <c r="DQ4" s="1608"/>
      <c r="DR4" s="1783"/>
      <c r="DS4" s="178"/>
      <c r="DT4" s="1608"/>
      <c r="DU4" s="1783"/>
      <c r="DV4" s="178"/>
      <c r="DW4" s="1608"/>
      <c r="DX4" s="1783"/>
      <c r="DY4" s="178"/>
      <c r="DZ4" s="1608"/>
      <c r="EA4" s="1783"/>
      <c r="EB4" s="178"/>
      <c r="EC4" s="1608"/>
      <c r="ED4" s="1783"/>
      <c r="EE4" s="178"/>
      <c r="EF4" s="1608"/>
      <c r="EG4" s="1783"/>
      <c r="EH4" s="178"/>
      <c r="EI4" s="1608"/>
      <c r="EJ4" s="1783"/>
      <c r="EK4" s="178"/>
      <c r="EL4" s="1608"/>
      <c r="EM4" s="1783"/>
      <c r="EN4" s="178"/>
      <c r="EO4" s="1608"/>
      <c r="EP4" s="1783"/>
      <c r="EQ4" s="178"/>
      <c r="ER4" s="1608"/>
      <c r="ES4" s="1783"/>
      <c r="ET4" s="178"/>
      <c r="EU4" s="1608"/>
      <c r="EV4" s="1783"/>
      <c r="EW4" s="178"/>
      <c r="EX4" s="1608"/>
      <c r="EY4" s="1783"/>
      <c r="EZ4" s="178"/>
      <c r="FA4" s="1608"/>
      <c r="FB4" s="1783"/>
      <c r="FC4" s="178"/>
      <c r="FD4" s="1608"/>
      <c r="FE4" s="1783"/>
      <c r="FF4" s="178"/>
      <c r="FG4" s="1608"/>
      <c r="FH4" s="1783"/>
      <c r="FI4" s="178"/>
      <c r="FJ4" s="1608"/>
      <c r="FK4" s="1783"/>
      <c r="FL4" s="178"/>
      <c r="FM4" s="1608"/>
      <c r="FN4" s="1783"/>
      <c r="FO4" s="178"/>
      <c r="FP4" s="1608"/>
      <c r="FQ4" s="1783"/>
      <c r="FR4" s="178"/>
      <c r="FS4" s="1608"/>
      <c r="FT4" s="1783"/>
      <c r="FU4" s="539"/>
      <c r="FV4" s="1784"/>
      <c r="FW4" s="539"/>
      <c r="FX4" s="1784"/>
      <c r="FY4" s="539"/>
      <c r="FZ4" s="1784"/>
      <c r="GA4" s="539"/>
      <c r="GB4" s="1784"/>
      <c r="GC4" s="539"/>
      <c r="GD4" s="1784"/>
      <c r="GE4" s="539"/>
      <c r="GF4" s="1784"/>
      <c r="GG4" s="539"/>
      <c r="GH4" s="1784"/>
      <c r="GI4" s="539"/>
      <c r="GJ4" s="1784"/>
      <c r="GK4" s="539"/>
      <c r="GL4" s="1784"/>
    </row>
    <row r="5" spans="1:194" ht="28.75" customHeight="1" x14ac:dyDescent="0.2">
      <c r="A5" s="178" t="s">
        <v>1541</v>
      </c>
      <c r="B5" s="178"/>
      <c r="C5" s="1608"/>
      <c r="D5" s="1783"/>
      <c r="E5" s="178"/>
      <c r="F5" s="1608"/>
      <c r="G5" s="1783"/>
      <c r="H5" s="178">
        <f>'1846 Hacienda'!E18</f>
        <v>16199</v>
      </c>
      <c r="I5" s="1608">
        <f>'1846 Hacienda'!F18</f>
        <v>5</v>
      </c>
      <c r="J5" s="1783">
        <f>'1846 Hacienda'!G18</f>
        <v>1</v>
      </c>
      <c r="K5" s="178"/>
      <c r="L5" s="1608"/>
      <c r="M5" s="1783"/>
      <c r="N5" s="178"/>
      <c r="O5" s="1608"/>
      <c r="P5" s="1783"/>
      <c r="Q5" s="539"/>
      <c r="R5" s="1784"/>
      <c r="S5" s="539"/>
      <c r="T5" s="1784"/>
      <c r="U5" s="539"/>
      <c r="V5" s="1784"/>
      <c r="W5" s="539"/>
      <c r="X5" s="1784"/>
      <c r="Y5" s="539"/>
      <c r="Z5" s="1784"/>
      <c r="AA5" s="539"/>
      <c r="AB5" s="1784"/>
      <c r="AC5" s="539"/>
      <c r="AD5" s="1784"/>
      <c r="AE5" s="539"/>
      <c r="AF5" s="1784"/>
      <c r="AG5" s="539"/>
      <c r="AH5" s="1784"/>
      <c r="AI5" s="539"/>
      <c r="AJ5" s="1784"/>
      <c r="AK5" s="178"/>
      <c r="AL5" s="1608"/>
      <c r="AM5" s="178"/>
      <c r="AN5" s="1608"/>
      <c r="AO5" s="1783"/>
      <c r="AP5" s="178"/>
      <c r="AQ5" s="1608"/>
      <c r="AR5" s="1783"/>
      <c r="AS5" s="178"/>
      <c r="AT5" s="1608"/>
      <c r="AU5" s="1783"/>
      <c r="AV5" s="178"/>
      <c r="AW5" s="1608"/>
      <c r="AX5" s="1783"/>
      <c r="AY5" s="178"/>
      <c r="AZ5" s="1608"/>
      <c r="BA5" s="1783"/>
      <c r="BB5" s="178"/>
      <c r="BC5" s="1608"/>
      <c r="BD5" s="1783"/>
      <c r="BE5" s="178"/>
      <c r="BF5" s="1608"/>
      <c r="BG5" s="1783"/>
      <c r="BH5" s="178"/>
      <c r="BI5" s="1608"/>
      <c r="BJ5" s="1783"/>
      <c r="BK5" s="178"/>
      <c r="BL5" s="1608"/>
      <c r="BM5" s="1783"/>
      <c r="BN5" s="178"/>
      <c r="BO5" s="1608"/>
      <c r="BP5" s="1783"/>
      <c r="BQ5" s="178"/>
      <c r="BR5" s="1608"/>
      <c r="BS5" s="1783"/>
      <c r="BT5" s="178"/>
      <c r="BU5" s="1608"/>
      <c r="BV5" s="1783"/>
      <c r="BW5" s="178"/>
      <c r="BX5" s="1608"/>
      <c r="BY5" s="1783"/>
      <c r="BZ5" s="178"/>
      <c r="CA5" s="1608"/>
      <c r="CB5" s="1783"/>
      <c r="CC5" s="178"/>
      <c r="CD5" s="1608"/>
      <c r="CE5" s="1783"/>
      <c r="CF5" s="178"/>
      <c r="CG5" s="1608"/>
      <c r="CH5" s="1783"/>
      <c r="CI5" s="178"/>
      <c r="CJ5" s="1608"/>
      <c r="CK5" s="1783"/>
      <c r="CL5" s="178"/>
      <c r="CM5" s="1608"/>
      <c r="CN5" s="1783"/>
      <c r="CO5" s="178"/>
      <c r="CP5" s="1608"/>
      <c r="CQ5" s="1783"/>
      <c r="CR5" s="178"/>
      <c r="CS5" s="1608"/>
      <c r="CT5" s="1783"/>
      <c r="CU5" s="178"/>
      <c r="CV5" s="1608"/>
      <c r="CW5" s="1783"/>
      <c r="CX5" s="178"/>
      <c r="CY5" s="1608"/>
      <c r="CZ5" s="1783"/>
      <c r="DA5" s="178"/>
      <c r="DB5" s="1608"/>
      <c r="DC5" s="1783"/>
      <c r="DD5" s="178"/>
      <c r="DE5" s="1608"/>
      <c r="DF5" s="1783"/>
      <c r="DG5" s="178"/>
      <c r="DH5" s="1608"/>
      <c r="DI5" s="1783"/>
      <c r="DJ5" s="178"/>
      <c r="DK5" s="1608"/>
      <c r="DL5" s="1783"/>
      <c r="DM5" s="178"/>
      <c r="DN5" s="1608"/>
      <c r="DO5" s="1783"/>
      <c r="DP5" s="178"/>
      <c r="DQ5" s="1608"/>
      <c r="DR5" s="1783"/>
      <c r="DS5" s="178"/>
      <c r="DT5" s="1608"/>
      <c r="DU5" s="1783"/>
      <c r="DV5" s="178"/>
      <c r="DW5" s="1608"/>
      <c r="DX5" s="1783"/>
      <c r="DY5" s="178"/>
      <c r="DZ5" s="1608"/>
      <c r="EA5" s="1783"/>
      <c r="EB5" s="178"/>
      <c r="EC5" s="1608"/>
      <c r="ED5" s="1783"/>
      <c r="EE5" s="178"/>
      <c r="EF5" s="1608"/>
      <c r="EG5" s="1783"/>
      <c r="EH5" s="178"/>
      <c r="EI5" s="1608"/>
      <c r="EJ5" s="1783"/>
      <c r="EK5" s="178"/>
      <c r="EL5" s="1608"/>
      <c r="EM5" s="1783"/>
      <c r="EN5" s="178"/>
      <c r="EO5" s="1608"/>
      <c r="EP5" s="1783"/>
      <c r="EQ5" s="178"/>
      <c r="ER5" s="1608"/>
      <c r="ES5" s="1783"/>
      <c r="ET5" s="178"/>
      <c r="EU5" s="1608"/>
      <c r="EV5" s="1783"/>
      <c r="EW5" s="178"/>
      <c r="EX5" s="1608"/>
      <c r="EY5" s="1783"/>
      <c r="EZ5" s="178"/>
      <c r="FA5" s="1608"/>
      <c r="FB5" s="1783"/>
      <c r="FC5" s="178"/>
      <c r="FD5" s="1608"/>
      <c r="FE5" s="1783"/>
      <c r="FF5" s="178"/>
      <c r="FG5" s="1608"/>
      <c r="FH5" s="1783"/>
      <c r="FI5" s="178"/>
      <c r="FJ5" s="1608"/>
      <c r="FK5" s="1783"/>
      <c r="FL5" s="178"/>
      <c r="FM5" s="1608"/>
      <c r="FN5" s="1783"/>
      <c r="FO5" s="178"/>
      <c r="FP5" s="1608"/>
      <c r="FQ5" s="1783"/>
      <c r="FR5" s="178"/>
      <c r="FS5" s="1608"/>
      <c r="FT5" s="1783"/>
      <c r="FU5" s="539"/>
      <c r="FV5" s="1784"/>
      <c r="FW5" s="539"/>
      <c r="FX5" s="1784"/>
      <c r="FY5" s="539"/>
      <c r="FZ5" s="1784"/>
      <c r="GA5" s="539"/>
      <c r="GB5" s="1784"/>
      <c r="GC5" s="539"/>
      <c r="GD5" s="1784"/>
      <c r="GE5" s="539"/>
      <c r="GF5" s="1784"/>
      <c r="GG5" s="539"/>
      <c r="GH5" s="1784"/>
      <c r="GI5" s="539"/>
      <c r="GJ5" s="1784"/>
      <c r="GK5" s="539"/>
      <c r="GL5" s="1784"/>
    </row>
    <row r="6" spans="1:194" x14ac:dyDescent="0.2">
      <c r="A6" s="178" t="s">
        <v>1542</v>
      </c>
      <c r="B6" s="178"/>
      <c r="C6" s="1608"/>
      <c r="D6" s="1783"/>
      <c r="E6" s="178"/>
      <c r="F6" s="1608"/>
      <c r="G6" s="1783"/>
      <c r="H6" s="178">
        <f>'1846 Hacienda'!E19</f>
        <v>39872</v>
      </c>
      <c r="I6" s="1608">
        <f>'1846 Hacienda'!F19</f>
        <v>4</v>
      </c>
      <c r="J6" s="1783">
        <f>'1846 Hacienda'!G19</f>
        <v>3</v>
      </c>
      <c r="K6" s="178"/>
      <c r="L6" s="1608"/>
      <c r="M6" s="1783"/>
      <c r="N6" s="178"/>
      <c r="O6" s="1608"/>
      <c r="P6" s="1783"/>
      <c r="Q6" s="539">
        <f>+'1858 Hacienda'!D581</f>
        <v>34482</v>
      </c>
      <c r="R6" s="1784">
        <f>+'1858 Hacienda'!E581</f>
        <v>801</v>
      </c>
      <c r="S6" s="539">
        <f>+'1858 Hacienda'!D636</f>
        <v>48178</v>
      </c>
      <c r="T6" s="1784">
        <f>+'1858 Hacienda'!E636</f>
        <v>655</v>
      </c>
      <c r="U6" s="539">
        <f>+'1858 Hacienda'!B518</f>
        <v>41060</v>
      </c>
      <c r="V6" s="1784">
        <f>+'1858 Hacienda'!C518</f>
        <v>862</v>
      </c>
      <c r="W6" s="539">
        <f>+'1858 Hacienda'!B1143</f>
        <v>44520</v>
      </c>
      <c r="X6" s="1784">
        <f>+'1858 Hacienda'!C1143</f>
        <v>475</v>
      </c>
      <c r="Y6" s="539">
        <f>+'1858 Hacienda'!B43</f>
        <v>44455</v>
      </c>
      <c r="Z6" s="1784"/>
      <c r="AA6" s="539">
        <f>+'1858 Hacienda'!D43</f>
        <v>83125</v>
      </c>
      <c r="AB6" s="1784">
        <f>+'1858 Hacienda'!E43</f>
        <v>785</v>
      </c>
      <c r="AC6" s="539">
        <f>+'1858 Hacienda'!F43</f>
        <v>50811</v>
      </c>
      <c r="AD6" s="1784">
        <f>+'1858 Hacienda'!G43</f>
        <v>20</v>
      </c>
      <c r="AE6" s="539">
        <f>+'1858 Hacienda'!H43</f>
        <v>22372</v>
      </c>
      <c r="AF6" s="1784">
        <f>+'1858 Hacienda'!I43</f>
        <v>20</v>
      </c>
      <c r="AG6" s="539">
        <f>+'1858 Hacienda'!J43</f>
        <v>50156</v>
      </c>
      <c r="AH6" s="1784">
        <f>+'1858 Hacienda'!K43</f>
        <v>965</v>
      </c>
      <c r="AI6" s="539"/>
      <c r="AJ6" s="1756"/>
      <c r="AK6" s="539">
        <f>+'1861 Hacienda'!D90</f>
        <v>35325</v>
      </c>
      <c r="AL6" s="1784">
        <f>+'1861 Hacienda'!E90</f>
        <v>610</v>
      </c>
      <c r="AM6" s="1608"/>
      <c r="AN6" s="1608"/>
      <c r="AO6" s="1783"/>
      <c r="AP6" s="178"/>
      <c r="AQ6" s="1608"/>
      <c r="AR6" s="1783"/>
      <c r="AS6" s="178"/>
      <c r="AT6" s="1608"/>
      <c r="AU6" s="1783"/>
      <c r="AV6" s="178"/>
      <c r="AW6" s="1608"/>
      <c r="AX6" s="1783"/>
      <c r="AY6" s="178"/>
      <c r="AZ6" s="1608"/>
      <c r="BA6" s="1783"/>
      <c r="BB6" s="178"/>
      <c r="BC6" s="1608"/>
      <c r="BD6" s="1783"/>
      <c r="BE6" s="178"/>
      <c r="BF6" s="1608"/>
      <c r="BG6" s="1783"/>
      <c r="BH6" s="178"/>
      <c r="BI6" s="1608"/>
      <c r="BJ6" s="1783"/>
      <c r="BK6" s="178"/>
      <c r="BL6" s="1608"/>
      <c r="BM6" s="1783"/>
      <c r="BN6" s="178"/>
      <c r="BO6" s="1608"/>
      <c r="BP6" s="1783"/>
      <c r="BQ6" s="178"/>
      <c r="BR6" s="1608"/>
      <c r="BS6" s="1783"/>
      <c r="BT6" s="178"/>
      <c r="BU6" s="1608"/>
      <c r="BV6" s="1783"/>
      <c r="BW6" s="178"/>
      <c r="BX6" s="1608"/>
      <c r="BY6" s="1783"/>
      <c r="BZ6" s="178"/>
      <c r="CA6" s="1608"/>
      <c r="CB6" s="1783"/>
      <c r="CC6" s="178"/>
      <c r="CD6" s="1608"/>
      <c r="CE6" s="1783"/>
      <c r="CF6" s="539">
        <f>+'1873 Hacienda'!B5</f>
        <v>575400</v>
      </c>
      <c r="CG6" s="1608"/>
      <c r="CH6" s="1783"/>
      <c r="CI6" s="178"/>
      <c r="CJ6" s="1608"/>
      <c r="CK6" s="1783"/>
      <c r="CL6" s="178"/>
      <c r="CM6" s="1608"/>
      <c r="CN6" s="1783"/>
      <c r="CO6" s="178"/>
      <c r="CP6" s="1608"/>
      <c r="CQ6" s="1783"/>
      <c r="CR6" s="178"/>
      <c r="CS6" s="1608"/>
      <c r="CT6" s="1783"/>
      <c r="CU6" s="178"/>
      <c r="CV6" s="1608"/>
      <c r="CW6" s="1783"/>
      <c r="CX6" s="178"/>
      <c r="CY6" s="1608"/>
      <c r="CZ6" s="1783"/>
      <c r="DA6" s="178"/>
      <c r="DB6" s="1608"/>
      <c r="DC6" s="1783"/>
      <c r="DD6" s="178"/>
      <c r="DE6" s="1608"/>
      <c r="DF6" s="1783"/>
      <c r="DG6" s="178"/>
      <c r="DH6" s="1608"/>
      <c r="DI6" s="1783"/>
      <c r="DJ6" s="178"/>
      <c r="DK6" s="1608"/>
      <c r="DL6" s="1783"/>
      <c r="DM6" s="178"/>
      <c r="DN6" s="1608"/>
      <c r="DO6" s="1783"/>
      <c r="DP6" s="178"/>
      <c r="DQ6" s="1608"/>
      <c r="DR6" s="1783"/>
      <c r="DS6" s="178"/>
      <c r="DT6" s="1608"/>
      <c r="DU6" s="1783"/>
      <c r="DV6" s="178"/>
      <c r="DW6" s="1608"/>
      <c r="DX6" s="1783"/>
      <c r="DY6" s="178"/>
      <c r="DZ6" s="1608"/>
      <c r="EA6" s="1783"/>
      <c r="EB6" s="178"/>
      <c r="EC6" s="1608"/>
      <c r="ED6" s="1783"/>
      <c r="EE6" s="178"/>
      <c r="EF6" s="1608"/>
      <c r="EG6" s="1783"/>
      <c r="EH6" s="178"/>
      <c r="EI6" s="1608"/>
      <c r="EJ6" s="1783"/>
      <c r="EK6" s="178"/>
      <c r="EL6" s="1608"/>
      <c r="EM6" s="1783"/>
      <c r="EN6" s="178"/>
      <c r="EO6" s="1608"/>
      <c r="EP6" s="1783"/>
      <c r="EQ6" s="178"/>
      <c r="ER6" s="1608"/>
      <c r="ES6" s="1783"/>
      <c r="ET6" s="178"/>
      <c r="EU6" s="1608"/>
      <c r="EV6" s="1783"/>
      <c r="EW6" s="178"/>
      <c r="EX6" s="1608"/>
      <c r="EY6" s="1783"/>
      <c r="EZ6" s="178"/>
      <c r="FA6" s="1608"/>
      <c r="FB6" s="1783"/>
      <c r="FC6" s="178"/>
      <c r="FD6" s="1608"/>
      <c r="FE6" s="1783"/>
      <c r="FF6" s="178"/>
      <c r="FG6" s="1608"/>
      <c r="FH6" s="1783"/>
      <c r="FI6" s="178"/>
      <c r="FJ6" s="1608"/>
      <c r="FK6" s="1783"/>
      <c r="FL6" s="178"/>
      <c r="FM6" s="1608"/>
      <c r="FN6" s="1783"/>
      <c r="FO6" s="178"/>
      <c r="FP6" s="1608"/>
      <c r="FQ6" s="1783"/>
      <c r="FR6" s="178"/>
      <c r="FS6" s="1608"/>
      <c r="FT6" s="1783"/>
      <c r="FU6" s="539"/>
      <c r="FV6" s="1784"/>
      <c r="FW6" s="539"/>
      <c r="FX6" s="1784"/>
      <c r="FY6" s="539"/>
      <c r="FZ6" s="1784"/>
      <c r="GA6" s="539"/>
      <c r="GB6" s="1784"/>
      <c r="GC6" s="539"/>
      <c r="GD6" s="1784"/>
      <c r="GE6" s="539"/>
      <c r="GF6" s="1784"/>
      <c r="GG6" s="539"/>
      <c r="GH6" s="1784"/>
      <c r="GI6" s="539"/>
      <c r="GJ6" s="1784"/>
      <c r="GK6" s="539"/>
      <c r="GL6" s="1784"/>
    </row>
    <row r="7" spans="1:194" x14ac:dyDescent="0.2">
      <c r="A7" s="178" t="s">
        <v>1543</v>
      </c>
      <c r="B7" s="178"/>
      <c r="C7" s="1608"/>
      <c r="D7" s="1783"/>
      <c r="E7" s="178"/>
      <c r="F7" s="1608"/>
      <c r="G7" s="1783"/>
      <c r="H7" s="178">
        <f>'1846 Hacienda'!E20</f>
        <v>322908</v>
      </c>
      <c r="I7" s="1608">
        <f>'1846 Hacienda'!F20</f>
        <v>3</v>
      </c>
      <c r="J7" s="1783">
        <f>'1846 Hacienda'!G20</f>
        <v>2</v>
      </c>
      <c r="K7" s="178"/>
      <c r="L7" s="1608"/>
      <c r="M7" s="1783"/>
      <c r="N7" s="178"/>
      <c r="O7" s="1608"/>
      <c r="P7" s="1783"/>
      <c r="Q7" s="539">
        <f>+'1858 Hacienda'!D582</f>
        <v>44385</v>
      </c>
      <c r="R7" s="1784">
        <f>+'1858 Hacienda'!E582</f>
        <v>512</v>
      </c>
      <c r="S7" s="539">
        <f>+'1858 Hacienda'!D637</f>
        <v>2362</v>
      </c>
      <c r="T7" s="1784">
        <f>+'1858 Hacienda'!E637</f>
        <v>26</v>
      </c>
      <c r="U7" s="539">
        <f>+'1858 Hacienda'!B519</f>
        <v>27029</v>
      </c>
      <c r="V7" s="1784">
        <f>+'1858 Hacienda'!C519</f>
        <v>830</v>
      </c>
      <c r="W7" s="539">
        <f>+'1858 Hacienda'!B1144</f>
        <v>11527</v>
      </c>
      <c r="X7" s="1784">
        <f>+'1858 Hacienda'!C1144</f>
        <v>585</v>
      </c>
      <c r="Y7" s="539">
        <f>+'1858 Hacienda'!B44</f>
        <v>11527</v>
      </c>
      <c r="Z7" s="1784">
        <f>+'1858 Hacienda'!C44</f>
        <v>585</v>
      </c>
      <c r="AA7" s="539"/>
      <c r="AB7" s="1784"/>
      <c r="AC7" s="539"/>
      <c r="AD7" s="1784"/>
      <c r="AE7" s="539"/>
      <c r="AF7" s="1784"/>
      <c r="AG7" s="539"/>
      <c r="AH7" s="1784"/>
      <c r="AI7" s="539"/>
      <c r="AJ7" s="1756"/>
      <c r="AK7" s="178"/>
      <c r="AL7" s="1785"/>
      <c r="AM7" s="1608"/>
      <c r="AN7" s="1608"/>
      <c r="AO7" s="1783"/>
      <c r="AP7" s="178"/>
      <c r="AQ7" s="1608"/>
      <c r="AR7" s="1783"/>
      <c r="AS7" s="178"/>
      <c r="AT7" s="1608"/>
      <c r="AU7" s="1783"/>
      <c r="AV7" s="178"/>
      <c r="AW7" s="1608"/>
      <c r="AX7" s="1783"/>
      <c r="AY7" s="178"/>
      <c r="AZ7" s="1608"/>
      <c r="BA7" s="1783"/>
      <c r="BB7" s="178"/>
      <c r="BC7" s="1608"/>
      <c r="BD7" s="1783"/>
      <c r="BE7" s="178"/>
      <c r="BF7" s="1608"/>
      <c r="BG7" s="1783"/>
      <c r="BH7" s="178"/>
      <c r="BI7" s="1608"/>
      <c r="BJ7" s="1783"/>
      <c r="BK7" s="178"/>
      <c r="BL7" s="1608"/>
      <c r="BM7" s="1783"/>
      <c r="BN7" s="178"/>
      <c r="BO7" s="1608"/>
      <c r="BP7" s="1783"/>
      <c r="BQ7" s="178"/>
      <c r="BR7" s="1608"/>
      <c r="BS7" s="1783"/>
      <c r="BT7" s="178"/>
      <c r="BU7" s="1608"/>
      <c r="BV7" s="1783"/>
      <c r="BW7" s="178"/>
      <c r="BX7" s="1608"/>
      <c r="BY7" s="1783"/>
      <c r="BZ7" s="178"/>
      <c r="CA7" s="1608"/>
      <c r="CB7" s="1783"/>
      <c r="CC7" s="178"/>
      <c r="CD7" s="1608"/>
      <c r="CE7" s="1783"/>
      <c r="CF7" s="178"/>
      <c r="CG7" s="1608"/>
      <c r="CH7" s="1783"/>
      <c r="CI7" s="178"/>
      <c r="CJ7" s="1608"/>
      <c r="CK7" s="1783"/>
      <c r="CL7" s="178"/>
      <c r="CM7" s="1608"/>
      <c r="CN7" s="1783"/>
      <c r="CO7" s="178"/>
      <c r="CP7" s="1608"/>
      <c r="CQ7" s="1783"/>
      <c r="CR7" s="178"/>
      <c r="CS7" s="1608"/>
      <c r="CT7" s="1783"/>
      <c r="CU7" s="178"/>
      <c r="CV7" s="1608"/>
      <c r="CW7" s="1783"/>
      <c r="CX7" s="178"/>
      <c r="CY7" s="1608"/>
      <c r="CZ7" s="1783"/>
      <c r="DA7" s="178"/>
      <c r="DB7" s="1608"/>
      <c r="DC7" s="1783"/>
      <c r="DD7" s="178"/>
      <c r="DE7" s="1608"/>
      <c r="DF7" s="1783"/>
      <c r="DG7" s="178"/>
      <c r="DH7" s="1608"/>
      <c r="DI7" s="1783"/>
      <c r="DJ7" s="178"/>
      <c r="DK7" s="1608"/>
      <c r="DL7" s="1783"/>
      <c r="DM7" s="178"/>
      <c r="DN7" s="1608"/>
      <c r="DO7" s="1783"/>
      <c r="DP7" s="178"/>
      <c r="DQ7" s="1608"/>
      <c r="DR7" s="1783"/>
      <c r="DS7" s="178"/>
      <c r="DT7" s="1608"/>
      <c r="DU7" s="1783"/>
      <c r="DV7" s="178"/>
      <c r="DW7" s="1608"/>
      <c r="DX7" s="1783"/>
      <c r="DY7" s="178"/>
      <c r="DZ7" s="1608"/>
      <c r="EA7" s="1783"/>
      <c r="EB7" s="178"/>
      <c r="EC7" s="1608"/>
      <c r="ED7" s="1783"/>
      <c r="EE7" s="178"/>
      <c r="EF7" s="1608"/>
      <c r="EG7" s="1783"/>
      <c r="EH7" s="178"/>
      <c r="EI7" s="1608"/>
      <c r="EJ7" s="1783"/>
      <c r="EK7" s="178"/>
      <c r="EL7" s="1608"/>
      <c r="EM7" s="1783"/>
      <c r="EN7" s="178"/>
      <c r="EO7" s="1608"/>
      <c r="EP7" s="1783"/>
      <c r="EQ7" s="178"/>
      <c r="ER7" s="1608"/>
      <c r="ES7" s="1783"/>
      <c r="ET7" s="178"/>
      <c r="EU7" s="1608"/>
      <c r="EV7" s="1783"/>
      <c r="EW7" s="178"/>
      <c r="EX7" s="1608"/>
      <c r="EY7" s="1783"/>
      <c r="EZ7" s="178"/>
      <c r="FA7" s="1608"/>
      <c r="FB7" s="1783"/>
      <c r="FC7" s="178"/>
      <c r="FD7" s="1608"/>
      <c r="FE7" s="1783"/>
      <c r="FF7" s="178"/>
      <c r="FG7" s="1608"/>
      <c r="FH7" s="1783"/>
      <c r="FI7" s="178"/>
      <c r="FJ7" s="1608"/>
      <c r="FK7" s="1783"/>
      <c r="FL7" s="178"/>
      <c r="FM7" s="1608"/>
      <c r="FN7" s="1783"/>
      <c r="FO7" s="178"/>
      <c r="FP7" s="1608"/>
      <c r="FQ7" s="1783"/>
      <c r="FR7" s="178"/>
      <c r="FS7" s="1608"/>
      <c r="FT7" s="1783"/>
      <c r="FU7" s="539"/>
      <c r="FV7" s="1784"/>
      <c r="FW7" s="539"/>
      <c r="FX7" s="1784"/>
      <c r="FY7" s="539"/>
      <c r="FZ7" s="1784"/>
      <c r="GA7" s="539"/>
      <c r="GB7" s="1784"/>
      <c r="GC7" s="539"/>
      <c r="GD7" s="1784"/>
      <c r="GE7" s="539"/>
      <c r="GF7" s="1784"/>
      <c r="GG7" s="539"/>
      <c r="GH7" s="1784"/>
      <c r="GI7" s="539"/>
      <c r="GJ7" s="1784"/>
      <c r="GK7" s="539"/>
      <c r="GL7" s="1784"/>
    </row>
    <row r="8" spans="1:194" x14ac:dyDescent="0.2">
      <c r="A8" s="178" t="s">
        <v>1544</v>
      </c>
      <c r="B8" s="178"/>
      <c r="C8" s="1608"/>
      <c r="D8" s="1783"/>
      <c r="E8" s="178"/>
      <c r="F8" s="1608"/>
      <c r="G8" s="1783"/>
      <c r="H8" s="178">
        <f>'1846 Hacienda'!E21</f>
        <v>549330</v>
      </c>
      <c r="I8" s="1608">
        <f>'1846 Hacienda'!F21</f>
        <v>4</v>
      </c>
      <c r="J8" s="1783">
        <f>'1846 Hacienda'!G21</f>
        <v>1</v>
      </c>
      <c r="K8" s="178"/>
      <c r="L8" s="1608"/>
      <c r="M8" s="1783"/>
      <c r="N8" s="178"/>
      <c r="O8" s="1608"/>
      <c r="P8" s="1783"/>
      <c r="Q8" s="539">
        <f>+'1858 Hacienda'!D591</f>
        <v>1161834</v>
      </c>
      <c r="R8" s="1784">
        <f>+'1858 Hacienda'!E591</f>
        <v>612</v>
      </c>
      <c r="S8" s="539">
        <f>+'1858 Hacienda'!D646</f>
        <v>1191793</v>
      </c>
      <c r="T8" s="1784">
        <f>+'1858 Hacienda'!E646</f>
        <v>0</v>
      </c>
      <c r="U8" s="539">
        <f>+'1858 Hacienda'!B528</f>
        <v>987589</v>
      </c>
      <c r="V8" s="1784">
        <f>+'1858 Hacienda'!C528</f>
        <v>695</v>
      </c>
      <c r="W8" s="539">
        <f>+'1858 Hacienda'!B1153</f>
        <v>449352</v>
      </c>
      <c r="X8" s="1784">
        <f>+'1858 Hacienda'!C1153</f>
        <v>818</v>
      </c>
      <c r="Y8" s="539">
        <f>+'1858 Hacienda'!B53</f>
        <v>447306</v>
      </c>
      <c r="Z8" s="1784">
        <f>+'1858 Hacienda'!C53</f>
        <v>783</v>
      </c>
      <c r="AA8" s="539">
        <f>+'1858 Hacienda'!D53</f>
        <v>465397</v>
      </c>
      <c r="AB8" s="1784">
        <f>+'1858 Hacienda'!E53</f>
        <v>185</v>
      </c>
      <c r="AC8" s="539">
        <f>+'1858 Hacienda'!F53</f>
        <v>397762</v>
      </c>
      <c r="AD8" s="1784">
        <f>+'1858 Hacienda'!G53</f>
        <v>184</v>
      </c>
      <c r="AE8" s="539">
        <f>+'1858 Hacienda'!H53</f>
        <v>272817</v>
      </c>
      <c r="AF8" s="1784">
        <f>+'1858 Hacienda'!I53</f>
        <v>681</v>
      </c>
      <c r="AG8" s="539">
        <f>+'1858 Hacienda'!J53</f>
        <v>301304</v>
      </c>
      <c r="AH8" s="1784">
        <f>+'1858 Hacienda'!K53</f>
        <v>384</v>
      </c>
      <c r="AI8" s="539"/>
      <c r="AJ8" s="1756"/>
      <c r="AK8" s="539">
        <f>+'1861 Hacienda'!D95</f>
        <v>562850</v>
      </c>
      <c r="AL8" s="1784">
        <f>+'1861 Hacienda'!E95</f>
        <v>598</v>
      </c>
      <c r="AM8" s="1608"/>
      <c r="AN8" s="1608"/>
      <c r="AO8" s="1783"/>
      <c r="AP8" s="178"/>
      <c r="AQ8" s="1608"/>
      <c r="AR8" s="1783"/>
      <c r="AS8" s="178"/>
      <c r="AT8" s="1608"/>
      <c r="AU8" s="1783"/>
      <c r="AV8" s="178"/>
      <c r="AW8" s="1608"/>
      <c r="AX8" s="1783"/>
      <c r="AY8" s="178"/>
      <c r="AZ8" s="1608"/>
      <c r="BA8" s="1783"/>
      <c r="BB8" s="178"/>
      <c r="BC8" s="1608"/>
      <c r="BD8" s="1783"/>
      <c r="BE8" s="178"/>
      <c r="BF8" s="1608"/>
      <c r="BG8" s="1783"/>
      <c r="BH8" s="178"/>
      <c r="BI8" s="1608"/>
      <c r="BJ8" s="1783"/>
      <c r="BK8" s="178"/>
      <c r="BL8" s="1608"/>
      <c r="BM8" s="1783"/>
      <c r="BN8" s="178"/>
      <c r="BO8" s="1608"/>
      <c r="BP8" s="1783"/>
      <c r="BQ8" s="178"/>
      <c r="BR8" s="1608"/>
      <c r="BS8" s="1783"/>
      <c r="BT8" s="178"/>
      <c r="BU8" s="1608"/>
      <c r="BV8" s="1783"/>
      <c r="BW8" s="178"/>
      <c r="BX8" s="1608"/>
      <c r="BY8" s="1783"/>
      <c r="BZ8" s="178"/>
      <c r="CA8" s="1608"/>
      <c r="CB8" s="1783"/>
      <c r="CC8" s="178"/>
      <c r="CD8" s="1608"/>
      <c r="CE8" s="1783"/>
      <c r="CF8" s="539">
        <f>+'1873 Hacienda'!B6</f>
        <v>971000</v>
      </c>
      <c r="CG8" s="1608"/>
      <c r="CH8" s="1783"/>
      <c r="CI8" s="178"/>
      <c r="CJ8" s="1608"/>
      <c r="CK8" s="1783"/>
      <c r="CL8" s="178"/>
      <c r="CM8" s="1608"/>
      <c r="CN8" s="1783"/>
      <c r="CO8" s="178"/>
      <c r="CP8" s="1608"/>
      <c r="CQ8" s="1783"/>
      <c r="CR8" s="178"/>
      <c r="CS8" s="1608"/>
      <c r="CT8" s="1783"/>
      <c r="CU8" s="178"/>
      <c r="CV8" s="1608"/>
      <c r="CW8" s="1783"/>
      <c r="CX8" s="178"/>
      <c r="CY8" s="1608"/>
      <c r="CZ8" s="1783"/>
      <c r="DA8" s="178"/>
      <c r="DB8" s="1608"/>
      <c r="DC8" s="1783"/>
      <c r="DD8" s="539">
        <f>+'1883 Hacienda'!B25</f>
        <v>740000</v>
      </c>
      <c r="DE8" s="1608"/>
      <c r="DF8" s="1783"/>
      <c r="DG8" s="178"/>
      <c r="DH8" s="1608"/>
      <c r="DI8" s="1783"/>
      <c r="DJ8" s="178"/>
      <c r="DK8" s="1608"/>
      <c r="DL8" s="1783"/>
      <c r="DM8" s="178"/>
      <c r="DN8" s="1608"/>
      <c r="DO8" s="1783"/>
      <c r="DP8" s="178"/>
      <c r="DQ8" s="1608"/>
      <c r="DR8" s="1783"/>
      <c r="DS8" s="178"/>
      <c r="DT8" s="1608"/>
      <c r="DU8" s="1783"/>
      <c r="DV8" s="178"/>
      <c r="DW8" s="1608"/>
      <c r="DX8" s="1783"/>
      <c r="DY8" s="178"/>
      <c r="DZ8" s="1608"/>
      <c r="EA8" s="1783"/>
      <c r="EB8" s="178"/>
      <c r="EC8" s="1608"/>
      <c r="ED8" s="1783"/>
      <c r="EE8" s="178"/>
      <c r="EF8" s="1608"/>
      <c r="EG8" s="1783"/>
      <c r="EH8" s="178"/>
      <c r="EI8" s="1608"/>
      <c r="EJ8" s="1783"/>
      <c r="EK8" s="178"/>
      <c r="EL8" s="1608"/>
      <c r="EM8" s="1783"/>
      <c r="EN8" s="178"/>
      <c r="EO8" s="1608"/>
      <c r="EP8" s="1783"/>
      <c r="EQ8" s="178"/>
      <c r="ER8" s="1608"/>
      <c r="ES8" s="1783"/>
      <c r="ET8" s="178"/>
      <c r="EU8" s="1608"/>
      <c r="EV8" s="1783"/>
      <c r="EW8" s="178"/>
      <c r="EX8" s="1608"/>
      <c r="EY8" s="1783"/>
      <c r="EZ8" s="178"/>
      <c r="FA8" s="1608"/>
      <c r="FB8" s="1783"/>
      <c r="FC8" s="178"/>
      <c r="FD8" s="1608"/>
      <c r="FE8" s="1783"/>
      <c r="FF8" s="178"/>
      <c r="FG8" s="1608"/>
      <c r="FH8" s="1783"/>
      <c r="FI8" s="178"/>
      <c r="FJ8" s="1608"/>
      <c r="FK8" s="1783"/>
      <c r="FL8" s="178"/>
      <c r="FM8" s="1608"/>
      <c r="FN8" s="1783"/>
      <c r="FO8" s="178"/>
      <c r="FP8" s="1608"/>
      <c r="FQ8" s="1783"/>
      <c r="FR8" s="178"/>
      <c r="FS8" s="1608"/>
      <c r="FT8" s="1783"/>
      <c r="FU8" s="539"/>
      <c r="FV8" s="1784"/>
      <c r="FW8" s="539"/>
      <c r="FX8" s="1784"/>
      <c r="FY8" s="539"/>
      <c r="FZ8" s="1784"/>
      <c r="GA8" s="539"/>
      <c r="GB8" s="1784"/>
      <c r="GC8" s="539"/>
      <c r="GD8" s="1784"/>
      <c r="GE8" s="539"/>
      <c r="GF8" s="1784"/>
      <c r="GG8" s="539"/>
      <c r="GH8" s="1784"/>
      <c r="GI8" s="539"/>
      <c r="GJ8" s="1784"/>
      <c r="GK8" s="539"/>
      <c r="GL8" s="1784"/>
    </row>
    <row r="9" spans="1:194" x14ac:dyDescent="0.2">
      <c r="A9" s="178" t="s">
        <v>1545</v>
      </c>
      <c r="B9" s="178"/>
      <c r="C9" s="1608"/>
      <c r="D9" s="1783"/>
      <c r="E9" s="178"/>
      <c r="F9" s="1608"/>
      <c r="G9" s="1783"/>
      <c r="H9" s="178">
        <f>'1846 Hacienda'!E22</f>
        <v>878074</v>
      </c>
      <c r="I9" s="1608">
        <f>'1846 Hacienda'!F22</f>
        <v>2</v>
      </c>
      <c r="J9" s="1783">
        <f>'1846 Hacienda'!G22</f>
        <v>1</v>
      </c>
      <c r="K9" s="178"/>
      <c r="L9" s="1608"/>
      <c r="M9" s="1783"/>
      <c r="N9" s="178"/>
      <c r="O9" s="1608"/>
      <c r="P9" s="1783"/>
      <c r="Q9" s="539">
        <f>+'1858 Hacienda'!D584</f>
        <v>575545</v>
      </c>
      <c r="R9" s="1784">
        <f>+'1858 Hacienda'!E584</f>
        <v>815</v>
      </c>
      <c r="S9" s="539">
        <f>+'1858 Hacienda'!D639</f>
        <v>383256</v>
      </c>
      <c r="T9" s="1784">
        <f>+'1858 Hacienda'!E639</f>
        <v>317</v>
      </c>
      <c r="U9" s="539">
        <f>+'1858 Hacienda'!B521</f>
        <v>327213</v>
      </c>
      <c r="V9" s="1784">
        <f>+'1858 Hacienda'!C521</f>
        <v>14</v>
      </c>
      <c r="W9" s="539">
        <f>+'1858 Hacienda'!B1146</f>
        <v>663242</v>
      </c>
      <c r="X9" s="1784">
        <f>+'1858 Hacienda'!C1146</f>
        <v>115</v>
      </c>
      <c r="Y9" s="539">
        <f>+'1858 Hacienda'!B46</f>
        <v>440267</v>
      </c>
      <c r="Z9" s="1784">
        <f>+'1858 Hacienda'!C46</f>
        <v>806</v>
      </c>
      <c r="AA9" s="539">
        <f>+'1858 Hacienda'!D46</f>
        <v>576421</v>
      </c>
      <c r="AB9" s="1784">
        <f>+'1858 Hacienda'!E46</f>
        <v>539</v>
      </c>
      <c r="AC9" s="539">
        <f>+'1858 Hacienda'!F46</f>
        <v>403962</v>
      </c>
      <c r="AD9" s="1784">
        <f>+'1858 Hacienda'!G46</f>
        <v>884</v>
      </c>
      <c r="AE9" s="539">
        <f>+'1858 Hacienda'!H46</f>
        <v>387293</v>
      </c>
      <c r="AF9" s="1784">
        <f>+'1858 Hacienda'!I46</f>
        <v>300</v>
      </c>
      <c r="AG9" s="539">
        <f>+'1858 Hacienda'!J46</f>
        <v>497210</v>
      </c>
      <c r="AH9" s="1784">
        <f>+'1858 Hacienda'!K46</f>
        <v>821</v>
      </c>
      <c r="AI9" s="539"/>
      <c r="AJ9" s="1756"/>
      <c r="AK9" s="566">
        <f>+'1861 Hacienda'!D92</f>
        <v>236648</v>
      </c>
      <c r="AL9" s="568">
        <f>+'1861 Hacienda'!E92</f>
        <v>905</v>
      </c>
      <c r="AM9" s="1608"/>
      <c r="AN9" s="1608"/>
      <c r="AO9" s="1783"/>
      <c r="AP9" s="178"/>
      <c r="AQ9" s="1608"/>
      <c r="AR9" s="1783"/>
      <c r="AS9" s="178"/>
      <c r="AT9" s="1608"/>
      <c r="AU9" s="1783"/>
      <c r="AV9" s="178"/>
      <c r="AW9" s="1608"/>
      <c r="AX9" s="1783"/>
      <c r="AY9" s="178"/>
      <c r="AZ9" s="1608"/>
      <c r="BA9" s="1783"/>
      <c r="BB9" s="178"/>
      <c r="BC9" s="1608"/>
      <c r="BD9" s="1783"/>
      <c r="BE9" s="178"/>
      <c r="BF9" s="1608"/>
      <c r="BG9" s="1783"/>
      <c r="BH9" s="178"/>
      <c r="BI9" s="1608"/>
      <c r="BJ9" s="1783"/>
      <c r="BK9" s="178"/>
      <c r="BL9" s="1608"/>
      <c r="BM9" s="1783"/>
      <c r="BN9" s="178"/>
      <c r="BO9" s="1608"/>
      <c r="BP9" s="1783"/>
      <c r="BQ9" s="178"/>
      <c r="BR9" s="1608"/>
      <c r="BS9" s="1783"/>
      <c r="BT9" s="178"/>
      <c r="BU9" s="1608"/>
      <c r="BV9" s="1783"/>
      <c r="BW9" s="178"/>
      <c r="BX9" s="1608"/>
      <c r="BY9" s="1783"/>
      <c r="BZ9" s="178"/>
      <c r="CA9" s="1608"/>
      <c r="CB9" s="1783"/>
      <c r="CC9" s="178"/>
      <c r="CD9" s="1608"/>
      <c r="CE9" s="1783"/>
      <c r="CF9" s="1786">
        <f>+'1873 Hacienda'!B8</f>
        <v>373000</v>
      </c>
      <c r="CG9" s="1608"/>
      <c r="CH9" s="1783"/>
      <c r="CI9" s="178"/>
      <c r="CJ9" s="1608"/>
      <c r="CK9" s="1783"/>
      <c r="CL9" s="178"/>
      <c r="CM9" s="1608"/>
      <c r="CN9" s="1783"/>
      <c r="CO9" s="178"/>
      <c r="CP9" s="1608"/>
      <c r="CQ9" s="1783"/>
      <c r="CR9" s="178"/>
      <c r="CS9" s="1608"/>
      <c r="CT9" s="1783"/>
      <c r="CU9" s="178"/>
      <c r="CV9" s="1608"/>
      <c r="CW9" s="1783"/>
      <c r="CX9" s="178"/>
      <c r="CY9" s="1608"/>
      <c r="CZ9" s="1783"/>
      <c r="DA9" s="178"/>
      <c r="DB9" s="1608"/>
      <c r="DC9" s="1783"/>
      <c r="DD9" s="178"/>
      <c r="DE9" s="1608"/>
      <c r="DF9" s="1783"/>
      <c r="DG9" s="178"/>
      <c r="DH9" s="1608"/>
      <c r="DI9" s="1783"/>
      <c r="DJ9" s="178"/>
      <c r="DK9" s="1608"/>
      <c r="DL9" s="1783"/>
      <c r="DM9" s="178"/>
      <c r="DN9" s="1608"/>
      <c r="DO9" s="1783"/>
      <c r="DP9" s="178"/>
      <c r="DQ9" s="1608"/>
      <c r="DR9" s="1783"/>
      <c r="DS9" s="178"/>
      <c r="DT9" s="1608"/>
      <c r="DU9" s="1783"/>
      <c r="DV9" s="178"/>
      <c r="DW9" s="1608"/>
      <c r="DX9" s="1783"/>
      <c r="DY9" s="178"/>
      <c r="DZ9" s="1608"/>
      <c r="EA9" s="1783"/>
      <c r="EB9" s="178"/>
      <c r="EC9" s="1608"/>
      <c r="ED9" s="1783"/>
      <c r="EE9" s="178"/>
      <c r="EF9" s="1608"/>
      <c r="EG9" s="1783"/>
      <c r="EH9" s="178"/>
      <c r="EI9" s="1608"/>
      <c r="EJ9" s="1783"/>
      <c r="EK9" s="178"/>
      <c r="EL9" s="1608"/>
      <c r="EM9" s="1783"/>
      <c r="EN9" s="178"/>
      <c r="EO9" s="1608"/>
      <c r="EP9" s="1783"/>
      <c r="EQ9" s="178"/>
      <c r="ER9" s="1608"/>
      <c r="ES9" s="1783"/>
      <c r="ET9" s="178"/>
      <c r="EU9" s="1608"/>
      <c r="EV9" s="1783"/>
      <c r="EW9" s="178"/>
      <c r="EX9" s="1608"/>
      <c r="EY9" s="1783"/>
      <c r="EZ9" s="178"/>
      <c r="FA9" s="1608"/>
      <c r="FB9" s="1783"/>
      <c r="FC9" s="178"/>
      <c r="FD9" s="1608"/>
      <c r="FE9" s="1783"/>
      <c r="FF9" s="178"/>
      <c r="FG9" s="1608"/>
      <c r="FH9" s="1783"/>
      <c r="FI9" s="178"/>
      <c r="FJ9" s="1608"/>
      <c r="FK9" s="1783"/>
      <c r="FL9" s="178"/>
      <c r="FM9" s="1608"/>
      <c r="FN9" s="1783"/>
      <c r="FO9" s="178"/>
      <c r="FP9" s="1608"/>
      <c r="FQ9" s="1783"/>
      <c r="FR9" s="178"/>
      <c r="FS9" s="1608"/>
      <c r="FT9" s="1783"/>
      <c r="FU9" s="539"/>
      <c r="FV9" s="1784"/>
      <c r="FW9" s="539"/>
      <c r="FX9" s="1784"/>
      <c r="FY9" s="539"/>
      <c r="FZ9" s="1784"/>
      <c r="GA9" s="539"/>
      <c r="GB9" s="1784"/>
      <c r="GC9" s="539"/>
      <c r="GD9" s="1784"/>
      <c r="GE9" s="539"/>
      <c r="GF9" s="1784"/>
      <c r="GG9" s="539"/>
      <c r="GH9" s="1784"/>
      <c r="GI9" s="539"/>
      <c r="GJ9" s="1784"/>
      <c r="GK9" s="539"/>
      <c r="GL9" s="1784"/>
    </row>
    <row r="10" spans="1:194" x14ac:dyDescent="0.2">
      <c r="A10" s="539" t="str">
        <f>+'1858 Hacienda'!A47</f>
        <v>Departamento de Marina</v>
      </c>
      <c r="B10" s="178"/>
      <c r="C10" s="1608"/>
      <c r="D10" s="1783"/>
      <c r="E10" s="178"/>
      <c r="F10" s="1608"/>
      <c r="G10" s="1783"/>
      <c r="H10" s="178"/>
      <c r="I10" s="1608"/>
      <c r="J10" s="1783"/>
      <c r="K10" s="178"/>
      <c r="L10" s="1608"/>
      <c r="M10" s="1783"/>
      <c r="N10" s="178"/>
      <c r="O10" s="1608"/>
      <c r="P10" s="1783"/>
      <c r="Q10" s="539">
        <f>+'1858 Hacienda'!D585</f>
        <v>7199</v>
      </c>
      <c r="R10" s="1784">
        <f>+'1858 Hacienda'!E585</f>
        <v>489</v>
      </c>
      <c r="S10" s="539">
        <f>+'1858 Hacienda'!D640</f>
        <v>4814</v>
      </c>
      <c r="T10" s="1784">
        <f>+'1858 Hacienda'!E640</f>
        <v>14</v>
      </c>
      <c r="U10" s="539">
        <f>+'1858 Hacienda'!B522</f>
        <v>3995</v>
      </c>
      <c r="V10" s="1784">
        <f>+'1858 Hacienda'!C522</f>
        <v>795</v>
      </c>
      <c r="W10" s="539">
        <f>+'1858 Hacienda'!B1147</f>
        <v>1255</v>
      </c>
      <c r="X10" s="1784">
        <f>+'1858 Hacienda'!C1147</f>
        <v>700</v>
      </c>
      <c r="Y10" s="539">
        <f>+'1858 Hacienda'!B47</f>
        <v>362</v>
      </c>
      <c r="Z10" s="1784">
        <f>+'1858 Hacienda'!C47</f>
        <v>600</v>
      </c>
      <c r="AA10" s="539">
        <f>+'1858 Hacienda'!D47</f>
        <v>2091</v>
      </c>
      <c r="AB10" s="1784">
        <f>+'1858 Hacienda'!E47</f>
        <v>539</v>
      </c>
      <c r="AC10" s="539"/>
      <c r="AD10" s="1784"/>
      <c r="AE10" s="539"/>
      <c r="AF10" s="1784"/>
      <c r="AG10" s="539"/>
      <c r="AH10" s="1784"/>
      <c r="AI10" s="539"/>
      <c r="AJ10" s="1756"/>
      <c r="AK10" s="117"/>
      <c r="AL10" s="119"/>
      <c r="AM10" s="1608"/>
      <c r="AN10" s="1608"/>
      <c r="AO10" s="1783"/>
      <c r="AP10" s="178"/>
      <c r="AQ10" s="1608"/>
      <c r="AR10" s="1783"/>
      <c r="AS10" s="178"/>
      <c r="AT10" s="1608"/>
      <c r="AU10" s="1783"/>
      <c r="AV10" s="178"/>
      <c r="AW10" s="1608"/>
      <c r="AX10" s="1783"/>
      <c r="AY10" s="178"/>
      <c r="AZ10" s="1608"/>
      <c r="BA10" s="1783"/>
      <c r="BB10" s="178"/>
      <c r="BC10" s="1608"/>
      <c r="BD10" s="1783"/>
      <c r="BE10" s="178"/>
      <c r="BF10" s="1608"/>
      <c r="BG10" s="1783"/>
      <c r="BH10" s="178"/>
      <c r="BI10" s="1608"/>
      <c r="BJ10" s="1783"/>
      <c r="BK10" s="178"/>
      <c r="BL10" s="1608"/>
      <c r="BM10" s="1783"/>
      <c r="BN10" s="178"/>
      <c r="BO10" s="1608"/>
      <c r="BP10" s="1783"/>
      <c r="BQ10" s="178"/>
      <c r="BR10" s="1608"/>
      <c r="BS10" s="1783"/>
      <c r="BT10" s="178"/>
      <c r="BU10" s="1608"/>
      <c r="BV10" s="1783"/>
      <c r="BW10" s="178"/>
      <c r="BX10" s="1608"/>
      <c r="BY10" s="1783"/>
      <c r="BZ10" s="178"/>
      <c r="CA10" s="1608"/>
      <c r="CB10" s="1783"/>
      <c r="CC10" s="178"/>
      <c r="CD10" s="1608"/>
      <c r="CE10" s="1783"/>
      <c r="CF10" s="1787"/>
      <c r="CG10" s="1608"/>
      <c r="CH10" s="1783"/>
      <c r="CI10" s="178"/>
      <c r="CJ10" s="1608"/>
      <c r="CK10" s="1783"/>
      <c r="CL10" s="178"/>
      <c r="CM10" s="1608"/>
      <c r="CN10" s="1783"/>
      <c r="CO10" s="178"/>
      <c r="CP10" s="1608"/>
      <c r="CQ10" s="1783"/>
      <c r="CR10" s="178"/>
      <c r="CS10" s="1608"/>
      <c r="CT10" s="1783"/>
      <c r="CU10" s="178"/>
      <c r="CV10" s="1608"/>
      <c r="CW10" s="1783"/>
      <c r="CX10" s="178"/>
      <c r="CY10" s="1608"/>
      <c r="CZ10" s="1783"/>
      <c r="DA10" s="178"/>
      <c r="DB10" s="1608"/>
      <c r="DC10" s="1783"/>
      <c r="DD10" s="178"/>
      <c r="DE10" s="1608"/>
      <c r="DF10" s="1783"/>
      <c r="DG10" s="178"/>
      <c r="DH10" s="1608"/>
      <c r="DI10" s="1783"/>
      <c r="DJ10" s="178"/>
      <c r="DK10" s="1608"/>
      <c r="DL10" s="1783"/>
      <c r="DM10" s="178"/>
      <c r="DN10" s="1608"/>
      <c r="DO10" s="1783"/>
      <c r="DP10" s="178"/>
      <c r="DQ10" s="1608"/>
      <c r="DR10" s="1783"/>
      <c r="DS10" s="178"/>
      <c r="DT10" s="1608"/>
      <c r="DU10" s="1783"/>
      <c r="DV10" s="178"/>
      <c r="DW10" s="1608"/>
      <c r="DX10" s="1783"/>
      <c r="DY10" s="178"/>
      <c r="DZ10" s="1608"/>
      <c r="EA10" s="1783"/>
      <c r="EB10" s="178"/>
      <c r="EC10" s="1608"/>
      <c r="ED10" s="1783"/>
      <c r="EE10" s="178"/>
      <c r="EF10" s="1608"/>
      <c r="EG10" s="1783"/>
      <c r="EH10" s="178"/>
      <c r="EI10" s="1608"/>
      <c r="EJ10" s="1783"/>
      <c r="EK10" s="178"/>
      <c r="EL10" s="1608"/>
      <c r="EM10" s="1783"/>
      <c r="EN10" s="178"/>
      <c r="EO10" s="1608"/>
      <c r="EP10" s="1783"/>
      <c r="EQ10" s="178"/>
      <c r="ER10" s="1608"/>
      <c r="ES10" s="1783"/>
      <c r="ET10" s="178"/>
      <c r="EU10" s="1608"/>
      <c r="EV10" s="1783"/>
      <c r="EW10" s="178"/>
      <c r="EX10" s="1608"/>
      <c r="EY10" s="1783"/>
      <c r="EZ10" s="178"/>
      <c r="FA10" s="1608"/>
      <c r="FB10" s="1783"/>
      <c r="FC10" s="178"/>
      <c r="FD10" s="1608"/>
      <c r="FE10" s="1783"/>
      <c r="FF10" s="178"/>
      <c r="FG10" s="1608"/>
      <c r="FH10" s="1783"/>
      <c r="FI10" s="178"/>
      <c r="FJ10" s="1608"/>
      <c r="FK10" s="1783"/>
      <c r="FL10" s="178"/>
      <c r="FM10" s="1608"/>
      <c r="FN10" s="1783"/>
      <c r="FO10" s="178"/>
      <c r="FP10" s="1608"/>
      <c r="FQ10" s="1783"/>
      <c r="FR10" s="178"/>
      <c r="FS10" s="1608"/>
      <c r="FT10" s="1783"/>
      <c r="FU10" s="539"/>
      <c r="FV10" s="1784"/>
      <c r="FW10" s="539"/>
      <c r="FX10" s="1784"/>
      <c r="FY10" s="539"/>
      <c r="FZ10" s="1784"/>
      <c r="GA10" s="539"/>
      <c r="GB10" s="1784"/>
      <c r="GC10" s="539"/>
      <c r="GD10" s="1784"/>
      <c r="GE10" s="539"/>
      <c r="GF10" s="1784"/>
      <c r="GG10" s="539"/>
      <c r="GH10" s="1784"/>
      <c r="GI10" s="539"/>
      <c r="GJ10" s="1784"/>
      <c r="GK10" s="539"/>
      <c r="GL10" s="1784"/>
    </row>
    <row r="11" spans="1:194" x14ac:dyDescent="0.2">
      <c r="A11" s="178" t="s">
        <v>1546</v>
      </c>
      <c r="B11" s="178"/>
      <c r="C11" s="1608"/>
      <c r="D11" s="1783"/>
      <c r="E11" s="178"/>
      <c r="F11" s="1608"/>
      <c r="G11" s="1783"/>
      <c r="H11" s="178">
        <f>'1846 Hacienda'!E23</f>
        <v>178749</v>
      </c>
      <c r="I11" s="1608">
        <f>'1846 Hacienda'!F23</f>
        <v>7</v>
      </c>
      <c r="J11" s="1783">
        <f>'1846 Hacienda'!G23</f>
        <v>1</v>
      </c>
      <c r="K11" s="178"/>
      <c r="L11" s="1608"/>
      <c r="M11" s="1783"/>
      <c r="N11" s="178"/>
      <c r="O11" s="1608"/>
      <c r="P11" s="1783"/>
      <c r="Q11" s="539"/>
      <c r="R11" s="1784"/>
      <c r="S11" s="539"/>
      <c r="T11" s="1784"/>
      <c r="U11" s="539"/>
      <c r="V11" s="1784"/>
      <c r="W11" s="539"/>
      <c r="X11" s="1784"/>
      <c r="Y11" s="539"/>
      <c r="Z11" s="1784"/>
      <c r="AA11" s="539"/>
      <c r="AB11" s="1784"/>
      <c r="AC11" s="539"/>
      <c r="AD11" s="1784"/>
      <c r="AE11" s="539"/>
      <c r="AF11" s="1784"/>
      <c r="AG11" s="539"/>
      <c r="AH11" s="1784"/>
      <c r="AI11" s="539"/>
      <c r="AJ11" s="1756"/>
      <c r="AK11" s="178"/>
      <c r="AL11" s="1785"/>
      <c r="AM11" s="1608"/>
      <c r="AN11" s="1608"/>
      <c r="AO11" s="1783"/>
      <c r="AP11" s="178"/>
      <c r="AQ11" s="1608"/>
      <c r="AR11" s="1783"/>
      <c r="AS11" s="178"/>
      <c r="AT11" s="1608"/>
      <c r="AU11" s="1783"/>
      <c r="AV11" s="178"/>
      <c r="AW11" s="1608"/>
      <c r="AX11" s="1783"/>
      <c r="AY11" s="178"/>
      <c r="AZ11" s="1608"/>
      <c r="BA11" s="1783"/>
      <c r="BB11" s="178"/>
      <c r="BC11" s="1608"/>
      <c r="BD11" s="1783"/>
      <c r="BE11" s="178"/>
      <c r="BF11" s="1608"/>
      <c r="BG11" s="1783"/>
      <c r="BH11" s="178"/>
      <c r="BI11" s="1608"/>
      <c r="BJ11" s="1783"/>
      <c r="BK11" s="178"/>
      <c r="BL11" s="1608"/>
      <c r="BM11" s="1783"/>
      <c r="BN11" s="178"/>
      <c r="BO11" s="1608"/>
      <c r="BP11" s="1783"/>
      <c r="BQ11" s="178"/>
      <c r="BR11" s="1608"/>
      <c r="BS11" s="1783"/>
      <c r="BT11" s="178"/>
      <c r="BU11" s="1608"/>
      <c r="BV11" s="1783"/>
      <c r="BW11" s="178"/>
      <c r="BX11" s="1608"/>
      <c r="BY11" s="1783"/>
      <c r="BZ11" s="178"/>
      <c r="CA11" s="1608"/>
      <c r="CB11" s="1783"/>
      <c r="CC11" s="178"/>
      <c r="CD11" s="1608"/>
      <c r="CE11" s="1783"/>
      <c r="CF11" s="539">
        <f>+'1873 Hacienda'!B9</f>
        <v>69333</v>
      </c>
      <c r="CG11" s="1608"/>
      <c r="CH11" s="1783"/>
      <c r="CI11" s="178"/>
      <c r="CJ11" s="1608"/>
      <c r="CK11" s="1783"/>
      <c r="CL11" s="178"/>
      <c r="CM11" s="1608"/>
      <c r="CN11" s="1783"/>
      <c r="CO11" s="178"/>
      <c r="CP11" s="1608"/>
      <c r="CQ11" s="1783"/>
      <c r="CR11" s="178"/>
      <c r="CS11" s="1608"/>
      <c r="CT11" s="1783"/>
      <c r="CU11" s="178"/>
      <c r="CV11" s="1608"/>
      <c r="CW11" s="1783"/>
      <c r="CX11" s="178"/>
      <c r="CY11" s="1608"/>
      <c r="CZ11" s="1783"/>
      <c r="DA11" s="178"/>
      <c r="DB11" s="1608"/>
      <c r="DC11" s="1783"/>
      <c r="DD11" s="178"/>
      <c r="DE11" s="1608"/>
      <c r="DF11" s="1783"/>
      <c r="DG11" s="178"/>
      <c r="DH11" s="1608"/>
      <c r="DI11" s="1783"/>
      <c r="DJ11" s="178"/>
      <c r="DK11" s="1608"/>
      <c r="DL11" s="1783"/>
      <c r="DM11" s="178"/>
      <c r="DN11" s="1608"/>
      <c r="DO11" s="1783"/>
      <c r="DP11" s="178"/>
      <c r="DQ11" s="1608"/>
      <c r="DR11" s="1783"/>
      <c r="DS11" s="178"/>
      <c r="DT11" s="1608"/>
      <c r="DU11" s="1783"/>
      <c r="DV11" s="178"/>
      <c r="DW11" s="1608"/>
      <c r="DX11" s="1783"/>
      <c r="DY11" s="178"/>
      <c r="DZ11" s="1608"/>
      <c r="EA11" s="1783"/>
      <c r="EB11" s="178"/>
      <c r="EC11" s="1608"/>
      <c r="ED11" s="1783"/>
      <c r="EE11" s="178"/>
      <c r="EF11" s="1608"/>
      <c r="EG11" s="1783"/>
      <c r="EH11" s="178"/>
      <c r="EI11" s="1608"/>
      <c r="EJ11" s="1783"/>
      <c r="EK11" s="178"/>
      <c r="EL11" s="1608"/>
      <c r="EM11" s="1783"/>
      <c r="EN11" s="178"/>
      <c r="EO11" s="1608"/>
      <c r="EP11" s="1783"/>
      <c r="EQ11" s="178"/>
      <c r="ER11" s="1608"/>
      <c r="ES11" s="1783"/>
      <c r="ET11" s="178"/>
      <c r="EU11" s="1608"/>
      <c r="EV11" s="1783"/>
      <c r="EW11" s="178"/>
      <c r="EX11" s="1608"/>
      <c r="EY11" s="1783"/>
      <c r="EZ11" s="178"/>
      <c r="FA11" s="1608"/>
      <c r="FB11" s="1783"/>
      <c r="FC11" s="178"/>
      <c r="FD11" s="1608"/>
      <c r="FE11" s="1783"/>
      <c r="FF11" s="178"/>
      <c r="FG11" s="1608"/>
      <c r="FH11" s="1783"/>
      <c r="FI11" s="178"/>
      <c r="FJ11" s="1608"/>
      <c r="FK11" s="1783"/>
      <c r="FL11" s="178"/>
      <c r="FM11" s="1608"/>
      <c r="FN11" s="1783"/>
      <c r="FO11" s="178"/>
      <c r="FP11" s="1608"/>
      <c r="FQ11" s="1783"/>
      <c r="FR11" s="178"/>
      <c r="FS11" s="1608"/>
      <c r="FT11" s="1783"/>
      <c r="FU11" s="539"/>
      <c r="FV11" s="1784"/>
      <c r="FW11" s="539"/>
      <c r="FX11" s="1784"/>
      <c r="FY11" s="539"/>
      <c r="FZ11" s="1784"/>
      <c r="GA11" s="539"/>
      <c r="GB11" s="1784"/>
      <c r="GC11" s="539"/>
      <c r="GD11" s="1784"/>
      <c r="GE11" s="539"/>
      <c r="GF11" s="1784"/>
      <c r="GG11" s="539"/>
      <c r="GH11" s="1784"/>
      <c r="GI11" s="539"/>
      <c r="GJ11" s="1784"/>
      <c r="GK11" s="539"/>
      <c r="GL11" s="1784"/>
    </row>
    <row r="12" spans="1:194" x14ac:dyDescent="0.2">
      <c r="A12" s="178" t="s">
        <v>1547</v>
      </c>
      <c r="B12" s="178"/>
      <c r="C12" s="1608"/>
      <c r="D12" s="1783"/>
      <c r="E12" s="178"/>
      <c r="F12" s="1608"/>
      <c r="G12" s="1783"/>
      <c r="H12" s="178">
        <f>'1846 Hacienda'!E24</f>
        <v>51363</v>
      </c>
      <c r="I12" s="1608">
        <f>'1846 Hacienda'!F24</f>
        <v>4</v>
      </c>
      <c r="J12" s="1783">
        <f>'1846 Hacienda'!G24</f>
        <v>2</v>
      </c>
      <c r="K12" s="178"/>
      <c r="L12" s="1608"/>
      <c r="M12" s="1783"/>
      <c r="N12" s="178"/>
      <c r="O12" s="1608"/>
      <c r="P12" s="1783"/>
      <c r="Q12" s="539"/>
      <c r="R12" s="1784"/>
      <c r="S12" s="539"/>
      <c r="T12" s="1784"/>
      <c r="U12" s="539"/>
      <c r="V12" s="1784"/>
      <c r="W12" s="539"/>
      <c r="X12" s="1784"/>
      <c r="Y12" s="539"/>
      <c r="Z12" s="1784"/>
      <c r="AA12" s="539"/>
      <c r="AB12" s="1784"/>
      <c r="AC12" s="539"/>
      <c r="AD12" s="1784"/>
      <c r="AE12" s="539"/>
      <c r="AF12" s="1784"/>
      <c r="AG12" s="539"/>
      <c r="AH12" s="1784"/>
      <c r="AI12" s="539"/>
      <c r="AJ12" s="1756"/>
      <c r="AK12" s="178"/>
      <c r="AL12" s="1785"/>
      <c r="AM12" s="1608"/>
      <c r="AN12" s="1608"/>
      <c r="AO12" s="1783"/>
      <c r="AP12" s="178"/>
      <c r="AQ12" s="1608"/>
      <c r="AR12" s="1783"/>
      <c r="AS12" s="178"/>
      <c r="AT12" s="1608"/>
      <c r="AU12" s="1783"/>
      <c r="AV12" s="178"/>
      <c r="AW12" s="1608"/>
      <c r="AX12" s="1783"/>
      <c r="AY12" s="178"/>
      <c r="AZ12" s="1608"/>
      <c r="BA12" s="1783"/>
      <c r="BB12" s="178"/>
      <c r="BC12" s="1608"/>
      <c r="BD12" s="1783"/>
      <c r="BE12" s="178"/>
      <c r="BF12" s="1608"/>
      <c r="BG12" s="1783"/>
      <c r="BH12" s="178"/>
      <c r="BI12" s="1608"/>
      <c r="BJ12" s="1783"/>
      <c r="BK12" s="178"/>
      <c r="BL12" s="1608"/>
      <c r="BM12" s="1783"/>
      <c r="BN12" s="178"/>
      <c r="BO12" s="1608"/>
      <c r="BP12" s="1783"/>
      <c r="BQ12" s="178"/>
      <c r="BR12" s="1608"/>
      <c r="BS12" s="1783"/>
      <c r="BT12" s="178"/>
      <c r="BU12" s="1608"/>
      <c r="BV12" s="1783"/>
      <c r="BW12" s="178"/>
      <c r="BX12" s="1608"/>
      <c r="BY12" s="1783"/>
      <c r="BZ12" s="178"/>
      <c r="CA12" s="1608"/>
      <c r="CB12" s="1783"/>
      <c r="CC12" s="178"/>
      <c r="CD12" s="1608"/>
      <c r="CE12" s="1783"/>
      <c r="CF12" s="178"/>
      <c r="CG12" s="1608"/>
      <c r="CH12" s="1783"/>
      <c r="CI12" s="178"/>
      <c r="CJ12" s="1608"/>
      <c r="CK12" s="1783"/>
      <c r="CL12" s="178"/>
      <c r="CM12" s="1608"/>
      <c r="CN12" s="1783"/>
      <c r="CO12" s="178"/>
      <c r="CP12" s="1608"/>
      <c r="CQ12" s="1783"/>
      <c r="CR12" s="178"/>
      <c r="CS12" s="1608"/>
      <c r="CT12" s="1783"/>
      <c r="CU12" s="178"/>
      <c r="CV12" s="1608"/>
      <c r="CW12" s="1783"/>
      <c r="CX12" s="178"/>
      <c r="CY12" s="1608"/>
      <c r="CZ12" s="1783"/>
      <c r="DA12" s="178"/>
      <c r="DB12" s="1608"/>
      <c r="DC12" s="1783"/>
      <c r="DD12" s="178"/>
      <c r="DE12" s="1608"/>
      <c r="DF12" s="1783"/>
      <c r="DG12" s="178"/>
      <c r="DH12" s="1608"/>
      <c r="DI12" s="1783"/>
      <c r="DJ12" s="178"/>
      <c r="DK12" s="1608"/>
      <c r="DL12" s="1783"/>
      <c r="DM12" s="178"/>
      <c r="DN12" s="1608"/>
      <c r="DO12" s="1783"/>
      <c r="DP12" s="178"/>
      <c r="DQ12" s="1608"/>
      <c r="DR12" s="1783"/>
      <c r="DS12" s="178"/>
      <c r="DT12" s="1608"/>
      <c r="DU12" s="1783"/>
      <c r="DV12" s="178"/>
      <c r="DW12" s="1608"/>
      <c r="DX12" s="1783"/>
      <c r="DY12" s="178"/>
      <c r="DZ12" s="1608"/>
      <c r="EA12" s="1783"/>
      <c r="EB12" s="178"/>
      <c r="EC12" s="1608"/>
      <c r="ED12" s="1783"/>
      <c r="EE12" s="178"/>
      <c r="EF12" s="1608"/>
      <c r="EG12" s="1783"/>
      <c r="EH12" s="178"/>
      <c r="EI12" s="1608"/>
      <c r="EJ12" s="1783"/>
      <c r="EK12" s="178"/>
      <c r="EL12" s="1608"/>
      <c r="EM12" s="1783"/>
      <c r="EN12" s="178"/>
      <c r="EO12" s="1608"/>
      <c r="EP12" s="1783"/>
      <c r="EQ12" s="178"/>
      <c r="ER12" s="1608"/>
      <c r="ES12" s="1783"/>
      <c r="ET12" s="178"/>
      <c r="EU12" s="1608"/>
      <c r="EV12" s="1783"/>
      <c r="EW12" s="178"/>
      <c r="EX12" s="1608"/>
      <c r="EY12" s="1783"/>
      <c r="EZ12" s="178"/>
      <c r="FA12" s="1608"/>
      <c r="FB12" s="1783"/>
      <c r="FC12" s="178"/>
      <c r="FD12" s="1608"/>
      <c r="FE12" s="1783"/>
      <c r="FF12" s="178"/>
      <c r="FG12" s="1608"/>
      <c r="FH12" s="1783"/>
      <c r="FI12" s="178"/>
      <c r="FJ12" s="1608"/>
      <c r="FK12" s="1783"/>
      <c r="FL12" s="178"/>
      <c r="FM12" s="1608"/>
      <c r="FN12" s="1783"/>
      <c r="FO12" s="178"/>
      <c r="FP12" s="1608"/>
      <c r="FQ12" s="1783"/>
      <c r="FR12" s="178"/>
      <c r="FS12" s="1608"/>
      <c r="FT12" s="1783"/>
      <c r="FU12" s="539"/>
      <c r="FV12" s="1784"/>
      <c r="FW12" s="539"/>
      <c r="FX12" s="1784"/>
      <c r="FY12" s="539"/>
      <c r="FZ12" s="1784"/>
      <c r="GA12" s="539"/>
      <c r="GB12" s="1784"/>
      <c r="GC12" s="539"/>
      <c r="GD12" s="1784"/>
      <c r="GE12" s="539"/>
      <c r="GF12" s="1784"/>
      <c r="GG12" s="539"/>
      <c r="GH12" s="1784"/>
      <c r="GI12" s="539"/>
      <c r="GJ12" s="1784"/>
      <c r="GK12" s="539"/>
      <c r="GL12" s="1784"/>
    </row>
    <row r="13" spans="1:194" x14ac:dyDescent="0.2">
      <c r="A13" s="539" t="str">
        <f>+'1858 Hacienda'!A41</f>
        <v>Departamento de la Deuda nacional</v>
      </c>
      <c r="B13" s="178"/>
      <c r="C13" s="1608"/>
      <c r="D13" s="1783"/>
      <c r="E13" s="178"/>
      <c r="F13" s="1608"/>
      <c r="G13" s="1783"/>
      <c r="H13" s="178"/>
      <c r="I13" s="1608"/>
      <c r="J13" s="1783"/>
      <c r="K13" s="178"/>
      <c r="L13" s="1608"/>
      <c r="M13" s="1783"/>
      <c r="N13" s="178"/>
      <c r="O13" s="1608"/>
      <c r="P13" s="1783"/>
      <c r="Q13" s="539">
        <f>+'1858 Hacienda'!D579</f>
        <v>298041</v>
      </c>
      <c r="R13" s="1784">
        <f>+'1858 Hacienda'!E579</f>
        <v>189</v>
      </c>
      <c r="S13" s="539">
        <f>+'1858 Hacienda'!D634</f>
        <v>319514</v>
      </c>
      <c r="T13" s="1784">
        <f>+'1858 Hacienda'!E634</f>
        <v>53</v>
      </c>
      <c r="U13" s="539">
        <f>+'1858 Hacienda'!B516</f>
        <v>338643</v>
      </c>
      <c r="V13" s="1784">
        <f>+'1858 Hacienda'!C516</f>
        <v>150</v>
      </c>
      <c r="W13" s="539">
        <f>+'1858 Hacienda'!B1141</f>
        <v>370049</v>
      </c>
      <c r="X13" s="1784">
        <f>+'1858 Hacienda'!C1141</f>
        <v>315</v>
      </c>
      <c r="Y13" s="539">
        <f>+'1858 Hacienda'!B41</f>
        <v>94588</v>
      </c>
      <c r="Z13" s="1784">
        <f>+'1858 Hacienda'!C41</f>
        <v>455</v>
      </c>
      <c r="AA13" s="539">
        <f>+'1858 Hacienda'!D41</f>
        <v>90698</v>
      </c>
      <c r="AB13" s="1784">
        <f>+'1858 Hacienda'!E41</f>
        <v>635</v>
      </c>
      <c r="AC13" s="539">
        <f>+'1858 Hacienda'!F41</f>
        <v>114948</v>
      </c>
      <c r="AD13" s="1784">
        <f>+'1858 Hacienda'!G41</f>
        <v>880</v>
      </c>
      <c r="AE13" s="539">
        <f>+'1858 Hacienda'!H41</f>
        <v>170243</v>
      </c>
      <c r="AF13" s="1784">
        <f>+'1858 Hacienda'!I41</f>
        <v>540</v>
      </c>
      <c r="AG13" s="539">
        <f>+'1858 Hacienda'!J41</f>
        <v>129865</v>
      </c>
      <c r="AH13" s="1784">
        <f>+'1858 Hacienda'!K41</f>
        <v>815</v>
      </c>
      <c r="AI13" s="539"/>
      <c r="AJ13" s="1756"/>
      <c r="AK13" s="539">
        <f>+'1861 Hacienda'!D88</f>
        <v>813087</v>
      </c>
      <c r="AL13" s="1784">
        <f>+'1861 Hacienda'!E88</f>
        <v>713</v>
      </c>
      <c r="AM13" s="1608"/>
      <c r="AN13" s="1608"/>
      <c r="AO13" s="1783"/>
      <c r="AP13" s="178"/>
      <c r="AQ13" s="1608"/>
      <c r="AR13" s="1783"/>
      <c r="AS13" s="178"/>
      <c r="AT13" s="1608"/>
      <c r="AU13" s="1783"/>
      <c r="AV13" s="178"/>
      <c r="AW13" s="1608"/>
      <c r="AX13" s="1783"/>
      <c r="AY13" s="178"/>
      <c r="AZ13" s="1608"/>
      <c r="BA13" s="1783"/>
      <c r="BB13" s="178"/>
      <c r="BC13" s="1608"/>
      <c r="BD13" s="1783"/>
      <c r="BE13" s="178"/>
      <c r="BF13" s="1608"/>
      <c r="BG13" s="1783"/>
      <c r="BH13" s="178"/>
      <c r="BI13" s="1608"/>
      <c r="BJ13" s="1783"/>
      <c r="BK13" s="178"/>
      <c r="BL13" s="1608"/>
      <c r="BM13" s="1783"/>
      <c r="BN13" s="178"/>
      <c r="BO13" s="1608"/>
      <c r="BP13" s="1783"/>
      <c r="BQ13" s="178"/>
      <c r="BR13" s="1608"/>
      <c r="BS13" s="1783"/>
      <c r="BT13" s="178"/>
      <c r="BU13" s="1608"/>
      <c r="BV13" s="1783"/>
      <c r="BW13" s="178"/>
      <c r="BX13" s="1608"/>
      <c r="BY13" s="1783"/>
      <c r="BZ13" s="178"/>
      <c r="CA13" s="1608"/>
      <c r="CB13" s="1783"/>
      <c r="CC13" s="178"/>
      <c r="CD13" s="1608"/>
      <c r="CE13" s="1783"/>
      <c r="CF13" s="178"/>
      <c r="CG13" s="1608"/>
      <c r="CH13" s="1783"/>
      <c r="CI13" s="178"/>
      <c r="CJ13" s="1608"/>
      <c r="CK13" s="1783"/>
      <c r="CL13" s="178"/>
      <c r="CM13" s="1608"/>
      <c r="CN13" s="1783"/>
      <c r="CO13" s="178"/>
      <c r="CP13" s="1608"/>
      <c r="CQ13" s="1783"/>
      <c r="CR13" s="178"/>
      <c r="CS13" s="1608"/>
      <c r="CT13" s="1783"/>
      <c r="CU13" s="178"/>
      <c r="CV13" s="1608"/>
      <c r="CW13" s="1783"/>
      <c r="CX13" s="178"/>
      <c r="CY13" s="1608"/>
      <c r="CZ13" s="1783"/>
      <c r="DA13" s="178"/>
      <c r="DB13" s="1608"/>
      <c r="DC13" s="1783"/>
      <c r="DD13" s="539">
        <f>+'1883 Hacienda'!B37</f>
        <v>2612000</v>
      </c>
      <c r="DE13" s="1608"/>
      <c r="DF13" s="1783"/>
      <c r="DG13" s="178"/>
      <c r="DH13" s="1608"/>
      <c r="DI13" s="1783"/>
      <c r="DJ13" s="178"/>
      <c r="DK13" s="1608"/>
      <c r="DL13" s="1783"/>
      <c r="DM13" s="178"/>
      <c r="DN13" s="1608"/>
      <c r="DO13" s="1783"/>
      <c r="DP13" s="178"/>
      <c r="DQ13" s="1608"/>
      <c r="DR13" s="1783"/>
      <c r="DS13" s="178"/>
      <c r="DT13" s="1608"/>
      <c r="DU13" s="1783"/>
      <c r="DV13" s="178"/>
      <c r="DW13" s="1608"/>
      <c r="DX13" s="1783"/>
      <c r="DY13" s="178"/>
      <c r="DZ13" s="1608"/>
      <c r="EA13" s="1783"/>
      <c r="EB13" s="178"/>
      <c r="EC13" s="1608"/>
      <c r="ED13" s="1783"/>
      <c r="EE13" s="178"/>
      <c r="EF13" s="1608"/>
      <c r="EG13" s="1783"/>
      <c r="EH13" s="178"/>
      <c r="EI13" s="1608"/>
      <c r="EJ13" s="1783"/>
      <c r="EK13" s="178"/>
      <c r="EL13" s="1608"/>
      <c r="EM13" s="1783"/>
      <c r="EN13" s="178"/>
      <c r="EO13" s="1608"/>
      <c r="EP13" s="1783"/>
      <c r="EQ13" s="178"/>
      <c r="ER13" s="1608"/>
      <c r="ES13" s="1783"/>
      <c r="ET13" s="178"/>
      <c r="EU13" s="1608"/>
      <c r="EV13" s="1783"/>
      <c r="EW13" s="178"/>
      <c r="EX13" s="1608"/>
      <c r="EY13" s="1783"/>
      <c r="EZ13" s="178"/>
      <c r="FA13" s="1608"/>
      <c r="FB13" s="1783"/>
      <c r="FC13" s="178"/>
      <c r="FD13" s="1608"/>
      <c r="FE13" s="1783"/>
      <c r="FF13" s="178"/>
      <c r="FG13" s="1608"/>
      <c r="FH13" s="1783"/>
      <c r="FI13" s="178"/>
      <c r="FJ13" s="1608"/>
      <c r="FK13" s="1783"/>
      <c r="FL13" s="178"/>
      <c r="FM13" s="1608"/>
      <c r="FN13" s="1783"/>
      <c r="FO13" s="178"/>
      <c r="FP13" s="1608"/>
      <c r="FQ13" s="1783"/>
      <c r="FR13" s="178"/>
      <c r="FS13" s="1608"/>
      <c r="FT13" s="1783"/>
      <c r="FU13" s="539"/>
      <c r="FV13" s="1784"/>
      <c r="FW13" s="539"/>
      <c r="FX13" s="1784"/>
      <c r="FY13" s="539"/>
      <c r="FZ13" s="1784"/>
      <c r="GA13" s="539"/>
      <c r="GB13" s="1784"/>
      <c r="GC13" s="539"/>
      <c r="GD13" s="1784"/>
      <c r="GE13" s="539"/>
      <c r="GF13" s="1784"/>
      <c r="GG13" s="539"/>
      <c r="GH13" s="1784"/>
      <c r="GI13" s="539"/>
      <c r="GJ13" s="1784"/>
      <c r="GK13" s="539"/>
      <c r="GL13" s="1784"/>
    </row>
    <row r="14" spans="1:194" x14ac:dyDescent="0.2">
      <c r="A14" s="539" t="str">
        <f>+'1858 Hacienda'!A42</f>
        <v>Departamento de Gobierno</v>
      </c>
      <c r="B14" s="178"/>
      <c r="C14" s="1608"/>
      <c r="D14" s="1783"/>
      <c r="E14" s="178"/>
      <c r="F14" s="1608"/>
      <c r="G14" s="1783"/>
      <c r="H14" s="178"/>
      <c r="I14" s="1608"/>
      <c r="J14" s="1783"/>
      <c r="K14" s="178"/>
      <c r="L14" s="1608"/>
      <c r="M14" s="1783"/>
      <c r="N14" s="178"/>
      <c r="O14" s="1608"/>
      <c r="P14" s="1783"/>
      <c r="Q14" s="539">
        <f>+'1858 Hacienda'!D580</f>
        <v>191109</v>
      </c>
      <c r="R14" s="1784">
        <f>+'1858 Hacienda'!E580</f>
        <v>407</v>
      </c>
      <c r="S14" s="539">
        <f>+'1858 Hacienda'!D635</f>
        <v>164761</v>
      </c>
      <c r="T14" s="1784">
        <f>+'1858 Hacienda'!E635</f>
        <v>759</v>
      </c>
      <c r="U14" s="539">
        <f>+'1858 Hacienda'!B517</f>
        <v>197203</v>
      </c>
      <c r="V14" s="1784">
        <f>+'1858 Hacienda'!C517</f>
        <v>5</v>
      </c>
      <c r="W14" s="539">
        <f>+'1858 Hacienda'!B1142</f>
        <v>146835</v>
      </c>
      <c r="X14" s="1784">
        <f>+'1858 Hacienda'!C1142</f>
        <v>283</v>
      </c>
      <c r="Y14" s="539">
        <f>+'1858 Hacienda'!B42</f>
        <v>145153</v>
      </c>
      <c r="Z14" s="1784">
        <f>+'1858 Hacienda'!C42</f>
        <v>808</v>
      </c>
      <c r="AA14" s="539">
        <f>+'1858 Hacienda'!D42</f>
        <v>152906</v>
      </c>
      <c r="AB14" s="1784">
        <f>+'1858 Hacienda'!E42</f>
        <v>475</v>
      </c>
      <c r="AC14" s="539">
        <f>+'1858 Hacienda'!F42</f>
        <v>153860</v>
      </c>
      <c r="AD14" s="1784">
        <f>+'1858 Hacienda'!G42</f>
        <v>755</v>
      </c>
      <c r="AE14" s="539">
        <f>+'1858 Hacienda'!H42</f>
        <v>101977</v>
      </c>
      <c r="AF14" s="1784">
        <f>+'1858 Hacienda'!I42</f>
        <v>605</v>
      </c>
      <c r="AG14" s="539">
        <f>+'1858 Hacienda'!J42</f>
        <v>202551</v>
      </c>
      <c r="AH14" s="1784">
        <f>+'1858 Hacienda'!K42</f>
        <v>965</v>
      </c>
      <c r="AI14" s="539"/>
      <c r="AJ14" s="1756"/>
      <c r="AK14" s="539">
        <f>+'1861 Hacienda'!D89</f>
        <v>133664</v>
      </c>
      <c r="AL14" s="1784">
        <f>+'1861 Hacienda'!E89</f>
        <v>495</v>
      </c>
      <c r="AM14" s="1608"/>
      <c r="AN14" s="1608"/>
      <c r="AO14" s="1783"/>
      <c r="AP14" s="178"/>
      <c r="AQ14" s="1608"/>
      <c r="AR14" s="1783"/>
      <c r="AS14" s="178"/>
      <c r="AT14" s="1608"/>
      <c r="AU14" s="1783"/>
      <c r="AV14" s="178"/>
      <c r="AW14" s="1608"/>
      <c r="AX14" s="1783"/>
      <c r="AY14" s="178"/>
      <c r="AZ14" s="1608"/>
      <c r="BA14" s="1783"/>
      <c r="BB14" s="178"/>
      <c r="BC14" s="1608"/>
      <c r="BD14" s="1783"/>
      <c r="BE14" s="178"/>
      <c r="BF14" s="1608"/>
      <c r="BG14" s="1783"/>
      <c r="BH14" s="178"/>
      <c r="BI14" s="1608"/>
      <c r="BJ14" s="1783"/>
      <c r="BK14" s="178"/>
      <c r="BL14" s="1608"/>
      <c r="BM14" s="1783"/>
      <c r="BN14" s="178"/>
      <c r="BO14" s="1608"/>
      <c r="BP14" s="1783"/>
      <c r="BQ14" s="178"/>
      <c r="BR14" s="1608"/>
      <c r="BS14" s="1783"/>
      <c r="BT14" s="178"/>
      <c r="BU14" s="1608"/>
      <c r="BV14" s="1783"/>
      <c r="BW14" s="178"/>
      <c r="BX14" s="1608"/>
      <c r="BY14" s="1783"/>
      <c r="BZ14" s="178"/>
      <c r="CA14" s="1608"/>
      <c r="CB14" s="1783"/>
      <c r="CC14" s="178"/>
      <c r="CD14" s="1608"/>
      <c r="CE14" s="1783"/>
      <c r="CF14" s="178"/>
      <c r="CG14" s="1608"/>
      <c r="CH14" s="1783"/>
      <c r="CI14" s="178"/>
      <c r="CJ14" s="1608"/>
      <c r="CK14" s="1783"/>
      <c r="CL14" s="178"/>
      <c r="CM14" s="1608"/>
      <c r="CN14" s="1783"/>
      <c r="CO14" s="178"/>
      <c r="CP14" s="1608"/>
      <c r="CQ14" s="1783"/>
      <c r="CR14" s="178"/>
      <c r="CS14" s="1608"/>
      <c r="CT14" s="1783"/>
      <c r="CU14" s="178"/>
      <c r="CV14" s="1608"/>
      <c r="CW14" s="1783"/>
      <c r="CX14" s="178"/>
      <c r="CY14" s="1608"/>
      <c r="CZ14" s="1783"/>
      <c r="DA14" s="178"/>
      <c r="DB14" s="1608"/>
      <c r="DC14" s="1783"/>
      <c r="DD14" s="178"/>
      <c r="DE14" s="1608"/>
      <c r="DF14" s="1783"/>
      <c r="DG14" s="178"/>
      <c r="DH14" s="1608"/>
      <c r="DI14" s="1783"/>
      <c r="DJ14" s="178"/>
      <c r="DK14" s="1608"/>
      <c r="DL14" s="1783"/>
      <c r="DM14" s="178"/>
      <c r="DN14" s="1608"/>
      <c r="DO14" s="1783"/>
      <c r="DP14" s="178"/>
      <c r="DQ14" s="1608"/>
      <c r="DR14" s="1783"/>
      <c r="DS14" s="178"/>
      <c r="DT14" s="1608"/>
      <c r="DU14" s="1783"/>
      <c r="DV14" s="178"/>
      <c r="DW14" s="1608"/>
      <c r="DX14" s="1783"/>
      <c r="DY14" s="178"/>
      <c r="DZ14" s="1608"/>
      <c r="EA14" s="1783"/>
      <c r="EB14" s="178"/>
      <c r="EC14" s="1608"/>
      <c r="ED14" s="1783"/>
      <c r="EE14" s="178"/>
      <c r="EF14" s="1608"/>
      <c r="EG14" s="1783"/>
      <c r="EH14" s="178"/>
      <c r="EI14" s="1608"/>
      <c r="EJ14" s="1783"/>
      <c r="EK14" s="178"/>
      <c r="EL14" s="1608"/>
      <c r="EM14" s="1783"/>
      <c r="EN14" s="178"/>
      <c r="EO14" s="1608"/>
      <c r="EP14" s="1783"/>
      <c r="EQ14" s="178"/>
      <c r="ER14" s="1608"/>
      <c r="ES14" s="1783"/>
      <c r="ET14" s="178"/>
      <c r="EU14" s="1608"/>
      <c r="EV14" s="1783"/>
      <c r="EW14" s="178"/>
      <c r="EX14" s="1608"/>
      <c r="EY14" s="1783"/>
      <c r="EZ14" s="178"/>
      <c r="FA14" s="1608"/>
      <c r="FB14" s="1783"/>
      <c r="FC14" s="178"/>
      <c r="FD14" s="1608"/>
      <c r="FE14" s="1783"/>
      <c r="FF14" s="178"/>
      <c r="FG14" s="1608"/>
      <c r="FH14" s="1783"/>
      <c r="FI14" s="178"/>
      <c r="FJ14" s="1608"/>
      <c r="FK14" s="1783"/>
      <c r="FL14" s="178"/>
      <c r="FM14" s="1608"/>
      <c r="FN14" s="1783"/>
      <c r="FO14" s="178"/>
      <c r="FP14" s="1608"/>
      <c r="FQ14" s="1783"/>
      <c r="FR14" s="178"/>
      <c r="FS14" s="1608"/>
      <c r="FT14" s="1783"/>
      <c r="FU14" s="539"/>
      <c r="FV14" s="1784"/>
      <c r="FW14" s="539"/>
      <c r="FX14" s="1784"/>
      <c r="FY14" s="539"/>
      <c r="FZ14" s="1784"/>
      <c r="GA14" s="539"/>
      <c r="GB14" s="1784"/>
      <c r="GC14" s="539"/>
      <c r="GD14" s="1784"/>
      <c r="GE14" s="539"/>
      <c r="GF14" s="1784"/>
      <c r="GG14" s="539"/>
      <c r="GH14" s="1784"/>
      <c r="GI14" s="539"/>
      <c r="GJ14" s="1784"/>
      <c r="GK14" s="539"/>
      <c r="GL14" s="1784"/>
    </row>
    <row r="15" spans="1:194" x14ac:dyDescent="0.2">
      <c r="A15" s="539" t="str">
        <f>+'1858 Hacienda'!A45</f>
        <v>Departamento de Justicia</v>
      </c>
      <c r="B15" s="178"/>
      <c r="C15" s="1608"/>
      <c r="D15" s="1783"/>
      <c r="E15" s="178"/>
      <c r="F15" s="1608"/>
      <c r="G15" s="1783"/>
      <c r="H15" s="178"/>
      <c r="I15" s="1608"/>
      <c r="J15" s="1783"/>
      <c r="K15" s="178"/>
      <c r="L15" s="1608"/>
      <c r="M15" s="1783"/>
      <c r="N15" s="178"/>
      <c r="O15" s="1608"/>
      <c r="P15" s="1783"/>
      <c r="Q15" s="539">
        <f>+'1858 Hacienda'!D583</f>
        <v>98514</v>
      </c>
      <c r="R15" s="1784">
        <f>+'1858 Hacienda'!E583</f>
        <v>542</v>
      </c>
      <c r="S15" s="539">
        <f>+'1858 Hacienda'!D638</f>
        <v>105703</v>
      </c>
      <c r="T15" s="1784">
        <f>+'1858 Hacienda'!E638</f>
        <v>67</v>
      </c>
      <c r="U15" s="539">
        <f>+'1858 Hacienda'!B520</f>
        <v>96626</v>
      </c>
      <c r="V15" s="1784">
        <f>+'1858 Hacienda'!C520</f>
        <v>481</v>
      </c>
      <c r="W15" s="539">
        <f>+'1858 Hacienda'!B1145</f>
        <v>36342</v>
      </c>
      <c r="X15" s="1784">
        <f>+'1858 Hacienda'!C1145</f>
        <v>750</v>
      </c>
      <c r="Y15" s="539">
        <f>+'1858 Hacienda'!B45</f>
        <v>33836</v>
      </c>
      <c r="Z15" s="1784">
        <f>+'1858 Hacienda'!C45</f>
        <v>965</v>
      </c>
      <c r="AA15" s="539">
        <f>+'1858 Hacienda'!D45</f>
        <v>9826</v>
      </c>
      <c r="AB15" s="1784">
        <f>+'1858 Hacienda'!E45</f>
        <v>775</v>
      </c>
      <c r="AC15" s="539">
        <f>+'1858 Hacienda'!F45</f>
        <v>9179</v>
      </c>
      <c r="AD15" s="1784">
        <f>+'1858 Hacienda'!G45</f>
        <v>950</v>
      </c>
      <c r="AE15" s="539">
        <f>+'1858 Hacienda'!H45</f>
        <v>6434</v>
      </c>
      <c r="AF15" s="1784">
        <f>+'1858 Hacienda'!I45</f>
        <v>665</v>
      </c>
      <c r="AG15" s="539">
        <f>+'1858 Hacienda'!J45</f>
        <v>7817</v>
      </c>
      <c r="AH15" s="1784">
        <f>+'1858 Hacienda'!K45</f>
        <v>96</v>
      </c>
      <c r="AI15" s="539"/>
      <c r="AJ15" s="1756"/>
      <c r="AK15" s="539">
        <f>+'1861 Hacienda'!D91</f>
        <v>11926</v>
      </c>
      <c r="AL15" s="1784">
        <f>+'1861 Hacienda'!E91</f>
        <v>675</v>
      </c>
      <c r="AM15" s="1608"/>
      <c r="AN15" s="1608"/>
      <c r="AO15" s="1783"/>
      <c r="AP15" s="178"/>
      <c r="AQ15" s="1608"/>
      <c r="AR15" s="1783"/>
      <c r="AS15" s="178"/>
      <c r="AT15" s="1608"/>
      <c r="AU15" s="1783"/>
      <c r="AV15" s="178"/>
      <c r="AW15" s="1608"/>
      <c r="AX15" s="1783"/>
      <c r="AY15" s="178"/>
      <c r="AZ15" s="1608"/>
      <c r="BA15" s="1783"/>
      <c r="BB15" s="178"/>
      <c r="BC15" s="1608"/>
      <c r="BD15" s="1783"/>
      <c r="BE15" s="178"/>
      <c r="BF15" s="1608"/>
      <c r="BG15" s="1783"/>
      <c r="BH15" s="178"/>
      <c r="BI15" s="1608"/>
      <c r="BJ15" s="1783"/>
      <c r="BK15" s="178"/>
      <c r="BL15" s="1608"/>
      <c r="BM15" s="1783"/>
      <c r="BN15" s="178"/>
      <c r="BO15" s="1608"/>
      <c r="BP15" s="1783"/>
      <c r="BQ15" s="178"/>
      <c r="BR15" s="1608"/>
      <c r="BS15" s="1783"/>
      <c r="BT15" s="178"/>
      <c r="BU15" s="1608"/>
      <c r="BV15" s="1783"/>
      <c r="BW15" s="178"/>
      <c r="BX15" s="1608"/>
      <c r="BY15" s="1783"/>
      <c r="BZ15" s="178"/>
      <c r="CA15" s="1608"/>
      <c r="CB15" s="1783"/>
      <c r="CC15" s="178"/>
      <c r="CD15" s="1608"/>
      <c r="CE15" s="1783"/>
      <c r="CF15" s="178"/>
      <c r="CG15" s="1608"/>
      <c r="CH15" s="1783"/>
      <c r="CI15" s="178"/>
      <c r="CJ15" s="1608"/>
      <c r="CK15" s="1783"/>
      <c r="CL15" s="178"/>
      <c r="CM15" s="1608"/>
      <c r="CN15" s="1783"/>
      <c r="CO15" s="178"/>
      <c r="CP15" s="1608"/>
      <c r="CQ15" s="1783"/>
      <c r="CR15" s="178"/>
      <c r="CS15" s="1608"/>
      <c r="CT15" s="1783"/>
      <c r="CU15" s="178"/>
      <c r="CV15" s="1608"/>
      <c r="CW15" s="1783"/>
      <c r="CX15" s="178"/>
      <c r="CY15" s="1608"/>
      <c r="CZ15" s="1783"/>
      <c r="DA15" s="178"/>
      <c r="DB15" s="1608"/>
      <c r="DC15" s="1783"/>
      <c r="DD15" s="539">
        <f>+'1883 Hacienda'!B20</f>
        <v>43000</v>
      </c>
      <c r="DE15" s="1608"/>
      <c r="DF15" s="1783"/>
      <c r="DG15" s="178"/>
      <c r="DH15" s="1608"/>
      <c r="DI15" s="1783"/>
      <c r="DJ15" s="178"/>
      <c r="DK15" s="1608"/>
      <c r="DL15" s="1783"/>
      <c r="DM15" s="178"/>
      <c r="DN15" s="1608"/>
      <c r="DO15" s="1783"/>
      <c r="DP15" s="178"/>
      <c r="DQ15" s="1608"/>
      <c r="DR15" s="1783"/>
      <c r="DS15" s="178"/>
      <c r="DT15" s="1608"/>
      <c r="DU15" s="1783"/>
      <c r="DV15" s="178"/>
      <c r="DW15" s="1608"/>
      <c r="DX15" s="1783"/>
      <c r="DY15" s="178"/>
      <c r="DZ15" s="1608"/>
      <c r="EA15" s="1783"/>
      <c r="EB15" s="178"/>
      <c r="EC15" s="1608"/>
      <c r="ED15" s="1783"/>
      <c r="EE15" s="178"/>
      <c r="EF15" s="1608"/>
      <c r="EG15" s="1783"/>
      <c r="EH15" s="178"/>
      <c r="EI15" s="1608"/>
      <c r="EJ15" s="1783"/>
      <c r="EK15" s="178"/>
      <c r="EL15" s="1608"/>
      <c r="EM15" s="1783"/>
      <c r="EN15" s="178"/>
      <c r="EO15" s="1608"/>
      <c r="EP15" s="1783"/>
      <c r="EQ15" s="178"/>
      <c r="ER15" s="1608"/>
      <c r="ES15" s="1783"/>
      <c r="ET15" s="178"/>
      <c r="EU15" s="1608"/>
      <c r="EV15" s="1783"/>
      <c r="EW15" s="178"/>
      <c r="EX15" s="1608"/>
      <c r="EY15" s="1783"/>
      <c r="EZ15" s="178"/>
      <c r="FA15" s="1608"/>
      <c r="FB15" s="1783"/>
      <c r="FC15" s="178"/>
      <c r="FD15" s="1608"/>
      <c r="FE15" s="1783"/>
      <c r="FF15" s="178"/>
      <c r="FG15" s="1608"/>
      <c r="FH15" s="1783"/>
      <c r="FI15" s="178"/>
      <c r="FJ15" s="1608"/>
      <c r="FK15" s="1783"/>
      <c r="FL15" s="178"/>
      <c r="FM15" s="1608"/>
      <c r="FN15" s="1783"/>
      <c r="FO15" s="178"/>
      <c r="FP15" s="1608"/>
      <c r="FQ15" s="1783"/>
      <c r="FR15" s="178"/>
      <c r="FS15" s="1608"/>
      <c r="FT15" s="1783"/>
      <c r="FU15" s="539"/>
      <c r="FV15" s="1784"/>
      <c r="FW15" s="539"/>
      <c r="FX15" s="1784"/>
      <c r="FY15" s="539"/>
      <c r="FZ15" s="1784"/>
      <c r="GA15" s="539"/>
      <c r="GB15" s="1784"/>
      <c r="GC15" s="539"/>
      <c r="GD15" s="1784"/>
      <c r="GE15" s="539"/>
      <c r="GF15" s="1784"/>
      <c r="GG15" s="539"/>
      <c r="GH15" s="1784"/>
      <c r="GI15" s="539"/>
      <c r="GJ15" s="1784"/>
      <c r="GK15" s="539"/>
      <c r="GL15" s="1784"/>
    </row>
    <row r="16" spans="1:194" x14ac:dyDescent="0.2">
      <c r="A16" s="539" t="str">
        <f>+'1858 Hacienda'!A48</f>
        <v>Departamento de Obras Públicas</v>
      </c>
      <c r="B16" s="178"/>
      <c r="C16" s="1608"/>
      <c r="D16" s="1783"/>
      <c r="E16" s="178"/>
      <c r="F16" s="1608"/>
      <c r="G16" s="1783"/>
      <c r="H16" s="178"/>
      <c r="I16" s="1608"/>
      <c r="J16" s="1783"/>
      <c r="K16" s="178"/>
      <c r="L16" s="1608"/>
      <c r="M16" s="1783"/>
      <c r="N16" s="178"/>
      <c r="O16" s="1608"/>
      <c r="P16" s="1783"/>
      <c r="Q16" s="539">
        <f>+'1858 Hacienda'!D586</f>
        <v>176598</v>
      </c>
      <c r="R16" s="1784">
        <f>+'1858 Hacienda'!E586</f>
        <v>85</v>
      </c>
      <c r="S16" s="539">
        <f>+'1858 Hacienda'!D641</f>
        <v>122791</v>
      </c>
      <c r="T16" s="1784">
        <f>+'1858 Hacienda'!E641</f>
        <v>13</v>
      </c>
      <c r="U16" s="539">
        <f>+'1858 Hacienda'!B523</f>
        <v>137293</v>
      </c>
      <c r="V16" s="1784">
        <f>+'1858 Hacienda'!C523</f>
        <v>842</v>
      </c>
      <c r="W16" s="539">
        <f>+'1858 Hacienda'!B1148</f>
        <v>237097</v>
      </c>
      <c r="X16" s="1784">
        <f>+'1858 Hacienda'!C1148</f>
        <v>939</v>
      </c>
      <c r="Y16" s="539">
        <f>+'1858 Hacienda'!B48</f>
        <v>230257</v>
      </c>
      <c r="Z16" s="1784">
        <f>+'1858 Hacienda'!C48</f>
        <v>544</v>
      </c>
      <c r="AA16" s="539">
        <f>+'1858 Hacienda'!D48</f>
        <v>157079</v>
      </c>
      <c r="AB16" s="1784">
        <f>+'1858 Hacienda'!E48</f>
        <v>625</v>
      </c>
      <c r="AC16" s="539">
        <f>+'1858 Hacienda'!F48</f>
        <v>141152</v>
      </c>
      <c r="AD16" s="1784">
        <f>+'1858 Hacienda'!G48</f>
        <v>179</v>
      </c>
      <c r="AE16" s="539">
        <f>+'1858 Hacienda'!H48</f>
        <v>48148</v>
      </c>
      <c r="AF16" s="1784">
        <f>+'1858 Hacienda'!I48</f>
        <v>445</v>
      </c>
      <c r="AG16" s="539">
        <f>+'1858 Hacienda'!J48</f>
        <v>26111</v>
      </c>
      <c r="AH16" s="1784">
        <f>+'1858 Hacienda'!K48</f>
        <v>200</v>
      </c>
      <c r="AI16" s="539"/>
      <c r="AJ16" s="1756"/>
      <c r="AK16" s="539">
        <f>+'1861 Hacienda'!D93</f>
        <v>20529</v>
      </c>
      <c r="AL16" s="1784">
        <f>+'1861 Hacienda'!E93</f>
        <v>750</v>
      </c>
      <c r="AM16" s="1608"/>
      <c r="AN16" s="1608"/>
      <c r="AO16" s="1783"/>
      <c r="AP16" s="178"/>
      <c r="AQ16" s="1608"/>
      <c r="AR16" s="1783"/>
      <c r="AS16" s="178"/>
      <c r="AT16" s="1608"/>
      <c r="AU16" s="1783"/>
      <c r="AV16" s="178"/>
      <c r="AW16" s="1608"/>
      <c r="AX16" s="1783"/>
      <c r="AY16" s="178"/>
      <c r="AZ16" s="1608"/>
      <c r="BA16" s="1783"/>
      <c r="BB16" s="178"/>
      <c r="BC16" s="1608"/>
      <c r="BD16" s="1783"/>
      <c r="BE16" s="178"/>
      <c r="BF16" s="1608"/>
      <c r="BG16" s="1783"/>
      <c r="BH16" s="178"/>
      <c r="BI16" s="1608"/>
      <c r="BJ16" s="1783"/>
      <c r="BK16" s="178"/>
      <c r="BL16" s="1608"/>
      <c r="BM16" s="1783"/>
      <c r="BN16" s="178"/>
      <c r="BO16" s="1608"/>
      <c r="BP16" s="1783"/>
      <c r="BQ16" s="178"/>
      <c r="BR16" s="1608"/>
      <c r="BS16" s="1783"/>
      <c r="BT16" s="178"/>
      <c r="BU16" s="1608"/>
      <c r="BV16" s="1783"/>
      <c r="BW16" s="178"/>
      <c r="BX16" s="1608"/>
      <c r="BY16" s="1783"/>
      <c r="BZ16" s="178"/>
      <c r="CA16" s="1608"/>
      <c r="CB16" s="1783"/>
      <c r="CC16" s="178"/>
      <c r="CD16" s="1608"/>
      <c r="CE16" s="1783"/>
      <c r="CF16" s="178"/>
      <c r="CG16" s="1608"/>
      <c r="CH16" s="1783"/>
      <c r="CI16" s="178"/>
      <c r="CJ16" s="1608"/>
      <c r="CK16" s="1783"/>
      <c r="CL16" s="178"/>
      <c r="CM16" s="1608"/>
      <c r="CN16" s="1783"/>
      <c r="CO16" s="178"/>
      <c r="CP16" s="1608"/>
      <c r="CQ16" s="1783"/>
      <c r="CR16" s="178"/>
      <c r="CS16" s="1608"/>
      <c r="CT16" s="1783"/>
      <c r="CU16" s="178"/>
      <c r="CV16" s="1608"/>
      <c r="CW16" s="1783"/>
      <c r="CX16" s="178"/>
      <c r="CY16" s="1608"/>
      <c r="CZ16" s="1783"/>
      <c r="DA16" s="178"/>
      <c r="DB16" s="1608"/>
      <c r="DC16" s="1783"/>
      <c r="DD16" s="539">
        <f>+'1883 Hacienda'!B55</f>
        <v>1706000</v>
      </c>
      <c r="DE16" s="1608"/>
      <c r="DF16" s="1783"/>
      <c r="DG16" s="178"/>
      <c r="DH16" s="1608"/>
      <c r="DI16" s="1783"/>
      <c r="DJ16" s="178"/>
      <c r="DK16" s="1608"/>
      <c r="DL16" s="1783"/>
      <c r="DM16" s="178"/>
      <c r="DN16" s="1608"/>
      <c r="DO16" s="1783"/>
      <c r="DP16" s="178"/>
      <c r="DQ16" s="1608"/>
      <c r="DR16" s="1783"/>
      <c r="DS16" s="178"/>
      <c r="DT16" s="1608"/>
      <c r="DU16" s="1783"/>
      <c r="DV16" s="178"/>
      <c r="DW16" s="1608"/>
      <c r="DX16" s="1783"/>
      <c r="DY16" s="178"/>
      <c r="DZ16" s="1608"/>
      <c r="EA16" s="1783"/>
      <c r="EB16" s="178"/>
      <c r="EC16" s="1608"/>
      <c r="ED16" s="1783"/>
      <c r="EE16" s="178"/>
      <c r="EF16" s="1608"/>
      <c r="EG16" s="1783"/>
      <c r="EH16" s="178"/>
      <c r="EI16" s="1608"/>
      <c r="EJ16" s="1783"/>
      <c r="EK16" s="178"/>
      <c r="EL16" s="1608"/>
      <c r="EM16" s="1783"/>
      <c r="EN16" s="178"/>
      <c r="EO16" s="1608"/>
      <c r="EP16" s="1783"/>
      <c r="EQ16" s="178"/>
      <c r="ER16" s="1608"/>
      <c r="ES16" s="1783"/>
      <c r="ET16" s="178"/>
      <c r="EU16" s="1608"/>
      <c r="EV16" s="1783"/>
      <c r="EW16" s="178"/>
      <c r="EX16" s="1608"/>
      <c r="EY16" s="1783"/>
      <c r="EZ16" s="178"/>
      <c r="FA16" s="1608"/>
      <c r="FB16" s="1783"/>
      <c r="FC16" s="178"/>
      <c r="FD16" s="1608"/>
      <c r="FE16" s="1783"/>
      <c r="FF16" s="178"/>
      <c r="FG16" s="1608"/>
      <c r="FH16" s="1783"/>
      <c r="FI16" s="178"/>
      <c r="FJ16" s="1608"/>
      <c r="FK16" s="1783"/>
      <c r="FL16" s="178"/>
      <c r="FM16" s="1608"/>
      <c r="FN16" s="1783"/>
      <c r="FO16" s="178"/>
      <c r="FP16" s="1608"/>
      <c r="FQ16" s="1783"/>
      <c r="FR16" s="178"/>
      <c r="FS16" s="1608"/>
      <c r="FT16" s="1783"/>
      <c r="FU16" s="539"/>
      <c r="FV16" s="1784"/>
      <c r="FW16" s="539"/>
      <c r="FX16" s="1784"/>
      <c r="FY16" s="539"/>
      <c r="FZ16" s="1784"/>
      <c r="GA16" s="539"/>
      <c r="GB16" s="1784"/>
      <c r="GC16" s="539"/>
      <c r="GD16" s="1784"/>
      <c r="GE16" s="539"/>
      <c r="GF16" s="1784"/>
      <c r="GG16" s="539"/>
      <c r="GH16" s="1784"/>
      <c r="GI16" s="539"/>
      <c r="GJ16" s="1784"/>
      <c r="GK16" s="539"/>
      <c r="GL16" s="1784"/>
    </row>
    <row r="17" spans="1:194" x14ac:dyDescent="0.2">
      <c r="A17" s="539" t="str">
        <f>+'1858 Hacienda'!A49</f>
        <v>Departamento de Beneficiencia i Recompensas</v>
      </c>
      <c r="B17" s="178"/>
      <c r="C17" s="1608"/>
      <c r="D17" s="1783"/>
      <c r="E17" s="178"/>
      <c r="F17" s="1608"/>
      <c r="G17" s="1783"/>
      <c r="H17" s="178"/>
      <c r="I17" s="1608"/>
      <c r="J17" s="1783"/>
      <c r="K17" s="178"/>
      <c r="L17" s="1608"/>
      <c r="M17" s="1783"/>
      <c r="N17" s="178"/>
      <c r="O17" s="1608"/>
      <c r="P17" s="1783"/>
      <c r="Q17" s="539">
        <f>+'1858 Hacienda'!D590</f>
        <v>81314</v>
      </c>
      <c r="R17" s="1784">
        <f>+'1858 Hacienda'!E590</f>
        <v>525</v>
      </c>
      <c r="S17" s="539">
        <f>+'1858 Hacienda'!D645</f>
        <v>145302</v>
      </c>
      <c r="T17" s="1784">
        <f>+'1858 Hacienda'!E645</f>
        <v>565</v>
      </c>
      <c r="U17" s="539">
        <f>+'1858 Hacienda'!B527</f>
        <v>178517</v>
      </c>
      <c r="V17" s="1784">
        <f>+'1858 Hacienda'!C527</f>
        <v>341</v>
      </c>
      <c r="W17" s="539">
        <f>+'1858 Hacienda'!B1152</f>
        <v>153556</v>
      </c>
      <c r="X17" s="1784">
        <f>+'1858 Hacienda'!C1152</f>
        <v>827</v>
      </c>
      <c r="Y17" s="539">
        <f>+'1858 Hacienda'!B49</f>
        <v>142770</v>
      </c>
      <c r="Z17" s="1784">
        <f>+'1858 Hacienda'!C49</f>
        <v>500</v>
      </c>
      <c r="AA17" s="539">
        <f>+'1858 Hacienda'!D49</f>
        <v>121729</v>
      </c>
      <c r="AB17" s="1784">
        <f>+'1858 Hacienda'!E49</f>
        <v>857</v>
      </c>
      <c r="AC17" s="539">
        <f>+'1858 Hacienda'!F49</f>
        <v>128131</v>
      </c>
      <c r="AD17" s="1784">
        <f>+'1858 Hacienda'!G49</f>
        <v>898</v>
      </c>
      <c r="AE17" s="539">
        <f>+'1858 Hacienda'!H49</f>
        <v>95970</v>
      </c>
      <c r="AF17" s="1784">
        <f>+'1858 Hacienda'!I49</f>
        <v>734</v>
      </c>
      <c r="AG17" s="539">
        <f>+'1858 Hacienda'!J49</f>
        <v>91171</v>
      </c>
      <c r="AH17" s="1784">
        <f>+'1858 Hacienda'!K49</f>
        <v>235</v>
      </c>
      <c r="AI17" s="539"/>
      <c r="AJ17" s="1756"/>
      <c r="AK17" s="539">
        <f>+'1861 Hacienda'!D94</f>
        <v>163027</v>
      </c>
      <c r="AL17" s="1784">
        <f>+'1861 Hacienda'!E94</f>
        <v>4</v>
      </c>
      <c r="AM17" s="1608"/>
      <c r="AN17" s="1608"/>
      <c r="AO17" s="1783"/>
      <c r="AP17" s="178"/>
      <c r="AQ17" s="1608"/>
      <c r="AR17" s="1783"/>
      <c r="AS17" s="178"/>
      <c r="AT17" s="1608"/>
      <c r="AU17" s="1783"/>
      <c r="AV17" s="178"/>
      <c r="AW17" s="1608"/>
      <c r="AX17" s="1783"/>
      <c r="AY17" s="178"/>
      <c r="AZ17" s="1608"/>
      <c r="BA17" s="1783"/>
      <c r="BB17" s="178"/>
      <c r="BC17" s="1608"/>
      <c r="BD17" s="1783"/>
      <c r="BE17" s="178"/>
      <c r="BF17" s="1608"/>
      <c r="BG17" s="1783"/>
      <c r="BH17" s="178"/>
      <c r="BI17" s="1608"/>
      <c r="BJ17" s="1783"/>
      <c r="BK17" s="178"/>
      <c r="BL17" s="1608"/>
      <c r="BM17" s="1783"/>
      <c r="BN17" s="178"/>
      <c r="BO17" s="1608"/>
      <c r="BP17" s="1783"/>
      <c r="BQ17" s="178"/>
      <c r="BR17" s="1608"/>
      <c r="BS17" s="1783"/>
      <c r="BT17" s="539">
        <f>+'1869 Hacienda'!C225</f>
        <v>27672</v>
      </c>
      <c r="BU17" s="1608"/>
      <c r="BV17" s="1783"/>
      <c r="BW17" s="178"/>
      <c r="BX17" s="1608"/>
      <c r="BY17" s="1783"/>
      <c r="BZ17" s="178"/>
      <c r="CA17" s="1608"/>
      <c r="CB17" s="1783"/>
      <c r="CC17" s="178"/>
      <c r="CD17" s="1608"/>
      <c r="CE17" s="1783"/>
      <c r="CF17" s="178"/>
      <c r="CG17" s="1608"/>
      <c r="CH17" s="1783"/>
      <c r="CI17" s="178"/>
      <c r="CJ17" s="1608"/>
      <c r="CK17" s="1783"/>
      <c r="CL17" s="178"/>
      <c r="CM17" s="1608"/>
      <c r="CN17" s="1783"/>
      <c r="CO17" s="178"/>
      <c r="CP17" s="1608"/>
      <c r="CQ17" s="1783"/>
      <c r="CR17" s="178"/>
      <c r="CS17" s="1608"/>
      <c r="CT17" s="1783"/>
      <c r="CU17" s="178"/>
      <c r="CV17" s="1608"/>
      <c r="CW17" s="1783"/>
      <c r="CX17" s="178"/>
      <c r="CY17" s="1608"/>
      <c r="CZ17" s="1783"/>
      <c r="DA17" s="178"/>
      <c r="DB17" s="1608"/>
      <c r="DC17" s="1783"/>
      <c r="DD17" s="178"/>
      <c r="DE17" s="1608"/>
      <c r="DF17" s="1783"/>
      <c r="DG17" s="178"/>
      <c r="DH17" s="1608"/>
      <c r="DI17" s="1783"/>
      <c r="DJ17" s="178"/>
      <c r="DK17" s="1608"/>
      <c r="DL17" s="1783"/>
      <c r="DM17" s="178"/>
      <c r="DN17" s="1608"/>
      <c r="DO17" s="1783"/>
      <c r="DP17" s="178"/>
      <c r="DQ17" s="1608"/>
      <c r="DR17" s="1783"/>
      <c r="DS17" s="178"/>
      <c r="DT17" s="1608"/>
      <c r="DU17" s="1783"/>
      <c r="DV17" s="178"/>
      <c r="DW17" s="1608"/>
      <c r="DX17" s="1783"/>
      <c r="DY17" s="178"/>
      <c r="DZ17" s="1608"/>
      <c r="EA17" s="1783"/>
      <c r="EB17" s="178"/>
      <c r="EC17" s="1608"/>
      <c r="ED17" s="1783"/>
      <c r="EE17" s="178"/>
      <c r="EF17" s="1608"/>
      <c r="EG17" s="1783"/>
      <c r="EH17" s="178"/>
      <c r="EI17" s="1608"/>
      <c r="EJ17" s="1783"/>
      <c r="EK17" s="178"/>
      <c r="EL17" s="1608"/>
      <c r="EM17" s="1783"/>
      <c r="EN17" s="178"/>
      <c r="EO17" s="1608"/>
      <c r="EP17" s="1783"/>
      <c r="EQ17" s="178"/>
      <c r="ER17" s="1608"/>
      <c r="ES17" s="1783"/>
      <c r="ET17" s="178"/>
      <c r="EU17" s="1608"/>
      <c r="EV17" s="1783"/>
      <c r="EW17" s="178"/>
      <c r="EX17" s="1608"/>
      <c r="EY17" s="1783"/>
      <c r="EZ17" s="178"/>
      <c r="FA17" s="1608"/>
      <c r="FB17" s="1783"/>
      <c r="FC17" s="178"/>
      <c r="FD17" s="1608"/>
      <c r="FE17" s="1783"/>
      <c r="FF17" s="178"/>
      <c r="FG17" s="1608"/>
      <c r="FH17" s="1783"/>
      <c r="FI17" s="178"/>
      <c r="FJ17" s="1608"/>
      <c r="FK17" s="1783"/>
      <c r="FL17" s="178"/>
      <c r="FM17" s="1608"/>
      <c r="FN17" s="1783"/>
      <c r="FO17" s="178"/>
      <c r="FP17" s="1608"/>
      <c r="FQ17" s="1783"/>
      <c r="FR17" s="178"/>
      <c r="FS17" s="1608"/>
      <c r="FT17" s="1783"/>
      <c r="FU17" s="539"/>
      <c r="FV17" s="1784"/>
      <c r="FW17" s="539"/>
      <c r="FX17" s="1784"/>
      <c r="FY17" s="539"/>
      <c r="FZ17" s="1784"/>
      <c r="GA17" s="539"/>
      <c r="GB17" s="1784"/>
      <c r="GC17" s="539"/>
      <c r="GD17" s="1784"/>
      <c r="GE17" s="539"/>
      <c r="GF17" s="1784"/>
      <c r="GG17" s="539"/>
      <c r="GH17" s="1784"/>
      <c r="GI17" s="539"/>
      <c r="GJ17" s="1784"/>
      <c r="GK17" s="539"/>
      <c r="GL17" s="1784"/>
    </row>
    <row r="18" spans="1:194" ht="30" x14ac:dyDescent="0.2">
      <c r="A18" s="539" t="str">
        <f>+'1858 Hacienda'!A50</f>
        <v>Departamento de Agricultura, minas, manufacturas i comercio</v>
      </c>
      <c r="B18" s="178"/>
      <c r="C18" s="1608"/>
      <c r="D18" s="1783"/>
      <c r="E18" s="178"/>
      <c r="F18" s="1608"/>
      <c r="G18" s="1783"/>
      <c r="H18" s="178"/>
      <c r="I18" s="1608"/>
      <c r="J18" s="1783"/>
      <c r="K18" s="178"/>
      <c r="L18" s="1608"/>
      <c r="M18" s="1783"/>
      <c r="N18" s="178"/>
      <c r="O18" s="1608"/>
      <c r="P18" s="1783"/>
      <c r="Q18" s="539">
        <f>+'1858 Hacienda'!D587</f>
        <v>3174</v>
      </c>
      <c r="R18" s="1784">
        <f>+'1858 Hacienda'!E587</f>
        <v>163</v>
      </c>
      <c r="S18" s="539">
        <f>+'1858 Hacienda'!D642</f>
        <v>1792</v>
      </c>
      <c r="T18" s="1784">
        <f>+'1858 Hacienda'!E642</f>
        <v>790</v>
      </c>
      <c r="U18" s="539">
        <f>+'1858 Hacienda'!B524</f>
        <v>2724</v>
      </c>
      <c r="V18" s="1784">
        <f>+'1858 Hacienda'!C524</f>
        <v>805</v>
      </c>
      <c r="W18" s="539">
        <f>+'1858 Hacienda'!B1149</f>
        <v>46</v>
      </c>
      <c r="X18" s="1784">
        <f>+'1858 Hacienda'!C1149</f>
        <v>400</v>
      </c>
      <c r="Y18" s="539">
        <f>+'1858 Hacienda'!B50</f>
        <v>46</v>
      </c>
      <c r="Z18" s="1784">
        <f>+'1858 Hacienda'!C50</f>
        <v>400</v>
      </c>
      <c r="AA18" s="539"/>
      <c r="AB18" s="1784"/>
      <c r="AC18" s="539"/>
      <c r="AD18" s="1784"/>
      <c r="AE18" s="539"/>
      <c r="AF18" s="1784"/>
      <c r="AG18" s="539"/>
      <c r="AH18" s="1784"/>
      <c r="AI18" s="539"/>
      <c r="AJ18" s="1756"/>
      <c r="AK18" s="178"/>
      <c r="AL18" s="1785"/>
      <c r="AM18" s="1608"/>
      <c r="AN18" s="1608"/>
      <c r="AO18" s="1783"/>
      <c r="AP18" s="178"/>
      <c r="AQ18" s="1608"/>
      <c r="AR18" s="1783"/>
      <c r="AS18" s="178"/>
      <c r="AT18" s="1608"/>
      <c r="AU18" s="1783"/>
      <c r="AV18" s="178"/>
      <c r="AW18" s="1608"/>
      <c r="AX18" s="1783"/>
      <c r="AY18" s="178"/>
      <c r="AZ18" s="1608"/>
      <c r="BA18" s="1783"/>
      <c r="BB18" s="178"/>
      <c r="BC18" s="1608"/>
      <c r="BD18" s="1783"/>
      <c r="BE18" s="178"/>
      <c r="BF18" s="1608"/>
      <c r="BG18" s="1783"/>
      <c r="BH18" s="178"/>
      <c r="BI18" s="1608"/>
      <c r="BJ18" s="1783"/>
      <c r="BK18" s="178"/>
      <c r="BL18" s="1608"/>
      <c r="BM18" s="1783"/>
      <c r="BN18" s="178"/>
      <c r="BO18" s="1608"/>
      <c r="BP18" s="1783"/>
      <c r="BQ18" s="178"/>
      <c r="BR18" s="1608"/>
      <c r="BS18" s="1783"/>
      <c r="BT18" s="178"/>
      <c r="BU18" s="1608"/>
      <c r="BV18" s="1783"/>
      <c r="BW18" s="178"/>
      <c r="BX18" s="1608"/>
      <c r="BY18" s="1783"/>
      <c r="BZ18" s="178"/>
      <c r="CA18" s="1608"/>
      <c r="CB18" s="1783"/>
      <c r="CC18" s="178"/>
      <c r="CD18" s="1608"/>
      <c r="CE18" s="1783"/>
      <c r="CF18" s="178"/>
      <c r="CG18" s="1608"/>
      <c r="CH18" s="1783"/>
      <c r="CI18" s="178"/>
      <c r="CJ18" s="1608"/>
      <c r="CK18" s="1783"/>
      <c r="CL18" s="178"/>
      <c r="CM18" s="1608"/>
      <c r="CN18" s="1783"/>
      <c r="CO18" s="178"/>
      <c r="CP18" s="1608"/>
      <c r="CQ18" s="1783"/>
      <c r="CR18" s="178"/>
      <c r="CS18" s="1608"/>
      <c r="CT18" s="1783"/>
      <c r="CU18" s="178"/>
      <c r="CV18" s="1608"/>
      <c r="CW18" s="1783"/>
      <c r="CX18" s="178"/>
      <c r="CY18" s="1608"/>
      <c r="CZ18" s="1783"/>
      <c r="DA18" s="178"/>
      <c r="DB18" s="1608"/>
      <c r="DC18" s="1783"/>
      <c r="DD18" s="178"/>
      <c r="DE18" s="1608"/>
      <c r="DF18" s="1783"/>
      <c r="DG18" s="178"/>
      <c r="DH18" s="1608"/>
      <c r="DI18" s="1783"/>
      <c r="DJ18" s="178"/>
      <c r="DK18" s="1608"/>
      <c r="DL18" s="1783"/>
      <c r="DM18" s="178"/>
      <c r="DN18" s="1608"/>
      <c r="DO18" s="1783"/>
      <c r="DP18" s="178"/>
      <c r="DQ18" s="1608"/>
      <c r="DR18" s="1783"/>
      <c r="DS18" s="178"/>
      <c r="DT18" s="1608"/>
      <c r="DU18" s="1783"/>
      <c r="DV18" s="178"/>
      <c r="DW18" s="1608"/>
      <c r="DX18" s="1783"/>
      <c r="DY18" s="178"/>
      <c r="DZ18" s="1608"/>
      <c r="EA18" s="1783"/>
      <c r="EB18" s="178"/>
      <c r="EC18" s="1608"/>
      <c r="ED18" s="1783"/>
      <c r="EE18" s="178"/>
      <c r="EF18" s="1608"/>
      <c r="EG18" s="1783"/>
      <c r="EH18" s="178"/>
      <c r="EI18" s="1608"/>
      <c r="EJ18" s="1783"/>
      <c r="EK18" s="178"/>
      <c r="EL18" s="1608"/>
      <c r="EM18" s="1783"/>
      <c r="EN18" s="178"/>
      <c r="EO18" s="1608"/>
      <c r="EP18" s="1783"/>
      <c r="EQ18" s="178"/>
      <c r="ER18" s="1608"/>
      <c r="ES18" s="1783"/>
      <c r="ET18" s="178"/>
      <c r="EU18" s="1608"/>
      <c r="EV18" s="1783"/>
      <c r="EW18" s="178"/>
      <c r="EX18" s="1608"/>
      <c r="EY18" s="1783"/>
      <c r="EZ18" s="178"/>
      <c r="FA18" s="1608"/>
      <c r="FB18" s="1783"/>
      <c r="FC18" s="178"/>
      <c r="FD18" s="1608"/>
      <c r="FE18" s="1783"/>
      <c r="FF18" s="178"/>
      <c r="FG18" s="1608"/>
      <c r="FH18" s="1783"/>
      <c r="FI18" s="178"/>
      <c r="FJ18" s="1608"/>
      <c r="FK18" s="1783"/>
      <c r="FL18" s="178"/>
      <c r="FM18" s="1608"/>
      <c r="FN18" s="1783"/>
      <c r="FO18" s="178"/>
      <c r="FP18" s="1608"/>
      <c r="FQ18" s="1783"/>
      <c r="FR18" s="178"/>
      <c r="FS18" s="1608"/>
      <c r="FT18" s="1783"/>
      <c r="FU18" s="539"/>
      <c r="FV18" s="1784"/>
      <c r="FW18" s="539"/>
      <c r="FX18" s="1784"/>
      <c r="FY18" s="539"/>
      <c r="FZ18" s="1784"/>
      <c r="GA18" s="539"/>
      <c r="GB18" s="1784"/>
      <c r="GC18" s="539"/>
      <c r="GD18" s="1784"/>
      <c r="GE18" s="539"/>
      <c r="GF18" s="1784"/>
      <c r="GG18" s="539"/>
      <c r="GH18" s="1784"/>
      <c r="GI18" s="539"/>
      <c r="GJ18" s="1784"/>
      <c r="GK18" s="539"/>
      <c r="GL18" s="1784"/>
    </row>
    <row r="19" spans="1:194" x14ac:dyDescent="0.2">
      <c r="A19" s="539" t="str">
        <f>+'1858 Hacienda'!A51</f>
        <v>Departamento de Instrucción pública</v>
      </c>
      <c r="B19" s="178"/>
      <c r="C19" s="1608"/>
      <c r="D19" s="1783"/>
      <c r="E19" s="178"/>
      <c r="F19" s="1608"/>
      <c r="G19" s="1783"/>
      <c r="H19" s="178"/>
      <c r="I19" s="1608"/>
      <c r="J19" s="1783"/>
      <c r="K19" s="178"/>
      <c r="L19" s="1608"/>
      <c r="M19" s="1783"/>
      <c r="N19" s="178"/>
      <c r="O19" s="1608"/>
      <c r="P19" s="1783"/>
      <c r="Q19" s="539">
        <f>+'1858 Hacienda'!D588</f>
        <v>28137</v>
      </c>
      <c r="R19" s="1784">
        <f>+'1858 Hacienda'!E588</f>
        <v>586</v>
      </c>
      <c r="S19" s="539">
        <f>+'1858 Hacienda'!D643</f>
        <v>32151</v>
      </c>
      <c r="T19" s="1784">
        <f>+'1858 Hacienda'!E643</f>
        <v>347</v>
      </c>
      <c r="U19" s="539">
        <f>+'1858 Hacienda'!B525</f>
        <v>38592</v>
      </c>
      <c r="V19" s="1784">
        <f>+'1858 Hacienda'!C525</f>
        <v>104</v>
      </c>
      <c r="W19" s="539">
        <f>+'1858 Hacienda'!B1150</f>
        <v>18148</v>
      </c>
      <c r="X19" s="1784">
        <f>+'1858 Hacienda'!C1150</f>
        <v>535</v>
      </c>
      <c r="Y19" s="539">
        <f>+'1858 Hacienda'!B51</f>
        <v>12251</v>
      </c>
      <c r="Z19" s="1784">
        <f>+'1858 Hacienda'!C51</f>
        <v>735</v>
      </c>
      <c r="AA19" s="539"/>
      <c r="AB19" s="1784"/>
      <c r="AC19" s="539"/>
      <c r="AD19" s="1784"/>
      <c r="AE19" s="539"/>
      <c r="AF19" s="1784"/>
      <c r="AG19" s="539"/>
      <c r="AH19" s="1784"/>
      <c r="AI19" s="539"/>
      <c r="AJ19" s="1756"/>
      <c r="AK19" s="178"/>
      <c r="AL19" s="1785"/>
      <c r="AM19" s="1608"/>
      <c r="AN19" s="1608"/>
      <c r="AO19" s="1783"/>
      <c r="AP19" s="178"/>
      <c r="AQ19" s="1608"/>
      <c r="AR19" s="1783"/>
      <c r="AS19" s="178"/>
      <c r="AT19" s="1608"/>
      <c r="AU19" s="1783"/>
      <c r="AV19" s="178"/>
      <c r="AW19" s="1608"/>
      <c r="AX19" s="1783"/>
      <c r="AY19" s="178"/>
      <c r="AZ19" s="1608"/>
      <c r="BA19" s="1783"/>
      <c r="BB19" s="178"/>
      <c r="BC19" s="1608"/>
      <c r="BD19" s="1783"/>
      <c r="BE19" s="178"/>
      <c r="BF19" s="1608"/>
      <c r="BG19" s="1783"/>
      <c r="BH19" s="178"/>
      <c r="BI19" s="1608"/>
      <c r="BJ19" s="1783"/>
      <c r="BK19" s="178"/>
      <c r="BL19" s="1608"/>
      <c r="BM19" s="1783"/>
      <c r="BN19" s="178"/>
      <c r="BO19" s="1608"/>
      <c r="BP19" s="1783"/>
      <c r="BQ19" s="178"/>
      <c r="BR19" s="1608"/>
      <c r="BS19" s="1783"/>
      <c r="BT19" s="539">
        <f>+'1869 Hacienda'!C224</f>
        <v>168273</v>
      </c>
      <c r="BU19" s="1608"/>
      <c r="BV19" s="1783"/>
      <c r="BW19" s="178"/>
      <c r="BX19" s="1608"/>
      <c r="BY19" s="1783"/>
      <c r="BZ19" s="178"/>
      <c r="CA19" s="1608"/>
      <c r="CB19" s="1783"/>
      <c r="CC19" s="178"/>
      <c r="CD19" s="1608"/>
      <c r="CE19" s="1783"/>
      <c r="CF19" s="178"/>
      <c r="CG19" s="1608"/>
      <c r="CH19" s="1783"/>
      <c r="CI19" s="178"/>
      <c r="CJ19" s="1608"/>
      <c r="CK19" s="1783"/>
      <c r="CL19" s="178"/>
      <c r="CM19" s="1608"/>
      <c r="CN19" s="1783"/>
      <c r="CO19" s="178"/>
      <c r="CP19" s="1608"/>
      <c r="CQ19" s="1783"/>
      <c r="CR19" s="178"/>
      <c r="CS19" s="1608"/>
      <c r="CT19" s="1783"/>
      <c r="CU19" s="178"/>
      <c r="CV19" s="1608"/>
      <c r="CW19" s="1783"/>
      <c r="CX19" s="178"/>
      <c r="CY19" s="1608"/>
      <c r="CZ19" s="1783"/>
      <c r="DA19" s="178"/>
      <c r="DB19" s="1608"/>
      <c r="DC19" s="1783"/>
      <c r="DD19" s="178"/>
      <c r="DE19" s="1608"/>
      <c r="DF19" s="1783"/>
      <c r="DG19" s="178"/>
      <c r="DH19" s="1608"/>
      <c r="DI19" s="1783"/>
      <c r="DJ19" s="178"/>
      <c r="DK19" s="1608"/>
      <c r="DL19" s="1783"/>
      <c r="DM19" s="178"/>
      <c r="DN19" s="1608"/>
      <c r="DO19" s="1783"/>
      <c r="DP19" s="178"/>
      <c r="DQ19" s="1608"/>
      <c r="DR19" s="1783"/>
      <c r="DS19" s="178"/>
      <c r="DT19" s="1608"/>
      <c r="DU19" s="1783"/>
      <c r="DV19" s="178"/>
      <c r="DW19" s="1608"/>
      <c r="DX19" s="1783"/>
      <c r="DY19" s="178"/>
      <c r="DZ19" s="1608"/>
      <c r="EA19" s="1783"/>
      <c r="EB19" s="178"/>
      <c r="EC19" s="1608"/>
      <c r="ED19" s="1783"/>
      <c r="EE19" s="178"/>
      <c r="EF19" s="1608"/>
      <c r="EG19" s="1783"/>
      <c r="EH19" s="178"/>
      <c r="EI19" s="1608"/>
      <c r="EJ19" s="1783"/>
      <c r="EK19" s="178"/>
      <c r="EL19" s="1608"/>
      <c r="EM19" s="1783"/>
      <c r="EN19" s="178"/>
      <c r="EO19" s="1608"/>
      <c r="EP19" s="1783"/>
      <c r="EQ19" s="178"/>
      <c r="ER19" s="1608"/>
      <c r="ES19" s="1783"/>
      <c r="ET19" s="178"/>
      <c r="EU19" s="1608"/>
      <c r="EV19" s="1783"/>
      <c r="EW19" s="178"/>
      <c r="EX19" s="1608"/>
      <c r="EY19" s="1783"/>
      <c r="EZ19" s="178"/>
      <c r="FA19" s="1608"/>
      <c r="FB19" s="1783"/>
      <c r="FC19" s="178"/>
      <c r="FD19" s="1608"/>
      <c r="FE19" s="1783"/>
      <c r="FF19" s="178"/>
      <c r="FG19" s="1608"/>
      <c r="FH19" s="1783"/>
      <c r="FI19" s="178"/>
      <c r="FJ19" s="1608"/>
      <c r="FK19" s="1783"/>
      <c r="FL19" s="178"/>
      <c r="FM19" s="1608"/>
      <c r="FN19" s="1783"/>
      <c r="FO19" s="178"/>
      <c r="FP19" s="1608"/>
      <c r="FQ19" s="1783"/>
      <c r="FR19" s="178"/>
      <c r="FS19" s="1608"/>
      <c r="FT19" s="1783"/>
      <c r="FU19" s="539"/>
      <c r="FV19" s="1784"/>
      <c r="FW19" s="539"/>
      <c r="FX19" s="1784"/>
      <c r="FY19" s="539"/>
      <c r="FZ19" s="1784"/>
      <c r="GA19" s="539"/>
      <c r="GB19" s="1784"/>
      <c r="GC19" s="539"/>
      <c r="GD19" s="1784"/>
      <c r="GE19" s="539"/>
      <c r="GF19" s="1784"/>
      <c r="GG19" s="539"/>
      <c r="GH19" s="1784"/>
      <c r="GI19" s="539"/>
      <c r="GJ19" s="1784"/>
      <c r="GK19" s="539"/>
      <c r="GL19" s="1784"/>
    </row>
    <row r="20" spans="1:194" x14ac:dyDescent="0.2">
      <c r="A20" s="539" t="str">
        <f>+'1858 Hacienda'!A52</f>
        <v>Departamento del culto</v>
      </c>
      <c r="B20" s="178"/>
      <c r="C20" s="1608"/>
      <c r="D20" s="1783"/>
      <c r="E20" s="178"/>
      <c r="F20" s="1608"/>
      <c r="G20" s="1783"/>
      <c r="H20" s="178"/>
      <c r="I20" s="1608"/>
      <c r="J20" s="1783"/>
      <c r="K20" s="178"/>
      <c r="L20" s="1608"/>
      <c r="M20" s="1783"/>
      <c r="N20" s="178"/>
      <c r="O20" s="1608"/>
      <c r="P20" s="1783"/>
      <c r="Q20" s="539">
        <f>+'1858 Hacienda'!D589</f>
        <v>83599</v>
      </c>
      <c r="R20" s="1784">
        <f>+'1858 Hacienda'!E589</f>
        <v>792</v>
      </c>
      <c r="S20" s="539">
        <f>+'1858 Hacienda'!D644</f>
        <v>95623</v>
      </c>
      <c r="T20" s="1784">
        <f>+'1858 Hacienda'!E644</f>
        <v>876</v>
      </c>
      <c r="U20" s="539">
        <f>+'1858 Hacienda'!B526</f>
        <v>99496</v>
      </c>
      <c r="V20" s="1784">
        <f>+'1858 Hacienda'!C526</f>
        <v>761</v>
      </c>
      <c r="W20" s="539">
        <f>+'1858 Hacienda'!B1151</f>
        <v>75653</v>
      </c>
      <c r="X20" s="1784">
        <f>+'1858 Hacienda'!C1151</f>
        <v>169</v>
      </c>
      <c r="Y20" s="539">
        <f>+'1858 Hacienda'!B52</f>
        <v>69165</v>
      </c>
      <c r="Z20" s="1784">
        <f>+'1858 Hacienda'!C52</f>
        <v>647</v>
      </c>
      <c r="AA20" s="539"/>
      <c r="AB20" s="1784"/>
      <c r="AC20" s="539"/>
      <c r="AD20" s="1784"/>
      <c r="AE20" s="539"/>
      <c r="AF20" s="1784"/>
      <c r="AG20" s="539"/>
      <c r="AH20" s="1784"/>
      <c r="AI20" s="539"/>
      <c r="AJ20" s="1756"/>
      <c r="AK20" s="539">
        <f>+'1861 Hacienda'!D96</f>
        <v>703</v>
      </c>
      <c r="AL20" s="1784">
        <f>+'1861 Hacienda'!E96</f>
        <v>430</v>
      </c>
      <c r="AM20" s="1608"/>
      <c r="AN20" s="1608"/>
      <c r="AO20" s="1783"/>
      <c r="AP20" s="178"/>
      <c r="AQ20" s="1608"/>
      <c r="AR20" s="1783"/>
      <c r="AS20" s="178"/>
      <c r="AT20" s="1608"/>
      <c r="AU20" s="1783"/>
      <c r="AV20" s="178"/>
      <c r="AW20" s="1608"/>
      <c r="AX20" s="1783"/>
      <c r="AY20" s="178"/>
      <c r="AZ20" s="1608"/>
      <c r="BA20" s="1783"/>
      <c r="BB20" s="178"/>
      <c r="BC20" s="1608"/>
      <c r="BD20" s="1783"/>
      <c r="BE20" s="178"/>
      <c r="BF20" s="1608"/>
      <c r="BG20" s="1783"/>
      <c r="BH20" s="178"/>
      <c r="BI20" s="1608"/>
      <c r="BJ20" s="1783"/>
      <c r="BK20" s="178"/>
      <c r="BL20" s="1608"/>
      <c r="BM20" s="1783"/>
      <c r="BN20" s="178"/>
      <c r="BO20" s="1608"/>
      <c r="BP20" s="1783"/>
      <c r="BQ20" s="178"/>
      <c r="BR20" s="1608"/>
      <c r="BS20" s="1783"/>
      <c r="BT20" s="539"/>
      <c r="BU20" s="1608"/>
      <c r="BV20" s="1783"/>
      <c r="BW20" s="178"/>
      <c r="BX20" s="1608"/>
      <c r="BY20" s="1783"/>
      <c r="BZ20" s="178"/>
      <c r="CA20" s="1608"/>
      <c r="CB20" s="1783"/>
      <c r="CC20" s="178"/>
      <c r="CD20" s="1608"/>
      <c r="CE20" s="1783"/>
      <c r="CF20" s="178"/>
      <c r="CG20" s="1608"/>
      <c r="CH20" s="1783"/>
      <c r="CI20" s="178"/>
      <c r="CJ20" s="1608"/>
      <c r="CK20" s="1783"/>
      <c r="CL20" s="178"/>
      <c r="CM20" s="1608"/>
      <c r="CN20" s="1783"/>
      <c r="CO20" s="178"/>
      <c r="CP20" s="1608"/>
      <c r="CQ20" s="1783"/>
      <c r="CR20" s="178"/>
      <c r="CS20" s="1608"/>
      <c r="CT20" s="1783"/>
      <c r="CU20" s="178"/>
      <c r="CV20" s="1608"/>
      <c r="CW20" s="1783"/>
      <c r="CX20" s="178"/>
      <c r="CY20" s="1608"/>
      <c r="CZ20" s="1783"/>
      <c r="DA20" s="178"/>
      <c r="DB20" s="1608"/>
      <c r="DC20" s="1783"/>
      <c r="DD20" s="178"/>
      <c r="DE20" s="1608"/>
      <c r="DF20" s="1783"/>
      <c r="DG20" s="178"/>
      <c r="DH20" s="1608"/>
      <c r="DI20" s="1783"/>
      <c r="DJ20" s="178"/>
      <c r="DK20" s="1608"/>
      <c r="DL20" s="1783"/>
      <c r="DM20" s="178"/>
      <c r="DN20" s="1608"/>
      <c r="DO20" s="1783"/>
      <c r="DP20" s="178"/>
      <c r="DQ20" s="1608"/>
      <c r="DR20" s="1783"/>
      <c r="DS20" s="178"/>
      <c r="DT20" s="1608"/>
      <c r="DU20" s="1783"/>
      <c r="DV20" s="178"/>
      <c r="DW20" s="1608"/>
      <c r="DX20" s="1783"/>
      <c r="DY20" s="178"/>
      <c r="DZ20" s="1608"/>
      <c r="EA20" s="1783"/>
      <c r="EB20" s="178"/>
      <c r="EC20" s="1608"/>
      <c r="ED20" s="1783"/>
      <c r="EE20" s="178"/>
      <c r="EF20" s="1608"/>
      <c r="EG20" s="1783"/>
      <c r="EH20" s="178"/>
      <c r="EI20" s="1608"/>
      <c r="EJ20" s="1783"/>
      <c r="EK20" s="178"/>
      <c r="EL20" s="1608"/>
      <c r="EM20" s="1783"/>
      <c r="EN20" s="178"/>
      <c r="EO20" s="1608"/>
      <c r="EP20" s="1783"/>
      <c r="EQ20" s="178"/>
      <c r="ER20" s="1608"/>
      <c r="ES20" s="1783"/>
      <c r="ET20" s="178"/>
      <c r="EU20" s="1608"/>
      <c r="EV20" s="1783"/>
      <c r="EW20" s="178"/>
      <c r="EX20" s="1608"/>
      <c r="EY20" s="1783"/>
      <c r="EZ20" s="178"/>
      <c r="FA20" s="1608"/>
      <c r="FB20" s="1783"/>
      <c r="FC20" s="178"/>
      <c r="FD20" s="1608"/>
      <c r="FE20" s="1783"/>
      <c r="FF20" s="178"/>
      <c r="FG20" s="1608"/>
      <c r="FH20" s="1783"/>
      <c r="FI20" s="178"/>
      <c r="FJ20" s="1608"/>
      <c r="FK20" s="1783"/>
      <c r="FL20" s="178"/>
      <c r="FM20" s="1608"/>
      <c r="FN20" s="1783"/>
      <c r="FO20" s="178"/>
      <c r="FP20" s="1608"/>
      <c r="FQ20" s="1783"/>
      <c r="FR20" s="178"/>
      <c r="FS20" s="1608"/>
      <c r="FT20" s="1783"/>
      <c r="FU20" s="539"/>
      <c r="FV20" s="1784"/>
      <c r="FW20" s="539"/>
      <c r="FX20" s="1784"/>
      <c r="FY20" s="539"/>
      <c r="FZ20" s="1784"/>
      <c r="GA20" s="539"/>
      <c r="GB20" s="1784"/>
      <c r="GC20" s="539"/>
      <c r="GD20" s="1784"/>
      <c r="GE20" s="539"/>
      <c r="GF20" s="1784"/>
      <c r="GG20" s="539"/>
      <c r="GH20" s="1784"/>
      <c r="GI20" s="539"/>
      <c r="GJ20" s="1784"/>
      <c r="GK20" s="539"/>
      <c r="GL20" s="1784"/>
    </row>
    <row r="21" spans="1:194" x14ac:dyDescent="0.2">
      <c r="A21" s="539" t="str">
        <f>+'1858 Hacienda'!A54</f>
        <v>Departamento de Gastos sin determinar</v>
      </c>
      <c r="B21" s="178"/>
      <c r="C21" s="1608"/>
      <c r="D21" s="1783"/>
      <c r="E21" s="178"/>
      <c r="F21" s="1608"/>
      <c r="G21" s="1783"/>
      <c r="H21" s="178"/>
      <c r="I21" s="1608"/>
      <c r="J21" s="1783"/>
      <c r="K21" s="178"/>
      <c r="L21" s="1608"/>
      <c r="M21" s="1783"/>
      <c r="N21" s="178"/>
      <c r="O21" s="1608"/>
      <c r="P21" s="1783"/>
      <c r="Q21" s="539"/>
      <c r="R21" s="1784"/>
      <c r="S21" s="539"/>
      <c r="T21" s="1784"/>
      <c r="U21" s="539"/>
      <c r="V21" s="1784"/>
      <c r="W21" s="539"/>
      <c r="X21" s="1784"/>
      <c r="Y21" s="539">
        <f>+'1858 Hacienda'!B54</f>
        <v>412</v>
      </c>
      <c r="Z21" s="1784">
        <f>+'1858 Hacienda'!C54</f>
        <v>515</v>
      </c>
      <c r="AA21" s="539"/>
      <c r="AB21" s="1784"/>
      <c r="AC21" s="539"/>
      <c r="AD21" s="1784"/>
      <c r="AE21" s="539">
        <f>+'1858 Hacienda'!H54</f>
        <v>1224</v>
      </c>
      <c r="AF21" s="1784">
        <f>+'1858 Hacienda'!I54</f>
        <v>750</v>
      </c>
      <c r="AG21" s="539"/>
      <c r="AH21" s="1784"/>
      <c r="AI21" s="539"/>
      <c r="AJ21" s="1756"/>
      <c r="AK21" s="178"/>
      <c r="AL21" s="1785"/>
      <c r="AM21" s="1608"/>
      <c r="AN21" s="1608"/>
      <c r="AO21" s="1783"/>
      <c r="AP21" s="178"/>
      <c r="AQ21" s="1608"/>
      <c r="AR21" s="1783"/>
      <c r="AS21" s="178"/>
      <c r="AT21" s="1608"/>
      <c r="AU21" s="1783"/>
      <c r="AV21" s="178"/>
      <c r="AW21" s="1608"/>
      <c r="AX21" s="1783"/>
      <c r="AY21" s="178"/>
      <c r="AZ21" s="1608"/>
      <c r="BA21" s="1783"/>
      <c r="BB21" s="178"/>
      <c r="BC21" s="1608"/>
      <c r="BD21" s="1783"/>
      <c r="BE21" s="178"/>
      <c r="BF21" s="1608"/>
      <c r="BG21" s="1783"/>
      <c r="BH21" s="178"/>
      <c r="BI21" s="1608"/>
      <c r="BJ21" s="1783"/>
      <c r="BK21" s="178"/>
      <c r="BL21" s="1608"/>
      <c r="BM21" s="1783"/>
      <c r="BN21" s="178"/>
      <c r="BO21" s="1608"/>
      <c r="BP21" s="1783"/>
      <c r="BQ21" s="178"/>
      <c r="BR21" s="1608"/>
      <c r="BS21" s="1783"/>
      <c r="BT21" s="178"/>
      <c r="BU21" s="1608"/>
      <c r="BV21" s="1783"/>
      <c r="BW21" s="178"/>
      <c r="BX21" s="1608"/>
      <c r="BY21" s="1783"/>
      <c r="BZ21" s="178"/>
      <c r="CA21" s="1608"/>
      <c r="CB21" s="1783"/>
      <c r="CC21" s="178"/>
      <c r="CD21" s="1608"/>
      <c r="CE21" s="1783"/>
      <c r="CF21" s="178"/>
      <c r="CG21" s="1608"/>
      <c r="CH21" s="1783"/>
      <c r="CI21" s="178"/>
      <c r="CJ21" s="1608"/>
      <c r="CK21" s="1783"/>
      <c r="CL21" s="178"/>
      <c r="CM21" s="1608"/>
      <c r="CN21" s="1783"/>
      <c r="CO21" s="178"/>
      <c r="CP21" s="1608"/>
      <c r="CQ21" s="1783"/>
      <c r="CR21" s="178"/>
      <c r="CS21" s="1608"/>
      <c r="CT21" s="1783"/>
      <c r="CU21" s="178"/>
      <c r="CV21" s="1608"/>
      <c r="CW21" s="1783"/>
      <c r="CX21" s="178"/>
      <c r="CY21" s="1608"/>
      <c r="CZ21" s="1783"/>
      <c r="DA21" s="178"/>
      <c r="DB21" s="1608"/>
      <c r="DC21" s="1783"/>
      <c r="DD21" s="178"/>
      <c r="DE21" s="1608"/>
      <c r="DF21" s="1783"/>
      <c r="DG21" s="178"/>
      <c r="DH21" s="1608"/>
      <c r="DI21" s="1783"/>
      <c r="DJ21" s="178"/>
      <c r="DK21" s="1608"/>
      <c r="DL21" s="1783"/>
      <c r="DM21" s="178"/>
      <c r="DN21" s="1608"/>
      <c r="DO21" s="1783"/>
      <c r="DP21" s="178"/>
      <c r="DQ21" s="1608"/>
      <c r="DR21" s="1783"/>
      <c r="DS21" s="178"/>
      <c r="DT21" s="1608"/>
      <c r="DU21" s="1783"/>
      <c r="DV21" s="178"/>
      <c r="DW21" s="1608"/>
      <c r="DX21" s="1783"/>
      <c r="DY21" s="178"/>
      <c r="DZ21" s="1608"/>
      <c r="EA21" s="1783"/>
      <c r="EB21" s="178"/>
      <c r="EC21" s="1608"/>
      <c r="ED21" s="1783"/>
      <c r="EE21" s="178"/>
      <c r="EF21" s="1608"/>
      <c r="EG21" s="1783"/>
      <c r="EH21" s="178"/>
      <c r="EI21" s="1608"/>
      <c r="EJ21" s="1783"/>
      <c r="EK21" s="178"/>
      <c r="EL21" s="1608"/>
      <c r="EM21" s="1783"/>
      <c r="EN21" s="178"/>
      <c r="EO21" s="1608"/>
      <c r="EP21" s="1783"/>
      <c r="EQ21" s="178"/>
      <c r="ER21" s="1608"/>
      <c r="ES21" s="1783"/>
      <c r="ET21" s="178"/>
      <c r="EU21" s="1608"/>
      <c r="EV21" s="1783"/>
      <c r="EW21" s="178"/>
      <c r="EX21" s="1608"/>
      <c r="EY21" s="1783"/>
      <c r="EZ21" s="178"/>
      <c r="FA21" s="1608"/>
      <c r="FB21" s="1783"/>
      <c r="FC21" s="178"/>
      <c r="FD21" s="1608"/>
      <c r="FE21" s="1783"/>
      <c r="FF21" s="178"/>
      <c r="FG21" s="1608"/>
      <c r="FH21" s="1783"/>
      <c r="FI21" s="178"/>
      <c r="FJ21" s="1608"/>
      <c r="FK21" s="1783"/>
      <c r="FL21" s="178"/>
      <c r="FM21" s="1608"/>
      <c r="FN21" s="1783"/>
      <c r="FO21" s="178"/>
      <c r="FP21" s="1608"/>
      <c r="FQ21" s="1783"/>
      <c r="FR21" s="178"/>
      <c r="FS21" s="1608"/>
      <c r="FT21" s="1783"/>
      <c r="FU21" s="539"/>
      <c r="FV21" s="1784"/>
      <c r="FW21" s="539"/>
      <c r="FX21" s="1784"/>
      <c r="FY21" s="539"/>
      <c r="FZ21" s="1784"/>
      <c r="GA21" s="539"/>
      <c r="GB21" s="1784"/>
      <c r="GC21" s="539"/>
      <c r="GD21" s="1784"/>
      <c r="GE21" s="539"/>
      <c r="GF21" s="1784"/>
      <c r="GG21" s="539"/>
      <c r="GH21" s="1784"/>
      <c r="GI21" s="539"/>
      <c r="GJ21" s="1784"/>
      <c r="GK21" s="539"/>
      <c r="GL21" s="1784"/>
    </row>
    <row r="22" spans="1:194" x14ac:dyDescent="0.2">
      <c r="A22" s="539" t="str">
        <f>+'1858 Hacienda'!A1154</f>
        <v>Departamentos sin determinar</v>
      </c>
      <c r="B22" s="178"/>
      <c r="C22" s="1608"/>
      <c r="D22" s="1783"/>
      <c r="E22" s="178"/>
      <c r="F22" s="1608"/>
      <c r="G22" s="1783"/>
      <c r="H22" s="178"/>
      <c r="I22" s="1608"/>
      <c r="J22" s="1783"/>
      <c r="K22" s="178"/>
      <c r="L22" s="1608"/>
      <c r="M22" s="1783"/>
      <c r="N22" s="178"/>
      <c r="O22" s="1608"/>
      <c r="P22" s="1783"/>
      <c r="Q22" s="539"/>
      <c r="R22" s="1784"/>
      <c r="S22" s="539"/>
      <c r="T22" s="1784"/>
      <c r="U22" s="539"/>
      <c r="V22" s="1784"/>
      <c r="W22" s="539">
        <f>+'1858 Hacienda'!B1154</f>
        <v>70541</v>
      </c>
      <c r="X22" s="1784">
        <f>+'1858 Hacienda'!C1154</f>
        <v>548</v>
      </c>
      <c r="Y22" s="539"/>
      <c r="Z22" s="1784"/>
      <c r="AA22" s="539"/>
      <c r="AB22" s="1784"/>
      <c r="AC22" s="539"/>
      <c r="AD22" s="1784"/>
      <c r="AE22" s="539"/>
      <c r="AF22" s="1784"/>
      <c r="AG22" s="539"/>
      <c r="AH22" s="1784"/>
      <c r="AI22" s="539"/>
      <c r="AJ22" s="1784"/>
      <c r="AK22" s="178"/>
      <c r="AL22" s="1608"/>
      <c r="AM22" s="178"/>
      <c r="AN22" s="1608"/>
      <c r="AO22" s="1783"/>
      <c r="AP22" s="178"/>
      <c r="AQ22" s="1608"/>
      <c r="AR22" s="1783"/>
      <c r="AS22" s="178"/>
      <c r="AT22" s="1608"/>
      <c r="AU22" s="1783"/>
      <c r="AV22" s="178"/>
      <c r="AW22" s="1608"/>
      <c r="AX22" s="1783"/>
      <c r="AY22" s="178"/>
      <c r="AZ22" s="1608"/>
      <c r="BA22" s="1783"/>
      <c r="BB22" s="178"/>
      <c r="BC22" s="1608"/>
      <c r="BD22" s="1783"/>
      <c r="BE22" s="178"/>
      <c r="BF22" s="1608"/>
      <c r="BG22" s="1783"/>
      <c r="BH22" s="178"/>
      <c r="BI22" s="1608"/>
      <c r="BJ22" s="1783"/>
      <c r="BK22" s="178"/>
      <c r="BL22" s="1608"/>
      <c r="BM22" s="1783"/>
      <c r="BN22" s="178"/>
      <c r="BO22" s="1608"/>
      <c r="BP22" s="1783"/>
      <c r="BQ22" s="178"/>
      <c r="BR22" s="1608"/>
      <c r="BS22" s="1783"/>
      <c r="BT22" s="178"/>
      <c r="BU22" s="1608"/>
      <c r="BV22" s="1783"/>
      <c r="BW22" s="178"/>
      <c r="BX22" s="1608"/>
      <c r="BY22" s="1783"/>
      <c r="BZ22" s="178"/>
      <c r="CA22" s="1608"/>
      <c r="CB22" s="1783"/>
      <c r="CC22" s="178"/>
      <c r="CD22" s="1608"/>
      <c r="CE22" s="1783"/>
      <c r="CF22" s="178"/>
      <c r="CG22" s="1608"/>
      <c r="CH22" s="1783"/>
      <c r="CI22" s="178"/>
      <c r="CJ22" s="1608"/>
      <c r="CK22" s="1783"/>
      <c r="CL22" s="178"/>
      <c r="CM22" s="1608"/>
      <c r="CN22" s="1783"/>
      <c r="CO22" s="178"/>
      <c r="CP22" s="1608"/>
      <c r="CQ22" s="1783"/>
      <c r="CR22" s="178"/>
      <c r="CS22" s="1608"/>
      <c r="CT22" s="1783"/>
      <c r="CU22" s="178"/>
      <c r="CV22" s="1608"/>
      <c r="CW22" s="1783"/>
      <c r="CX22" s="178"/>
      <c r="CY22" s="1608"/>
      <c r="CZ22" s="1783"/>
      <c r="DA22" s="178"/>
      <c r="DB22" s="1608"/>
      <c r="DC22" s="1783"/>
      <c r="DD22" s="178"/>
      <c r="DE22" s="1608"/>
      <c r="DF22" s="1783"/>
      <c r="DG22" s="178"/>
      <c r="DH22" s="1608"/>
      <c r="DI22" s="1783"/>
      <c r="DJ22" s="178"/>
      <c r="DK22" s="1608"/>
      <c r="DL22" s="1783"/>
      <c r="DM22" s="178"/>
      <c r="DN22" s="1608"/>
      <c r="DO22" s="1783"/>
      <c r="DP22" s="178"/>
      <c r="DQ22" s="1608"/>
      <c r="DR22" s="1783"/>
      <c r="DS22" s="178"/>
      <c r="DT22" s="1608"/>
      <c r="DU22" s="1783"/>
      <c r="DV22" s="178"/>
      <c r="DW22" s="1608"/>
      <c r="DX22" s="1783"/>
      <c r="DY22" s="178"/>
      <c r="DZ22" s="1608"/>
      <c r="EA22" s="1783"/>
      <c r="EB22" s="178"/>
      <c r="EC22" s="1608"/>
      <c r="ED22" s="1783"/>
      <c r="EE22" s="178"/>
      <c r="EF22" s="1608"/>
      <c r="EG22" s="1783"/>
      <c r="EH22" s="178"/>
      <c r="EI22" s="1608"/>
      <c r="EJ22" s="1783"/>
      <c r="EK22" s="178"/>
      <c r="EL22" s="1608"/>
      <c r="EM22" s="1783"/>
      <c r="EN22" s="178"/>
      <c r="EO22" s="1608"/>
      <c r="EP22" s="1783"/>
      <c r="EQ22" s="178"/>
      <c r="ER22" s="1608"/>
      <c r="ES22" s="1783"/>
      <c r="ET22" s="178"/>
      <c r="EU22" s="1608"/>
      <c r="EV22" s="1783"/>
      <c r="EW22" s="178"/>
      <c r="EX22" s="1608"/>
      <c r="EY22" s="1783"/>
      <c r="EZ22" s="178"/>
      <c r="FA22" s="1608"/>
      <c r="FB22" s="1783"/>
      <c r="FC22" s="178"/>
      <c r="FD22" s="1608"/>
      <c r="FE22" s="1783"/>
      <c r="FF22" s="178"/>
      <c r="FG22" s="1608"/>
      <c r="FH22" s="1783"/>
      <c r="FI22" s="178"/>
      <c r="FJ22" s="1608"/>
      <c r="FK22" s="1783"/>
      <c r="FL22" s="178"/>
      <c r="FM22" s="1608"/>
      <c r="FN22" s="1783"/>
      <c r="FO22" s="178"/>
      <c r="FP22" s="1608"/>
      <c r="FQ22" s="1783"/>
      <c r="FR22" s="178"/>
      <c r="FS22" s="1608"/>
      <c r="FT22" s="1783"/>
      <c r="FU22" s="539"/>
      <c r="FV22" s="1784"/>
      <c r="FW22" s="539"/>
      <c r="FX22" s="1784"/>
      <c r="FY22" s="539"/>
      <c r="FZ22" s="1784"/>
      <c r="GA22" s="539"/>
      <c r="GB22" s="1784"/>
      <c r="GC22" s="539"/>
      <c r="GD22" s="1784"/>
      <c r="GE22" s="539"/>
      <c r="GF22" s="1784"/>
      <c r="GG22" s="539"/>
      <c r="GH22" s="1784"/>
      <c r="GI22" s="539"/>
      <c r="GJ22" s="1784"/>
      <c r="GK22" s="539"/>
      <c r="GL22" s="1784"/>
    </row>
    <row r="23" spans="1:194" x14ac:dyDescent="0.2">
      <c r="A23" s="178" t="s">
        <v>1548</v>
      </c>
      <c r="B23" s="178"/>
      <c r="C23" s="1608"/>
      <c r="D23" s="1783"/>
      <c r="E23" s="178"/>
      <c r="F23" s="1608"/>
      <c r="G23" s="1783"/>
      <c r="H23" s="178">
        <f>'1846 Hacienda'!E34</f>
        <v>920327</v>
      </c>
      <c r="I23" s="1608">
        <f>'1846 Hacienda'!F34</f>
        <v>4</v>
      </c>
      <c r="J23" s="1783">
        <f>'1846 Hacienda'!G34</f>
        <v>2</v>
      </c>
      <c r="K23" s="178"/>
      <c r="L23" s="1608"/>
      <c r="M23" s="1783"/>
      <c r="N23" s="178"/>
      <c r="O23" s="1608"/>
      <c r="P23" s="1783"/>
      <c r="Q23" s="539"/>
      <c r="R23" s="1784"/>
      <c r="S23" s="539"/>
      <c r="T23" s="1784"/>
      <c r="U23" s="539"/>
      <c r="V23" s="1784"/>
      <c r="W23" s="539"/>
      <c r="X23" s="1784"/>
      <c r="Y23" s="539"/>
      <c r="Z23" s="1784"/>
      <c r="AA23" s="539"/>
      <c r="AB23" s="1784"/>
      <c r="AC23" s="539"/>
      <c r="AD23" s="1784"/>
      <c r="AE23" s="539"/>
      <c r="AF23" s="1784"/>
      <c r="AG23" s="539"/>
      <c r="AH23" s="1784"/>
      <c r="AI23" s="539"/>
      <c r="AJ23" s="1784"/>
      <c r="AK23" s="178"/>
      <c r="AL23" s="1608"/>
      <c r="AM23" s="178"/>
      <c r="AN23" s="1608"/>
      <c r="AO23" s="1783"/>
      <c r="AP23" s="178"/>
      <c r="AQ23" s="1608"/>
      <c r="AR23" s="1783"/>
      <c r="AS23" s="178"/>
      <c r="AT23" s="1608"/>
      <c r="AU23" s="1783"/>
      <c r="AV23" s="178"/>
      <c r="AW23" s="1608"/>
      <c r="AX23" s="1783"/>
      <c r="AY23" s="178"/>
      <c r="AZ23" s="1608"/>
      <c r="BA23" s="1783"/>
      <c r="BB23" s="178"/>
      <c r="BC23" s="1608"/>
      <c r="BD23" s="1783"/>
      <c r="BE23" s="178"/>
      <c r="BF23" s="1608"/>
      <c r="BG23" s="1783"/>
      <c r="BH23" s="178"/>
      <c r="BI23" s="1608"/>
      <c r="BJ23" s="1783"/>
      <c r="BK23" s="178"/>
      <c r="BL23" s="1608"/>
      <c r="BM23" s="1783"/>
      <c r="BN23" s="178"/>
      <c r="BO23" s="1608"/>
      <c r="BP23" s="1783"/>
      <c r="BQ23" s="178"/>
      <c r="BR23" s="1608"/>
      <c r="BS23" s="1783"/>
      <c r="BT23" s="178"/>
      <c r="BU23" s="1608"/>
      <c r="BV23" s="1783"/>
      <c r="BW23" s="178"/>
      <c r="BX23" s="1608"/>
      <c r="BY23" s="1783"/>
      <c r="BZ23" s="178"/>
      <c r="CA23" s="1608"/>
      <c r="CB23" s="1783"/>
      <c r="CC23" s="178"/>
      <c r="CD23" s="1608"/>
      <c r="CE23" s="1783"/>
      <c r="CF23" s="178"/>
      <c r="CG23" s="1608"/>
      <c r="CH23" s="1783"/>
      <c r="CI23" s="178"/>
      <c r="CJ23" s="1608"/>
      <c r="CK23" s="1783"/>
      <c r="CL23" s="178"/>
      <c r="CM23" s="1608"/>
      <c r="CN23" s="1783"/>
      <c r="CO23" s="178"/>
      <c r="CP23" s="1608"/>
      <c r="CQ23" s="1783"/>
      <c r="CR23" s="178"/>
      <c r="CS23" s="1608"/>
      <c r="CT23" s="1783"/>
      <c r="CU23" s="178"/>
      <c r="CV23" s="1608"/>
      <c r="CW23" s="1783"/>
      <c r="CX23" s="178"/>
      <c r="CY23" s="1608"/>
      <c r="CZ23" s="1783"/>
      <c r="DA23" s="178"/>
      <c r="DB23" s="1608"/>
      <c r="DC23" s="1783"/>
      <c r="DD23" s="178"/>
      <c r="DE23" s="1608"/>
      <c r="DF23" s="1783"/>
      <c r="DG23" s="178"/>
      <c r="DH23" s="1608"/>
      <c r="DI23" s="1783"/>
      <c r="DJ23" s="178"/>
      <c r="DK23" s="1608"/>
      <c r="DL23" s="1783"/>
      <c r="DM23" s="178"/>
      <c r="DN23" s="1608"/>
      <c r="DO23" s="1783"/>
      <c r="DP23" s="178"/>
      <c r="DQ23" s="1608"/>
      <c r="DR23" s="1783"/>
      <c r="DS23" s="178"/>
      <c r="DT23" s="1608"/>
      <c r="DU23" s="1783"/>
      <c r="DV23" s="178"/>
      <c r="DW23" s="1608"/>
      <c r="DX23" s="1783"/>
      <c r="DY23" s="178"/>
      <c r="DZ23" s="1608"/>
      <c r="EA23" s="1783"/>
      <c r="EB23" s="178"/>
      <c r="EC23" s="1608"/>
      <c r="ED23" s="1783"/>
      <c r="EE23" s="178"/>
      <c r="EF23" s="1608"/>
      <c r="EG23" s="1783"/>
      <c r="EH23" s="178"/>
      <c r="EI23" s="1608"/>
      <c r="EJ23" s="1783"/>
      <c r="EK23" s="178"/>
      <c r="EL23" s="1608"/>
      <c r="EM23" s="1783"/>
      <c r="EN23" s="178"/>
      <c r="EO23" s="1608"/>
      <c r="EP23" s="1783"/>
      <c r="EQ23" s="178"/>
      <c r="ER23" s="1608"/>
      <c r="ES23" s="1783"/>
      <c r="ET23" s="178"/>
      <c r="EU23" s="1608"/>
      <c r="EV23" s="1783"/>
      <c r="EW23" s="178"/>
      <c r="EX23" s="1608"/>
      <c r="EY23" s="1783"/>
      <c r="EZ23" s="178"/>
      <c r="FA23" s="1608"/>
      <c r="FB23" s="1783"/>
      <c r="FC23" s="178"/>
      <c r="FD23" s="1608"/>
      <c r="FE23" s="1783"/>
      <c r="FF23" s="178"/>
      <c r="FG23" s="1608"/>
      <c r="FH23" s="1783"/>
      <c r="FI23" s="178"/>
      <c r="FJ23" s="1608"/>
      <c r="FK23" s="1783"/>
      <c r="FL23" s="178"/>
      <c r="FM23" s="1608"/>
      <c r="FN23" s="1783"/>
      <c r="FO23" s="178"/>
      <c r="FP23" s="1608"/>
      <c r="FQ23" s="1783"/>
      <c r="FR23" s="178"/>
      <c r="FS23" s="1608"/>
      <c r="FT23" s="1783"/>
      <c r="FU23" s="539"/>
      <c r="FV23" s="1784"/>
      <c r="FW23" s="539"/>
      <c r="FX23" s="1784"/>
      <c r="FY23" s="539"/>
      <c r="FZ23" s="1784"/>
      <c r="GA23" s="539"/>
      <c r="GB23" s="1784"/>
      <c r="GC23" s="539"/>
      <c r="GD23" s="1784"/>
      <c r="GE23" s="539"/>
      <c r="GF23" s="1784"/>
      <c r="GG23" s="539"/>
      <c r="GH23" s="1784"/>
      <c r="GI23" s="539"/>
      <c r="GJ23" s="1784"/>
      <c r="GK23" s="539"/>
      <c r="GL23" s="1784"/>
    </row>
    <row r="24" spans="1:194" x14ac:dyDescent="0.2">
      <c r="A24" s="178" t="s">
        <v>6068</v>
      </c>
      <c r="B24" s="178"/>
      <c r="C24" s="1608"/>
      <c r="D24" s="1783"/>
      <c r="E24" s="178"/>
      <c r="F24" s="1608"/>
      <c r="G24" s="1783"/>
      <c r="H24" s="178"/>
      <c r="I24" s="1608"/>
      <c r="J24" s="1783"/>
      <c r="K24" s="178"/>
      <c r="L24" s="1608"/>
      <c r="M24" s="1783"/>
      <c r="N24" s="178"/>
      <c r="O24" s="1608"/>
      <c r="P24" s="1783"/>
      <c r="Q24" s="539"/>
      <c r="R24" s="1784"/>
      <c r="S24" s="539"/>
      <c r="T24" s="1784"/>
      <c r="U24" s="539"/>
      <c r="V24" s="1784"/>
      <c r="W24" s="539"/>
      <c r="X24" s="1784"/>
      <c r="Y24" s="539">
        <f>+'1858 Hacienda'!B55</f>
        <v>1672403</v>
      </c>
      <c r="Z24" s="1784">
        <f>+'1858 Hacienda'!C55</f>
        <v>403</v>
      </c>
      <c r="AA24" s="539">
        <f>+'1858 Hacienda'!D55</f>
        <v>1659277</v>
      </c>
      <c r="AB24" s="1784">
        <f>+'1858 Hacienda'!E55</f>
        <v>415</v>
      </c>
      <c r="AC24" s="539">
        <f>+'1858 Hacienda'!F55</f>
        <v>1399809</v>
      </c>
      <c r="AD24" s="1784">
        <f>+'1858 Hacienda'!G55</f>
        <v>750</v>
      </c>
      <c r="AE24" s="539">
        <f>+'1858 Hacienda'!H55</f>
        <v>1106482</v>
      </c>
      <c r="AF24" s="1784">
        <f>+'1858 Hacienda'!I55</f>
        <v>740</v>
      </c>
      <c r="AG24" s="539">
        <f>+'1858 Hacienda'!J55</f>
        <v>1306189</v>
      </c>
      <c r="AH24" s="1784">
        <f>+'1858 Hacienda'!K55</f>
        <v>481</v>
      </c>
      <c r="AI24" s="539"/>
      <c r="AJ24" s="1784"/>
      <c r="AK24" s="178"/>
      <c r="AL24" s="1608"/>
      <c r="AM24" s="178"/>
      <c r="AN24" s="1608"/>
      <c r="AO24" s="1783"/>
      <c r="AP24" s="178"/>
      <c r="AQ24" s="1608"/>
      <c r="AR24" s="1783"/>
      <c r="AS24" s="178"/>
      <c r="AT24" s="1608"/>
      <c r="AU24" s="1783"/>
      <c r="AV24" s="178"/>
      <c r="AW24" s="1608"/>
      <c r="AX24" s="1783"/>
      <c r="AY24" s="178"/>
      <c r="AZ24" s="1608"/>
      <c r="BA24" s="1783"/>
      <c r="BB24" s="178"/>
      <c r="BC24" s="1608"/>
      <c r="BD24" s="1783"/>
      <c r="BE24" s="178"/>
      <c r="BF24" s="1608"/>
      <c r="BG24" s="1783"/>
      <c r="BH24" s="178"/>
      <c r="BI24" s="1608"/>
      <c r="BJ24" s="1783"/>
      <c r="BK24" s="178"/>
      <c r="BL24" s="1608"/>
      <c r="BM24" s="1783"/>
      <c r="BN24" s="178"/>
      <c r="BO24" s="1608"/>
      <c r="BP24" s="1783"/>
      <c r="BQ24" s="178"/>
      <c r="BR24" s="1608"/>
      <c r="BS24" s="1783"/>
      <c r="BT24" s="178"/>
      <c r="BU24" s="1608"/>
      <c r="BV24" s="1783"/>
      <c r="BW24" s="178"/>
      <c r="BX24" s="1608"/>
      <c r="BY24" s="1783"/>
      <c r="BZ24" s="178"/>
      <c r="CA24" s="1608"/>
      <c r="CB24" s="1783"/>
      <c r="CC24" s="178"/>
      <c r="CD24" s="1608"/>
      <c r="CE24" s="1783"/>
      <c r="CF24" s="178"/>
      <c r="CG24" s="1608"/>
      <c r="CH24" s="1783"/>
      <c r="CI24" s="178"/>
      <c r="CJ24" s="1608"/>
      <c r="CK24" s="1783"/>
      <c r="CL24" s="178"/>
      <c r="CM24" s="1608"/>
      <c r="CN24" s="1783"/>
      <c r="CO24" s="178"/>
      <c r="CP24" s="1608"/>
      <c r="CQ24" s="1783"/>
      <c r="CR24" s="178"/>
      <c r="CS24" s="1608"/>
      <c r="CT24" s="1783"/>
      <c r="CU24" s="178"/>
      <c r="CV24" s="1608"/>
      <c r="CW24" s="1783"/>
      <c r="CX24" s="178"/>
      <c r="CY24" s="1608"/>
      <c r="CZ24" s="1783"/>
      <c r="DA24" s="178"/>
      <c r="DB24" s="1608"/>
      <c r="DC24" s="1783"/>
      <c r="DD24" s="178"/>
      <c r="DE24" s="1608"/>
      <c r="DF24" s="1783"/>
      <c r="DG24" s="178"/>
      <c r="DH24" s="1608"/>
      <c r="DI24" s="1783"/>
      <c r="DJ24" s="178"/>
      <c r="DK24" s="1608"/>
      <c r="DL24" s="1783"/>
      <c r="DM24" s="178"/>
      <c r="DN24" s="1608"/>
      <c r="DO24" s="1783"/>
      <c r="DP24" s="178"/>
      <c r="DQ24" s="1608"/>
      <c r="DR24" s="1783"/>
      <c r="DS24" s="178"/>
      <c r="DT24" s="1608"/>
      <c r="DU24" s="1783"/>
      <c r="DV24" s="178"/>
      <c r="DW24" s="1608"/>
      <c r="DX24" s="1783"/>
      <c r="DY24" s="178"/>
      <c r="DZ24" s="1608"/>
      <c r="EA24" s="1783"/>
      <c r="EB24" s="178"/>
      <c r="EC24" s="1608"/>
      <c r="ED24" s="1783"/>
      <c r="EE24" s="178"/>
      <c r="EF24" s="1608"/>
      <c r="EG24" s="1783"/>
      <c r="EH24" s="178"/>
      <c r="EI24" s="1608"/>
      <c r="EJ24" s="1783"/>
      <c r="EK24" s="178"/>
      <c r="EL24" s="1608"/>
      <c r="EM24" s="1783"/>
      <c r="EN24" s="178"/>
      <c r="EO24" s="1608"/>
      <c r="EP24" s="1783"/>
      <c r="EQ24" s="178"/>
      <c r="ER24" s="1608"/>
      <c r="ES24" s="1783"/>
      <c r="ET24" s="178"/>
      <c r="EU24" s="1608"/>
      <c r="EV24" s="1783"/>
      <c r="EW24" s="178"/>
      <c r="EX24" s="1608"/>
      <c r="EY24" s="1783"/>
      <c r="EZ24" s="178"/>
      <c r="FA24" s="1608"/>
      <c r="FB24" s="1783"/>
      <c r="FC24" s="178"/>
      <c r="FD24" s="1608"/>
      <c r="FE24" s="1783"/>
      <c r="FF24" s="178"/>
      <c r="FG24" s="1608"/>
      <c r="FH24" s="1783"/>
      <c r="FI24" s="178"/>
      <c r="FJ24" s="1608"/>
      <c r="FK24" s="1783"/>
      <c r="FL24" s="178"/>
      <c r="FM24" s="1608"/>
      <c r="FN24" s="1783"/>
      <c r="FO24" s="178"/>
      <c r="FP24" s="1608"/>
      <c r="FQ24" s="1783"/>
      <c r="FR24" s="178"/>
      <c r="FS24" s="1608"/>
      <c r="FT24" s="1783"/>
      <c r="FU24" s="539"/>
      <c r="FV24" s="1784"/>
      <c r="FW24" s="539"/>
      <c r="FX24" s="1784"/>
      <c r="FY24" s="539"/>
      <c r="FZ24" s="1784"/>
      <c r="GA24" s="539"/>
      <c r="GB24" s="1784"/>
      <c r="GC24" s="539"/>
      <c r="GD24" s="1784"/>
      <c r="GE24" s="539"/>
      <c r="GF24" s="1784"/>
      <c r="GG24" s="539"/>
      <c r="GH24" s="1784"/>
      <c r="GI24" s="539"/>
      <c r="GJ24" s="1784"/>
      <c r="GK24" s="539"/>
      <c r="GL24" s="1784"/>
    </row>
    <row r="25" spans="1:194" ht="30" x14ac:dyDescent="0.2">
      <c r="A25" s="539" t="str">
        <f>+'1869 Hacienda'!A219</f>
        <v>Poderes Lejislativo i Ejecutivo, i recaudacion de rentas &amp;.ª $</v>
      </c>
      <c r="B25" s="178"/>
      <c r="C25" s="1608"/>
      <c r="D25" s="1783"/>
      <c r="E25" s="178"/>
      <c r="F25" s="1608"/>
      <c r="G25" s="1783"/>
      <c r="H25" s="178"/>
      <c r="I25" s="1608"/>
      <c r="J25" s="1783"/>
      <c r="K25" s="178"/>
      <c r="L25" s="1608"/>
      <c r="M25" s="1783"/>
      <c r="N25" s="178"/>
      <c r="O25" s="1608"/>
      <c r="P25" s="1783"/>
      <c r="Q25" s="539"/>
      <c r="R25" s="1784"/>
      <c r="S25" s="539"/>
      <c r="T25" s="1784"/>
      <c r="U25" s="539"/>
      <c r="V25" s="1784"/>
      <c r="W25" s="539"/>
      <c r="X25" s="1784"/>
      <c r="Y25" s="539"/>
      <c r="Z25" s="1784"/>
      <c r="AA25" s="539"/>
      <c r="AB25" s="1784"/>
      <c r="AC25" s="539"/>
      <c r="AD25" s="1784"/>
      <c r="AE25" s="539"/>
      <c r="AF25" s="1784"/>
      <c r="AG25" s="539"/>
      <c r="AH25" s="1784"/>
      <c r="AI25" s="539"/>
      <c r="AJ25" s="1756"/>
      <c r="AK25" s="178"/>
      <c r="AL25" s="1608"/>
      <c r="AM25" s="1608"/>
      <c r="AN25" s="1608"/>
      <c r="AO25" s="1783"/>
      <c r="AP25" s="178"/>
      <c r="AQ25" s="1608"/>
      <c r="AR25" s="1783"/>
      <c r="AS25" s="178"/>
      <c r="AT25" s="1608"/>
      <c r="AU25" s="1783"/>
      <c r="AV25" s="178"/>
      <c r="AW25" s="1608"/>
      <c r="AX25" s="1783"/>
      <c r="AY25" s="178"/>
      <c r="AZ25" s="1608"/>
      <c r="BA25" s="1783"/>
      <c r="BB25" s="178"/>
      <c r="BC25" s="1608"/>
      <c r="BD25" s="1783"/>
      <c r="BE25" s="178"/>
      <c r="BF25" s="1608"/>
      <c r="BG25" s="1783"/>
      <c r="BH25" s="178"/>
      <c r="BI25" s="1608"/>
      <c r="BJ25" s="1783"/>
      <c r="BK25" s="178"/>
      <c r="BL25" s="1608"/>
      <c r="BM25" s="1783"/>
      <c r="BN25" s="178"/>
      <c r="BO25" s="1608"/>
      <c r="BP25" s="1783"/>
      <c r="BQ25" s="178"/>
      <c r="BR25" s="1608"/>
      <c r="BS25" s="1783"/>
      <c r="BT25" s="539">
        <f>+'1869 Hacienda'!C219</f>
        <v>426755</v>
      </c>
      <c r="BU25" s="1608"/>
      <c r="BV25" s="1783"/>
      <c r="BW25" s="178"/>
      <c r="BX25" s="1608"/>
      <c r="BY25" s="1783"/>
      <c r="BZ25" s="178"/>
      <c r="CA25" s="1608"/>
      <c r="CB25" s="1783"/>
      <c r="CC25" s="178"/>
      <c r="CD25" s="1608"/>
      <c r="CE25" s="1783"/>
      <c r="CF25" s="178"/>
      <c r="CG25" s="1608"/>
      <c r="CH25" s="1783"/>
      <c r="CI25" s="178"/>
      <c r="CJ25" s="1608"/>
      <c r="CK25" s="1783"/>
      <c r="CL25" s="178"/>
      <c r="CM25" s="1608"/>
      <c r="CN25" s="1783"/>
      <c r="CO25" s="178"/>
      <c r="CP25" s="1608"/>
      <c r="CQ25" s="1783"/>
      <c r="CR25" s="178"/>
      <c r="CS25" s="1608"/>
      <c r="CT25" s="1783"/>
      <c r="CU25" s="178"/>
      <c r="CV25" s="1608"/>
      <c r="CW25" s="1783"/>
      <c r="CX25" s="178"/>
      <c r="CY25" s="1608"/>
      <c r="CZ25" s="1783"/>
      <c r="DA25" s="178"/>
      <c r="DB25" s="1608"/>
      <c r="DC25" s="1783"/>
      <c r="DD25" s="178"/>
      <c r="DE25" s="1608"/>
      <c r="DF25" s="1783"/>
      <c r="DG25" s="178"/>
      <c r="DH25" s="1608"/>
      <c r="DI25" s="1783"/>
      <c r="DJ25" s="178"/>
      <c r="DK25" s="1608"/>
      <c r="DL25" s="1783"/>
      <c r="DM25" s="178"/>
      <c r="DN25" s="1608"/>
      <c r="DO25" s="1783"/>
      <c r="DP25" s="178"/>
      <c r="DQ25" s="1608"/>
      <c r="DR25" s="1783"/>
      <c r="DS25" s="178"/>
      <c r="DT25" s="1608"/>
      <c r="DU25" s="1783"/>
      <c r="DV25" s="178"/>
      <c r="DW25" s="1608"/>
      <c r="DX25" s="1783"/>
      <c r="DY25" s="178"/>
      <c r="DZ25" s="1608"/>
      <c r="EA25" s="1783"/>
      <c r="EB25" s="178"/>
      <c r="EC25" s="1608"/>
      <c r="ED25" s="1783"/>
      <c r="EE25" s="178"/>
      <c r="EF25" s="1608"/>
      <c r="EG25" s="1783"/>
      <c r="EH25" s="178"/>
      <c r="EI25" s="1608"/>
      <c r="EJ25" s="1783"/>
      <c r="EK25" s="178"/>
      <c r="EL25" s="1608"/>
      <c r="EM25" s="1783"/>
      <c r="EN25" s="178"/>
      <c r="EO25" s="1608"/>
      <c r="EP25" s="1783"/>
      <c r="EQ25" s="178"/>
      <c r="ER25" s="1608"/>
      <c r="ES25" s="1783"/>
      <c r="ET25" s="178"/>
      <c r="EU25" s="1608"/>
      <c r="EV25" s="1783"/>
      <c r="EW25" s="178"/>
      <c r="EX25" s="1608"/>
      <c r="EY25" s="1783"/>
      <c r="EZ25" s="178"/>
      <c r="FA25" s="1608"/>
      <c r="FB25" s="1783"/>
      <c r="FC25" s="178"/>
      <c r="FD25" s="1608"/>
      <c r="FE25" s="1783"/>
      <c r="FF25" s="178"/>
      <c r="FG25" s="1608"/>
      <c r="FH25" s="1783"/>
      <c r="FI25" s="178"/>
      <c r="FJ25" s="1608"/>
      <c r="FK25" s="1783"/>
      <c r="FL25" s="178"/>
      <c r="FM25" s="1608"/>
      <c r="FN25" s="1783"/>
      <c r="FO25" s="178"/>
      <c r="FP25" s="1608"/>
      <c r="FQ25" s="1783"/>
      <c r="FR25" s="178"/>
      <c r="FS25" s="1608"/>
      <c r="FT25" s="1783"/>
      <c r="FU25" s="539"/>
      <c r="FV25" s="1784"/>
      <c r="FW25" s="539"/>
      <c r="FX25" s="1784"/>
      <c r="FY25" s="539"/>
      <c r="FZ25" s="1784"/>
      <c r="GA25" s="539"/>
      <c r="GB25" s="1784"/>
      <c r="GC25" s="539"/>
      <c r="GD25" s="1784"/>
      <c r="GE25" s="539"/>
      <c r="GF25" s="1784"/>
      <c r="GG25" s="539"/>
      <c r="GH25" s="1784"/>
      <c r="GI25" s="539"/>
      <c r="GJ25" s="1784"/>
      <c r="GK25" s="539"/>
      <c r="GL25" s="1784"/>
    </row>
    <row r="26" spans="1:194" x14ac:dyDescent="0.2">
      <c r="A26" s="539" t="str">
        <f>+'1869 Hacienda'!A220</f>
        <v>Policía, cárceles i establecimientos de castigo</v>
      </c>
      <c r="B26" s="178"/>
      <c r="C26" s="1608"/>
      <c r="D26" s="1783"/>
      <c r="E26" s="178"/>
      <c r="F26" s="1608"/>
      <c r="G26" s="1783"/>
      <c r="H26" s="178"/>
      <c r="I26" s="1608"/>
      <c r="J26" s="1783"/>
      <c r="K26" s="178"/>
      <c r="L26" s="1608"/>
      <c r="M26" s="1783"/>
      <c r="N26" s="178"/>
      <c r="O26" s="1608"/>
      <c r="P26" s="1783"/>
      <c r="Q26" s="539"/>
      <c r="R26" s="1784"/>
      <c r="S26" s="539"/>
      <c r="T26" s="1784"/>
      <c r="U26" s="539"/>
      <c r="V26" s="1784"/>
      <c r="W26" s="539"/>
      <c r="X26" s="1784"/>
      <c r="Y26" s="539"/>
      <c r="Z26" s="1784"/>
      <c r="AA26" s="539"/>
      <c r="AB26" s="1784"/>
      <c r="AC26" s="539"/>
      <c r="AD26" s="1784"/>
      <c r="AE26" s="539"/>
      <c r="AF26" s="1784"/>
      <c r="AG26" s="539"/>
      <c r="AH26" s="1784"/>
      <c r="AI26" s="539"/>
      <c r="AJ26" s="1756"/>
      <c r="AK26" s="178"/>
      <c r="AL26" s="1608"/>
      <c r="AM26" s="1608"/>
      <c r="AN26" s="1608"/>
      <c r="AO26" s="1783"/>
      <c r="AP26" s="178"/>
      <c r="AQ26" s="1608"/>
      <c r="AR26" s="1783"/>
      <c r="AS26" s="178"/>
      <c r="AT26" s="1608"/>
      <c r="AU26" s="1783"/>
      <c r="AV26" s="178"/>
      <c r="AW26" s="1608"/>
      <c r="AX26" s="1783"/>
      <c r="AY26" s="178"/>
      <c r="AZ26" s="1608"/>
      <c r="BA26" s="1783"/>
      <c r="BB26" s="178"/>
      <c r="BC26" s="1608"/>
      <c r="BD26" s="1783"/>
      <c r="BE26" s="178"/>
      <c r="BF26" s="1608"/>
      <c r="BG26" s="1783"/>
      <c r="BH26" s="178"/>
      <c r="BI26" s="1608"/>
      <c r="BJ26" s="1783"/>
      <c r="BK26" s="178"/>
      <c r="BL26" s="1608"/>
      <c r="BM26" s="1783"/>
      <c r="BN26" s="178"/>
      <c r="BO26" s="1608"/>
      <c r="BP26" s="1783"/>
      <c r="BQ26" s="178"/>
      <c r="BR26" s="1608"/>
      <c r="BS26" s="1783"/>
      <c r="BT26" s="539">
        <f>+'1869 Hacienda'!C220</f>
        <v>206879</v>
      </c>
      <c r="BU26" s="1608"/>
      <c r="BV26" s="1783"/>
      <c r="BW26" s="178"/>
      <c r="BX26" s="1608"/>
      <c r="BY26" s="1783"/>
      <c r="BZ26" s="178"/>
      <c r="CA26" s="1608"/>
      <c r="CB26" s="1783"/>
      <c r="CC26" s="178"/>
      <c r="CD26" s="1608"/>
      <c r="CE26" s="1783"/>
      <c r="CF26" s="178"/>
      <c r="CG26" s="1608"/>
      <c r="CH26" s="1783"/>
      <c r="CI26" s="178"/>
      <c r="CJ26" s="1608"/>
      <c r="CK26" s="1783"/>
      <c r="CL26" s="178"/>
      <c r="CM26" s="1608"/>
      <c r="CN26" s="1783"/>
      <c r="CO26" s="178"/>
      <c r="CP26" s="1608"/>
      <c r="CQ26" s="1783"/>
      <c r="CR26" s="178"/>
      <c r="CS26" s="1608"/>
      <c r="CT26" s="1783"/>
      <c r="CU26" s="178"/>
      <c r="CV26" s="1608"/>
      <c r="CW26" s="1783"/>
      <c r="CX26" s="178"/>
      <c r="CY26" s="1608"/>
      <c r="CZ26" s="1783"/>
      <c r="DA26" s="178"/>
      <c r="DB26" s="1608"/>
      <c r="DC26" s="1783"/>
      <c r="DD26" s="178"/>
      <c r="DE26" s="1608"/>
      <c r="DF26" s="1783"/>
      <c r="DG26" s="178"/>
      <c r="DH26" s="1608"/>
      <c r="DI26" s="1783"/>
      <c r="DJ26" s="178"/>
      <c r="DK26" s="1608"/>
      <c r="DL26" s="1783"/>
      <c r="DM26" s="178"/>
      <c r="DN26" s="1608"/>
      <c r="DO26" s="1783"/>
      <c r="DP26" s="178"/>
      <c r="DQ26" s="1608"/>
      <c r="DR26" s="1783"/>
      <c r="DS26" s="178"/>
      <c r="DT26" s="1608"/>
      <c r="DU26" s="1783"/>
      <c r="DV26" s="178"/>
      <c r="DW26" s="1608"/>
      <c r="DX26" s="1783"/>
      <c r="DY26" s="178"/>
      <c r="DZ26" s="1608"/>
      <c r="EA26" s="1783"/>
      <c r="EB26" s="178"/>
      <c r="EC26" s="1608"/>
      <c r="ED26" s="1783"/>
      <c r="EE26" s="178"/>
      <c r="EF26" s="1608"/>
      <c r="EG26" s="1783"/>
      <c r="EH26" s="178"/>
      <c r="EI26" s="1608"/>
      <c r="EJ26" s="1783"/>
      <c r="EK26" s="178"/>
      <c r="EL26" s="1608"/>
      <c r="EM26" s="1783"/>
      <c r="EN26" s="178"/>
      <c r="EO26" s="1608"/>
      <c r="EP26" s="1783"/>
      <c r="EQ26" s="178"/>
      <c r="ER26" s="1608"/>
      <c r="ES26" s="1783"/>
      <c r="ET26" s="178"/>
      <c r="EU26" s="1608"/>
      <c r="EV26" s="1783"/>
      <c r="EW26" s="178"/>
      <c r="EX26" s="1608"/>
      <c r="EY26" s="1783"/>
      <c r="EZ26" s="178"/>
      <c r="FA26" s="1608"/>
      <c r="FB26" s="1783"/>
      <c r="FC26" s="178"/>
      <c r="FD26" s="1608"/>
      <c r="FE26" s="1783"/>
      <c r="FF26" s="178"/>
      <c r="FG26" s="1608"/>
      <c r="FH26" s="1783"/>
      <c r="FI26" s="178"/>
      <c r="FJ26" s="1608"/>
      <c r="FK26" s="1783"/>
      <c r="FL26" s="178"/>
      <c r="FM26" s="1608"/>
      <c r="FN26" s="1783"/>
      <c r="FO26" s="178"/>
      <c r="FP26" s="1608"/>
      <c r="FQ26" s="1783"/>
      <c r="FR26" s="178"/>
      <c r="FS26" s="1608"/>
      <c r="FT26" s="1783"/>
      <c r="FU26" s="539"/>
      <c r="FV26" s="1784"/>
      <c r="FW26" s="539"/>
      <c r="FX26" s="1784"/>
      <c r="FY26" s="539"/>
      <c r="FZ26" s="1784"/>
      <c r="GA26" s="539"/>
      <c r="GB26" s="1784"/>
      <c r="GC26" s="539"/>
      <c r="GD26" s="1784"/>
      <c r="GE26" s="539"/>
      <c r="GF26" s="1784"/>
      <c r="GG26" s="539"/>
      <c r="GH26" s="1784"/>
      <c r="GI26" s="539"/>
      <c r="GJ26" s="1784"/>
      <c r="GK26" s="539"/>
      <c r="GL26" s="1784"/>
    </row>
    <row r="27" spans="1:194" x14ac:dyDescent="0.2">
      <c r="A27" s="539" t="str">
        <f>+'1869 Hacienda'!A221</f>
        <v>Administracion de justicia</v>
      </c>
      <c r="B27" s="178"/>
      <c r="C27" s="1608"/>
      <c r="D27" s="1783"/>
      <c r="E27" s="178"/>
      <c r="F27" s="1608"/>
      <c r="G27" s="1783"/>
      <c r="H27" s="178"/>
      <c r="I27" s="1608"/>
      <c r="J27" s="1783"/>
      <c r="K27" s="178"/>
      <c r="L27" s="1608"/>
      <c r="M27" s="1783"/>
      <c r="N27" s="178"/>
      <c r="O27" s="1608"/>
      <c r="P27" s="1783"/>
      <c r="Q27" s="539"/>
      <c r="R27" s="1784"/>
      <c r="S27" s="539"/>
      <c r="T27" s="1784"/>
      <c r="U27" s="539"/>
      <c r="V27" s="1784"/>
      <c r="W27" s="539"/>
      <c r="X27" s="1784"/>
      <c r="Y27" s="539"/>
      <c r="Z27" s="1784"/>
      <c r="AA27" s="539"/>
      <c r="AB27" s="1784"/>
      <c r="AC27" s="539"/>
      <c r="AD27" s="1784"/>
      <c r="AE27" s="539"/>
      <c r="AF27" s="1784"/>
      <c r="AG27" s="539"/>
      <c r="AH27" s="1784"/>
      <c r="AI27" s="539"/>
      <c r="AJ27" s="1756"/>
      <c r="AK27" s="178"/>
      <c r="AL27" s="1608"/>
      <c r="AM27" s="1608"/>
      <c r="AN27" s="1608"/>
      <c r="AO27" s="1783"/>
      <c r="AP27" s="178"/>
      <c r="AQ27" s="1608"/>
      <c r="AR27" s="1783"/>
      <c r="AS27" s="178"/>
      <c r="AT27" s="1608"/>
      <c r="AU27" s="1783"/>
      <c r="AV27" s="178"/>
      <c r="AW27" s="1608"/>
      <c r="AX27" s="1783"/>
      <c r="AY27" s="178"/>
      <c r="AZ27" s="1608"/>
      <c r="BA27" s="1783"/>
      <c r="BB27" s="178"/>
      <c r="BC27" s="1608"/>
      <c r="BD27" s="1783"/>
      <c r="BE27" s="178"/>
      <c r="BF27" s="1608"/>
      <c r="BG27" s="1783"/>
      <c r="BH27" s="178"/>
      <c r="BI27" s="1608"/>
      <c r="BJ27" s="1783"/>
      <c r="BK27" s="178"/>
      <c r="BL27" s="1608"/>
      <c r="BM27" s="1783"/>
      <c r="BN27" s="178"/>
      <c r="BO27" s="1608"/>
      <c r="BP27" s="1783"/>
      <c r="BQ27" s="178"/>
      <c r="BR27" s="1608"/>
      <c r="BS27" s="1783"/>
      <c r="BT27" s="539">
        <f>+'1869 Hacienda'!C221</f>
        <v>266089</v>
      </c>
      <c r="BU27" s="1608"/>
      <c r="BV27" s="1783"/>
      <c r="BW27" s="178"/>
      <c r="BX27" s="1608"/>
      <c r="BY27" s="1783"/>
      <c r="BZ27" s="178"/>
      <c r="CA27" s="1608"/>
      <c r="CB27" s="1783"/>
      <c r="CC27" s="178"/>
      <c r="CD27" s="1608"/>
      <c r="CE27" s="1783"/>
      <c r="CF27" s="178"/>
      <c r="CG27" s="1608"/>
      <c r="CH27" s="1783"/>
      <c r="CI27" s="178"/>
      <c r="CJ27" s="1608"/>
      <c r="CK27" s="1783"/>
      <c r="CL27" s="178"/>
      <c r="CM27" s="1608"/>
      <c r="CN27" s="1783"/>
      <c r="CO27" s="178"/>
      <c r="CP27" s="1608"/>
      <c r="CQ27" s="1783"/>
      <c r="CR27" s="178"/>
      <c r="CS27" s="1608"/>
      <c r="CT27" s="1783"/>
      <c r="CU27" s="178"/>
      <c r="CV27" s="1608"/>
      <c r="CW27" s="1783"/>
      <c r="CX27" s="178"/>
      <c r="CY27" s="1608"/>
      <c r="CZ27" s="1783"/>
      <c r="DA27" s="178"/>
      <c r="DB27" s="1608"/>
      <c r="DC27" s="1783"/>
      <c r="DD27" s="178"/>
      <c r="DE27" s="1608"/>
      <c r="DF27" s="1783"/>
      <c r="DG27" s="178"/>
      <c r="DH27" s="1608"/>
      <c r="DI27" s="1783"/>
      <c r="DJ27" s="178"/>
      <c r="DK27" s="1608"/>
      <c r="DL27" s="1783"/>
      <c r="DM27" s="178"/>
      <c r="DN27" s="1608"/>
      <c r="DO27" s="1783"/>
      <c r="DP27" s="178"/>
      <c r="DQ27" s="1608"/>
      <c r="DR27" s="1783"/>
      <c r="DS27" s="178"/>
      <c r="DT27" s="1608"/>
      <c r="DU27" s="1783"/>
      <c r="DV27" s="178"/>
      <c r="DW27" s="1608"/>
      <c r="DX27" s="1783"/>
      <c r="DY27" s="178"/>
      <c r="DZ27" s="1608"/>
      <c r="EA27" s="1783"/>
      <c r="EB27" s="178"/>
      <c r="EC27" s="1608"/>
      <c r="ED27" s="1783"/>
      <c r="EE27" s="178"/>
      <c r="EF27" s="1608"/>
      <c r="EG27" s="1783"/>
      <c r="EH27" s="178"/>
      <c r="EI27" s="1608"/>
      <c r="EJ27" s="1783"/>
      <c r="EK27" s="178"/>
      <c r="EL27" s="1608"/>
      <c r="EM27" s="1783"/>
      <c r="EN27" s="178"/>
      <c r="EO27" s="1608"/>
      <c r="EP27" s="1783"/>
      <c r="EQ27" s="178"/>
      <c r="ER27" s="1608"/>
      <c r="ES27" s="1783"/>
      <c r="ET27" s="178"/>
      <c r="EU27" s="1608"/>
      <c r="EV27" s="1783"/>
      <c r="EW27" s="178"/>
      <c r="EX27" s="1608"/>
      <c r="EY27" s="1783"/>
      <c r="EZ27" s="178"/>
      <c r="FA27" s="1608"/>
      <c r="FB27" s="1783"/>
      <c r="FC27" s="178"/>
      <c r="FD27" s="1608"/>
      <c r="FE27" s="1783"/>
      <c r="FF27" s="178"/>
      <c r="FG27" s="1608"/>
      <c r="FH27" s="1783"/>
      <c r="FI27" s="178"/>
      <c r="FJ27" s="1608"/>
      <c r="FK27" s="1783"/>
      <c r="FL27" s="178"/>
      <c r="FM27" s="1608"/>
      <c r="FN27" s="1783"/>
      <c r="FO27" s="178"/>
      <c r="FP27" s="1608"/>
      <c r="FQ27" s="1783"/>
      <c r="FR27" s="178"/>
      <c r="FS27" s="1608"/>
      <c r="FT27" s="1783"/>
      <c r="FU27" s="539"/>
      <c r="FV27" s="1784"/>
      <c r="FW27" s="539"/>
      <c r="FX27" s="1784"/>
      <c r="FY27" s="539"/>
      <c r="FZ27" s="1784"/>
      <c r="GA27" s="539"/>
      <c r="GB27" s="1784"/>
      <c r="GC27" s="539"/>
      <c r="GD27" s="1784"/>
      <c r="GE27" s="539"/>
      <c r="GF27" s="1784"/>
      <c r="GG27" s="539"/>
      <c r="GH27" s="1784"/>
      <c r="GI27" s="539"/>
      <c r="GJ27" s="1784"/>
      <c r="GK27" s="539"/>
      <c r="GL27" s="1784"/>
    </row>
    <row r="28" spans="1:194" x14ac:dyDescent="0.2">
      <c r="A28" s="539" t="str">
        <f>+'1869 Hacienda'!A226</f>
        <v>Deuda pública, fuerza pública i gastos varios</v>
      </c>
      <c r="B28" s="178"/>
      <c r="C28" s="1608"/>
      <c r="D28" s="1783"/>
      <c r="E28" s="178"/>
      <c r="F28" s="1608"/>
      <c r="G28" s="1783"/>
      <c r="H28" s="178"/>
      <c r="I28" s="1608"/>
      <c r="J28" s="1783"/>
      <c r="K28" s="178"/>
      <c r="L28" s="1608"/>
      <c r="M28" s="1783"/>
      <c r="N28" s="178"/>
      <c r="O28" s="1608"/>
      <c r="P28" s="1783"/>
      <c r="Q28" s="539"/>
      <c r="R28" s="1784"/>
      <c r="S28" s="539"/>
      <c r="T28" s="1784"/>
      <c r="U28" s="539"/>
      <c r="V28" s="1784"/>
      <c r="W28" s="539"/>
      <c r="X28" s="1784"/>
      <c r="Y28" s="539"/>
      <c r="Z28" s="1784"/>
      <c r="AA28" s="539"/>
      <c r="AB28" s="1784"/>
      <c r="AC28" s="539"/>
      <c r="AD28" s="1784"/>
      <c r="AE28" s="539"/>
      <c r="AF28" s="1784"/>
      <c r="AG28" s="539"/>
      <c r="AH28" s="1784"/>
      <c r="AI28" s="539"/>
      <c r="AJ28" s="1756"/>
      <c r="AK28" s="178"/>
      <c r="AL28" s="1608"/>
      <c r="AM28" s="1608"/>
      <c r="AN28" s="1608"/>
      <c r="AO28" s="1783"/>
      <c r="AP28" s="178"/>
      <c r="AQ28" s="1608"/>
      <c r="AR28" s="1783"/>
      <c r="AS28" s="178"/>
      <c r="AT28" s="1608"/>
      <c r="AU28" s="1783"/>
      <c r="AV28" s="178"/>
      <c r="AW28" s="1608"/>
      <c r="AX28" s="1783"/>
      <c r="AY28" s="178"/>
      <c r="AZ28" s="1608"/>
      <c r="BA28" s="1783"/>
      <c r="BB28" s="178"/>
      <c r="BC28" s="1608"/>
      <c r="BD28" s="1783"/>
      <c r="BE28" s="178"/>
      <c r="BF28" s="1608"/>
      <c r="BG28" s="1783"/>
      <c r="BH28" s="178"/>
      <c r="BI28" s="1608"/>
      <c r="BJ28" s="1783"/>
      <c r="BK28" s="178"/>
      <c r="BL28" s="1608"/>
      <c r="BM28" s="1783"/>
      <c r="BN28" s="178"/>
      <c r="BO28" s="1608"/>
      <c r="BP28" s="1783"/>
      <c r="BQ28" s="178"/>
      <c r="BR28" s="1608"/>
      <c r="BS28" s="1783"/>
      <c r="BT28" s="539">
        <f>+'1869 Hacienda'!C226</f>
        <v>601883</v>
      </c>
      <c r="BU28" s="1608"/>
      <c r="BV28" s="1783"/>
      <c r="BW28" s="178"/>
      <c r="BX28" s="1608"/>
      <c r="BY28" s="1783"/>
      <c r="BZ28" s="178"/>
      <c r="CA28" s="1608"/>
      <c r="CB28" s="1783"/>
      <c r="CC28" s="178"/>
      <c r="CD28" s="1608"/>
      <c r="CE28" s="1783"/>
      <c r="CF28" s="178"/>
      <c r="CG28" s="1608"/>
      <c r="CH28" s="1783"/>
      <c r="CI28" s="178"/>
      <c r="CJ28" s="1608"/>
      <c r="CK28" s="1783"/>
      <c r="CL28" s="178"/>
      <c r="CM28" s="1608"/>
      <c r="CN28" s="1783"/>
      <c r="CO28" s="178"/>
      <c r="CP28" s="1608"/>
      <c r="CQ28" s="1783"/>
      <c r="CR28" s="178"/>
      <c r="CS28" s="1608"/>
      <c r="CT28" s="1783"/>
      <c r="CU28" s="178"/>
      <c r="CV28" s="1608"/>
      <c r="CW28" s="1783"/>
      <c r="CX28" s="178"/>
      <c r="CY28" s="1608"/>
      <c r="CZ28" s="1783"/>
      <c r="DA28" s="178"/>
      <c r="DB28" s="1608"/>
      <c r="DC28" s="1783"/>
      <c r="DD28" s="178"/>
      <c r="DE28" s="1608"/>
      <c r="DF28" s="1783"/>
      <c r="DG28" s="178"/>
      <c r="DH28" s="1608"/>
      <c r="DI28" s="1783"/>
      <c r="DJ28" s="178"/>
      <c r="DK28" s="1608"/>
      <c r="DL28" s="1783"/>
      <c r="DM28" s="178"/>
      <c r="DN28" s="1608"/>
      <c r="DO28" s="1783"/>
      <c r="DP28" s="178"/>
      <c r="DQ28" s="1608"/>
      <c r="DR28" s="1783"/>
      <c r="DS28" s="178"/>
      <c r="DT28" s="1608"/>
      <c r="DU28" s="1783"/>
      <c r="DV28" s="178"/>
      <c r="DW28" s="1608"/>
      <c r="DX28" s="1783"/>
      <c r="DY28" s="178"/>
      <c r="DZ28" s="1608"/>
      <c r="EA28" s="1783"/>
      <c r="EB28" s="178"/>
      <c r="EC28" s="1608"/>
      <c r="ED28" s="1783"/>
      <c r="EE28" s="178"/>
      <c r="EF28" s="1608"/>
      <c r="EG28" s="1783"/>
      <c r="EH28" s="178"/>
      <c r="EI28" s="1608"/>
      <c r="EJ28" s="1783"/>
      <c r="EK28" s="178"/>
      <c r="EL28" s="1608"/>
      <c r="EM28" s="1783"/>
      <c r="EN28" s="178"/>
      <c r="EO28" s="1608"/>
      <c r="EP28" s="1783"/>
      <c r="EQ28" s="178"/>
      <c r="ER28" s="1608"/>
      <c r="ES28" s="1783"/>
      <c r="ET28" s="178"/>
      <c r="EU28" s="1608"/>
      <c r="EV28" s="1783"/>
      <c r="EW28" s="178"/>
      <c r="EX28" s="1608"/>
      <c r="EY28" s="1783"/>
      <c r="EZ28" s="178"/>
      <c r="FA28" s="1608"/>
      <c r="FB28" s="1783"/>
      <c r="FC28" s="178"/>
      <c r="FD28" s="1608"/>
      <c r="FE28" s="1783"/>
      <c r="FF28" s="178"/>
      <c r="FG28" s="1608"/>
      <c r="FH28" s="1783"/>
      <c r="FI28" s="178"/>
      <c r="FJ28" s="1608"/>
      <c r="FK28" s="1783"/>
      <c r="FL28" s="178"/>
      <c r="FM28" s="1608"/>
      <c r="FN28" s="1783"/>
      <c r="FO28" s="178"/>
      <c r="FP28" s="1608"/>
      <c r="FQ28" s="1783"/>
      <c r="FR28" s="178"/>
      <c r="FS28" s="1608"/>
      <c r="FT28" s="1783"/>
      <c r="FU28" s="539"/>
      <c r="FV28" s="1784"/>
      <c r="FW28" s="539"/>
      <c r="FX28" s="1784"/>
      <c r="FY28" s="539"/>
      <c r="FZ28" s="1784"/>
      <c r="GA28" s="539"/>
      <c r="GB28" s="1784"/>
      <c r="GC28" s="539"/>
      <c r="GD28" s="1784"/>
      <c r="GE28" s="539"/>
      <c r="GF28" s="1784"/>
      <c r="GG28" s="539"/>
      <c r="GH28" s="1784"/>
      <c r="GI28" s="539"/>
      <c r="GJ28" s="1784"/>
      <c r="GK28" s="539"/>
      <c r="GL28" s="1784"/>
    </row>
    <row r="29" spans="1:194" x14ac:dyDescent="0.2">
      <c r="A29" s="539" t="str">
        <f>+'1869 Hacienda'!A223</f>
        <v>Caminos i obras públicas</v>
      </c>
      <c r="B29" s="178"/>
      <c r="C29" s="1608"/>
      <c r="D29" s="1783"/>
      <c r="E29" s="178"/>
      <c r="F29" s="1608"/>
      <c r="G29" s="1783"/>
      <c r="H29" s="178"/>
      <c r="I29" s="1608"/>
      <c r="J29" s="1783"/>
      <c r="K29" s="178"/>
      <c r="L29" s="1608"/>
      <c r="M29" s="1783"/>
      <c r="N29" s="178"/>
      <c r="O29" s="1608"/>
      <c r="P29" s="1783"/>
      <c r="Q29" s="539"/>
      <c r="R29" s="1784"/>
      <c r="S29" s="539"/>
      <c r="T29" s="1784"/>
      <c r="U29" s="539"/>
      <c r="V29" s="1784"/>
      <c r="W29" s="539"/>
      <c r="X29" s="1784"/>
      <c r="Y29" s="539"/>
      <c r="Z29" s="1784"/>
      <c r="AA29" s="539"/>
      <c r="AB29" s="1784"/>
      <c r="AC29" s="539"/>
      <c r="AD29" s="1784"/>
      <c r="AE29" s="539"/>
      <c r="AF29" s="1784"/>
      <c r="AG29" s="539"/>
      <c r="AH29" s="1784"/>
      <c r="AI29" s="539"/>
      <c r="AJ29" s="1756"/>
      <c r="AK29" s="178"/>
      <c r="AL29" s="1608"/>
      <c r="AM29" s="1608"/>
      <c r="AN29" s="1608"/>
      <c r="AO29" s="1783"/>
      <c r="AP29" s="178"/>
      <c r="AQ29" s="1608"/>
      <c r="AR29" s="1783"/>
      <c r="AS29" s="178"/>
      <c r="AT29" s="1608"/>
      <c r="AU29" s="1783"/>
      <c r="AV29" s="178"/>
      <c r="AW29" s="1608"/>
      <c r="AX29" s="1783"/>
      <c r="AY29" s="178"/>
      <c r="AZ29" s="1608"/>
      <c r="BA29" s="1783"/>
      <c r="BB29" s="178"/>
      <c r="BC29" s="1608"/>
      <c r="BD29" s="1783"/>
      <c r="BE29" s="178"/>
      <c r="BF29" s="1608"/>
      <c r="BG29" s="1783"/>
      <c r="BH29" s="178"/>
      <c r="BI29" s="1608"/>
      <c r="BJ29" s="1783"/>
      <c r="BK29" s="178"/>
      <c r="BL29" s="1608"/>
      <c r="BM29" s="1783"/>
      <c r="BN29" s="178"/>
      <c r="BO29" s="1608"/>
      <c r="BP29" s="1783"/>
      <c r="BQ29" s="178"/>
      <c r="BR29" s="1608"/>
      <c r="BS29" s="1783"/>
      <c r="BT29" s="539">
        <f>+'1869 Hacienda'!C223</f>
        <v>332143</v>
      </c>
      <c r="BU29" s="1608"/>
      <c r="BV29" s="1783"/>
      <c r="BW29" s="178"/>
      <c r="BX29" s="1608"/>
      <c r="BY29" s="1783"/>
      <c r="BZ29" s="178"/>
      <c r="CA29" s="1608"/>
      <c r="CB29" s="1783"/>
      <c r="CC29" s="178"/>
      <c r="CD29" s="1608"/>
      <c r="CE29" s="1783"/>
      <c r="CF29" s="178"/>
      <c r="CG29" s="1608"/>
      <c r="CH29" s="1783"/>
      <c r="CI29" s="178"/>
      <c r="CJ29" s="1608"/>
      <c r="CK29" s="1783"/>
      <c r="CL29" s="178"/>
      <c r="CM29" s="1608"/>
      <c r="CN29" s="1783"/>
      <c r="CO29" s="178"/>
      <c r="CP29" s="1608"/>
      <c r="CQ29" s="1783"/>
      <c r="CR29" s="178"/>
      <c r="CS29" s="1608"/>
      <c r="CT29" s="1783"/>
      <c r="CU29" s="178"/>
      <c r="CV29" s="1608"/>
      <c r="CW29" s="1783"/>
      <c r="CX29" s="178"/>
      <c r="CY29" s="1608"/>
      <c r="CZ29" s="1783"/>
      <c r="DA29" s="178"/>
      <c r="DB29" s="1608"/>
      <c r="DC29" s="1783"/>
      <c r="DD29" s="178"/>
      <c r="DE29" s="1608"/>
      <c r="DF29" s="1783"/>
      <c r="DG29" s="178"/>
      <c r="DH29" s="1608"/>
      <c r="DI29" s="1783"/>
      <c r="DJ29" s="178"/>
      <c r="DK29" s="1608"/>
      <c r="DL29" s="1783"/>
      <c r="DM29" s="178"/>
      <c r="DN29" s="1608"/>
      <c r="DO29" s="1783"/>
      <c r="DP29" s="178"/>
      <c r="DQ29" s="1608"/>
      <c r="DR29" s="1783"/>
      <c r="DS29" s="178"/>
      <c r="DT29" s="1608"/>
      <c r="DU29" s="1783"/>
      <c r="DV29" s="178"/>
      <c r="DW29" s="1608"/>
      <c r="DX29" s="1783"/>
      <c r="DY29" s="178"/>
      <c r="DZ29" s="1608"/>
      <c r="EA29" s="1783"/>
      <c r="EB29" s="178"/>
      <c r="EC29" s="1608"/>
      <c r="ED29" s="1783"/>
      <c r="EE29" s="178"/>
      <c r="EF29" s="1608"/>
      <c r="EG29" s="1783"/>
      <c r="EH29" s="178"/>
      <c r="EI29" s="1608"/>
      <c r="EJ29" s="1783"/>
      <c r="EK29" s="178"/>
      <c r="EL29" s="1608"/>
      <c r="EM29" s="1783"/>
      <c r="EN29" s="178"/>
      <c r="EO29" s="1608"/>
      <c r="EP29" s="1783"/>
      <c r="EQ29" s="178"/>
      <c r="ER29" s="1608"/>
      <c r="ES29" s="1783"/>
      <c r="ET29" s="178"/>
      <c r="EU29" s="1608"/>
      <c r="EV29" s="1783"/>
      <c r="EW29" s="178"/>
      <c r="EX29" s="1608"/>
      <c r="EY29" s="1783"/>
      <c r="EZ29" s="178"/>
      <c r="FA29" s="1608"/>
      <c r="FB29" s="1783"/>
      <c r="FC29" s="178"/>
      <c r="FD29" s="1608"/>
      <c r="FE29" s="1783"/>
      <c r="FF29" s="178"/>
      <c r="FG29" s="1608"/>
      <c r="FH29" s="1783"/>
      <c r="FI29" s="178"/>
      <c r="FJ29" s="1608"/>
      <c r="FK29" s="1783"/>
      <c r="FL29" s="178"/>
      <c r="FM29" s="1608"/>
      <c r="FN29" s="1783"/>
      <c r="FO29" s="178"/>
      <c r="FP29" s="1608"/>
      <c r="FQ29" s="1783"/>
      <c r="FR29" s="178"/>
      <c r="FS29" s="1608"/>
      <c r="FT29" s="1783"/>
      <c r="FU29" s="539"/>
      <c r="FV29" s="1784"/>
      <c r="FW29" s="539"/>
      <c r="FX29" s="1784"/>
      <c r="FY29" s="539"/>
      <c r="FZ29" s="1784"/>
      <c r="GA29" s="539"/>
      <c r="GB29" s="1784"/>
      <c r="GC29" s="539"/>
      <c r="GD29" s="1784"/>
      <c r="GE29" s="539"/>
      <c r="GF29" s="1784"/>
      <c r="GG29" s="539"/>
      <c r="GH29" s="1784"/>
      <c r="GI29" s="539"/>
      <c r="GJ29" s="1784"/>
      <c r="GK29" s="539"/>
      <c r="GL29" s="1784"/>
    </row>
    <row r="30" spans="1:194" x14ac:dyDescent="0.2">
      <c r="A30" s="539" t="str">
        <f>+'1873 Hacienda'!A7</f>
        <v>Para el de la del Tesoro i Crédito nacional</v>
      </c>
      <c r="B30" s="178"/>
      <c r="C30" s="1608"/>
      <c r="D30" s="1783"/>
      <c r="E30" s="178"/>
      <c r="F30" s="1608"/>
      <c r="G30" s="1783"/>
      <c r="H30" s="178"/>
      <c r="I30" s="1608"/>
      <c r="J30" s="1783"/>
      <c r="K30" s="178"/>
      <c r="L30" s="1608"/>
      <c r="M30" s="1783"/>
      <c r="N30" s="178"/>
      <c r="O30" s="1608"/>
      <c r="P30" s="1783"/>
      <c r="Q30" s="539"/>
      <c r="R30" s="1784"/>
      <c r="S30" s="539"/>
      <c r="T30" s="1784"/>
      <c r="U30" s="539"/>
      <c r="V30" s="1784"/>
      <c r="W30" s="539"/>
      <c r="X30" s="1784"/>
      <c r="Y30" s="539"/>
      <c r="Z30" s="1784"/>
      <c r="AA30" s="539"/>
      <c r="AB30" s="1784"/>
      <c r="AC30" s="539"/>
      <c r="AD30" s="1784"/>
      <c r="AE30" s="539"/>
      <c r="AF30" s="1784"/>
      <c r="AG30" s="539"/>
      <c r="AH30" s="1784"/>
      <c r="AI30" s="539"/>
      <c r="AJ30" s="1756"/>
      <c r="AK30" s="178"/>
      <c r="AL30" s="1608"/>
      <c r="AM30" s="1608"/>
      <c r="AN30" s="1608"/>
      <c r="AO30" s="1783"/>
      <c r="AP30" s="178"/>
      <c r="AQ30" s="1608"/>
      <c r="AR30" s="1783"/>
      <c r="AS30" s="178"/>
      <c r="AT30" s="1608"/>
      <c r="AU30" s="1783"/>
      <c r="AV30" s="178"/>
      <c r="AW30" s="1608"/>
      <c r="AX30" s="1783"/>
      <c r="AY30" s="178"/>
      <c r="AZ30" s="1608"/>
      <c r="BA30" s="1783"/>
      <c r="BB30" s="178"/>
      <c r="BC30" s="1608"/>
      <c r="BD30" s="1783"/>
      <c r="BE30" s="178"/>
      <c r="BF30" s="1608"/>
      <c r="BG30" s="1783"/>
      <c r="BH30" s="178"/>
      <c r="BI30" s="1608"/>
      <c r="BJ30" s="1783"/>
      <c r="BK30" s="178"/>
      <c r="BL30" s="1608"/>
      <c r="BM30" s="1783"/>
      <c r="BN30" s="178"/>
      <c r="BO30" s="1608"/>
      <c r="BP30" s="1783"/>
      <c r="BQ30" s="178"/>
      <c r="BR30" s="1608"/>
      <c r="BS30" s="1783"/>
      <c r="BT30" s="539"/>
      <c r="BU30" s="1608"/>
      <c r="BV30" s="1783"/>
      <c r="BW30" s="178"/>
      <c r="BX30" s="1608"/>
      <c r="BY30" s="1783"/>
      <c r="BZ30" s="178"/>
      <c r="CA30" s="1608"/>
      <c r="CB30" s="1783"/>
      <c r="CC30" s="178"/>
      <c r="CD30" s="1608"/>
      <c r="CE30" s="1783"/>
      <c r="CF30" s="539">
        <f>+'1873 Hacienda'!B7</f>
        <v>1262000</v>
      </c>
      <c r="CG30" s="1608"/>
      <c r="CH30" s="1783"/>
      <c r="CI30" s="178"/>
      <c r="CJ30" s="1608"/>
      <c r="CK30" s="1783"/>
      <c r="CL30" s="178"/>
      <c r="CM30" s="1608"/>
      <c r="CN30" s="1783"/>
      <c r="CO30" s="178"/>
      <c r="CP30" s="1608"/>
      <c r="CQ30" s="1783"/>
      <c r="CR30" s="178"/>
      <c r="CS30" s="1608"/>
      <c r="CT30" s="1783"/>
      <c r="CU30" s="178"/>
      <c r="CV30" s="1608"/>
      <c r="CW30" s="1783"/>
      <c r="CX30" s="178"/>
      <c r="CY30" s="1608"/>
      <c r="CZ30" s="1783"/>
      <c r="DA30" s="178"/>
      <c r="DB30" s="1608"/>
      <c r="DC30" s="1783"/>
      <c r="DD30" s="178"/>
      <c r="DE30" s="1608"/>
      <c r="DF30" s="1783"/>
      <c r="DG30" s="178"/>
      <c r="DH30" s="1608"/>
      <c r="DI30" s="1783"/>
      <c r="DJ30" s="178"/>
      <c r="DK30" s="1608"/>
      <c r="DL30" s="1783"/>
      <c r="DM30" s="178"/>
      <c r="DN30" s="1608"/>
      <c r="DO30" s="1783"/>
      <c r="DP30" s="178"/>
      <c r="DQ30" s="1608"/>
      <c r="DR30" s="1783"/>
      <c r="DS30" s="178"/>
      <c r="DT30" s="1608"/>
      <c r="DU30" s="1783"/>
      <c r="DV30" s="178"/>
      <c r="DW30" s="1608"/>
      <c r="DX30" s="1783"/>
      <c r="DY30" s="178"/>
      <c r="DZ30" s="1608"/>
      <c r="EA30" s="1783"/>
      <c r="EB30" s="178"/>
      <c r="EC30" s="1608"/>
      <c r="ED30" s="1783"/>
      <c r="EE30" s="178"/>
      <c r="EF30" s="1608"/>
      <c r="EG30" s="1783"/>
      <c r="EH30" s="178"/>
      <c r="EI30" s="1608"/>
      <c r="EJ30" s="1783"/>
      <c r="EK30" s="178"/>
      <c r="EL30" s="1608"/>
      <c r="EM30" s="1783"/>
      <c r="EN30" s="178"/>
      <c r="EO30" s="1608"/>
      <c r="EP30" s="1783"/>
      <c r="EQ30" s="178"/>
      <c r="ER30" s="1608"/>
      <c r="ES30" s="1783"/>
      <c r="ET30" s="178"/>
      <c r="EU30" s="1608"/>
      <c r="EV30" s="1783"/>
      <c r="EW30" s="178"/>
      <c r="EX30" s="1608"/>
      <c r="EY30" s="1783"/>
      <c r="EZ30" s="178"/>
      <c r="FA30" s="1608"/>
      <c r="FB30" s="1783"/>
      <c r="FC30" s="178"/>
      <c r="FD30" s="1608"/>
      <c r="FE30" s="1783"/>
      <c r="FF30" s="178"/>
      <c r="FG30" s="1608"/>
      <c r="FH30" s="1783"/>
      <c r="FI30" s="178"/>
      <c r="FJ30" s="1608"/>
      <c r="FK30" s="1783"/>
      <c r="FL30" s="178"/>
      <c r="FM30" s="1608"/>
      <c r="FN30" s="1783"/>
      <c r="FO30" s="178"/>
      <c r="FP30" s="1608"/>
      <c r="FQ30" s="1783"/>
      <c r="FR30" s="178"/>
      <c r="FS30" s="1608"/>
      <c r="FT30" s="1783"/>
      <c r="FU30" s="539"/>
      <c r="FV30" s="1784"/>
      <c r="FW30" s="539"/>
      <c r="FX30" s="1784"/>
      <c r="FY30" s="539"/>
      <c r="FZ30" s="1784"/>
      <c r="GA30" s="539"/>
      <c r="GB30" s="1784"/>
      <c r="GC30" s="539"/>
      <c r="GD30" s="1784"/>
      <c r="GE30" s="539"/>
      <c r="GF30" s="1784"/>
      <c r="GG30" s="539"/>
      <c r="GH30" s="1784"/>
      <c r="GI30" s="539"/>
      <c r="GJ30" s="1784"/>
      <c r="GK30" s="539"/>
      <c r="GL30" s="1784"/>
    </row>
    <row r="31" spans="1:194" ht="30" x14ac:dyDescent="0.2">
      <c r="A31" s="539" t="str">
        <f>+'1883 Hacienda'!A19</f>
        <v>Personal y material del Poder Ejecutivo y de las Secretarías de Estado</v>
      </c>
      <c r="B31" s="178"/>
      <c r="C31" s="1608"/>
      <c r="D31" s="1783"/>
      <c r="E31" s="178"/>
      <c r="F31" s="1608"/>
      <c r="G31" s="1783"/>
      <c r="H31" s="178"/>
      <c r="I31" s="1608"/>
      <c r="J31" s="1783"/>
      <c r="K31" s="178"/>
      <c r="L31" s="1608"/>
      <c r="M31" s="1783"/>
      <c r="N31" s="178"/>
      <c r="O31" s="1608"/>
      <c r="P31" s="1783"/>
      <c r="Q31" s="539"/>
      <c r="R31" s="1784"/>
      <c r="S31" s="539"/>
      <c r="T31" s="1784"/>
      <c r="U31" s="539"/>
      <c r="V31" s="1784"/>
      <c r="W31" s="539"/>
      <c r="X31" s="1784"/>
      <c r="Y31" s="539"/>
      <c r="Z31" s="1784"/>
      <c r="AA31" s="539"/>
      <c r="AB31" s="1784"/>
      <c r="AC31" s="539"/>
      <c r="AD31" s="1784"/>
      <c r="AE31" s="539"/>
      <c r="AF31" s="1784"/>
      <c r="AG31" s="539"/>
      <c r="AH31" s="1784"/>
      <c r="AI31" s="539"/>
      <c r="AJ31" s="1756"/>
      <c r="AK31" s="178"/>
      <c r="AL31" s="1608"/>
      <c r="AM31" s="1608"/>
      <c r="AN31" s="1608"/>
      <c r="AO31" s="1783"/>
      <c r="AP31" s="178"/>
      <c r="AQ31" s="1608"/>
      <c r="AR31" s="1783"/>
      <c r="AS31" s="178"/>
      <c r="AT31" s="1608"/>
      <c r="AU31" s="1783"/>
      <c r="AV31" s="178"/>
      <c r="AW31" s="1608"/>
      <c r="AX31" s="1783"/>
      <c r="AY31" s="178"/>
      <c r="AZ31" s="1608"/>
      <c r="BA31" s="1783"/>
      <c r="BB31" s="178"/>
      <c r="BC31" s="1608"/>
      <c r="BD31" s="1783"/>
      <c r="BE31" s="178"/>
      <c r="BF31" s="1608"/>
      <c r="BG31" s="1783"/>
      <c r="BH31" s="178"/>
      <c r="BI31" s="1608"/>
      <c r="BJ31" s="1783"/>
      <c r="BK31" s="178"/>
      <c r="BL31" s="1608"/>
      <c r="BM31" s="1783"/>
      <c r="BN31" s="178"/>
      <c r="BO31" s="1608"/>
      <c r="BP31" s="1783"/>
      <c r="BQ31" s="178"/>
      <c r="BR31" s="1608"/>
      <c r="BS31" s="1783"/>
      <c r="BT31" s="539"/>
      <c r="BU31" s="1608"/>
      <c r="BV31" s="1783"/>
      <c r="BW31" s="178"/>
      <c r="BX31" s="1608"/>
      <c r="BY31" s="1783"/>
      <c r="BZ31" s="178"/>
      <c r="CA31" s="1608"/>
      <c r="CB31" s="1783"/>
      <c r="CC31" s="178"/>
      <c r="CD31" s="1608"/>
      <c r="CE31" s="1783"/>
      <c r="CF31" s="539"/>
      <c r="CG31" s="1608"/>
      <c r="CH31" s="1783"/>
      <c r="CI31" s="178"/>
      <c r="CJ31" s="1608"/>
      <c r="CK31" s="1783"/>
      <c r="CL31" s="178"/>
      <c r="CM31" s="1608"/>
      <c r="CN31" s="1783"/>
      <c r="CO31" s="178"/>
      <c r="CP31" s="1608"/>
      <c r="CQ31" s="1783"/>
      <c r="CR31" s="178"/>
      <c r="CS31" s="1608"/>
      <c r="CT31" s="1783"/>
      <c r="CU31" s="178"/>
      <c r="CV31" s="1608"/>
      <c r="CW31" s="1783"/>
      <c r="CX31" s="178"/>
      <c r="CY31" s="1608"/>
      <c r="CZ31" s="1783"/>
      <c r="DA31" s="178"/>
      <c r="DB31" s="1608"/>
      <c r="DC31" s="1783"/>
      <c r="DD31" s="539">
        <f>+'1883 Hacienda'!B19</f>
        <v>226000</v>
      </c>
      <c r="DE31" s="1608"/>
      <c r="DF31" s="1783"/>
      <c r="DG31" s="178"/>
      <c r="DH31" s="1608"/>
      <c r="DI31" s="1783"/>
      <c r="DJ31" s="178"/>
      <c r="DK31" s="1608"/>
      <c r="DL31" s="1783"/>
      <c r="DM31" s="178"/>
      <c r="DN31" s="1608"/>
      <c r="DO31" s="1783"/>
      <c r="DP31" s="178"/>
      <c r="DQ31" s="1608"/>
      <c r="DR31" s="1783"/>
      <c r="DS31" s="178"/>
      <c r="DT31" s="1608"/>
      <c r="DU31" s="1783"/>
      <c r="DV31" s="178"/>
      <c r="DW31" s="1608"/>
      <c r="DX31" s="1783"/>
      <c r="DY31" s="178"/>
      <c r="DZ31" s="1608"/>
      <c r="EA31" s="1783"/>
      <c r="EB31" s="178"/>
      <c r="EC31" s="1608"/>
      <c r="ED31" s="1783"/>
      <c r="EE31" s="178"/>
      <c r="EF31" s="1608"/>
      <c r="EG31" s="1783"/>
      <c r="EH31" s="178"/>
      <c r="EI31" s="1608"/>
      <c r="EJ31" s="1783"/>
      <c r="EK31" s="178"/>
      <c r="EL31" s="1608"/>
      <c r="EM31" s="1783"/>
      <c r="EN31" s="178"/>
      <c r="EO31" s="1608"/>
      <c r="EP31" s="1783"/>
      <c r="EQ31" s="178"/>
      <c r="ER31" s="1608"/>
      <c r="ES31" s="1783"/>
      <c r="ET31" s="178"/>
      <c r="EU31" s="1608"/>
      <c r="EV31" s="1783"/>
      <c r="EW31" s="178"/>
      <c r="EX31" s="1608"/>
      <c r="EY31" s="1783"/>
      <c r="EZ31" s="178"/>
      <c r="FA31" s="1608"/>
      <c r="FB31" s="1783"/>
      <c r="FC31" s="178"/>
      <c r="FD31" s="1608"/>
      <c r="FE31" s="1783"/>
      <c r="FF31" s="178"/>
      <c r="FG31" s="1608"/>
      <c r="FH31" s="1783"/>
      <c r="FI31" s="178"/>
      <c r="FJ31" s="1608"/>
      <c r="FK31" s="1783"/>
      <c r="FL31" s="178"/>
      <c r="FM31" s="1608"/>
      <c r="FN31" s="1783"/>
      <c r="FO31" s="178"/>
      <c r="FP31" s="1608"/>
      <c r="FQ31" s="1783"/>
      <c r="FR31" s="178"/>
      <c r="FS31" s="1608"/>
      <c r="FT31" s="1783"/>
      <c r="FU31" s="539"/>
      <c r="FV31" s="1784"/>
      <c r="FW31" s="539"/>
      <c r="FX31" s="1784"/>
      <c r="FY31" s="539"/>
      <c r="FZ31" s="1784"/>
      <c r="GA31" s="539"/>
      <c r="GB31" s="1784"/>
      <c r="GC31" s="539"/>
      <c r="GD31" s="1784"/>
      <c r="GE31" s="539"/>
      <c r="GF31" s="1784"/>
      <c r="GG31" s="539"/>
      <c r="GH31" s="1784"/>
      <c r="GI31" s="539"/>
      <c r="GJ31" s="1784"/>
      <c r="GK31" s="539"/>
      <c r="GL31" s="1784"/>
    </row>
    <row r="32" spans="1:194" x14ac:dyDescent="0.2">
      <c r="A32" s="539" t="str">
        <f>+'1883 Hacienda'!A21</f>
        <v>Territorios nacionales</v>
      </c>
      <c r="B32" s="178"/>
      <c r="C32" s="1608"/>
      <c r="D32" s="1783"/>
      <c r="E32" s="178"/>
      <c r="F32" s="1608"/>
      <c r="G32" s="1783"/>
      <c r="H32" s="178"/>
      <c r="I32" s="1608"/>
      <c r="J32" s="1783"/>
      <c r="K32" s="178"/>
      <c r="L32" s="1608"/>
      <c r="M32" s="1783"/>
      <c r="N32" s="178"/>
      <c r="O32" s="1608"/>
      <c r="P32" s="1783"/>
      <c r="Q32" s="539"/>
      <c r="R32" s="1784"/>
      <c r="S32" s="539"/>
      <c r="T32" s="1784"/>
      <c r="U32" s="539"/>
      <c r="V32" s="1784"/>
      <c r="W32" s="539"/>
      <c r="X32" s="1784"/>
      <c r="Y32" s="539"/>
      <c r="Z32" s="1784"/>
      <c r="AA32" s="539"/>
      <c r="AB32" s="1784"/>
      <c r="AC32" s="539"/>
      <c r="AD32" s="1784"/>
      <c r="AE32" s="539"/>
      <c r="AF32" s="1784"/>
      <c r="AG32" s="539"/>
      <c r="AH32" s="1784"/>
      <c r="AI32" s="539"/>
      <c r="AJ32" s="1756"/>
      <c r="AK32" s="178"/>
      <c r="AL32" s="1608"/>
      <c r="AM32" s="1608"/>
      <c r="AN32" s="1608"/>
      <c r="AO32" s="1783"/>
      <c r="AP32" s="178"/>
      <c r="AQ32" s="1608"/>
      <c r="AR32" s="1783"/>
      <c r="AS32" s="178"/>
      <c r="AT32" s="1608"/>
      <c r="AU32" s="1783"/>
      <c r="AV32" s="178"/>
      <c r="AW32" s="1608"/>
      <c r="AX32" s="1783"/>
      <c r="AY32" s="178"/>
      <c r="AZ32" s="1608"/>
      <c r="BA32" s="1783"/>
      <c r="BB32" s="178"/>
      <c r="BC32" s="1608"/>
      <c r="BD32" s="1783"/>
      <c r="BE32" s="178"/>
      <c r="BF32" s="1608"/>
      <c r="BG32" s="1783"/>
      <c r="BH32" s="178"/>
      <c r="BI32" s="1608"/>
      <c r="BJ32" s="1783"/>
      <c r="BK32" s="178"/>
      <c r="BL32" s="1608"/>
      <c r="BM32" s="1783"/>
      <c r="BN32" s="178"/>
      <c r="BO32" s="1608"/>
      <c r="BP32" s="1783"/>
      <c r="BQ32" s="178"/>
      <c r="BR32" s="1608"/>
      <c r="BS32" s="1783"/>
      <c r="BT32" s="539"/>
      <c r="BU32" s="1608"/>
      <c r="BV32" s="1783"/>
      <c r="BW32" s="178"/>
      <c r="BX32" s="1608"/>
      <c r="BY32" s="1783"/>
      <c r="BZ32" s="178"/>
      <c r="CA32" s="1608"/>
      <c r="CB32" s="1783"/>
      <c r="CC32" s="178"/>
      <c r="CD32" s="1608"/>
      <c r="CE32" s="1783"/>
      <c r="CF32" s="539"/>
      <c r="CG32" s="1608"/>
      <c r="CH32" s="1783"/>
      <c r="CI32" s="178"/>
      <c r="CJ32" s="1608"/>
      <c r="CK32" s="1783"/>
      <c r="CL32" s="178"/>
      <c r="CM32" s="1608"/>
      <c r="CN32" s="1783"/>
      <c r="CO32" s="178"/>
      <c r="CP32" s="1608"/>
      <c r="CQ32" s="1783"/>
      <c r="CR32" s="178"/>
      <c r="CS32" s="1608"/>
      <c r="CT32" s="1783"/>
      <c r="CU32" s="178"/>
      <c r="CV32" s="1608"/>
      <c r="CW32" s="1783"/>
      <c r="CX32" s="178"/>
      <c r="CY32" s="1608"/>
      <c r="CZ32" s="1783"/>
      <c r="DA32" s="178"/>
      <c r="DB32" s="1608"/>
      <c r="DC32" s="1783"/>
      <c r="DD32" s="539">
        <f>+'1883 Hacienda'!B21</f>
        <v>21000</v>
      </c>
      <c r="DE32" s="1608"/>
      <c r="DF32" s="1783"/>
      <c r="DG32" s="178"/>
      <c r="DH32" s="1608"/>
      <c r="DI32" s="1783"/>
      <c r="DJ32" s="178"/>
      <c r="DK32" s="1608"/>
      <c r="DL32" s="1783"/>
      <c r="DM32" s="178"/>
      <c r="DN32" s="1608"/>
      <c r="DO32" s="1783"/>
      <c r="DP32" s="178"/>
      <c r="DQ32" s="1608"/>
      <c r="DR32" s="1783"/>
      <c r="DS32" s="178"/>
      <c r="DT32" s="1608"/>
      <c r="DU32" s="1783"/>
      <c r="DV32" s="178"/>
      <c r="DW32" s="1608"/>
      <c r="DX32" s="1783"/>
      <c r="DY32" s="178"/>
      <c r="DZ32" s="1608"/>
      <c r="EA32" s="1783"/>
      <c r="EB32" s="178"/>
      <c r="EC32" s="1608"/>
      <c r="ED32" s="1783"/>
      <c r="EE32" s="178"/>
      <c r="EF32" s="1608"/>
      <c r="EG32" s="1783"/>
      <c r="EH32" s="178"/>
      <c r="EI32" s="1608"/>
      <c r="EJ32" s="1783"/>
      <c r="EK32" s="178"/>
      <c r="EL32" s="1608"/>
      <c r="EM32" s="1783"/>
      <c r="EN32" s="178"/>
      <c r="EO32" s="1608"/>
      <c r="EP32" s="1783"/>
      <c r="EQ32" s="178"/>
      <c r="ER32" s="1608"/>
      <c r="ES32" s="1783"/>
      <c r="ET32" s="178"/>
      <c r="EU32" s="1608"/>
      <c r="EV32" s="1783"/>
      <c r="EW32" s="178"/>
      <c r="EX32" s="1608"/>
      <c r="EY32" s="1783"/>
      <c r="EZ32" s="178"/>
      <c r="FA32" s="1608"/>
      <c r="FB32" s="1783"/>
      <c r="FC32" s="178"/>
      <c r="FD32" s="1608"/>
      <c r="FE32" s="1783"/>
      <c r="FF32" s="178"/>
      <c r="FG32" s="1608"/>
      <c r="FH32" s="1783"/>
      <c r="FI32" s="178"/>
      <c r="FJ32" s="1608"/>
      <c r="FK32" s="1783"/>
      <c r="FL32" s="178"/>
      <c r="FM32" s="1608"/>
      <c r="FN32" s="1783"/>
      <c r="FO32" s="178"/>
      <c r="FP32" s="1608"/>
      <c r="FQ32" s="1783"/>
      <c r="FR32" s="178"/>
      <c r="FS32" s="1608"/>
      <c r="FT32" s="1783"/>
      <c r="FU32" s="539"/>
      <c r="FV32" s="1784"/>
      <c r="FW32" s="539"/>
      <c r="FX32" s="1784"/>
      <c r="FY32" s="539"/>
      <c r="FZ32" s="1784"/>
      <c r="GA32" s="539"/>
      <c r="GB32" s="1784"/>
      <c r="GC32" s="539"/>
      <c r="GD32" s="1784"/>
      <c r="GE32" s="539"/>
      <c r="GF32" s="1784"/>
      <c r="GG32" s="539"/>
      <c r="GH32" s="1784"/>
      <c r="GI32" s="539"/>
      <c r="GJ32" s="1784"/>
      <c r="GK32" s="539"/>
      <c r="GL32" s="1784"/>
    </row>
    <row r="33" spans="1:194" x14ac:dyDescent="0.2">
      <c r="A33" s="539" t="str">
        <f>+'1883 Hacienda'!A22</f>
        <v>Servicio diplomático y consular</v>
      </c>
      <c r="B33" s="178"/>
      <c r="C33" s="1608"/>
      <c r="D33" s="1783"/>
      <c r="E33" s="178"/>
      <c r="F33" s="1608"/>
      <c r="G33" s="1783"/>
      <c r="H33" s="178"/>
      <c r="I33" s="1608"/>
      <c r="J33" s="1783"/>
      <c r="K33" s="178"/>
      <c r="L33" s="1608"/>
      <c r="M33" s="1783"/>
      <c r="N33" s="178"/>
      <c r="O33" s="1608"/>
      <c r="P33" s="1783"/>
      <c r="Q33" s="539"/>
      <c r="R33" s="1784"/>
      <c r="S33" s="539"/>
      <c r="T33" s="1784"/>
      <c r="U33" s="539"/>
      <c r="V33" s="1784"/>
      <c r="W33" s="539"/>
      <c r="X33" s="1784"/>
      <c r="Y33" s="539"/>
      <c r="Z33" s="1784"/>
      <c r="AA33" s="539"/>
      <c r="AB33" s="1784"/>
      <c r="AC33" s="539"/>
      <c r="AD33" s="1784"/>
      <c r="AE33" s="539"/>
      <c r="AF33" s="1784"/>
      <c r="AG33" s="539"/>
      <c r="AH33" s="1784"/>
      <c r="AI33" s="539"/>
      <c r="AJ33" s="1756"/>
      <c r="AK33" s="178"/>
      <c r="AL33" s="1608"/>
      <c r="AM33" s="1608"/>
      <c r="AN33" s="1608"/>
      <c r="AO33" s="1783"/>
      <c r="AP33" s="178"/>
      <c r="AQ33" s="1608"/>
      <c r="AR33" s="1783"/>
      <c r="AS33" s="178"/>
      <c r="AT33" s="1608"/>
      <c r="AU33" s="1783"/>
      <c r="AV33" s="178"/>
      <c r="AW33" s="1608"/>
      <c r="AX33" s="1783"/>
      <c r="AY33" s="178"/>
      <c r="AZ33" s="1608"/>
      <c r="BA33" s="1783"/>
      <c r="BB33" s="178"/>
      <c r="BC33" s="1608"/>
      <c r="BD33" s="1783"/>
      <c r="BE33" s="178"/>
      <c r="BF33" s="1608"/>
      <c r="BG33" s="1783"/>
      <c r="BH33" s="178"/>
      <c r="BI33" s="1608"/>
      <c r="BJ33" s="1783"/>
      <c r="BK33" s="178"/>
      <c r="BL33" s="1608"/>
      <c r="BM33" s="1783"/>
      <c r="BN33" s="178"/>
      <c r="BO33" s="1608"/>
      <c r="BP33" s="1783"/>
      <c r="BQ33" s="178"/>
      <c r="BR33" s="1608"/>
      <c r="BS33" s="1783"/>
      <c r="BT33" s="539"/>
      <c r="BU33" s="1608"/>
      <c r="BV33" s="1783"/>
      <c r="BW33" s="178"/>
      <c r="BX33" s="1608"/>
      <c r="BY33" s="1783"/>
      <c r="BZ33" s="178"/>
      <c r="CA33" s="1608"/>
      <c r="CB33" s="1783"/>
      <c r="CC33" s="178"/>
      <c r="CD33" s="1608"/>
      <c r="CE33" s="1783"/>
      <c r="CF33" s="539"/>
      <c r="CG33" s="1608"/>
      <c r="CH33" s="1783"/>
      <c r="CI33" s="178"/>
      <c r="CJ33" s="1608"/>
      <c r="CK33" s="1783"/>
      <c r="CL33" s="178"/>
      <c r="CM33" s="1608"/>
      <c r="CN33" s="1783"/>
      <c r="CO33" s="178"/>
      <c r="CP33" s="1608"/>
      <c r="CQ33" s="1783"/>
      <c r="CR33" s="178"/>
      <c r="CS33" s="1608"/>
      <c r="CT33" s="1783"/>
      <c r="CU33" s="178"/>
      <c r="CV33" s="1608"/>
      <c r="CW33" s="1783"/>
      <c r="CX33" s="178"/>
      <c r="CY33" s="1608"/>
      <c r="CZ33" s="1783"/>
      <c r="DA33" s="178"/>
      <c r="DB33" s="1608"/>
      <c r="DC33" s="1783"/>
      <c r="DD33" s="539">
        <f>+'1883 Hacienda'!B22</f>
        <v>150000</v>
      </c>
      <c r="DE33" s="1608"/>
      <c r="DF33" s="1783"/>
      <c r="DG33" s="178"/>
      <c r="DH33" s="1608"/>
      <c r="DI33" s="1783"/>
      <c r="DJ33" s="178"/>
      <c r="DK33" s="1608"/>
      <c r="DL33" s="1783"/>
      <c r="DM33" s="178"/>
      <c r="DN33" s="1608"/>
      <c r="DO33" s="1783"/>
      <c r="DP33" s="178"/>
      <c r="DQ33" s="1608"/>
      <c r="DR33" s="1783"/>
      <c r="DS33" s="178"/>
      <c r="DT33" s="1608"/>
      <c r="DU33" s="1783"/>
      <c r="DV33" s="178"/>
      <c r="DW33" s="1608"/>
      <c r="DX33" s="1783"/>
      <c r="DY33" s="178"/>
      <c r="DZ33" s="1608"/>
      <c r="EA33" s="1783"/>
      <c r="EB33" s="178"/>
      <c r="EC33" s="1608"/>
      <c r="ED33" s="1783"/>
      <c r="EE33" s="178"/>
      <c r="EF33" s="1608"/>
      <c r="EG33" s="1783"/>
      <c r="EH33" s="178"/>
      <c r="EI33" s="1608"/>
      <c r="EJ33" s="1783"/>
      <c r="EK33" s="178"/>
      <c r="EL33" s="1608"/>
      <c r="EM33" s="1783"/>
      <c r="EN33" s="178"/>
      <c r="EO33" s="1608"/>
      <c r="EP33" s="1783"/>
      <c r="EQ33" s="178"/>
      <c r="ER33" s="1608"/>
      <c r="ES33" s="1783"/>
      <c r="ET33" s="178"/>
      <c r="EU33" s="1608"/>
      <c r="EV33" s="1783"/>
      <c r="EW33" s="178"/>
      <c r="EX33" s="1608"/>
      <c r="EY33" s="1783"/>
      <c r="EZ33" s="178"/>
      <c r="FA33" s="1608"/>
      <c r="FB33" s="1783"/>
      <c r="FC33" s="178"/>
      <c r="FD33" s="1608"/>
      <c r="FE33" s="1783"/>
      <c r="FF33" s="178"/>
      <c r="FG33" s="1608"/>
      <c r="FH33" s="1783"/>
      <c r="FI33" s="178"/>
      <c r="FJ33" s="1608"/>
      <c r="FK33" s="1783"/>
      <c r="FL33" s="178"/>
      <c r="FM33" s="1608"/>
      <c r="FN33" s="1783"/>
      <c r="FO33" s="178"/>
      <c r="FP33" s="1608"/>
      <c r="FQ33" s="1783"/>
      <c r="FR33" s="178"/>
      <c r="FS33" s="1608"/>
      <c r="FT33" s="1783"/>
      <c r="FU33" s="539"/>
      <c r="FV33" s="1784"/>
      <c r="FW33" s="539"/>
      <c r="FX33" s="1784"/>
      <c r="FY33" s="539"/>
      <c r="FZ33" s="1784"/>
      <c r="GA33" s="539"/>
      <c r="GB33" s="1784"/>
      <c r="GC33" s="539"/>
      <c r="GD33" s="1784"/>
      <c r="GE33" s="539"/>
      <c r="GF33" s="1784"/>
      <c r="GG33" s="539"/>
      <c r="GH33" s="1784"/>
      <c r="GI33" s="539"/>
      <c r="GJ33" s="1784"/>
      <c r="GK33" s="539"/>
      <c r="GL33" s="1784"/>
    </row>
    <row r="34" spans="1:194" x14ac:dyDescent="0.2">
      <c r="A34" s="539" t="str">
        <f>+'1883 Hacienda'!A23</f>
        <v>Material y personal del ejército</v>
      </c>
      <c r="B34" s="178"/>
      <c r="C34" s="1608"/>
      <c r="D34" s="1783"/>
      <c r="E34" s="178"/>
      <c r="F34" s="1608"/>
      <c r="G34" s="1783"/>
      <c r="H34" s="178"/>
      <c r="I34" s="1608"/>
      <c r="J34" s="1783"/>
      <c r="K34" s="178"/>
      <c r="L34" s="1608"/>
      <c r="M34" s="1783"/>
      <c r="N34" s="178"/>
      <c r="O34" s="1608"/>
      <c r="P34" s="1783"/>
      <c r="Q34" s="539"/>
      <c r="R34" s="1784"/>
      <c r="S34" s="539"/>
      <c r="T34" s="1784"/>
      <c r="U34" s="539"/>
      <c r="V34" s="1784"/>
      <c r="W34" s="539"/>
      <c r="X34" s="1784"/>
      <c r="Y34" s="539"/>
      <c r="Z34" s="1784"/>
      <c r="AA34" s="539"/>
      <c r="AB34" s="1784"/>
      <c r="AC34" s="539"/>
      <c r="AD34" s="1784"/>
      <c r="AE34" s="539"/>
      <c r="AF34" s="1784"/>
      <c r="AG34" s="539"/>
      <c r="AH34" s="1784"/>
      <c r="AI34" s="539"/>
      <c r="AJ34" s="1756"/>
      <c r="AK34" s="178"/>
      <c r="AL34" s="1608"/>
      <c r="AM34" s="1608"/>
      <c r="AN34" s="1608"/>
      <c r="AO34" s="1783"/>
      <c r="AP34" s="178"/>
      <c r="AQ34" s="1608"/>
      <c r="AR34" s="1783"/>
      <c r="AS34" s="178"/>
      <c r="AT34" s="1608"/>
      <c r="AU34" s="1783"/>
      <c r="AV34" s="178"/>
      <c r="AW34" s="1608"/>
      <c r="AX34" s="1783"/>
      <c r="AY34" s="178"/>
      <c r="AZ34" s="1608"/>
      <c r="BA34" s="1783"/>
      <c r="BB34" s="178"/>
      <c r="BC34" s="1608"/>
      <c r="BD34" s="1783"/>
      <c r="BE34" s="178"/>
      <c r="BF34" s="1608"/>
      <c r="BG34" s="1783"/>
      <c r="BH34" s="178"/>
      <c r="BI34" s="1608"/>
      <c r="BJ34" s="1783"/>
      <c r="BK34" s="178"/>
      <c r="BL34" s="1608"/>
      <c r="BM34" s="1783"/>
      <c r="BN34" s="178"/>
      <c r="BO34" s="1608"/>
      <c r="BP34" s="1783"/>
      <c r="BQ34" s="178"/>
      <c r="BR34" s="1608"/>
      <c r="BS34" s="1783"/>
      <c r="BT34" s="539"/>
      <c r="BU34" s="1608"/>
      <c r="BV34" s="1783"/>
      <c r="BW34" s="178"/>
      <c r="BX34" s="1608"/>
      <c r="BY34" s="1783"/>
      <c r="BZ34" s="178"/>
      <c r="CA34" s="1608"/>
      <c r="CB34" s="1783"/>
      <c r="CC34" s="178"/>
      <c r="CD34" s="1608"/>
      <c r="CE34" s="1783"/>
      <c r="CF34" s="539"/>
      <c r="CG34" s="1608"/>
      <c r="CH34" s="1783"/>
      <c r="CI34" s="178"/>
      <c r="CJ34" s="1608"/>
      <c r="CK34" s="1783"/>
      <c r="CL34" s="178"/>
      <c r="CM34" s="1608"/>
      <c r="CN34" s="1783"/>
      <c r="CO34" s="178"/>
      <c r="CP34" s="1608"/>
      <c r="CQ34" s="1783"/>
      <c r="CR34" s="178"/>
      <c r="CS34" s="1608"/>
      <c r="CT34" s="1783"/>
      <c r="CU34" s="178"/>
      <c r="CV34" s="1608"/>
      <c r="CW34" s="1783"/>
      <c r="CX34" s="178"/>
      <c r="CY34" s="1608"/>
      <c r="CZ34" s="1783"/>
      <c r="DA34" s="178"/>
      <c r="DB34" s="1608"/>
      <c r="DC34" s="1783"/>
      <c r="DD34" s="539">
        <f>+'1883 Hacienda'!B23</f>
        <v>1100000</v>
      </c>
      <c r="DE34" s="1608"/>
      <c r="DF34" s="1783"/>
      <c r="DG34" s="178"/>
      <c r="DH34" s="1608"/>
      <c r="DI34" s="1783"/>
      <c r="DJ34" s="178"/>
      <c r="DK34" s="1608"/>
      <c r="DL34" s="1783"/>
      <c r="DM34" s="178"/>
      <c r="DN34" s="1608"/>
      <c r="DO34" s="1783"/>
      <c r="DP34" s="178"/>
      <c r="DQ34" s="1608"/>
      <c r="DR34" s="1783"/>
      <c r="DS34" s="178"/>
      <c r="DT34" s="1608"/>
      <c r="DU34" s="1783"/>
      <c r="DV34" s="178"/>
      <c r="DW34" s="1608"/>
      <c r="DX34" s="1783"/>
      <c r="DY34" s="178"/>
      <c r="DZ34" s="1608"/>
      <c r="EA34" s="1783"/>
      <c r="EB34" s="178"/>
      <c r="EC34" s="1608"/>
      <c r="ED34" s="1783"/>
      <c r="EE34" s="178"/>
      <c r="EF34" s="1608"/>
      <c r="EG34" s="1783"/>
      <c r="EH34" s="178"/>
      <c r="EI34" s="1608"/>
      <c r="EJ34" s="1783"/>
      <c r="EK34" s="178"/>
      <c r="EL34" s="1608"/>
      <c r="EM34" s="1783"/>
      <c r="EN34" s="178"/>
      <c r="EO34" s="1608"/>
      <c r="EP34" s="1783"/>
      <c r="EQ34" s="178"/>
      <c r="ER34" s="1608"/>
      <c r="ES34" s="1783"/>
      <c r="ET34" s="178"/>
      <c r="EU34" s="1608"/>
      <c r="EV34" s="1783"/>
      <c r="EW34" s="178"/>
      <c r="EX34" s="1608"/>
      <c r="EY34" s="1783"/>
      <c r="EZ34" s="178"/>
      <c r="FA34" s="1608"/>
      <c r="FB34" s="1783"/>
      <c r="FC34" s="178"/>
      <c r="FD34" s="1608"/>
      <c r="FE34" s="1783"/>
      <c r="FF34" s="178"/>
      <c r="FG34" s="1608"/>
      <c r="FH34" s="1783"/>
      <c r="FI34" s="178"/>
      <c r="FJ34" s="1608"/>
      <c r="FK34" s="1783"/>
      <c r="FL34" s="178"/>
      <c r="FM34" s="1608"/>
      <c r="FN34" s="1783"/>
      <c r="FO34" s="178"/>
      <c r="FP34" s="1608"/>
      <c r="FQ34" s="1783"/>
      <c r="FR34" s="178"/>
      <c r="FS34" s="1608"/>
      <c r="FT34" s="1783"/>
      <c r="FU34" s="539"/>
      <c r="FV34" s="1784"/>
      <c r="FW34" s="539"/>
      <c r="FX34" s="1784"/>
      <c r="FY34" s="539"/>
      <c r="FZ34" s="1784"/>
      <c r="GA34" s="539"/>
      <c r="GB34" s="1784"/>
      <c r="GC34" s="539"/>
      <c r="GD34" s="1784"/>
      <c r="GE34" s="539"/>
      <c r="GF34" s="1784"/>
      <c r="GG34" s="539"/>
      <c r="GH34" s="1784"/>
      <c r="GI34" s="539"/>
      <c r="GJ34" s="1784"/>
      <c r="GK34" s="539"/>
      <c r="GL34" s="1784"/>
    </row>
    <row r="35" spans="1:194" x14ac:dyDescent="0.2">
      <c r="A35" s="539" t="str">
        <f>+'1883 Hacienda'!A24</f>
        <v>Correos y telégrafos</v>
      </c>
      <c r="B35" s="178"/>
      <c r="C35" s="1608"/>
      <c r="D35" s="1783"/>
      <c r="E35" s="178"/>
      <c r="F35" s="1608"/>
      <c r="G35" s="1783"/>
      <c r="H35" s="178"/>
      <c r="I35" s="1608"/>
      <c r="J35" s="1783"/>
      <c r="K35" s="178"/>
      <c r="L35" s="1608"/>
      <c r="M35" s="1783"/>
      <c r="N35" s="178"/>
      <c r="O35" s="1608"/>
      <c r="P35" s="1783"/>
      <c r="Q35" s="539"/>
      <c r="R35" s="1784"/>
      <c r="S35" s="539"/>
      <c r="T35" s="1784"/>
      <c r="U35" s="539"/>
      <c r="V35" s="1784"/>
      <c r="W35" s="539"/>
      <c r="X35" s="1784"/>
      <c r="Y35" s="539"/>
      <c r="Z35" s="1784"/>
      <c r="AA35" s="539"/>
      <c r="AB35" s="1784"/>
      <c r="AC35" s="539"/>
      <c r="AD35" s="1784"/>
      <c r="AE35" s="539"/>
      <c r="AF35" s="1784"/>
      <c r="AG35" s="539"/>
      <c r="AH35" s="1784"/>
      <c r="AI35" s="539"/>
      <c r="AJ35" s="1756"/>
      <c r="AK35" s="178"/>
      <c r="AL35" s="1608"/>
      <c r="AM35" s="1608"/>
      <c r="AN35" s="1608"/>
      <c r="AO35" s="1783"/>
      <c r="AP35" s="178"/>
      <c r="AQ35" s="1608"/>
      <c r="AR35" s="1783"/>
      <c r="AS35" s="178"/>
      <c r="AT35" s="1608"/>
      <c r="AU35" s="1783"/>
      <c r="AV35" s="178"/>
      <c r="AW35" s="1608"/>
      <c r="AX35" s="1783"/>
      <c r="AY35" s="178"/>
      <c r="AZ35" s="1608"/>
      <c r="BA35" s="1783"/>
      <c r="BB35" s="178"/>
      <c r="BC35" s="1608"/>
      <c r="BD35" s="1783"/>
      <c r="BE35" s="178"/>
      <c r="BF35" s="1608"/>
      <c r="BG35" s="1783"/>
      <c r="BH35" s="178"/>
      <c r="BI35" s="1608"/>
      <c r="BJ35" s="1783"/>
      <c r="BK35" s="178"/>
      <c r="BL35" s="1608"/>
      <c r="BM35" s="1783"/>
      <c r="BN35" s="178"/>
      <c r="BO35" s="1608"/>
      <c r="BP35" s="1783"/>
      <c r="BQ35" s="178"/>
      <c r="BR35" s="1608"/>
      <c r="BS35" s="1783"/>
      <c r="BT35" s="539"/>
      <c r="BU35" s="1608"/>
      <c r="BV35" s="1783"/>
      <c r="BW35" s="178"/>
      <c r="BX35" s="1608"/>
      <c r="BY35" s="1783"/>
      <c r="BZ35" s="178"/>
      <c r="CA35" s="1608"/>
      <c r="CB35" s="1783"/>
      <c r="CC35" s="178"/>
      <c r="CD35" s="1608"/>
      <c r="CE35" s="1783"/>
      <c r="CF35" s="539"/>
      <c r="CG35" s="1608"/>
      <c r="CH35" s="1783"/>
      <c r="CI35" s="178"/>
      <c r="CJ35" s="1608"/>
      <c r="CK35" s="1783"/>
      <c r="CL35" s="178"/>
      <c r="CM35" s="1608"/>
      <c r="CN35" s="1783"/>
      <c r="CO35" s="178"/>
      <c r="CP35" s="1608"/>
      <c r="CQ35" s="1783"/>
      <c r="CR35" s="178"/>
      <c r="CS35" s="1608"/>
      <c r="CT35" s="1783"/>
      <c r="CU35" s="178"/>
      <c r="CV35" s="1608"/>
      <c r="CW35" s="1783"/>
      <c r="CX35" s="178"/>
      <c r="CY35" s="1608"/>
      <c r="CZ35" s="1783"/>
      <c r="DA35" s="178"/>
      <c r="DB35" s="1608"/>
      <c r="DC35" s="1783"/>
      <c r="DD35" s="539">
        <f>+'1883 Hacienda'!B24</f>
        <v>600000</v>
      </c>
      <c r="DE35" s="1608"/>
      <c r="DF35" s="1783"/>
      <c r="DG35" s="178"/>
      <c r="DH35" s="1608"/>
      <c r="DI35" s="1783"/>
      <c r="DJ35" s="178"/>
      <c r="DK35" s="1608"/>
      <c r="DL35" s="1783"/>
      <c r="DM35" s="178"/>
      <c r="DN35" s="1608"/>
      <c r="DO35" s="1783"/>
      <c r="DP35" s="178"/>
      <c r="DQ35" s="1608"/>
      <c r="DR35" s="1783"/>
      <c r="DS35" s="178"/>
      <c r="DT35" s="1608"/>
      <c r="DU35" s="1783"/>
      <c r="DV35" s="178"/>
      <c r="DW35" s="1608"/>
      <c r="DX35" s="1783"/>
      <c r="DY35" s="178"/>
      <c r="DZ35" s="1608"/>
      <c r="EA35" s="1783"/>
      <c r="EB35" s="178"/>
      <c r="EC35" s="1608"/>
      <c r="ED35" s="1783"/>
      <c r="EE35" s="178"/>
      <c r="EF35" s="1608"/>
      <c r="EG35" s="1783"/>
      <c r="EH35" s="178"/>
      <c r="EI35" s="1608"/>
      <c r="EJ35" s="1783"/>
      <c r="EK35" s="178"/>
      <c r="EL35" s="1608"/>
      <c r="EM35" s="1783"/>
      <c r="EN35" s="178"/>
      <c r="EO35" s="1608"/>
      <c r="EP35" s="1783"/>
      <c r="EQ35" s="178"/>
      <c r="ER35" s="1608"/>
      <c r="ES35" s="1783"/>
      <c r="ET35" s="178"/>
      <c r="EU35" s="1608"/>
      <c r="EV35" s="1783"/>
      <c r="EW35" s="178"/>
      <c r="EX35" s="1608"/>
      <c r="EY35" s="1783"/>
      <c r="EZ35" s="178"/>
      <c r="FA35" s="1608"/>
      <c r="FB35" s="1783"/>
      <c r="FC35" s="178"/>
      <c r="FD35" s="1608"/>
      <c r="FE35" s="1783"/>
      <c r="FF35" s="178"/>
      <c r="FG35" s="1608"/>
      <c r="FH35" s="1783"/>
      <c r="FI35" s="178"/>
      <c r="FJ35" s="1608"/>
      <c r="FK35" s="1783"/>
      <c r="FL35" s="178"/>
      <c r="FM35" s="1608"/>
      <c r="FN35" s="1783"/>
      <c r="FO35" s="178"/>
      <c r="FP35" s="1608"/>
      <c r="FQ35" s="1783"/>
      <c r="FR35" s="178"/>
      <c r="FS35" s="1608"/>
      <c r="FT35" s="1783"/>
      <c r="FU35" s="539"/>
      <c r="FV35" s="1784"/>
      <c r="FW35" s="539"/>
      <c r="FX35" s="1784"/>
      <c r="FY35" s="539"/>
      <c r="FZ35" s="1784"/>
      <c r="GA35" s="539"/>
      <c r="GB35" s="1784"/>
      <c r="GC35" s="539"/>
      <c r="GD35" s="1784"/>
      <c r="GE35" s="539"/>
      <c r="GF35" s="1784"/>
      <c r="GG35" s="539"/>
      <c r="GH35" s="1784"/>
      <c r="GI35" s="539"/>
      <c r="GJ35" s="1784"/>
      <c r="GK35" s="539"/>
      <c r="GL35" s="1784"/>
    </row>
    <row r="36" spans="1:194" x14ac:dyDescent="0.2">
      <c r="A36" s="539" t="str">
        <f>+'1883 Hacienda'!A26</f>
        <v>Ferrocarril y telégrafo de Bolívar</v>
      </c>
      <c r="B36" s="178"/>
      <c r="C36" s="1608"/>
      <c r="D36" s="1783"/>
      <c r="E36" s="178"/>
      <c r="F36" s="1608"/>
      <c r="G36" s="1783"/>
      <c r="H36" s="178"/>
      <c r="I36" s="1608"/>
      <c r="J36" s="1783"/>
      <c r="K36" s="178"/>
      <c r="L36" s="1608"/>
      <c r="M36" s="1783"/>
      <c r="N36" s="178"/>
      <c r="O36" s="1608"/>
      <c r="P36" s="1783"/>
      <c r="Q36" s="539"/>
      <c r="R36" s="1784"/>
      <c r="S36" s="539"/>
      <c r="T36" s="1784"/>
      <c r="U36" s="539"/>
      <c r="V36" s="1784"/>
      <c r="W36" s="539"/>
      <c r="X36" s="1784"/>
      <c r="Y36" s="539"/>
      <c r="Z36" s="1784"/>
      <c r="AA36" s="539"/>
      <c r="AB36" s="1784"/>
      <c r="AC36" s="539"/>
      <c r="AD36" s="1784"/>
      <c r="AE36" s="539"/>
      <c r="AF36" s="1784"/>
      <c r="AG36" s="539"/>
      <c r="AH36" s="1784"/>
      <c r="AI36" s="539"/>
      <c r="AJ36" s="1756"/>
      <c r="AK36" s="178"/>
      <c r="AL36" s="1608"/>
      <c r="AM36" s="1608"/>
      <c r="AN36" s="1608"/>
      <c r="AO36" s="1783"/>
      <c r="AP36" s="178"/>
      <c r="AQ36" s="1608"/>
      <c r="AR36" s="1783"/>
      <c r="AS36" s="178"/>
      <c r="AT36" s="1608"/>
      <c r="AU36" s="1783"/>
      <c r="AV36" s="178"/>
      <c r="AW36" s="1608"/>
      <c r="AX36" s="1783"/>
      <c r="AY36" s="178"/>
      <c r="AZ36" s="1608"/>
      <c r="BA36" s="1783"/>
      <c r="BB36" s="178"/>
      <c r="BC36" s="1608"/>
      <c r="BD36" s="1783"/>
      <c r="BE36" s="178"/>
      <c r="BF36" s="1608"/>
      <c r="BG36" s="1783"/>
      <c r="BH36" s="178"/>
      <c r="BI36" s="1608"/>
      <c r="BJ36" s="1783"/>
      <c r="BK36" s="178"/>
      <c r="BL36" s="1608"/>
      <c r="BM36" s="1783"/>
      <c r="BN36" s="178"/>
      <c r="BO36" s="1608"/>
      <c r="BP36" s="1783"/>
      <c r="BQ36" s="178"/>
      <c r="BR36" s="1608"/>
      <c r="BS36" s="1783"/>
      <c r="BT36" s="539"/>
      <c r="BU36" s="1608"/>
      <c r="BV36" s="1783"/>
      <c r="BW36" s="178"/>
      <c r="BX36" s="1608"/>
      <c r="BY36" s="1783"/>
      <c r="BZ36" s="178"/>
      <c r="CA36" s="1608"/>
      <c r="CB36" s="1783"/>
      <c r="CC36" s="178"/>
      <c r="CD36" s="1608"/>
      <c r="CE36" s="1783"/>
      <c r="CF36" s="539"/>
      <c r="CG36" s="1608"/>
      <c r="CH36" s="1783"/>
      <c r="CI36" s="178"/>
      <c r="CJ36" s="1608"/>
      <c r="CK36" s="1783"/>
      <c r="CL36" s="178"/>
      <c r="CM36" s="1608"/>
      <c r="CN36" s="1783"/>
      <c r="CO36" s="178"/>
      <c r="CP36" s="1608"/>
      <c r="CQ36" s="1783"/>
      <c r="CR36" s="178"/>
      <c r="CS36" s="1608"/>
      <c r="CT36" s="1783"/>
      <c r="CU36" s="178"/>
      <c r="CV36" s="1608"/>
      <c r="CW36" s="1783"/>
      <c r="CX36" s="178"/>
      <c r="CY36" s="1608"/>
      <c r="CZ36" s="1783"/>
      <c r="DA36" s="178"/>
      <c r="DB36" s="1608"/>
      <c r="DC36" s="1783"/>
      <c r="DD36" s="539">
        <f>+'1883 Hacienda'!B26</f>
        <v>120000</v>
      </c>
      <c r="DE36" s="1608"/>
      <c r="DF36" s="1783"/>
      <c r="DG36" s="178"/>
      <c r="DH36" s="1608"/>
      <c r="DI36" s="1783"/>
      <c r="DJ36" s="178"/>
      <c r="DK36" s="1608"/>
      <c r="DL36" s="1783"/>
      <c r="DM36" s="178"/>
      <c r="DN36" s="1608"/>
      <c r="DO36" s="1783"/>
      <c r="DP36" s="178"/>
      <c r="DQ36" s="1608"/>
      <c r="DR36" s="1783"/>
      <c r="DS36" s="178"/>
      <c r="DT36" s="1608"/>
      <c r="DU36" s="1783"/>
      <c r="DV36" s="178"/>
      <c r="DW36" s="1608"/>
      <c r="DX36" s="1783"/>
      <c r="DY36" s="178"/>
      <c r="DZ36" s="1608"/>
      <c r="EA36" s="1783"/>
      <c r="EB36" s="178"/>
      <c r="EC36" s="1608"/>
      <c r="ED36" s="1783"/>
      <c r="EE36" s="178"/>
      <c r="EF36" s="1608"/>
      <c r="EG36" s="1783"/>
      <c r="EH36" s="178"/>
      <c r="EI36" s="1608"/>
      <c r="EJ36" s="1783"/>
      <c r="EK36" s="178"/>
      <c r="EL36" s="1608"/>
      <c r="EM36" s="1783"/>
      <c r="EN36" s="178"/>
      <c r="EO36" s="1608"/>
      <c r="EP36" s="1783"/>
      <c r="EQ36" s="178"/>
      <c r="ER36" s="1608"/>
      <c r="ES36" s="1783"/>
      <c r="ET36" s="178"/>
      <c r="EU36" s="1608"/>
      <c r="EV36" s="1783"/>
      <c r="EW36" s="178"/>
      <c r="EX36" s="1608"/>
      <c r="EY36" s="1783"/>
      <c r="EZ36" s="178"/>
      <c r="FA36" s="1608"/>
      <c r="FB36" s="1783"/>
      <c r="FC36" s="178"/>
      <c r="FD36" s="1608"/>
      <c r="FE36" s="1783"/>
      <c r="FF36" s="178"/>
      <c r="FG36" s="1608"/>
      <c r="FH36" s="1783"/>
      <c r="FI36" s="178"/>
      <c r="FJ36" s="1608"/>
      <c r="FK36" s="1783"/>
      <c r="FL36" s="178"/>
      <c r="FM36" s="1608"/>
      <c r="FN36" s="1783"/>
      <c r="FO36" s="178"/>
      <c r="FP36" s="1608"/>
      <c r="FQ36" s="1783"/>
      <c r="FR36" s="178"/>
      <c r="FS36" s="1608"/>
      <c r="FT36" s="1783"/>
      <c r="FU36" s="539"/>
      <c r="FV36" s="1784"/>
      <c r="FW36" s="539"/>
      <c r="FX36" s="1784"/>
      <c r="FY36" s="539"/>
      <c r="FZ36" s="1784"/>
      <c r="GA36" s="539"/>
      <c r="GB36" s="1784"/>
      <c r="GC36" s="539"/>
      <c r="GD36" s="1784"/>
      <c r="GE36" s="539"/>
      <c r="GF36" s="1784"/>
      <c r="GG36" s="539"/>
      <c r="GH36" s="1784"/>
      <c r="GI36" s="539"/>
      <c r="GJ36" s="1784"/>
      <c r="GK36" s="539"/>
      <c r="GL36" s="1784"/>
    </row>
    <row r="37" spans="1:194" x14ac:dyDescent="0.2">
      <c r="A37" s="539" t="str">
        <f>+'1883 Hacienda'!A39</f>
        <v>Las pensiones de todas clases importan</v>
      </c>
      <c r="B37" s="178"/>
      <c r="C37" s="1608"/>
      <c r="D37" s="1783"/>
      <c r="E37" s="178"/>
      <c r="F37" s="1608"/>
      <c r="G37" s="1783"/>
      <c r="H37" s="178"/>
      <c r="I37" s="1608"/>
      <c r="J37" s="1783"/>
      <c r="K37" s="178"/>
      <c r="L37" s="1608"/>
      <c r="M37" s="1783"/>
      <c r="N37" s="178"/>
      <c r="O37" s="1608"/>
      <c r="P37" s="1783"/>
      <c r="Q37" s="539"/>
      <c r="R37" s="1784"/>
      <c r="S37" s="539"/>
      <c r="T37" s="1784"/>
      <c r="U37" s="539"/>
      <c r="V37" s="1784"/>
      <c r="W37" s="539"/>
      <c r="X37" s="1784"/>
      <c r="Y37" s="539"/>
      <c r="Z37" s="1784"/>
      <c r="AA37" s="539"/>
      <c r="AB37" s="1784"/>
      <c r="AC37" s="539"/>
      <c r="AD37" s="1784"/>
      <c r="AE37" s="539"/>
      <c r="AF37" s="1784"/>
      <c r="AG37" s="539"/>
      <c r="AH37" s="1784"/>
      <c r="AI37" s="539"/>
      <c r="AJ37" s="1756"/>
      <c r="AK37" s="178"/>
      <c r="AL37" s="1608"/>
      <c r="AM37" s="1608"/>
      <c r="AN37" s="1608"/>
      <c r="AO37" s="1783"/>
      <c r="AP37" s="178"/>
      <c r="AQ37" s="1608"/>
      <c r="AR37" s="1783"/>
      <c r="AS37" s="178"/>
      <c r="AT37" s="1608"/>
      <c r="AU37" s="1783"/>
      <c r="AV37" s="178"/>
      <c r="AW37" s="1608"/>
      <c r="AX37" s="1783"/>
      <c r="AY37" s="178"/>
      <c r="AZ37" s="1608"/>
      <c r="BA37" s="1783"/>
      <c r="BB37" s="178"/>
      <c r="BC37" s="1608"/>
      <c r="BD37" s="1783"/>
      <c r="BE37" s="178"/>
      <c r="BF37" s="1608"/>
      <c r="BG37" s="1783"/>
      <c r="BH37" s="178"/>
      <c r="BI37" s="1608"/>
      <c r="BJ37" s="1783"/>
      <c r="BK37" s="178"/>
      <c r="BL37" s="1608"/>
      <c r="BM37" s="1783"/>
      <c r="BN37" s="178"/>
      <c r="BO37" s="1608"/>
      <c r="BP37" s="1783"/>
      <c r="BQ37" s="178"/>
      <c r="BR37" s="1608"/>
      <c r="BS37" s="1783"/>
      <c r="BT37" s="539"/>
      <c r="BU37" s="1608"/>
      <c r="BV37" s="1783"/>
      <c r="BW37" s="178"/>
      <c r="BX37" s="1608"/>
      <c r="BY37" s="1783"/>
      <c r="BZ37" s="178"/>
      <c r="CA37" s="1608"/>
      <c r="CB37" s="1783"/>
      <c r="CC37" s="178"/>
      <c r="CD37" s="1608"/>
      <c r="CE37" s="1783"/>
      <c r="CF37" s="539"/>
      <c r="CG37" s="1608"/>
      <c r="CH37" s="1783"/>
      <c r="CI37" s="178"/>
      <c r="CJ37" s="1608"/>
      <c r="CK37" s="1783"/>
      <c r="CL37" s="178"/>
      <c r="CM37" s="1608"/>
      <c r="CN37" s="1783"/>
      <c r="CO37" s="178"/>
      <c r="CP37" s="1608"/>
      <c r="CQ37" s="1783"/>
      <c r="CR37" s="178"/>
      <c r="CS37" s="1608"/>
      <c r="CT37" s="1783"/>
      <c r="CU37" s="178"/>
      <c r="CV37" s="1608"/>
      <c r="CW37" s="1783"/>
      <c r="CX37" s="178"/>
      <c r="CY37" s="1608"/>
      <c r="CZ37" s="1783"/>
      <c r="DA37" s="178"/>
      <c r="DB37" s="1608"/>
      <c r="DC37" s="1783"/>
      <c r="DD37" s="539">
        <f>+'1883 Hacienda'!B39</f>
        <v>450000</v>
      </c>
      <c r="DE37" s="1608"/>
      <c r="DF37" s="1783"/>
      <c r="DG37" s="178"/>
      <c r="DH37" s="1608"/>
      <c r="DI37" s="1783"/>
      <c r="DJ37" s="178"/>
      <c r="DK37" s="1608"/>
      <c r="DL37" s="1783"/>
      <c r="DM37" s="178"/>
      <c r="DN37" s="1608"/>
      <c r="DO37" s="1783"/>
      <c r="DP37" s="178"/>
      <c r="DQ37" s="1608"/>
      <c r="DR37" s="1783"/>
      <c r="DS37" s="178"/>
      <c r="DT37" s="1608"/>
      <c r="DU37" s="1783"/>
      <c r="DV37" s="178"/>
      <c r="DW37" s="1608"/>
      <c r="DX37" s="1783"/>
      <c r="DY37" s="178"/>
      <c r="DZ37" s="1608"/>
      <c r="EA37" s="1783"/>
      <c r="EB37" s="178"/>
      <c r="EC37" s="1608"/>
      <c r="ED37" s="1783"/>
      <c r="EE37" s="178"/>
      <c r="EF37" s="1608"/>
      <c r="EG37" s="1783"/>
      <c r="EH37" s="178"/>
      <c r="EI37" s="1608"/>
      <c r="EJ37" s="1783"/>
      <c r="EK37" s="178"/>
      <c r="EL37" s="1608"/>
      <c r="EM37" s="1783"/>
      <c r="EN37" s="178"/>
      <c r="EO37" s="1608"/>
      <c r="EP37" s="1783"/>
      <c r="EQ37" s="178"/>
      <c r="ER37" s="1608"/>
      <c r="ES37" s="1783"/>
      <c r="ET37" s="178"/>
      <c r="EU37" s="1608"/>
      <c r="EV37" s="1783"/>
      <c r="EW37" s="178"/>
      <c r="EX37" s="1608"/>
      <c r="EY37" s="1783"/>
      <c r="EZ37" s="178"/>
      <c r="FA37" s="1608"/>
      <c r="FB37" s="1783"/>
      <c r="FC37" s="178"/>
      <c r="FD37" s="1608"/>
      <c r="FE37" s="1783"/>
      <c r="FF37" s="178"/>
      <c r="FG37" s="1608"/>
      <c r="FH37" s="1783"/>
      <c r="FI37" s="178"/>
      <c r="FJ37" s="1608"/>
      <c r="FK37" s="1783"/>
      <c r="FL37" s="178"/>
      <c r="FM37" s="1608"/>
      <c r="FN37" s="1783"/>
      <c r="FO37" s="178"/>
      <c r="FP37" s="1608"/>
      <c r="FQ37" s="1783"/>
      <c r="FR37" s="178"/>
      <c r="FS37" s="1608"/>
      <c r="FT37" s="1783"/>
      <c r="FU37" s="539"/>
      <c r="FV37" s="1784"/>
      <c r="FW37" s="539"/>
      <c r="FX37" s="1784"/>
      <c r="FY37" s="539"/>
      <c r="FZ37" s="1784"/>
      <c r="GA37" s="539"/>
      <c r="GB37" s="1784"/>
      <c r="GC37" s="539"/>
      <c r="GD37" s="1784"/>
      <c r="GE37" s="539"/>
      <c r="GF37" s="1784"/>
      <c r="GG37" s="539"/>
      <c r="GH37" s="1784"/>
      <c r="GI37" s="539"/>
      <c r="GJ37" s="1784"/>
      <c r="GK37" s="539"/>
      <c r="GL37" s="1784"/>
    </row>
    <row r="38" spans="1:194" ht="62.5" customHeight="1" x14ac:dyDescent="0.2">
      <c r="A38" s="539" t="str">
        <f>+'1883 Hacienda'!A40</f>
        <v>La Universidad nacional, las Escuelas normales y el Fomento de la instrucción primaria y de diversos institutos y asociaciones científicas exigen</v>
      </c>
      <c r="B38" s="178"/>
      <c r="C38" s="1608"/>
      <c r="D38" s="1783"/>
      <c r="E38" s="178"/>
      <c r="F38" s="1608"/>
      <c r="G38" s="1783"/>
      <c r="H38" s="178"/>
      <c r="I38" s="1608"/>
      <c r="J38" s="1783"/>
      <c r="K38" s="178"/>
      <c r="L38" s="1608"/>
      <c r="M38" s="1783"/>
      <c r="N38" s="178"/>
      <c r="O38" s="1608"/>
      <c r="P38" s="1783"/>
      <c r="Q38" s="539"/>
      <c r="R38" s="1784"/>
      <c r="S38" s="539"/>
      <c r="T38" s="1784"/>
      <c r="U38" s="539"/>
      <c r="V38" s="1784"/>
      <c r="W38" s="539"/>
      <c r="X38" s="1784"/>
      <c r="Y38" s="539"/>
      <c r="Z38" s="1784"/>
      <c r="AA38" s="539"/>
      <c r="AB38" s="1784"/>
      <c r="AC38" s="539"/>
      <c r="AD38" s="1784"/>
      <c r="AE38" s="539"/>
      <c r="AF38" s="1784"/>
      <c r="AG38" s="539"/>
      <c r="AH38" s="1784"/>
      <c r="AI38" s="539"/>
      <c r="AJ38" s="1756"/>
      <c r="AK38" s="178"/>
      <c r="AL38" s="1608"/>
      <c r="AM38" s="1608"/>
      <c r="AN38" s="1608"/>
      <c r="AO38" s="1783"/>
      <c r="AP38" s="178"/>
      <c r="AQ38" s="1608"/>
      <c r="AR38" s="1783"/>
      <c r="AS38" s="178"/>
      <c r="AT38" s="1608"/>
      <c r="AU38" s="1783"/>
      <c r="AV38" s="178"/>
      <c r="AW38" s="1608"/>
      <c r="AX38" s="1783"/>
      <c r="AY38" s="178"/>
      <c r="AZ38" s="1608"/>
      <c r="BA38" s="1783"/>
      <c r="BB38" s="178"/>
      <c r="BC38" s="1608"/>
      <c r="BD38" s="1783"/>
      <c r="BE38" s="178"/>
      <c r="BF38" s="1608"/>
      <c r="BG38" s="1783"/>
      <c r="BH38" s="178"/>
      <c r="BI38" s="1608"/>
      <c r="BJ38" s="1783"/>
      <c r="BK38" s="178"/>
      <c r="BL38" s="1608"/>
      <c r="BM38" s="1783"/>
      <c r="BN38" s="178"/>
      <c r="BO38" s="1608"/>
      <c r="BP38" s="1783"/>
      <c r="BQ38" s="178"/>
      <c r="BR38" s="1608"/>
      <c r="BS38" s="1783"/>
      <c r="BT38" s="539"/>
      <c r="BU38" s="1608"/>
      <c r="BV38" s="1783"/>
      <c r="BW38" s="178"/>
      <c r="BX38" s="1608"/>
      <c r="BY38" s="1783"/>
      <c r="BZ38" s="178"/>
      <c r="CA38" s="1608"/>
      <c r="CB38" s="1783"/>
      <c r="CC38" s="178"/>
      <c r="CD38" s="1608"/>
      <c r="CE38" s="1783"/>
      <c r="CF38" s="539"/>
      <c r="CG38" s="1608"/>
      <c r="CH38" s="1783"/>
      <c r="CI38" s="178"/>
      <c r="CJ38" s="1608"/>
      <c r="CK38" s="1783"/>
      <c r="CL38" s="178"/>
      <c r="CM38" s="1608"/>
      <c r="CN38" s="1783"/>
      <c r="CO38" s="178"/>
      <c r="CP38" s="1608"/>
      <c r="CQ38" s="1783"/>
      <c r="CR38" s="178"/>
      <c r="CS38" s="1608"/>
      <c r="CT38" s="1783"/>
      <c r="CU38" s="178"/>
      <c r="CV38" s="1608"/>
      <c r="CW38" s="1783"/>
      <c r="CX38" s="178"/>
      <c r="CY38" s="1608"/>
      <c r="CZ38" s="1783"/>
      <c r="DA38" s="178"/>
      <c r="DB38" s="1608"/>
      <c r="DC38" s="1783"/>
      <c r="DD38" s="539">
        <f>+'1883 Hacienda'!B40</f>
        <v>600000</v>
      </c>
      <c r="DE38" s="1608"/>
      <c r="DF38" s="1783"/>
      <c r="DG38" s="178"/>
      <c r="DH38" s="1608"/>
      <c r="DI38" s="1783"/>
      <c r="DJ38" s="178"/>
      <c r="DK38" s="1608"/>
      <c r="DL38" s="1783"/>
      <c r="DM38" s="178"/>
      <c r="DN38" s="1608"/>
      <c r="DO38" s="1783"/>
      <c r="DP38" s="178"/>
      <c r="DQ38" s="1608"/>
      <c r="DR38" s="1783"/>
      <c r="DS38" s="178"/>
      <c r="DT38" s="1608"/>
      <c r="DU38" s="1783"/>
      <c r="DV38" s="178"/>
      <c r="DW38" s="1608"/>
      <c r="DX38" s="1783"/>
      <c r="DY38" s="178"/>
      <c r="DZ38" s="1608"/>
      <c r="EA38" s="1783"/>
      <c r="EB38" s="178"/>
      <c r="EC38" s="1608"/>
      <c r="ED38" s="1783"/>
      <c r="EE38" s="178"/>
      <c r="EF38" s="1608"/>
      <c r="EG38" s="1783"/>
      <c r="EH38" s="178"/>
      <c r="EI38" s="1608"/>
      <c r="EJ38" s="1783"/>
      <c r="EK38" s="178"/>
      <c r="EL38" s="1608"/>
      <c r="EM38" s="1783"/>
      <c r="EN38" s="178"/>
      <c r="EO38" s="1608"/>
      <c r="EP38" s="1783"/>
      <c r="EQ38" s="178"/>
      <c r="ER38" s="1608"/>
      <c r="ES38" s="1783"/>
      <c r="ET38" s="178"/>
      <c r="EU38" s="1608"/>
      <c r="EV38" s="1783"/>
      <c r="EW38" s="178"/>
      <c r="EX38" s="1608"/>
      <c r="EY38" s="1783"/>
      <c r="EZ38" s="178"/>
      <c r="FA38" s="1608"/>
      <c r="FB38" s="1783"/>
      <c r="FC38" s="178"/>
      <c r="FD38" s="1608"/>
      <c r="FE38" s="1783"/>
      <c r="FF38" s="178"/>
      <c r="FG38" s="1608"/>
      <c r="FH38" s="1783"/>
      <c r="FI38" s="178"/>
      <c r="FJ38" s="1608"/>
      <c r="FK38" s="1783"/>
      <c r="FL38" s="178"/>
      <c r="FM38" s="1608"/>
      <c r="FN38" s="1783"/>
      <c r="FO38" s="178"/>
      <c r="FP38" s="1608"/>
      <c r="FQ38" s="1783"/>
      <c r="FR38" s="178"/>
      <c r="FS38" s="1608"/>
      <c r="FT38" s="1783"/>
      <c r="FU38" s="539"/>
      <c r="FV38" s="1784"/>
      <c r="FW38" s="539"/>
      <c r="FX38" s="1784"/>
      <c r="FY38" s="539"/>
      <c r="FZ38" s="1784"/>
      <c r="GA38" s="539"/>
      <c r="GB38" s="1784"/>
      <c r="GC38" s="539"/>
      <c r="GD38" s="1784"/>
      <c r="GE38" s="539"/>
      <c r="GF38" s="1784"/>
      <c r="GG38" s="539"/>
      <c r="GH38" s="1784"/>
      <c r="GI38" s="539"/>
      <c r="GJ38" s="1784"/>
      <c r="GK38" s="539"/>
      <c r="GL38" s="1784"/>
    </row>
    <row r="39" spans="1:194" x14ac:dyDescent="0.2">
      <c r="A39" s="539"/>
      <c r="B39" s="178"/>
      <c r="C39" s="1608"/>
      <c r="D39" s="1783"/>
      <c r="E39" s="178"/>
      <c r="F39" s="1608"/>
      <c r="G39" s="1783"/>
      <c r="H39" s="178"/>
      <c r="I39" s="1608"/>
      <c r="J39" s="1783"/>
      <c r="K39" s="178"/>
      <c r="L39" s="1608"/>
      <c r="M39" s="1783"/>
      <c r="N39" s="178"/>
      <c r="O39" s="1608"/>
      <c r="P39" s="1783"/>
      <c r="Q39" s="539"/>
      <c r="R39" s="1784"/>
      <c r="S39" s="539"/>
      <c r="T39" s="1784"/>
      <c r="U39" s="539"/>
      <c r="V39" s="1784"/>
      <c r="W39" s="539"/>
      <c r="X39" s="1784"/>
      <c r="Y39" s="539"/>
      <c r="Z39" s="1784"/>
      <c r="AA39" s="539"/>
      <c r="AB39" s="1784"/>
      <c r="AC39" s="539"/>
      <c r="AD39" s="1784"/>
      <c r="AE39" s="539"/>
      <c r="AF39" s="1784"/>
      <c r="AG39" s="539"/>
      <c r="AH39" s="1784"/>
      <c r="AI39" s="539"/>
      <c r="AJ39" s="1756"/>
      <c r="AK39" s="178"/>
      <c r="AL39" s="1608"/>
      <c r="AM39" s="1608"/>
      <c r="AN39" s="1608"/>
      <c r="AO39" s="1783"/>
      <c r="AP39" s="178"/>
      <c r="AQ39" s="1608"/>
      <c r="AR39" s="1783"/>
      <c r="AS39" s="178"/>
      <c r="AT39" s="1608"/>
      <c r="AU39" s="1783"/>
      <c r="AV39" s="178"/>
      <c r="AW39" s="1608"/>
      <c r="AX39" s="1783"/>
      <c r="AY39" s="178"/>
      <c r="AZ39" s="1608"/>
      <c r="BA39" s="1783"/>
      <c r="BB39" s="178"/>
      <c r="BC39" s="1608"/>
      <c r="BD39" s="1783"/>
      <c r="BE39" s="178"/>
      <c r="BF39" s="1608"/>
      <c r="BG39" s="1783"/>
      <c r="BH39" s="178"/>
      <c r="BI39" s="1608"/>
      <c r="BJ39" s="1783"/>
      <c r="BK39" s="178"/>
      <c r="BL39" s="1608"/>
      <c r="BM39" s="1783"/>
      <c r="BN39" s="178"/>
      <c r="BO39" s="1608"/>
      <c r="BP39" s="1783"/>
      <c r="BQ39" s="178"/>
      <c r="BR39" s="1608"/>
      <c r="BS39" s="1783"/>
      <c r="BT39" s="539"/>
      <c r="BU39" s="1608"/>
      <c r="BV39" s="1783"/>
      <c r="BW39" s="178"/>
      <c r="BX39" s="1608"/>
      <c r="BY39" s="1783"/>
      <c r="BZ39" s="178"/>
      <c r="CA39" s="1608"/>
      <c r="CB39" s="1783"/>
      <c r="CC39" s="178"/>
      <c r="CD39" s="1608"/>
      <c r="CE39" s="1783"/>
      <c r="CF39" s="539"/>
      <c r="CG39" s="1608"/>
      <c r="CH39" s="1783"/>
      <c r="CI39" s="178"/>
      <c r="CJ39" s="1608"/>
      <c r="CK39" s="1783"/>
      <c r="CL39" s="178"/>
      <c r="CM39" s="1608"/>
      <c r="CN39" s="1783"/>
      <c r="CO39" s="178"/>
      <c r="CP39" s="1608"/>
      <c r="CQ39" s="1783"/>
      <c r="CR39" s="178"/>
      <c r="CS39" s="1608"/>
      <c r="CT39" s="1783"/>
      <c r="CU39" s="178"/>
      <c r="CV39" s="1608"/>
      <c r="CW39" s="1783"/>
      <c r="CX39" s="178"/>
      <c r="CY39" s="1608"/>
      <c r="CZ39" s="1783"/>
      <c r="DA39" s="178"/>
      <c r="DB39" s="1608"/>
      <c r="DC39" s="1783"/>
      <c r="DD39" s="178"/>
      <c r="DE39" s="1608"/>
      <c r="DF39" s="1783"/>
      <c r="DG39" s="178"/>
      <c r="DH39" s="1608"/>
      <c r="DI39" s="1783"/>
      <c r="DJ39" s="178"/>
      <c r="DK39" s="1608"/>
      <c r="DL39" s="1783"/>
      <c r="DM39" s="178"/>
      <c r="DN39" s="1608"/>
      <c r="DO39" s="1783"/>
      <c r="DP39" s="178"/>
      <c r="DQ39" s="1608"/>
      <c r="DR39" s="1783"/>
      <c r="DS39" s="178"/>
      <c r="DT39" s="1608"/>
      <c r="DU39" s="1783"/>
      <c r="DV39" s="178"/>
      <c r="DW39" s="1608"/>
      <c r="DX39" s="1783"/>
      <c r="DY39" s="178"/>
      <c r="DZ39" s="1608"/>
      <c r="EA39" s="1783"/>
      <c r="EB39" s="178"/>
      <c r="EC39" s="1608"/>
      <c r="ED39" s="1783"/>
      <c r="EE39" s="178"/>
      <c r="EF39" s="1608"/>
      <c r="EG39" s="1783"/>
      <c r="EH39" s="178"/>
      <c r="EI39" s="1608"/>
      <c r="EJ39" s="1783"/>
      <c r="EK39" s="178"/>
      <c r="EL39" s="1608"/>
      <c r="EM39" s="1783"/>
      <c r="EN39" s="178"/>
      <c r="EO39" s="1608"/>
      <c r="EP39" s="1783"/>
      <c r="EQ39" s="178"/>
      <c r="ER39" s="1608"/>
      <c r="ES39" s="1783"/>
      <c r="ET39" s="178"/>
      <c r="EU39" s="1608"/>
      <c r="EV39" s="1783"/>
      <c r="EW39" s="178"/>
      <c r="EX39" s="1608"/>
      <c r="EY39" s="1783"/>
      <c r="EZ39" s="178"/>
      <c r="FA39" s="1608"/>
      <c r="FB39" s="1783"/>
      <c r="FC39" s="178"/>
      <c r="FD39" s="1608"/>
      <c r="FE39" s="1783"/>
      <c r="FF39" s="178"/>
      <c r="FG39" s="1608"/>
      <c r="FH39" s="1783"/>
      <c r="FI39" s="178"/>
      <c r="FJ39" s="1608"/>
      <c r="FK39" s="1783"/>
      <c r="FL39" s="178"/>
      <c r="FM39" s="1608"/>
      <c r="FN39" s="1783"/>
      <c r="FO39" s="178"/>
      <c r="FP39" s="1608"/>
      <c r="FQ39" s="1783"/>
      <c r="FR39" s="178"/>
      <c r="FS39" s="1608"/>
      <c r="FT39" s="1783"/>
      <c r="FU39" s="539"/>
      <c r="FV39" s="1784"/>
      <c r="FW39" s="539"/>
      <c r="FX39" s="1784"/>
      <c r="FY39" s="539"/>
      <c r="FZ39" s="1784"/>
      <c r="GA39" s="539"/>
      <c r="GB39" s="1784"/>
      <c r="GC39" s="539"/>
      <c r="GD39" s="1784"/>
      <c r="GE39" s="539"/>
      <c r="GF39" s="1784"/>
      <c r="GG39" s="539"/>
      <c r="GH39" s="1784"/>
      <c r="GI39" s="539"/>
      <c r="GJ39" s="1784"/>
      <c r="GK39" s="539"/>
      <c r="GL39" s="1784"/>
    </row>
    <row r="40" spans="1:194" x14ac:dyDescent="0.2">
      <c r="A40" s="539"/>
      <c r="B40" s="178"/>
      <c r="C40" s="1608"/>
      <c r="D40" s="1783"/>
      <c r="E40" s="178"/>
      <c r="F40" s="1608"/>
      <c r="G40" s="1783"/>
      <c r="H40" s="178"/>
      <c r="I40" s="1608"/>
      <c r="J40" s="1783"/>
      <c r="K40" s="178"/>
      <c r="L40" s="1608"/>
      <c r="M40" s="1783"/>
      <c r="N40" s="178"/>
      <c r="O40" s="1608"/>
      <c r="P40" s="1783"/>
      <c r="Q40" s="539"/>
      <c r="R40" s="1784"/>
      <c r="S40" s="539"/>
      <c r="T40" s="1784"/>
      <c r="U40" s="539"/>
      <c r="V40" s="1784"/>
      <c r="W40" s="539"/>
      <c r="X40" s="1784"/>
      <c r="Y40" s="539"/>
      <c r="Z40" s="1784"/>
      <c r="AA40" s="539"/>
      <c r="AB40" s="1784"/>
      <c r="AC40" s="539"/>
      <c r="AD40" s="1784"/>
      <c r="AE40" s="539"/>
      <c r="AF40" s="1784"/>
      <c r="AG40" s="539"/>
      <c r="AH40" s="1784"/>
      <c r="AI40" s="539"/>
      <c r="AJ40" s="1756"/>
      <c r="AK40" s="178"/>
      <c r="AL40" s="1608"/>
      <c r="AM40" s="1608"/>
      <c r="AN40" s="1608"/>
      <c r="AO40" s="1783"/>
      <c r="AP40" s="178"/>
      <c r="AQ40" s="1608"/>
      <c r="AR40" s="1783"/>
      <c r="AS40" s="178"/>
      <c r="AT40" s="1608"/>
      <c r="AU40" s="1783"/>
      <c r="AV40" s="178"/>
      <c r="AW40" s="1608"/>
      <c r="AX40" s="1783"/>
      <c r="AY40" s="178"/>
      <c r="AZ40" s="1608"/>
      <c r="BA40" s="1783"/>
      <c r="BB40" s="178"/>
      <c r="BC40" s="1608"/>
      <c r="BD40" s="1783"/>
      <c r="BE40" s="178"/>
      <c r="BF40" s="1608"/>
      <c r="BG40" s="1783"/>
      <c r="BH40" s="178"/>
      <c r="BI40" s="1608"/>
      <c r="BJ40" s="1783"/>
      <c r="BK40" s="178"/>
      <c r="BL40" s="1608"/>
      <c r="BM40" s="1783"/>
      <c r="BN40" s="178"/>
      <c r="BO40" s="1608"/>
      <c r="BP40" s="1783"/>
      <c r="BQ40" s="178"/>
      <c r="BR40" s="1608"/>
      <c r="BS40" s="1783"/>
      <c r="BT40" s="539"/>
      <c r="BU40" s="1608"/>
      <c r="BV40" s="1783"/>
      <c r="BW40" s="178"/>
      <c r="BX40" s="1608"/>
      <c r="BY40" s="1783"/>
      <c r="BZ40" s="178"/>
      <c r="CA40" s="1608"/>
      <c r="CB40" s="1783"/>
      <c r="CC40" s="178"/>
      <c r="CD40" s="1608"/>
      <c r="CE40" s="1783"/>
      <c r="CF40" s="539"/>
      <c r="CG40" s="1608"/>
      <c r="CH40" s="1783"/>
      <c r="CI40" s="178"/>
      <c r="CJ40" s="1608"/>
      <c r="CK40" s="1783"/>
      <c r="CL40" s="178"/>
      <c r="CM40" s="1608"/>
      <c r="CN40" s="1783"/>
      <c r="CO40" s="178"/>
      <c r="CP40" s="1608"/>
      <c r="CQ40" s="1783"/>
      <c r="CR40" s="178"/>
      <c r="CS40" s="1608"/>
      <c r="CT40" s="1783"/>
      <c r="CU40" s="178"/>
      <c r="CV40" s="1608"/>
      <c r="CW40" s="1783"/>
      <c r="CX40" s="178"/>
      <c r="CY40" s="1608"/>
      <c r="CZ40" s="1783"/>
      <c r="DA40" s="178"/>
      <c r="DB40" s="1608"/>
      <c r="DC40" s="1783"/>
      <c r="DD40" s="178"/>
      <c r="DE40" s="1608"/>
      <c r="DF40" s="1783"/>
      <c r="DG40" s="178"/>
      <c r="DH40" s="1608"/>
      <c r="DI40" s="1783"/>
      <c r="DJ40" s="178"/>
      <c r="DK40" s="1608"/>
      <c r="DL40" s="1783"/>
      <c r="DM40" s="178"/>
      <c r="DN40" s="1608"/>
      <c r="DO40" s="1783"/>
      <c r="DP40" s="178"/>
      <c r="DQ40" s="1608"/>
      <c r="DR40" s="1783"/>
      <c r="DS40" s="178"/>
      <c r="DT40" s="1608"/>
      <c r="DU40" s="1783"/>
      <c r="DV40" s="178"/>
      <c r="DW40" s="1608"/>
      <c r="DX40" s="1783"/>
      <c r="DY40" s="178"/>
      <c r="DZ40" s="1608"/>
      <c r="EA40" s="1783"/>
      <c r="EB40" s="178"/>
      <c r="EC40" s="1608"/>
      <c r="ED40" s="1783"/>
      <c r="EE40" s="178"/>
      <c r="EF40" s="1608"/>
      <c r="EG40" s="1783"/>
      <c r="EH40" s="178"/>
      <c r="EI40" s="1608"/>
      <c r="EJ40" s="1783"/>
      <c r="EK40" s="178"/>
      <c r="EL40" s="1608"/>
      <c r="EM40" s="1783"/>
      <c r="EN40" s="178"/>
      <c r="EO40" s="1608"/>
      <c r="EP40" s="1783"/>
      <c r="EQ40" s="178"/>
      <c r="ER40" s="1608"/>
      <c r="ES40" s="1783"/>
      <c r="ET40" s="178"/>
      <c r="EU40" s="1608"/>
      <c r="EV40" s="1783"/>
      <c r="EW40" s="178"/>
      <c r="EX40" s="1608"/>
      <c r="EY40" s="1783"/>
      <c r="EZ40" s="178"/>
      <c r="FA40" s="1608"/>
      <c r="FB40" s="1783"/>
      <c r="FC40" s="178"/>
      <c r="FD40" s="1608"/>
      <c r="FE40" s="1783"/>
      <c r="FF40" s="178"/>
      <c r="FG40" s="1608"/>
      <c r="FH40" s="1783"/>
      <c r="FI40" s="178"/>
      <c r="FJ40" s="1608"/>
      <c r="FK40" s="1783"/>
      <c r="FL40" s="178"/>
      <c r="FM40" s="1608"/>
      <c r="FN40" s="1783"/>
      <c r="FO40" s="178"/>
      <c r="FP40" s="1608"/>
      <c r="FQ40" s="1783"/>
      <c r="FR40" s="178"/>
      <c r="FS40" s="1608"/>
      <c r="FT40" s="1783"/>
      <c r="FU40" s="539"/>
      <c r="FV40" s="1784"/>
      <c r="FW40" s="539"/>
      <c r="FX40" s="1784"/>
      <c r="FY40" s="539"/>
      <c r="FZ40" s="1784"/>
      <c r="GA40" s="539"/>
      <c r="GB40" s="1784"/>
      <c r="GC40" s="539"/>
      <c r="GD40" s="1784"/>
      <c r="GE40" s="539"/>
      <c r="GF40" s="1784"/>
      <c r="GG40" s="539"/>
      <c r="GH40" s="1784"/>
      <c r="GI40" s="539"/>
      <c r="GJ40" s="1784"/>
      <c r="GK40" s="539"/>
      <c r="GL40" s="1784"/>
    </row>
    <row r="41" spans="1:194" x14ac:dyDescent="0.2">
      <c r="A41" s="539"/>
      <c r="B41" s="178"/>
      <c r="C41" s="1608"/>
      <c r="D41" s="1783"/>
      <c r="E41" s="178"/>
      <c r="F41" s="1608"/>
      <c r="G41" s="1783"/>
      <c r="H41" s="178"/>
      <c r="I41" s="1608"/>
      <c r="J41" s="1783"/>
      <c r="K41" s="178"/>
      <c r="L41" s="1608"/>
      <c r="M41" s="1783"/>
      <c r="N41" s="178"/>
      <c r="O41" s="1608"/>
      <c r="P41" s="1783"/>
      <c r="Q41" s="539"/>
      <c r="R41" s="1784"/>
      <c r="S41" s="539"/>
      <c r="T41" s="1784"/>
      <c r="U41" s="539"/>
      <c r="V41" s="1784"/>
      <c r="W41" s="539"/>
      <c r="X41" s="1784"/>
      <c r="Y41" s="539"/>
      <c r="Z41" s="1784"/>
      <c r="AA41" s="539"/>
      <c r="AB41" s="1784"/>
      <c r="AC41" s="539"/>
      <c r="AD41" s="1784"/>
      <c r="AE41" s="539"/>
      <c r="AF41" s="1784"/>
      <c r="AG41" s="539"/>
      <c r="AH41" s="1784"/>
      <c r="AI41" s="539"/>
      <c r="AJ41" s="1756"/>
      <c r="AK41" s="178"/>
      <c r="AL41" s="1608"/>
      <c r="AM41" s="1608"/>
      <c r="AN41" s="1608"/>
      <c r="AO41" s="1783"/>
      <c r="AP41" s="178"/>
      <c r="AQ41" s="1608"/>
      <c r="AR41" s="1783"/>
      <c r="AS41" s="178"/>
      <c r="AT41" s="1608"/>
      <c r="AU41" s="1783"/>
      <c r="AV41" s="178"/>
      <c r="AW41" s="1608"/>
      <c r="AX41" s="1783"/>
      <c r="AY41" s="178"/>
      <c r="AZ41" s="1608"/>
      <c r="BA41" s="1783"/>
      <c r="BB41" s="178"/>
      <c r="BC41" s="1608"/>
      <c r="BD41" s="1783"/>
      <c r="BE41" s="178"/>
      <c r="BF41" s="1608"/>
      <c r="BG41" s="1783"/>
      <c r="BH41" s="178"/>
      <c r="BI41" s="1608"/>
      <c r="BJ41" s="1783"/>
      <c r="BK41" s="178"/>
      <c r="BL41" s="1608"/>
      <c r="BM41" s="1783"/>
      <c r="BN41" s="178"/>
      <c r="BO41" s="1608"/>
      <c r="BP41" s="1783"/>
      <c r="BQ41" s="178"/>
      <c r="BR41" s="1608"/>
      <c r="BS41" s="1783"/>
      <c r="BT41" s="539"/>
      <c r="BU41" s="1608"/>
      <c r="BV41" s="1783"/>
      <c r="BW41" s="178"/>
      <c r="BX41" s="1608"/>
      <c r="BY41" s="1783"/>
      <c r="BZ41" s="178"/>
      <c r="CA41" s="1608"/>
      <c r="CB41" s="1783"/>
      <c r="CC41" s="178"/>
      <c r="CD41" s="1608"/>
      <c r="CE41" s="1783"/>
      <c r="CF41" s="539"/>
      <c r="CG41" s="1608"/>
      <c r="CH41" s="1783"/>
      <c r="CI41" s="178"/>
      <c r="CJ41" s="1608"/>
      <c r="CK41" s="1783"/>
      <c r="CL41" s="178"/>
      <c r="CM41" s="1608"/>
      <c r="CN41" s="1783"/>
      <c r="CO41" s="178"/>
      <c r="CP41" s="1608"/>
      <c r="CQ41" s="1783"/>
      <c r="CR41" s="178"/>
      <c r="CS41" s="1608"/>
      <c r="CT41" s="1783"/>
      <c r="CU41" s="178"/>
      <c r="CV41" s="1608"/>
      <c r="CW41" s="1783"/>
      <c r="CX41" s="178"/>
      <c r="CY41" s="1608"/>
      <c r="CZ41" s="1783"/>
      <c r="DA41" s="178"/>
      <c r="DB41" s="1608"/>
      <c r="DC41" s="1783"/>
      <c r="DD41" s="178"/>
      <c r="DE41" s="1608"/>
      <c r="DF41" s="1783"/>
      <c r="DG41" s="178"/>
      <c r="DH41" s="1608"/>
      <c r="DI41" s="1783"/>
      <c r="DJ41" s="178"/>
      <c r="DK41" s="1608"/>
      <c r="DL41" s="1783"/>
      <c r="DM41" s="178"/>
      <c r="DN41" s="1608"/>
      <c r="DO41" s="1783"/>
      <c r="DP41" s="178"/>
      <c r="DQ41" s="1608"/>
      <c r="DR41" s="1783"/>
      <c r="DS41" s="178"/>
      <c r="DT41" s="1608"/>
      <c r="DU41" s="1783"/>
      <c r="DV41" s="178"/>
      <c r="DW41" s="1608"/>
      <c r="DX41" s="1783"/>
      <c r="DY41" s="178"/>
      <c r="DZ41" s="1608"/>
      <c r="EA41" s="1783"/>
      <c r="EB41" s="178"/>
      <c r="EC41" s="1608"/>
      <c r="ED41" s="1783"/>
      <c r="EE41" s="178"/>
      <c r="EF41" s="1608"/>
      <c r="EG41" s="1783"/>
      <c r="EH41" s="178"/>
      <c r="EI41" s="1608"/>
      <c r="EJ41" s="1783"/>
      <c r="EK41" s="178"/>
      <c r="EL41" s="1608"/>
      <c r="EM41" s="1783"/>
      <c r="EN41" s="178"/>
      <c r="EO41" s="1608"/>
      <c r="EP41" s="1783"/>
      <c r="EQ41" s="178"/>
      <c r="ER41" s="1608"/>
      <c r="ES41" s="1783"/>
      <c r="ET41" s="178"/>
      <c r="EU41" s="1608"/>
      <c r="EV41" s="1783"/>
      <c r="EW41" s="178"/>
      <c r="EX41" s="1608"/>
      <c r="EY41" s="1783"/>
      <c r="EZ41" s="178"/>
      <c r="FA41" s="1608"/>
      <c r="FB41" s="1783"/>
      <c r="FC41" s="178"/>
      <c r="FD41" s="1608"/>
      <c r="FE41" s="1783"/>
      <c r="FF41" s="178"/>
      <c r="FG41" s="1608"/>
      <c r="FH41" s="1783"/>
      <c r="FI41" s="178"/>
      <c r="FJ41" s="1608"/>
      <c r="FK41" s="1783"/>
      <c r="FL41" s="178"/>
      <c r="FM41" s="1608"/>
      <c r="FN41" s="1783"/>
      <c r="FO41" s="178"/>
      <c r="FP41" s="1608"/>
      <c r="FQ41" s="1783"/>
      <c r="FR41" s="178"/>
      <c r="FS41" s="1608"/>
      <c r="FT41" s="1783"/>
      <c r="FU41" s="539"/>
      <c r="FV41" s="1784"/>
      <c r="FW41" s="539"/>
      <c r="FX41" s="1784"/>
      <c r="FY41" s="539"/>
      <c r="FZ41" s="1784"/>
      <c r="GA41" s="539"/>
      <c r="GB41" s="1784"/>
      <c r="GC41" s="539"/>
      <c r="GD41" s="1784"/>
      <c r="GE41" s="539"/>
      <c r="GF41" s="1784"/>
      <c r="GG41" s="539"/>
      <c r="GH41" s="1784"/>
      <c r="GI41" s="539"/>
      <c r="GJ41" s="1784"/>
      <c r="GK41" s="539"/>
      <c r="GL41" s="1784"/>
    </row>
    <row r="42" spans="1:194" s="458" customFormat="1" ht="20.25" customHeight="1" x14ac:dyDescent="0.2">
      <c r="A42" s="1739" t="s">
        <v>6010</v>
      </c>
      <c r="B42" s="1757">
        <f>+'1843 Hacienda'!E113</f>
        <v>3898339</v>
      </c>
      <c r="C42" s="1760">
        <f>+'1843 Hacienda'!F113</f>
        <v>4</v>
      </c>
      <c r="D42" s="1759">
        <f>+'1843 Hacienda'!G113</f>
        <v>0.75</v>
      </c>
      <c r="E42" s="1757">
        <f>+'1845 Hacienda'!H87</f>
        <v>3557111</v>
      </c>
      <c r="F42" s="1760">
        <f>+'1845 Hacienda'!I87</f>
        <v>6</v>
      </c>
      <c r="G42" s="1759">
        <f>+'1845 Hacienda'!J87</f>
        <v>0.75</v>
      </c>
      <c r="H42" s="1757">
        <f>+'1846 Hacienda'!E36</f>
        <v>3017897</v>
      </c>
      <c r="I42" s="1760">
        <f>+'1846 Hacienda'!F36</f>
        <v>4</v>
      </c>
      <c r="J42" s="1759">
        <f>+'1846 Hacienda'!G36</f>
        <v>1</v>
      </c>
      <c r="K42" s="1757"/>
      <c r="L42" s="1760"/>
      <c r="M42" s="1759"/>
      <c r="N42" s="1757">
        <f>+'1858 Hacienda'!D118</f>
        <v>2877116</v>
      </c>
      <c r="O42" s="1760">
        <f>+'1858 Hacienda'!E118</f>
        <v>657</v>
      </c>
      <c r="P42" s="1759"/>
      <c r="Q42" s="1757">
        <f>+'1858 Hacienda'!D119</f>
        <v>2783937</v>
      </c>
      <c r="R42" s="1762">
        <f>+'1858 Hacienda'!E119</f>
        <v>518</v>
      </c>
      <c r="S42" s="1757">
        <f>+'1858 Hacienda'!D120</f>
        <v>2618044</v>
      </c>
      <c r="T42" s="1762">
        <f>+'1858 Hacienda'!E120</f>
        <v>482</v>
      </c>
      <c r="U42" s="1757">
        <f>+'1858 Hacienda'!B529</f>
        <v>2475986</v>
      </c>
      <c r="V42" s="1762">
        <f>+'1858 Hacienda'!C529</f>
        <v>685</v>
      </c>
      <c r="W42" s="1757">
        <f>+'1858 Hacienda'!D122</f>
        <v>2278170</v>
      </c>
      <c r="X42" s="1762">
        <f>+'1858 Hacienda'!E122</f>
        <v>459</v>
      </c>
      <c r="Y42" s="1757">
        <f>+'1858 Hacienda'!D123</f>
        <v>2164518</v>
      </c>
      <c r="Z42" s="1762">
        <f>+'1858 Hacienda'!E123</f>
        <v>16</v>
      </c>
      <c r="AA42" s="1757">
        <f>+'1858 Hacienda'!D124</f>
        <v>1943390</v>
      </c>
      <c r="AB42" s="1762">
        <f>+'1858 Hacienda'!E124</f>
        <v>437</v>
      </c>
      <c r="AC42" s="1757">
        <f>+'1858 Hacienda'!D125</f>
        <v>2185526</v>
      </c>
      <c r="AD42" s="1762">
        <f>+'1858 Hacienda'!E125</f>
        <v>223</v>
      </c>
      <c r="AE42" s="1757">
        <f>+'1858 Hacienda'!D126</f>
        <v>1993498</v>
      </c>
      <c r="AF42" s="1762">
        <f>+'1858 Hacienda'!E126</f>
        <v>307</v>
      </c>
      <c r="AG42" s="1757">
        <f>+'1858 Hacienda'!D127</f>
        <v>1713843</v>
      </c>
      <c r="AH42" s="1762">
        <f>+'1858 Hacienda'!E127</f>
        <v>931</v>
      </c>
      <c r="AI42" s="1757">
        <f>+'1858 Hacienda'!D128</f>
        <v>1775667</v>
      </c>
      <c r="AJ42" s="1760">
        <f>+'1858 Hacienda'!E128</f>
        <v>111</v>
      </c>
      <c r="AK42" s="1757">
        <f>+'1861 Hacienda'!D97</f>
        <v>1977764</v>
      </c>
      <c r="AL42" s="1762">
        <f>+'1861 Hacienda'!E97</f>
        <v>180</v>
      </c>
      <c r="AM42" s="1760"/>
      <c r="AN42" s="1760"/>
      <c r="AO42" s="1759"/>
      <c r="AP42" s="1757"/>
      <c r="AQ42" s="1760"/>
      <c r="AR42" s="1759"/>
      <c r="AS42" s="1757"/>
      <c r="AT42" s="1760"/>
      <c r="AU42" s="1759"/>
      <c r="AV42" s="1757"/>
      <c r="AW42" s="1760"/>
      <c r="AX42" s="1759"/>
      <c r="AY42" s="1757"/>
      <c r="AZ42" s="1760"/>
      <c r="BA42" s="1759"/>
      <c r="BB42" s="1757"/>
      <c r="BC42" s="1760"/>
      <c r="BD42" s="1759"/>
      <c r="BE42" s="1757"/>
      <c r="BF42" s="1760"/>
      <c r="BG42" s="1759"/>
      <c r="BH42" s="1757"/>
      <c r="BI42" s="1760"/>
      <c r="BJ42" s="1759"/>
      <c r="BK42" s="1757"/>
      <c r="BL42" s="1760"/>
      <c r="BM42" s="1759"/>
      <c r="BN42" s="1757"/>
      <c r="BO42" s="1760"/>
      <c r="BP42" s="1759"/>
      <c r="BQ42" s="1757"/>
      <c r="BR42" s="1760"/>
      <c r="BS42" s="1759"/>
      <c r="BT42" s="1757">
        <f>+'1869 Hacienda'!C227</f>
        <v>2029704</v>
      </c>
      <c r="BU42" s="1760"/>
      <c r="BV42" s="1759"/>
      <c r="BW42" s="1757"/>
      <c r="BX42" s="1760"/>
      <c r="BY42" s="1759"/>
      <c r="BZ42" s="1757"/>
      <c r="CA42" s="1760"/>
      <c r="CB42" s="1759"/>
      <c r="CC42" s="1757"/>
      <c r="CD42" s="1760"/>
      <c r="CE42" s="1759"/>
      <c r="CF42" s="1757">
        <f>+'1873 Hacienda'!B10</f>
        <v>3250733</v>
      </c>
      <c r="CG42" s="1760"/>
      <c r="CH42" s="1759"/>
      <c r="CI42" s="1757"/>
      <c r="CJ42" s="1760"/>
      <c r="CK42" s="1759"/>
      <c r="CL42" s="1757"/>
      <c r="CM42" s="1760"/>
      <c r="CN42" s="1759"/>
      <c r="CO42" s="1757"/>
      <c r="CP42" s="1760"/>
      <c r="CQ42" s="1759"/>
      <c r="CR42" s="1757"/>
      <c r="CS42" s="1760"/>
      <c r="CT42" s="1759"/>
      <c r="CU42" s="1757"/>
      <c r="CV42" s="1760"/>
      <c r="CW42" s="1759"/>
      <c r="CX42" s="1757"/>
      <c r="CY42" s="1760"/>
      <c r="CZ42" s="1759"/>
      <c r="DA42" s="1757"/>
      <c r="DB42" s="1760"/>
      <c r="DC42" s="1759"/>
      <c r="DD42" s="1757">
        <f>+'1883 Hacienda'!B58</f>
        <v>7978000</v>
      </c>
      <c r="DE42" s="1760"/>
      <c r="DF42" s="1759"/>
      <c r="DG42" s="1757"/>
      <c r="DH42" s="1760"/>
      <c r="DI42" s="1759"/>
      <c r="DJ42" s="1757"/>
      <c r="DK42" s="1760"/>
      <c r="DL42" s="1759"/>
      <c r="DM42" s="1757"/>
      <c r="DN42" s="1760"/>
      <c r="DO42" s="1759"/>
      <c r="DP42" s="1757"/>
      <c r="DQ42" s="1760"/>
      <c r="DR42" s="1759"/>
      <c r="DS42" s="1757"/>
      <c r="DT42" s="1760"/>
      <c r="DU42" s="1759"/>
      <c r="DV42" s="1757"/>
      <c r="DW42" s="1760"/>
      <c r="DX42" s="1759"/>
      <c r="DY42" s="1757"/>
      <c r="DZ42" s="1760"/>
      <c r="EA42" s="1759"/>
      <c r="EB42" s="1757"/>
      <c r="EC42" s="1760"/>
      <c r="ED42" s="1759"/>
      <c r="EE42" s="1757"/>
      <c r="EF42" s="1760"/>
      <c r="EG42" s="1759"/>
      <c r="EH42" s="1757"/>
      <c r="EI42" s="1760"/>
      <c r="EJ42" s="1759"/>
      <c r="EK42" s="1757"/>
      <c r="EL42" s="1760"/>
      <c r="EM42" s="1759"/>
      <c r="EN42" s="1757"/>
      <c r="EO42" s="1760"/>
      <c r="EP42" s="1759"/>
      <c r="EQ42" s="1757"/>
      <c r="ER42" s="1760"/>
      <c r="ES42" s="1759"/>
      <c r="ET42" s="1757"/>
      <c r="EU42" s="1760"/>
      <c r="EV42" s="1759"/>
      <c r="EW42" s="1757"/>
      <c r="EX42" s="1760"/>
      <c r="EY42" s="1759"/>
      <c r="EZ42" s="1757"/>
      <c r="FA42" s="1760"/>
      <c r="FB42" s="1759"/>
      <c r="FC42" s="1757"/>
      <c r="FD42" s="1760"/>
      <c r="FE42" s="1759"/>
      <c r="FF42" s="1757"/>
      <c r="FG42" s="1760"/>
      <c r="FH42" s="1759"/>
      <c r="FI42" s="1757"/>
      <c r="FJ42" s="1760"/>
      <c r="FK42" s="1759"/>
      <c r="FL42" s="1757"/>
      <c r="FM42" s="1760"/>
      <c r="FN42" s="1759"/>
      <c r="FO42" s="1757"/>
      <c r="FP42" s="1760"/>
      <c r="FQ42" s="1759"/>
      <c r="FR42" s="1757"/>
      <c r="FS42" s="1760"/>
      <c r="FT42" s="1759"/>
      <c r="FU42" s="1757"/>
      <c r="FV42" s="1762"/>
      <c r="FW42" s="1757"/>
      <c r="FX42" s="1762"/>
      <c r="FY42" s="1757"/>
      <c r="FZ42" s="1762"/>
      <c r="GA42" s="1757"/>
      <c r="GB42" s="1762"/>
      <c r="GC42" s="1757"/>
      <c r="GD42" s="1762"/>
      <c r="GE42" s="1757"/>
      <c r="GF42" s="1762"/>
      <c r="GG42" s="1757"/>
      <c r="GH42" s="1762"/>
      <c r="GI42" s="1757"/>
      <c r="GJ42" s="1762"/>
      <c r="GK42" s="1757"/>
      <c r="GL42" s="1762"/>
    </row>
    <row r="43" spans="1:194" s="1732" customFormat="1" ht="16.5" customHeight="1" x14ac:dyDescent="0.2">
      <c r="Q43" s="393">
        <f>+SUM(Q2:Q24)</f>
        <v>2783931</v>
      </c>
      <c r="R43" s="393">
        <f>+SUM(R2:R24)</f>
        <v>6518</v>
      </c>
      <c r="S43" s="393">
        <f>+SUM(S2:S24)</f>
        <v>2618040</v>
      </c>
      <c r="T43" s="393">
        <f>+SUM(T2:T24)</f>
        <v>4482</v>
      </c>
      <c r="U43" s="393">
        <f t="shared" ref="U43:AH43" si="0">+SUM(U2:U23)</f>
        <v>2475980</v>
      </c>
      <c r="V43" s="393">
        <f t="shared" si="0"/>
        <v>6685</v>
      </c>
      <c r="W43" s="393">
        <f t="shared" si="0"/>
        <v>2278163</v>
      </c>
      <c r="X43" s="393">
        <f t="shared" si="0"/>
        <v>7459</v>
      </c>
      <c r="Y43" s="1093">
        <f t="shared" si="0"/>
        <v>1672395</v>
      </c>
      <c r="Z43" s="1093">
        <f t="shared" si="0"/>
        <v>8343</v>
      </c>
      <c r="AA43" s="1093">
        <f t="shared" si="0"/>
        <v>1659272</v>
      </c>
      <c r="AB43" s="1093">
        <f t="shared" si="0"/>
        <v>5415</v>
      </c>
      <c r="AC43" s="1093">
        <f t="shared" si="0"/>
        <v>1399805</v>
      </c>
      <c r="AD43" s="1093">
        <f t="shared" si="0"/>
        <v>4750</v>
      </c>
      <c r="AE43" s="1093">
        <f t="shared" si="0"/>
        <v>1106478</v>
      </c>
      <c r="AF43" s="1093">
        <f t="shared" si="0"/>
        <v>4740</v>
      </c>
      <c r="AG43" s="1093">
        <f t="shared" si="0"/>
        <v>1306185</v>
      </c>
      <c r="AH43" s="1093">
        <f t="shared" si="0"/>
        <v>4481</v>
      </c>
      <c r="AK43" s="1093">
        <f>+SUM(AK2:AK24)</f>
        <v>1977759</v>
      </c>
      <c r="AL43" s="1093">
        <f>+SUM(AL2:AL24)</f>
        <v>5180</v>
      </c>
      <c r="BT43" s="1788">
        <f>+SUM(BT2:BT29)</f>
        <v>2029694</v>
      </c>
      <c r="CF43" s="1093">
        <f>+SUM(CF2:CF30)</f>
        <v>3250733</v>
      </c>
      <c r="DD43" s="1137">
        <f>+SUM(DD2:DD41)</f>
        <v>8568000</v>
      </c>
      <c r="FU43" s="393"/>
      <c r="FV43" s="393"/>
      <c r="FW43" s="393"/>
      <c r="FX43" s="393"/>
      <c r="FY43" s="393"/>
      <c r="FZ43" s="393"/>
      <c r="GA43" s="393"/>
      <c r="GB43" s="393"/>
      <c r="GC43" s="393"/>
      <c r="GD43" s="393"/>
      <c r="GE43" s="393"/>
      <c r="GF43" s="393"/>
      <c r="GG43" s="393"/>
      <c r="GH43" s="393"/>
      <c r="GI43" s="393"/>
      <c r="GJ43" s="393"/>
      <c r="GK43" s="393"/>
      <c r="GL43" s="393"/>
    </row>
  </sheetData>
  <mergeCells count="74">
    <mergeCell ref="GC1:GD1"/>
    <mergeCell ref="GE1:GF1"/>
    <mergeCell ref="GG1:GH1"/>
    <mergeCell ref="GI1:GJ1"/>
    <mergeCell ref="GK1:GL1"/>
    <mergeCell ref="AK9:AK10"/>
    <mergeCell ref="AL9:AL10"/>
    <mergeCell ref="CF9:CF10"/>
    <mergeCell ref="FO1:FQ1"/>
    <mergeCell ref="FR1:FT1"/>
    <mergeCell ref="FU1:FV1"/>
    <mergeCell ref="FW1:FX1"/>
    <mergeCell ref="FY1:FZ1"/>
    <mergeCell ref="GA1:GB1"/>
    <mergeCell ref="EW1:EY1"/>
    <mergeCell ref="EZ1:FB1"/>
    <mergeCell ref="FC1:FE1"/>
    <mergeCell ref="FF1:FH1"/>
    <mergeCell ref="FI1:FK1"/>
    <mergeCell ref="FL1:FN1"/>
    <mergeCell ref="EE1:EG1"/>
    <mergeCell ref="EH1:EJ1"/>
    <mergeCell ref="EK1:EM1"/>
    <mergeCell ref="EN1:EP1"/>
    <mergeCell ref="EQ1:ES1"/>
    <mergeCell ref="ET1:EV1"/>
    <mergeCell ref="DM1:DO1"/>
    <mergeCell ref="DP1:DR1"/>
    <mergeCell ref="DS1:DU1"/>
    <mergeCell ref="DV1:DX1"/>
    <mergeCell ref="DY1:EA1"/>
    <mergeCell ref="EB1:ED1"/>
    <mergeCell ref="CU1:CW1"/>
    <mergeCell ref="CX1:CZ1"/>
    <mergeCell ref="DA1:DC1"/>
    <mergeCell ref="DD1:DF1"/>
    <mergeCell ref="DG1:DI1"/>
    <mergeCell ref="DJ1:DL1"/>
    <mergeCell ref="CC1:CE1"/>
    <mergeCell ref="CF1:CH1"/>
    <mergeCell ref="CI1:CK1"/>
    <mergeCell ref="CL1:CN1"/>
    <mergeCell ref="CO1:CQ1"/>
    <mergeCell ref="CR1:CT1"/>
    <mergeCell ref="BK1:BM1"/>
    <mergeCell ref="BN1:BP1"/>
    <mergeCell ref="BQ1:BS1"/>
    <mergeCell ref="BT1:BV1"/>
    <mergeCell ref="BW1:BY1"/>
    <mergeCell ref="BZ1:CB1"/>
    <mergeCell ref="AS1:AU1"/>
    <mergeCell ref="AV1:AX1"/>
    <mergeCell ref="AY1:BA1"/>
    <mergeCell ref="BB1:BD1"/>
    <mergeCell ref="BE1:BG1"/>
    <mergeCell ref="BH1:BJ1"/>
    <mergeCell ref="AE1:AF1"/>
    <mergeCell ref="AG1:AH1"/>
    <mergeCell ref="AI1:AJ1"/>
    <mergeCell ref="AK1:AL1"/>
    <mergeCell ref="AM1:AO1"/>
    <mergeCell ref="AP1:AR1"/>
    <mergeCell ref="S1:T1"/>
    <mergeCell ref="U1:V1"/>
    <mergeCell ref="W1:X1"/>
    <mergeCell ref="Y1:Z1"/>
    <mergeCell ref="AA1:AB1"/>
    <mergeCell ref="AC1:AD1"/>
    <mergeCell ref="B1:D1"/>
    <mergeCell ref="E1:G1"/>
    <mergeCell ref="H1:J1"/>
    <mergeCell ref="K1:M1"/>
    <mergeCell ref="N1:P1"/>
    <mergeCell ref="Q1:R1"/>
  </mergeCell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76</vt:i4>
      </vt:variant>
      <vt:variant>
        <vt:lpstr>Gráficos</vt:lpstr>
      </vt:variant>
      <vt:variant>
        <vt:i4>1</vt:i4>
      </vt:variant>
    </vt:vector>
  </HeadingPairs>
  <TitlesOfParts>
    <vt:vector size="77" baseType="lpstr">
      <vt:lpstr>Hoja1</vt:lpstr>
      <vt:lpstr>INGRESOS 1824-1825</vt:lpstr>
      <vt:lpstr>INGRESOS 1826-1827</vt:lpstr>
      <vt:lpstr>INGRESOS 1831-1832</vt:lpstr>
      <vt:lpstr>INGRESOS 1832 A 1833</vt:lpstr>
      <vt:lpstr>INGRESOS 1833 - 1834</vt:lpstr>
      <vt:lpstr>INGRESOS 1810 -1836</vt:lpstr>
      <vt:lpstr>INGRESOS 1836-1837</vt:lpstr>
      <vt:lpstr>GASTO DE HACIENDA 1824-1825</vt:lpstr>
      <vt:lpstr>PRESUPUESTO GASTOS 1826</vt:lpstr>
      <vt:lpstr>GASTO EN 1827</vt:lpstr>
      <vt:lpstr>1834</vt:lpstr>
      <vt:lpstr>Gastos de 1833</vt:lpstr>
      <vt:lpstr>GATOS 1834-1835</vt:lpstr>
      <vt:lpstr>GASTO 1835-1836</vt:lpstr>
      <vt:lpstr>GASTO 1836-1837</vt:lpstr>
      <vt:lpstr>I-G PROVINCIAS 1836-1837</vt:lpstr>
      <vt:lpstr>GASTO 1838-1839</vt:lpstr>
      <vt:lpstr>1841 Hacienda</vt:lpstr>
      <vt:lpstr>1843 Hacienda</vt:lpstr>
      <vt:lpstr>1845 Hacienda</vt:lpstr>
      <vt:lpstr>1846 Hacienda</vt:lpstr>
      <vt:lpstr>1849 Hacienda</vt:lpstr>
      <vt:lpstr>1852 HACIENDA</vt:lpstr>
      <vt:lpstr>1853 Hacienda</vt:lpstr>
      <vt:lpstr>1858 Hacienda</vt:lpstr>
      <vt:lpstr>1861 Hacienda</vt:lpstr>
      <vt:lpstr>1869 Hacienda</vt:lpstr>
      <vt:lpstr>1870 Tesoro</vt:lpstr>
      <vt:lpstr>1870 Hacienda</vt:lpstr>
      <vt:lpstr>1872 Hacienda</vt:lpstr>
      <vt:lpstr>1873 Hacienda</vt:lpstr>
      <vt:lpstr>1874 Hacienda</vt:lpstr>
      <vt:lpstr>1875 Hacienda</vt:lpstr>
      <vt:lpstr>1875 Tesoro</vt:lpstr>
      <vt:lpstr>1876 Hacienda</vt:lpstr>
      <vt:lpstr>1877 Hacienda</vt:lpstr>
      <vt:lpstr>1877 Tesoro</vt:lpstr>
      <vt:lpstr>1878 Hacienda</vt:lpstr>
      <vt:lpstr>1878 Tesoro</vt:lpstr>
      <vt:lpstr>1879 Tesoro</vt:lpstr>
      <vt:lpstr>1879 Hacienda</vt:lpstr>
      <vt:lpstr>1880 Tesoro</vt:lpstr>
      <vt:lpstr>1880 Hacienda</vt:lpstr>
      <vt:lpstr>1881 Hacienda</vt:lpstr>
      <vt:lpstr>1881 Tesoro</vt:lpstr>
      <vt:lpstr>1882 Hacienda</vt:lpstr>
      <vt:lpstr>1882 Tesoro</vt:lpstr>
      <vt:lpstr>1883 Hacienda</vt:lpstr>
      <vt:lpstr>1885 Hacienda</vt:lpstr>
      <vt:lpstr>1888 Hacienda</vt:lpstr>
      <vt:lpstr>1890 Hacienda</vt:lpstr>
      <vt:lpstr>1892 Hacienda</vt:lpstr>
      <vt:lpstr>1894 Hacienda</vt:lpstr>
      <vt:lpstr>1896 Tesoro</vt:lpstr>
      <vt:lpstr>1896 Hacienda</vt:lpstr>
      <vt:lpstr>1898 Hacienda</vt:lpstr>
      <vt:lpstr>1904 Hacienda</vt:lpstr>
      <vt:lpstr>1904 Tesoro</vt:lpstr>
      <vt:lpstr>1910 Hacienda</vt:lpstr>
      <vt:lpstr>1910 Tesoro</vt:lpstr>
      <vt:lpstr>1911 Hacienda</vt:lpstr>
      <vt:lpstr>1912A Hacienda</vt:lpstr>
      <vt:lpstr>1912 Hacienda</vt:lpstr>
      <vt:lpstr>1912 Tesoro</vt:lpstr>
      <vt:lpstr>1913 HACIENDA</vt:lpstr>
      <vt:lpstr>1913 Tesoro</vt:lpstr>
      <vt:lpstr>1914 Hacienda</vt:lpstr>
      <vt:lpstr>1914 Tesoro</vt:lpstr>
      <vt:lpstr>1915 Hacienda</vt:lpstr>
      <vt:lpstr>1915 Tesoro</vt:lpstr>
      <vt:lpstr>Ingresos Tesoro</vt:lpstr>
      <vt:lpstr>Gastos Tesoro</vt:lpstr>
      <vt:lpstr>Ingresos Hacienda</vt:lpstr>
      <vt:lpstr>Ingresos Hacienda.0</vt:lpstr>
      <vt:lpstr>Gastos Hacienda</vt:lpstr>
      <vt:lpstr>Gráfico2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Microsoft Office</dc:creator>
  <cp:lastModifiedBy>Usuario de Microsoft Office</cp:lastModifiedBy>
  <dcterms:created xsi:type="dcterms:W3CDTF">2018-12-11T13:40:47Z</dcterms:created>
  <dcterms:modified xsi:type="dcterms:W3CDTF">2018-12-11T13:43:03Z</dcterms:modified>
</cp:coreProperties>
</file>